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F0982C35-9380-4973-AFE0-C2EFE49053E8}" xr6:coauthVersionLast="47" xr6:coauthVersionMax="47" xr10:uidLastSave="{00000000-0000-0000-0000-000000000000}"/>
  <bookViews>
    <workbookView xWindow="28680" yWindow="-120" windowWidth="29040" windowHeight="16440" tabRatio="591" xr2:uid="{00000000-000D-0000-FFFF-FFFF00000000}"/>
  </bookViews>
  <sheets>
    <sheet name="July 2026" sheetId="2" r:id="rId1"/>
    <sheet name="TEC_Rates" sheetId="3" r:id="rId2"/>
  </sheets>
  <definedNames>
    <definedName name="_AMO_UniqueIdentifier" hidden="1">"'dc2b4d5e-3c9b-4e5f-aab8-4aaef35c2e8f'"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9" i="2" l="1"/>
  <c r="C1419" i="2"/>
  <c r="C1409" i="2"/>
  <c r="C1417" i="2"/>
  <c r="C1415" i="2"/>
  <c r="C1413" i="2"/>
  <c r="C1411" i="2"/>
  <c r="B1419" i="2"/>
  <c r="B1152" i="2"/>
  <c r="B30" i="2"/>
  <c r="B28" i="2"/>
  <c r="B26" i="2"/>
  <c r="B24" i="2"/>
  <c r="B22" i="2"/>
  <c r="B20" i="2"/>
  <c r="B126" i="2"/>
  <c r="B14" i="2"/>
  <c r="B124" i="2"/>
  <c r="C166" i="2"/>
  <c r="C164" i="2"/>
  <c r="C162" i="2"/>
  <c r="C150" i="2"/>
  <c r="B632" i="2"/>
  <c r="B634" i="2"/>
  <c r="B122" i="2"/>
  <c r="B82" i="2"/>
  <c r="C74" i="2"/>
  <c r="C106" i="2"/>
  <c r="B90" i="2"/>
  <c r="B88" i="2"/>
  <c r="B94" i="2"/>
  <c r="B92" i="2"/>
  <c r="B64" i="2"/>
  <c r="B62" i="2"/>
  <c r="B60" i="2"/>
  <c r="B86" i="2"/>
  <c r="B84" i="2"/>
  <c r="C48" i="2"/>
  <c r="B44" i="2"/>
  <c r="B42" i="2"/>
  <c r="B38" i="2"/>
  <c r="B36" i="2"/>
  <c r="C40" i="2"/>
  <c r="B10" i="2"/>
  <c r="B8" i="2"/>
  <c r="B1324" i="2"/>
  <c r="B1322" i="2"/>
  <c r="C1320" i="2"/>
  <c r="B1316" i="2"/>
  <c r="B1314" i="2"/>
  <c r="C1302" i="2"/>
  <c r="C1282" i="2"/>
  <c r="B1278" i="2"/>
  <c r="B1276" i="2"/>
  <c r="B1274" i="2"/>
  <c r="B1272" i="2"/>
  <c r="C1270" i="2"/>
  <c r="B1266" i="2"/>
  <c r="B1264" i="2"/>
  <c r="B238" i="2"/>
  <c r="C238" i="2" s="1"/>
  <c r="B236" i="2"/>
  <c r="B234" i="2"/>
  <c r="B232" i="2"/>
  <c r="C232" i="2" s="1"/>
  <c r="B230" i="2"/>
  <c r="C230" i="2" s="1"/>
  <c r="B228" i="2"/>
  <c r="C228" i="2" s="1"/>
  <c r="B226" i="2"/>
  <c r="B224" i="2"/>
  <c r="C224" i="2" s="1"/>
  <c r="B222" i="2"/>
  <c r="B220" i="2"/>
  <c r="C222" i="2"/>
  <c r="B216" i="2"/>
  <c r="B214" i="2"/>
  <c r="C216" i="2"/>
  <c r="B212" i="2"/>
  <c r="B210" i="2"/>
  <c r="C210" i="2" s="1"/>
  <c r="B208" i="2"/>
  <c r="B206" i="2"/>
  <c r="C206" i="2" s="1"/>
  <c r="B204" i="2"/>
  <c r="C204" i="2" s="1"/>
  <c r="B202" i="2"/>
  <c r="C202" i="2" s="1"/>
  <c r="C218" i="2"/>
  <c r="B192" i="2"/>
  <c r="B190" i="2"/>
  <c r="B1108" i="2"/>
  <c r="B1106" i="2"/>
  <c r="B1104" i="2"/>
  <c r="B1102" i="2"/>
  <c r="B1100" i="2"/>
  <c r="B1098" i="2"/>
  <c r="B1096" i="2"/>
  <c r="B1094" i="2"/>
  <c r="B1076" i="2"/>
  <c r="B1074" i="2"/>
  <c r="B1072" i="2"/>
  <c r="B1070" i="2"/>
  <c r="B1046" i="2"/>
  <c r="B1044" i="2"/>
  <c r="B1168" i="2"/>
  <c r="C1168" i="2" s="1"/>
  <c r="B1166" i="2"/>
  <c r="B1528" i="2"/>
  <c r="C1528" i="2" s="1"/>
  <c r="B1526" i="2"/>
  <c r="C1526" i="2" s="1"/>
  <c r="C1524" i="2"/>
  <c r="B1522" i="2"/>
  <c r="B1520" i="2"/>
  <c r="B1518" i="2"/>
  <c r="B1516" i="2"/>
  <c r="B1514" i="2"/>
  <c r="B1512" i="2"/>
  <c r="B1326" i="2" l="1"/>
  <c r="B1170" i="2"/>
  <c r="B1530" i="2"/>
  <c r="B1132" i="2"/>
  <c r="B1084" i="2"/>
  <c r="B1060" i="2"/>
  <c r="B240" i="2"/>
  <c r="C234" i="2"/>
  <c r="C20" i="2"/>
  <c r="B168" i="2"/>
  <c r="AB167" i="2"/>
  <c r="AA167" i="2"/>
  <c r="Z167" i="2"/>
  <c r="Y167" i="2"/>
  <c r="X167" i="2"/>
  <c r="W167" i="2"/>
  <c r="V167" i="2"/>
  <c r="U167" i="2"/>
  <c r="T167" i="2"/>
  <c r="S167" i="2"/>
  <c r="R167" i="2"/>
  <c r="G167" i="2"/>
  <c r="Q167" i="2"/>
  <c r="P167" i="2"/>
  <c r="O167" i="2"/>
  <c r="N167" i="2"/>
  <c r="M167" i="2"/>
  <c r="L167" i="2"/>
  <c r="K167" i="2"/>
  <c r="J167" i="2"/>
  <c r="I167" i="2"/>
  <c r="H167" i="2"/>
  <c r="F167" i="2"/>
  <c r="E167" i="2"/>
  <c r="D167" i="2"/>
  <c r="AB165" i="2"/>
  <c r="X165" i="2"/>
  <c r="W165" i="2"/>
  <c r="V165" i="2"/>
  <c r="U165" i="2"/>
  <c r="S165" i="2"/>
  <c r="R165" i="2"/>
  <c r="AA165" i="2"/>
  <c r="T165" i="2"/>
  <c r="Z165" i="2"/>
  <c r="Y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C212" i="2"/>
  <c r="AB163" i="2"/>
  <c r="AA163" i="2"/>
  <c r="Z163" i="2"/>
  <c r="Y163" i="2"/>
  <c r="X163" i="2"/>
  <c r="W163" i="2"/>
  <c r="V163" i="2"/>
  <c r="U163" i="2"/>
  <c r="T163" i="2"/>
  <c r="S163" i="2"/>
  <c r="R163" i="2"/>
  <c r="H163" i="2"/>
  <c r="F163" i="2"/>
  <c r="Q163" i="2"/>
  <c r="P163" i="2"/>
  <c r="O163" i="2"/>
  <c r="N163" i="2"/>
  <c r="M163" i="2"/>
  <c r="L163" i="2"/>
  <c r="K163" i="2"/>
  <c r="J163" i="2"/>
  <c r="I163" i="2"/>
  <c r="G163" i="2"/>
  <c r="E163" i="2"/>
  <c r="D163" i="2"/>
  <c r="C226" i="2"/>
  <c r="C208" i="2"/>
  <c r="C236" i="2"/>
  <c r="C220" i="2"/>
  <c r="C214" i="2"/>
  <c r="AB239" i="2"/>
  <c r="AA239" i="2"/>
  <c r="Z239" i="2"/>
  <c r="Y239" i="2"/>
  <c r="X239" i="2"/>
  <c r="W239" i="2"/>
  <c r="V239" i="2"/>
  <c r="U239" i="2"/>
  <c r="S239" i="2"/>
  <c r="R239" i="2"/>
  <c r="Q239" i="2"/>
  <c r="P239" i="2"/>
  <c r="O239" i="2"/>
  <c r="N239" i="2"/>
  <c r="M239" i="2"/>
  <c r="T239" i="2"/>
  <c r="L239" i="2"/>
  <c r="K239" i="2"/>
  <c r="J239" i="2"/>
  <c r="I239" i="2"/>
  <c r="H239" i="2"/>
  <c r="G239" i="2"/>
  <c r="F239" i="2"/>
  <c r="E239" i="2"/>
  <c r="D239" i="2"/>
  <c r="AB235" i="2"/>
  <c r="AA235" i="2"/>
  <c r="Z235" i="2"/>
  <c r="Y235" i="2"/>
  <c r="X235" i="2"/>
  <c r="W235" i="2"/>
  <c r="V235" i="2"/>
  <c r="O235" i="2"/>
  <c r="N235" i="2"/>
  <c r="U235" i="2"/>
  <c r="T235" i="2"/>
  <c r="S235" i="2"/>
  <c r="R235" i="2"/>
  <c r="Q235" i="2"/>
  <c r="P235" i="2"/>
  <c r="F235" i="2"/>
  <c r="M235" i="2"/>
  <c r="L235" i="2"/>
  <c r="K235" i="2"/>
  <c r="J235" i="2"/>
  <c r="I235" i="2"/>
  <c r="H235" i="2"/>
  <c r="G235" i="2"/>
  <c r="E235" i="2"/>
  <c r="D235" i="2"/>
  <c r="AB231" i="2"/>
  <c r="Z231" i="2"/>
  <c r="AA231" i="2"/>
  <c r="Y231" i="2"/>
  <c r="X231" i="2"/>
  <c r="W231" i="2"/>
  <c r="V231" i="2"/>
  <c r="U231" i="2"/>
  <c r="T231" i="2"/>
  <c r="S231" i="2"/>
  <c r="R231" i="2"/>
  <c r="Q231" i="2"/>
  <c r="P231" i="2"/>
  <c r="O231" i="2"/>
  <c r="N231" i="2"/>
  <c r="M231" i="2"/>
  <c r="L231" i="2"/>
  <c r="K231" i="2"/>
  <c r="J231" i="2"/>
  <c r="I231" i="2"/>
  <c r="H231" i="2"/>
  <c r="G231" i="2"/>
  <c r="D231" i="2"/>
  <c r="F231" i="2"/>
  <c r="E231" i="2"/>
  <c r="AA223" i="2"/>
  <c r="P223" i="2"/>
  <c r="J223" i="2"/>
  <c r="H223" i="2"/>
  <c r="F223" i="2"/>
  <c r="E223" i="2"/>
  <c r="D223" i="2"/>
  <c r="AB223" i="2"/>
  <c r="Z223" i="2"/>
  <c r="Y223" i="2"/>
  <c r="X223" i="2"/>
  <c r="W223" i="2"/>
  <c r="V223" i="2"/>
  <c r="U223" i="2"/>
  <c r="T223" i="2"/>
  <c r="S223" i="2"/>
  <c r="R223" i="2"/>
  <c r="Q223" i="2"/>
  <c r="O223" i="2"/>
  <c r="N223" i="2"/>
  <c r="M223" i="2"/>
  <c r="L223" i="2"/>
  <c r="K223" i="2"/>
  <c r="I223" i="2"/>
  <c r="G223" i="2"/>
  <c r="AB217" i="2"/>
  <c r="AA217" i="2"/>
  <c r="Z217" i="2"/>
  <c r="Y217" i="2"/>
  <c r="X217" i="2"/>
  <c r="W217" i="2"/>
  <c r="G217" i="2"/>
  <c r="V217" i="2"/>
  <c r="U217" i="2"/>
  <c r="T217" i="2"/>
  <c r="S217" i="2"/>
  <c r="R217" i="2"/>
  <c r="Q217" i="2"/>
  <c r="P217" i="2"/>
  <c r="J217" i="2"/>
  <c r="H217" i="2"/>
  <c r="F217" i="2"/>
  <c r="D217" i="2"/>
  <c r="O217" i="2"/>
  <c r="N217" i="2"/>
  <c r="M217" i="2"/>
  <c r="L217" i="2"/>
  <c r="K217" i="2"/>
  <c r="I217" i="2"/>
  <c r="E217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O205" i="2"/>
  <c r="N205" i="2"/>
  <c r="M205" i="2"/>
  <c r="L205" i="2"/>
  <c r="K205" i="2"/>
  <c r="J205" i="2"/>
  <c r="I205" i="2"/>
  <c r="H205" i="2"/>
  <c r="G205" i="2"/>
  <c r="F205" i="2"/>
  <c r="E205" i="2"/>
  <c r="P205" i="2"/>
  <c r="D205" i="2"/>
  <c r="AB233" i="2"/>
  <c r="AA233" i="2"/>
  <c r="Z233" i="2"/>
  <c r="Y233" i="2"/>
  <c r="X233" i="2"/>
  <c r="W233" i="2"/>
  <c r="U233" i="2"/>
  <c r="T233" i="2"/>
  <c r="S233" i="2"/>
  <c r="R233" i="2"/>
  <c r="Q233" i="2"/>
  <c r="V233" i="2"/>
  <c r="P233" i="2"/>
  <c r="O233" i="2"/>
  <c r="N233" i="2"/>
  <c r="M233" i="2"/>
  <c r="L233" i="2"/>
  <c r="K233" i="2"/>
  <c r="E233" i="2"/>
  <c r="J233" i="2"/>
  <c r="I233" i="2"/>
  <c r="H233" i="2"/>
  <c r="G233" i="2"/>
  <c r="F233" i="2"/>
  <c r="D233" i="2"/>
  <c r="AB229" i="2"/>
  <c r="AA229" i="2"/>
  <c r="Z229" i="2"/>
  <c r="Y229" i="2"/>
  <c r="X229" i="2"/>
  <c r="W229" i="2"/>
  <c r="R229" i="2"/>
  <c r="O229" i="2"/>
  <c r="M229" i="2"/>
  <c r="K229" i="2"/>
  <c r="V229" i="2"/>
  <c r="U229" i="2"/>
  <c r="T229" i="2"/>
  <c r="S229" i="2"/>
  <c r="Q229" i="2"/>
  <c r="P229" i="2"/>
  <c r="N229" i="2"/>
  <c r="L229" i="2"/>
  <c r="J229" i="2"/>
  <c r="I229" i="2"/>
  <c r="H229" i="2"/>
  <c r="G229" i="2"/>
  <c r="F229" i="2"/>
  <c r="E229" i="2"/>
  <c r="D229" i="2"/>
  <c r="AB225" i="2"/>
  <c r="AA225" i="2"/>
  <c r="Z225" i="2"/>
  <c r="Y225" i="2"/>
  <c r="X225" i="2"/>
  <c r="R225" i="2"/>
  <c r="Q225" i="2"/>
  <c r="O225" i="2"/>
  <c r="M225" i="2"/>
  <c r="K225" i="2"/>
  <c r="I225" i="2"/>
  <c r="G225" i="2"/>
  <c r="E225" i="2"/>
  <c r="W225" i="2"/>
  <c r="V225" i="2"/>
  <c r="U225" i="2"/>
  <c r="T225" i="2"/>
  <c r="S225" i="2"/>
  <c r="P225" i="2"/>
  <c r="N225" i="2"/>
  <c r="L225" i="2"/>
  <c r="J225" i="2"/>
  <c r="H225" i="2"/>
  <c r="F225" i="2"/>
  <c r="D225" i="2"/>
  <c r="AB219" i="2"/>
  <c r="AA219" i="2"/>
  <c r="Z219" i="2"/>
  <c r="Y219" i="2"/>
  <c r="X219" i="2"/>
  <c r="W219" i="2"/>
  <c r="V219" i="2"/>
  <c r="U219" i="2"/>
  <c r="T219" i="2"/>
  <c r="S219" i="2"/>
  <c r="R219" i="2"/>
  <c r="H219" i="2"/>
  <c r="F219" i="2"/>
  <c r="D219" i="2"/>
  <c r="Q219" i="2"/>
  <c r="P219" i="2"/>
  <c r="O219" i="2"/>
  <c r="N219" i="2"/>
  <c r="M219" i="2"/>
  <c r="L219" i="2"/>
  <c r="K219" i="2"/>
  <c r="J219" i="2"/>
  <c r="I219" i="2"/>
  <c r="G219" i="2"/>
  <c r="E219" i="2"/>
  <c r="AB211" i="2"/>
  <c r="AA211" i="2"/>
  <c r="Z211" i="2"/>
  <c r="Y211" i="2"/>
  <c r="X211" i="2"/>
  <c r="S211" i="2"/>
  <c r="F211" i="2"/>
  <c r="W211" i="2"/>
  <c r="V211" i="2"/>
  <c r="U211" i="2"/>
  <c r="T211" i="2"/>
  <c r="R211" i="2"/>
  <c r="L211" i="2"/>
  <c r="Q211" i="2"/>
  <c r="P211" i="2"/>
  <c r="O211" i="2"/>
  <c r="N211" i="2"/>
  <c r="M211" i="2"/>
  <c r="D211" i="2"/>
  <c r="K211" i="2"/>
  <c r="J211" i="2"/>
  <c r="I211" i="2"/>
  <c r="H211" i="2"/>
  <c r="G211" i="2"/>
  <c r="E211" i="2"/>
  <c r="C1166" i="2"/>
  <c r="AB207" i="2"/>
  <c r="AA207" i="2"/>
  <c r="Z207" i="2"/>
  <c r="Y207" i="2"/>
  <c r="X207" i="2"/>
  <c r="Q207" i="2"/>
  <c r="P207" i="2"/>
  <c r="N207" i="2"/>
  <c r="L207" i="2"/>
  <c r="F207" i="2"/>
  <c r="W207" i="2"/>
  <c r="V207" i="2"/>
  <c r="U207" i="2"/>
  <c r="T207" i="2"/>
  <c r="S207" i="2"/>
  <c r="R207" i="2"/>
  <c r="O207" i="2"/>
  <c r="M207" i="2"/>
  <c r="G207" i="2"/>
  <c r="D207" i="2"/>
  <c r="K207" i="2"/>
  <c r="J207" i="2"/>
  <c r="I207" i="2"/>
  <c r="H207" i="2"/>
  <c r="E207" i="2"/>
  <c r="AB203" i="2"/>
  <c r="AA203" i="2"/>
  <c r="Z203" i="2"/>
  <c r="Y203" i="2"/>
  <c r="X203" i="2"/>
  <c r="W203" i="2"/>
  <c r="V203" i="2"/>
  <c r="T203" i="2"/>
  <c r="S203" i="2"/>
  <c r="R203" i="2"/>
  <c r="Q203" i="2"/>
  <c r="P203" i="2"/>
  <c r="O203" i="2"/>
  <c r="N203" i="2"/>
  <c r="L203" i="2"/>
  <c r="K203" i="2"/>
  <c r="J203" i="2"/>
  <c r="I203" i="2"/>
  <c r="H203" i="2"/>
  <c r="G203" i="2"/>
  <c r="F203" i="2"/>
  <c r="U203" i="2"/>
  <c r="M203" i="2"/>
  <c r="E203" i="2"/>
  <c r="D203" i="2"/>
  <c r="AB1169" i="2"/>
  <c r="X1169" i="2"/>
  <c r="U1169" i="2"/>
  <c r="P1169" i="2"/>
  <c r="AA1169" i="2"/>
  <c r="S1169" i="2"/>
  <c r="Q1169" i="2"/>
  <c r="N1169" i="2"/>
  <c r="Z1169" i="2"/>
  <c r="Y1169" i="2"/>
  <c r="W1169" i="2"/>
  <c r="V1169" i="2"/>
  <c r="T1169" i="2"/>
  <c r="R1169" i="2"/>
  <c r="O1169" i="2"/>
  <c r="M1169" i="2"/>
  <c r="L1169" i="2"/>
  <c r="K1169" i="2"/>
  <c r="J1169" i="2"/>
  <c r="I1169" i="2"/>
  <c r="H1169" i="2"/>
  <c r="G1169" i="2"/>
  <c r="F1169" i="2"/>
  <c r="E1169" i="2"/>
  <c r="D1169" i="2"/>
  <c r="G1527" i="2"/>
  <c r="J1527" i="2"/>
  <c r="M1527" i="2"/>
  <c r="N1527" i="2"/>
  <c r="Q1527" i="2"/>
  <c r="T1527" i="2"/>
  <c r="W1527" i="2"/>
  <c r="X1527" i="2"/>
  <c r="Y1527" i="2"/>
  <c r="F1527" i="2"/>
  <c r="H1527" i="2"/>
  <c r="K1527" i="2"/>
  <c r="P1527" i="2"/>
  <c r="R1527" i="2"/>
  <c r="Z1527" i="2"/>
  <c r="AA1527" i="2"/>
  <c r="AB1527" i="2"/>
  <c r="D1527" i="2"/>
  <c r="E1527" i="2"/>
  <c r="I1527" i="2"/>
  <c r="L1527" i="2"/>
  <c r="O1527" i="2"/>
  <c r="S1527" i="2"/>
  <c r="U1527" i="2"/>
  <c r="V1527" i="2"/>
  <c r="H1529" i="2"/>
  <c r="Y1529" i="2"/>
  <c r="Z1529" i="2"/>
  <c r="AB1529" i="2"/>
  <c r="E1529" i="2"/>
  <c r="F1529" i="2"/>
  <c r="G1529" i="2"/>
  <c r="I1529" i="2"/>
  <c r="J1529" i="2"/>
  <c r="K1529" i="2"/>
  <c r="L1529" i="2"/>
  <c r="M1529" i="2"/>
  <c r="D1529" i="2"/>
  <c r="N1529" i="2"/>
  <c r="O1529" i="2"/>
  <c r="P1529" i="2"/>
  <c r="Q1529" i="2"/>
  <c r="R1529" i="2"/>
  <c r="S1529" i="2"/>
  <c r="T1529" i="2"/>
  <c r="U1529" i="2"/>
  <c r="V1529" i="2"/>
  <c r="W1529" i="2"/>
  <c r="X1529" i="2"/>
  <c r="AA1529" i="2"/>
  <c r="I1525" i="2"/>
  <c r="D1525" i="2"/>
  <c r="F1525" i="2"/>
  <c r="K1525" i="2"/>
  <c r="M1525" i="2"/>
  <c r="P1525" i="2"/>
  <c r="R1525" i="2"/>
  <c r="U1525" i="2"/>
  <c r="W1525" i="2"/>
  <c r="Z1525" i="2"/>
  <c r="AB1525" i="2"/>
  <c r="E1525" i="2"/>
  <c r="G1525" i="2"/>
  <c r="J1525" i="2"/>
  <c r="L1525" i="2"/>
  <c r="N1525" i="2"/>
  <c r="O1525" i="2"/>
  <c r="Q1525" i="2"/>
  <c r="S1525" i="2"/>
  <c r="V1525" i="2"/>
  <c r="X1525" i="2"/>
  <c r="AA1525" i="2"/>
  <c r="H1525" i="2"/>
  <c r="T1525" i="2"/>
  <c r="Y1525" i="2"/>
  <c r="AB213" i="2" l="1"/>
  <c r="AA213" i="2"/>
  <c r="Z213" i="2"/>
  <c r="Y213" i="2"/>
  <c r="X213" i="2"/>
  <c r="W213" i="2"/>
  <c r="V213" i="2"/>
  <c r="U213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E213" i="2"/>
  <c r="D213" i="2"/>
  <c r="AB227" i="2"/>
  <c r="AA227" i="2"/>
  <c r="Z227" i="2"/>
  <c r="Y227" i="2"/>
  <c r="X227" i="2"/>
  <c r="W227" i="2"/>
  <c r="V227" i="2"/>
  <c r="U227" i="2"/>
  <c r="T227" i="2"/>
  <c r="S227" i="2"/>
  <c r="R227" i="2"/>
  <c r="Q227" i="2"/>
  <c r="P227" i="2"/>
  <c r="O227" i="2"/>
  <c r="N227" i="2"/>
  <c r="M227" i="2"/>
  <c r="L227" i="2"/>
  <c r="K227" i="2"/>
  <c r="J227" i="2"/>
  <c r="I227" i="2"/>
  <c r="H227" i="2"/>
  <c r="G227" i="2"/>
  <c r="F227" i="2"/>
  <c r="E227" i="2"/>
  <c r="D227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H209" i="2"/>
  <c r="G209" i="2"/>
  <c r="E209" i="2"/>
  <c r="P209" i="2"/>
  <c r="O209" i="2"/>
  <c r="N209" i="2"/>
  <c r="M209" i="2"/>
  <c r="L209" i="2"/>
  <c r="K209" i="2"/>
  <c r="J209" i="2"/>
  <c r="I209" i="2"/>
  <c r="F209" i="2"/>
  <c r="D209" i="2"/>
  <c r="AB237" i="2"/>
  <c r="AA237" i="2"/>
  <c r="Z237" i="2"/>
  <c r="Y237" i="2"/>
  <c r="X237" i="2"/>
  <c r="W237" i="2"/>
  <c r="E237" i="2"/>
  <c r="V237" i="2"/>
  <c r="U237" i="2"/>
  <c r="T237" i="2"/>
  <c r="S237" i="2"/>
  <c r="AA221" i="2"/>
  <c r="Y221" i="2"/>
  <c r="X221" i="2"/>
  <c r="V221" i="2"/>
  <c r="R237" i="2"/>
  <c r="Q237" i="2"/>
  <c r="K237" i="2"/>
  <c r="I237" i="2"/>
  <c r="F237" i="2"/>
  <c r="P237" i="2"/>
  <c r="O237" i="2"/>
  <c r="N237" i="2"/>
  <c r="M237" i="2"/>
  <c r="L237" i="2"/>
  <c r="J237" i="2"/>
  <c r="H237" i="2"/>
  <c r="G237" i="2"/>
  <c r="D237" i="2"/>
  <c r="AB221" i="2"/>
  <c r="Z221" i="2"/>
  <c r="W221" i="2"/>
  <c r="U221" i="2"/>
  <c r="T221" i="2"/>
  <c r="S221" i="2"/>
  <c r="R221" i="2"/>
  <c r="J221" i="2"/>
  <c r="G221" i="2"/>
  <c r="D221" i="2"/>
  <c r="Q221" i="2"/>
  <c r="P221" i="2"/>
  <c r="O221" i="2"/>
  <c r="N221" i="2"/>
  <c r="M221" i="2"/>
  <c r="L221" i="2"/>
  <c r="K221" i="2"/>
  <c r="I221" i="2"/>
  <c r="H221" i="2"/>
  <c r="F221" i="2"/>
  <c r="E221" i="2"/>
  <c r="AB215" i="2"/>
  <c r="AA215" i="2"/>
  <c r="Z215" i="2"/>
  <c r="Y215" i="2"/>
  <c r="X215" i="2"/>
  <c r="S215" i="2"/>
  <c r="P215" i="2"/>
  <c r="N215" i="2"/>
  <c r="L215" i="2"/>
  <c r="I215" i="2"/>
  <c r="G215" i="2"/>
  <c r="F215" i="2"/>
  <c r="D215" i="2"/>
  <c r="W215" i="2"/>
  <c r="V215" i="2"/>
  <c r="U215" i="2"/>
  <c r="T215" i="2"/>
  <c r="R215" i="2"/>
  <c r="Q215" i="2"/>
  <c r="O215" i="2"/>
  <c r="M215" i="2"/>
  <c r="J215" i="2"/>
  <c r="H215" i="2"/>
  <c r="E215" i="2"/>
  <c r="K215" i="2"/>
  <c r="AA1167" i="2"/>
  <c r="Z1167" i="2"/>
  <c r="E1167" i="2"/>
  <c r="X1167" i="2"/>
  <c r="W1167" i="2"/>
  <c r="U1167" i="2"/>
  <c r="S1167" i="2"/>
  <c r="Q1167" i="2"/>
  <c r="P1167" i="2"/>
  <c r="K1167" i="2"/>
  <c r="M1167" i="2"/>
  <c r="H1167" i="2"/>
  <c r="J1167" i="2"/>
  <c r="D1167" i="2"/>
  <c r="AB1167" i="2"/>
  <c r="R1167" i="2"/>
  <c r="Y1167" i="2"/>
  <c r="V1167" i="2"/>
  <c r="T1167" i="2"/>
  <c r="G1167" i="2"/>
  <c r="O1167" i="2"/>
  <c r="N1167" i="2"/>
  <c r="L1167" i="2"/>
  <c r="I1167" i="2"/>
  <c r="F1167" i="2"/>
  <c r="B1029" i="2"/>
  <c r="B1622" i="2"/>
  <c r="C1622" i="2" s="1"/>
  <c r="B1620" i="2"/>
  <c r="C1620" i="2" s="1"/>
  <c r="B1618" i="2"/>
  <c r="C1618" i="2" s="1"/>
  <c r="N1619" i="2" s="1"/>
  <c r="B1616" i="2"/>
  <c r="C1616" i="2" s="1"/>
  <c r="B1614" i="2"/>
  <c r="C1614" i="2" s="1"/>
  <c r="B1612" i="2"/>
  <c r="C1612" i="2" s="1"/>
  <c r="B1610" i="2"/>
  <c r="C1610" i="2" s="1"/>
  <c r="B1608" i="2"/>
  <c r="B1606" i="2"/>
  <c r="C1606" i="2" s="1"/>
  <c r="B1604" i="2"/>
  <c r="C1604" i="2" s="1"/>
  <c r="X1605" i="2" s="1"/>
  <c r="C1594" i="2"/>
  <c r="B1592" i="2"/>
  <c r="C1592" i="2" s="1"/>
  <c r="T1593" i="2" s="1"/>
  <c r="B1590" i="2"/>
  <c r="C1590" i="2" s="1"/>
  <c r="B1588" i="2"/>
  <c r="C1588" i="2" s="1"/>
  <c r="Z1589" i="2" s="1"/>
  <c r="B1586" i="2"/>
  <c r="C1586" i="2" s="1"/>
  <c r="B1584" i="2"/>
  <c r="C1584" i="2" s="1"/>
  <c r="H1585" i="2" s="1"/>
  <c r="B1582" i="2"/>
  <c r="C1582" i="2" s="1"/>
  <c r="W1583" i="2" s="1"/>
  <c r="C1580" i="2"/>
  <c r="B1578" i="2"/>
  <c r="C1578" i="2" s="1"/>
  <c r="B1576" i="2"/>
  <c r="C1576" i="2" s="1"/>
  <c r="B1574" i="2"/>
  <c r="C1574" i="2" s="1"/>
  <c r="B1572" i="2"/>
  <c r="C1572" i="2" s="1"/>
  <c r="B1570" i="2"/>
  <c r="C1570" i="2" s="1"/>
  <c r="B1568" i="2"/>
  <c r="C1568" i="2" s="1"/>
  <c r="B1558" i="2"/>
  <c r="C1558" i="2" s="1"/>
  <c r="B1556" i="2"/>
  <c r="C1556" i="2" s="1"/>
  <c r="B1554" i="2"/>
  <c r="C1554" i="2" s="1"/>
  <c r="S1555" i="2" s="1"/>
  <c r="B1552" i="2"/>
  <c r="C1552" i="2" s="1"/>
  <c r="T1553" i="2" s="1"/>
  <c r="B1550" i="2"/>
  <c r="C1550" i="2" s="1"/>
  <c r="B1548" i="2"/>
  <c r="B502" i="2"/>
  <c r="C502" i="2" s="1"/>
  <c r="B500" i="2"/>
  <c r="C500" i="2" s="1"/>
  <c r="S501" i="2" s="1"/>
  <c r="B498" i="2"/>
  <c r="C498" i="2" s="1"/>
  <c r="B496" i="2"/>
  <c r="B494" i="2"/>
  <c r="C494" i="2" s="1"/>
  <c r="B492" i="2"/>
  <c r="C492" i="2" s="1"/>
  <c r="B490" i="2"/>
  <c r="B488" i="2"/>
  <c r="B484" i="2"/>
  <c r="B482" i="2"/>
  <c r="B480" i="2"/>
  <c r="B478" i="2"/>
  <c r="B476" i="2"/>
  <c r="B474" i="2"/>
  <c r="B466" i="2"/>
  <c r="B464" i="2"/>
  <c r="B462" i="2"/>
  <c r="B460" i="2"/>
  <c r="B458" i="2"/>
  <c r="B456" i="2"/>
  <c r="B454" i="2"/>
  <c r="B452" i="2"/>
  <c r="B470" i="2"/>
  <c r="B468" i="2"/>
  <c r="B448" i="2"/>
  <c r="B446" i="2"/>
  <c r="B428" i="2"/>
  <c r="B426" i="2"/>
  <c r="B444" i="2"/>
  <c r="B442" i="2"/>
  <c r="B438" i="2"/>
  <c r="B436" i="2"/>
  <c r="B408" i="2"/>
  <c r="B406" i="2"/>
  <c r="B420" i="2"/>
  <c r="B418" i="2"/>
  <c r="B380" i="2"/>
  <c r="B378" i="2"/>
  <c r="B376" i="2"/>
  <c r="B374" i="2"/>
  <c r="C414" i="2"/>
  <c r="B384" i="2"/>
  <c r="B382" i="2"/>
  <c r="B412" i="2"/>
  <c r="B410" i="2"/>
  <c r="B366" i="2"/>
  <c r="B364" i="2"/>
  <c r="B358" i="2"/>
  <c r="B356" i="2"/>
  <c r="B362" i="2"/>
  <c r="B360" i="2"/>
  <c r="B354" i="2"/>
  <c r="B352" i="2"/>
  <c r="B402" i="2"/>
  <c r="B400" i="2"/>
  <c r="B338" i="2"/>
  <c r="B336" i="2"/>
  <c r="B334" i="2"/>
  <c r="B332" i="2"/>
  <c r="B330" i="2"/>
  <c r="B328" i="2"/>
  <c r="B326" i="2"/>
  <c r="B324" i="2"/>
  <c r="B310" i="2"/>
  <c r="B308" i="2"/>
  <c r="C386" i="2"/>
  <c r="B344" i="2"/>
  <c r="B342" i="2"/>
  <c r="B296" i="2"/>
  <c r="B294" i="2"/>
  <c r="B318" i="2"/>
  <c r="B316" i="2"/>
  <c r="B350" i="2"/>
  <c r="B348" i="2"/>
  <c r="B314" i="2"/>
  <c r="B312" i="2"/>
  <c r="C290" i="2"/>
  <c r="B304" i="2"/>
  <c r="B302" i="2"/>
  <c r="C496" i="2" l="1"/>
  <c r="C1596" i="2"/>
  <c r="AB1595" i="2"/>
  <c r="Q1595" i="2"/>
  <c r="E1595" i="2"/>
  <c r="F1595" i="2"/>
  <c r="R1595" i="2"/>
  <c r="X1581" i="2"/>
  <c r="AB1581" i="2"/>
  <c r="W1581" i="2"/>
  <c r="P1581" i="2"/>
  <c r="N1581" i="2"/>
  <c r="K1581" i="2"/>
  <c r="G1581" i="2"/>
  <c r="D1581" i="2"/>
  <c r="V1581" i="2"/>
  <c r="Y1581" i="2"/>
  <c r="S1581" i="2"/>
  <c r="M1581" i="2"/>
  <c r="J1581" i="2"/>
  <c r="AB1579" i="2"/>
  <c r="Y1579" i="2"/>
  <c r="P1579" i="2"/>
  <c r="O1579" i="2"/>
  <c r="AA1579" i="2"/>
  <c r="AB1569" i="2"/>
  <c r="AA1569" i="2"/>
  <c r="S1569" i="2"/>
  <c r="W1551" i="2"/>
  <c r="V1551" i="2"/>
  <c r="U1551" i="2"/>
  <c r="J1551" i="2"/>
  <c r="Y1551" i="2"/>
  <c r="X1551" i="2"/>
  <c r="M1551" i="2"/>
  <c r="L1551" i="2"/>
  <c r="I1551" i="2"/>
  <c r="Q1577" i="2"/>
  <c r="G1577" i="2"/>
  <c r="F1577" i="2"/>
  <c r="D1577" i="2"/>
  <c r="R1577" i="2"/>
  <c r="P1577" i="2"/>
  <c r="AB1577" i="2"/>
  <c r="S1577" i="2"/>
  <c r="W1559" i="2"/>
  <c r="X1559" i="2"/>
  <c r="V1559" i="2"/>
  <c r="U1559" i="2"/>
  <c r="M1559" i="2"/>
  <c r="L1559" i="2"/>
  <c r="J1559" i="2"/>
  <c r="I1559" i="2"/>
  <c r="Y1559" i="2"/>
  <c r="AB1617" i="2"/>
  <c r="R1617" i="2"/>
  <c r="Q1617" i="2"/>
  <c r="F1617" i="2"/>
  <c r="E1617" i="2"/>
  <c r="O1571" i="2"/>
  <c r="AB1571" i="2"/>
  <c r="AA1571" i="2"/>
  <c r="W1573" i="2"/>
  <c r="Y1573" i="2"/>
  <c r="X1573" i="2"/>
  <c r="J1573" i="2"/>
  <c r="I1573" i="2"/>
  <c r="V1573" i="2"/>
  <c r="U1573" i="2"/>
  <c r="R1573" i="2"/>
  <c r="M1573" i="2"/>
  <c r="L1573" i="2"/>
  <c r="T1575" i="2"/>
  <c r="F1575" i="2"/>
  <c r="V1575" i="2"/>
  <c r="G1575" i="2"/>
  <c r="U1575" i="2"/>
  <c r="S1575" i="2"/>
  <c r="R1575" i="2"/>
  <c r="I1575" i="2"/>
  <c r="J1575" i="2"/>
  <c r="G1553" i="2"/>
  <c r="I1553" i="2"/>
  <c r="F1553" i="2"/>
  <c r="L1553" i="2"/>
  <c r="B1624" i="2"/>
  <c r="S1553" i="2"/>
  <c r="C1608" i="2"/>
  <c r="J1553" i="2"/>
  <c r="U1553" i="2"/>
  <c r="H1593" i="2"/>
  <c r="V1553" i="2"/>
  <c r="S1593" i="2"/>
  <c r="R1553" i="2"/>
  <c r="B1560" i="2"/>
  <c r="C1548" i="2"/>
  <c r="X1553" i="2"/>
  <c r="Z1581" i="2"/>
  <c r="Y1611" i="2"/>
  <c r="M1611" i="2"/>
  <c r="X1611" i="2"/>
  <c r="L1611" i="2"/>
  <c r="W1611" i="2"/>
  <c r="K1611" i="2"/>
  <c r="V1611" i="2"/>
  <c r="J1611" i="2"/>
  <c r="U1611" i="2"/>
  <c r="I1611" i="2"/>
  <c r="T1611" i="2"/>
  <c r="H1611" i="2"/>
  <c r="S1611" i="2"/>
  <c r="G1611" i="2"/>
  <c r="R1611" i="2"/>
  <c r="F1611" i="2"/>
  <c r="Q1611" i="2"/>
  <c r="E1611" i="2"/>
  <c r="AB1611" i="2"/>
  <c r="P1611" i="2"/>
  <c r="D1611" i="2"/>
  <c r="AA1611" i="2"/>
  <c r="Z1611" i="2"/>
  <c r="O1611" i="2"/>
  <c r="N1611" i="2"/>
  <c r="G1585" i="2"/>
  <c r="S1585" i="2"/>
  <c r="L1605" i="2"/>
  <c r="S1615" i="2"/>
  <c r="G1615" i="2"/>
  <c r="R1615" i="2"/>
  <c r="F1615" i="2"/>
  <c r="Q1615" i="2"/>
  <c r="E1615" i="2"/>
  <c r="AB1615" i="2"/>
  <c r="P1615" i="2"/>
  <c r="D1615" i="2"/>
  <c r="AA1615" i="2"/>
  <c r="O1615" i="2"/>
  <c r="Z1615" i="2"/>
  <c r="N1615" i="2"/>
  <c r="Y1615" i="2"/>
  <c r="M1615" i="2"/>
  <c r="X1615" i="2"/>
  <c r="L1615" i="2"/>
  <c r="W1615" i="2"/>
  <c r="K1615" i="2"/>
  <c r="V1615" i="2"/>
  <c r="J1615" i="2"/>
  <c r="U1615" i="2"/>
  <c r="I1615" i="2"/>
  <c r="V1621" i="2"/>
  <c r="J1621" i="2"/>
  <c r="U1621" i="2"/>
  <c r="I1621" i="2"/>
  <c r="T1621" i="2"/>
  <c r="H1621" i="2"/>
  <c r="S1621" i="2"/>
  <c r="G1621" i="2"/>
  <c r="R1621" i="2"/>
  <c r="F1621" i="2"/>
  <c r="Q1621" i="2"/>
  <c r="E1621" i="2"/>
  <c r="AB1621" i="2"/>
  <c r="P1621" i="2"/>
  <c r="D1621" i="2"/>
  <c r="AA1621" i="2"/>
  <c r="O1621" i="2"/>
  <c r="Z1621" i="2"/>
  <c r="N1621" i="2"/>
  <c r="Y1621" i="2"/>
  <c r="M1621" i="2"/>
  <c r="X1621" i="2"/>
  <c r="L1621" i="2"/>
  <c r="X1589" i="2"/>
  <c r="L1589" i="2"/>
  <c r="W1589" i="2"/>
  <c r="K1589" i="2"/>
  <c r="V1589" i="2"/>
  <c r="J1589" i="2"/>
  <c r="U1589" i="2"/>
  <c r="I1589" i="2"/>
  <c r="T1589" i="2"/>
  <c r="H1589" i="2"/>
  <c r="S1589" i="2"/>
  <c r="G1589" i="2"/>
  <c r="R1589" i="2"/>
  <c r="F1589" i="2"/>
  <c r="Q1589" i="2"/>
  <c r="E1589" i="2"/>
  <c r="AB1589" i="2"/>
  <c r="P1589" i="2"/>
  <c r="D1589" i="2"/>
  <c r="AA1589" i="2"/>
  <c r="O1589" i="2"/>
  <c r="M1589" i="2"/>
  <c r="Z1619" i="2"/>
  <c r="T1585" i="2"/>
  <c r="U1591" i="2"/>
  <c r="I1591" i="2"/>
  <c r="T1591" i="2"/>
  <c r="H1591" i="2"/>
  <c r="S1591" i="2"/>
  <c r="G1591" i="2"/>
  <c r="R1591" i="2"/>
  <c r="F1591" i="2"/>
  <c r="Q1591" i="2"/>
  <c r="E1591" i="2"/>
  <c r="AB1591" i="2"/>
  <c r="P1591" i="2"/>
  <c r="D1591" i="2"/>
  <c r="AA1591" i="2"/>
  <c r="O1591" i="2"/>
  <c r="Z1591" i="2"/>
  <c r="N1591" i="2"/>
  <c r="Y1591" i="2"/>
  <c r="M1591" i="2"/>
  <c r="X1591" i="2"/>
  <c r="L1591" i="2"/>
  <c r="W1605" i="2"/>
  <c r="H1615" i="2"/>
  <c r="K1621" i="2"/>
  <c r="F1555" i="2"/>
  <c r="AA1587" i="2"/>
  <c r="O1587" i="2"/>
  <c r="Z1587" i="2"/>
  <c r="N1587" i="2"/>
  <c r="Y1587" i="2"/>
  <c r="M1587" i="2"/>
  <c r="X1587" i="2"/>
  <c r="L1587" i="2"/>
  <c r="W1587" i="2"/>
  <c r="K1587" i="2"/>
  <c r="V1587" i="2"/>
  <c r="J1587" i="2"/>
  <c r="U1587" i="2"/>
  <c r="I1587" i="2"/>
  <c r="T1587" i="2"/>
  <c r="H1587" i="2"/>
  <c r="S1587" i="2"/>
  <c r="G1587" i="2"/>
  <c r="R1587" i="2"/>
  <c r="F1587" i="2"/>
  <c r="J1591" i="2"/>
  <c r="T1615" i="2"/>
  <c r="W1621" i="2"/>
  <c r="Z1557" i="2"/>
  <c r="N1557" i="2"/>
  <c r="W1557" i="2"/>
  <c r="K1557" i="2"/>
  <c r="U1557" i="2"/>
  <c r="V1557" i="2"/>
  <c r="J1557" i="2"/>
  <c r="I1557" i="2"/>
  <c r="T1557" i="2"/>
  <c r="H1557" i="2"/>
  <c r="F1557" i="2"/>
  <c r="S1557" i="2"/>
  <c r="G1557" i="2"/>
  <c r="R1557" i="2"/>
  <c r="Q1557" i="2"/>
  <c r="E1557" i="2"/>
  <c r="V1613" i="2"/>
  <c r="J1613" i="2"/>
  <c r="U1613" i="2"/>
  <c r="I1613" i="2"/>
  <c r="T1613" i="2"/>
  <c r="H1613" i="2"/>
  <c r="S1613" i="2"/>
  <c r="G1613" i="2"/>
  <c r="R1613" i="2"/>
  <c r="F1613" i="2"/>
  <c r="Q1613" i="2"/>
  <c r="E1613" i="2"/>
  <c r="AB1613" i="2"/>
  <c r="P1613" i="2"/>
  <c r="D1613" i="2"/>
  <c r="AA1613" i="2"/>
  <c r="O1613" i="2"/>
  <c r="Z1613" i="2"/>
  <c r="N1613" i="2"/>
  <c r="Y1613" i="2"/>
  <c r="M1613" i="2"/>
  <c r="X1613" i="2"/>
  <c r="K1613" i="2"/>
  <c r="L1557" i="2"/>
  <c r="N1589" i="2"/>
  <c r="W1613" i="2"/>
  <c r="O1555" i="2"/>
  <c r="D1569" i="2"/>
  <c r="R1555" i="2"/>
  <c r="F1569" i="2"/>
  <c r="U1583" i="2"/>
  <c r="I1583" i="2"/>
  <c r="T1583" i="2"/>
  <c r="S1583" i="2"/>
  <c r="G1583" i="2"/>
  <c r="R1583" i="2"/>
  <c r="F1583" i="2"/>
  <c r="Q1583" i="2"/>
  <c r="E1583" i="2"/>
  <c r="AB1583" i="2"/>
  <c r="P1583" i="2"/>
  <c r="D1583" i="2"/>
  <c r="AA1583" i="2"/>
  <c r="O1583" i="2"/>
  <c r="Z1583" i="2"/>
  <c r="N1583" i="2"/>
  <c r="Y1583" i="2"/>
  <c r="M1583" i="2"/>
  <c r="X1583" i="2"/>
  <c r="L1583" i="2"/>
  <c r="D1587" i="2"/>
  <c r="K1591" i="2"/>
  <c r="S1607" i="2"/>
  <c r="G1607" i="2"/>
  <c r="R1607" i="2"/>
  <c r="F1607" i="2"/>
  <c r="Q1607" i="2"/>
  <c r="E1607" i="2"/>
  <c r="AB1607" i="2"/>
  <c r="P1607" i="2"/>
  <c r="D1607" i="2"/>
  <c r="AA1607" i="2"/>
  <c r="O1607" i="2"/>
  <c r="Z1607" i="2"/>
  <c r="N1607" i="2"/>
  <c r="Y1607" i="2"/>
  <c r="M1607" i="2"/>
  <c r="X1607" i="2"/>
  <c r="L1607" i="2"/>
  <c r="W1607" i="2"/>
  <c r="K1607" i="2"/>
  <c r="V1607" i="2"/>
  <c r="J1607" i="2"/>
  <c r="S1623" i="2"/>
  <c r="G1623" i="2"/>
  <c r="R1623" i="2"/>
  <c r="F1623" i="2"/>
  <c r="Q1623" i="2"/>
  <c r="E1623" i="2"/>
  <c r="AB1623" i="2"/>
  <c r="P1623" i="2"/>
  <c r="D1623" i="2"/>
  <c r="AA1623" i="2"/>
  <c r="O1623" i="2"/>
  <c r="Z1623" i="2"/>
  <c r="N1623" i="2"/>
  <c r="Y1623" i="2"/>
  <c r="M1623" i="2"/>
  <c r="X1623" i="2"/>
  <c r="L1623" i="2"/>
  <c r="W1623" i="2"/>
  <c r="K1623" i="2"/>
  <c r="V1623" i="2"/>
  <c r="J1623" i="2"/>
  <c r="U1623" i="2"/>
  <c r="I1623" i="2"/>
  <c r="M1557" i="2"/>
  <c r="G1555" i="2"/>
  <c r="X1557" i="2"/>
  <c r="L1571" i="2"/>
  <c r="AA1557" i="2"/>
  <c r="G1569" i="2"/>
  <c r="H1583" i="2"/>
  <c r="E1587" i="2"/>
  <c r="V1591" i="2"/>
  <c r="B1596" i="2"/>
  <c r="H1607" i="2"/>
  <c r="H1623" i="2"/>
  <c r="Q1555" i="2"/>
  <c r="E1555" i="2"/>
  <c r="Z1555" i="2"/>
  <c r="N1555" i="2"/>
  <c r="L1555" i="2"/>
  <c r="Y1555" i="2"/>
  <c r="M1555" i="2"/>
  <c r="X1555" i="2"/>
  <c r="W1555" i="2"/>
  <c r="K1555" i="2"/>
  <c r="U1555" i="2"/>
  <c r="I1555" i="2"/>
  <c r="V1555" i="2"/>
  <c r="J1555" i="2"/>
  <c r="T1555" i="2"/>
  <c r="H1555" i="2"/>
  <c r="D1555" i="2"/>
  <c r="V1605" i="2"/>
  <c r="J1605" i="2"/>
  <c r="U1605" i="2"/>
  <c r="I1605" i="2"/>
  <c r="T1605" i="2"/>
  <c r="H1605" i="2"/>
  <c r="S1605" i="2"/>
  <c r="G1605" i="2"/>
  <c r="R1605" i="2"/>
  <c r="F1605" i="2"/>
  <c r="Q1605" i="2"/>
  <c r="E1605" i="2"/>
  <c r="AB1605" i="2"/>
  <c r="P1605" i="2"/>
  <c r="D1605" i="2"/>
  <c r="AA1605" i="2"/>
  <c r="O1605" i="2"/>
  <c r="Z1605" i="2"/>
  <c r="N1605" i="2"/>
  <c r="Y1605" i="2"/>
  <c r="M1605" i="2"/>
  <c r="Y1589" i="2"/>
  <c r="Z1571" i="2"/>
  <c r="N1571" i="2"/>
  <c r="W1571" i="2"/>
  <c r="K1571" i="2"/>
  <c r="I1571" i="2"/>
  <c r="V1571" i="2"/>
  <c r="J1571" i="2"/>
  <c r="U1571" i="2"/>
  <c r="T1571" i="2"/>
  <c r="H1571" i="2"/>
  <c r="S1571" i="2"/>
  <c r="G1571" i="2"/>
  <c r="R1571" i="2"/>
  <c r="F1571" i="2"/>
  <c r="Q1571" i="2"/>
  <c r="E1571" i="2"/>
  <c r="P1555" i="2"/>
  <c r="M1571" i="2"/>
  <c r="O1569" i="2"/>
  <c r="Z1579" i="2"/>
  <c r="N1579" i="2"/>
  <c r="X1579" i="2"/>
  <c r="L1579" i="2"/>
  <c r="W1579" i="2"/>
  <c r="K1579" i="2"/>
  <c r="V1579" i="2"/>
  <c r="J1579" i="2"/>
  <c r="U1579" i="2"/>
  <c r="I1579" i="2"/>
  <c r="T1579" i="2"/>
  <c r="H1579" i="2"/>
  <c r="S1579" i="2"/>
  <c r="G1579" i="2"/>
  <c r="R1579" i="2"/>
  <c r="F1579" i="2"/>
  <c r="Q1579" i="2"/>
  <c r="E1579" i="2"/>
  <c r="J1583" i="2"/>
  <c r="P1587" i="2"/>
  <c r="W1591" i="2"/>
  <c r="I1607" i="2"/>
  <c r="T1623" i="2"/>
  <c r="D1557" i="2"/>
  <c r="R1585" i="2"/>
  <c r="F1585" i="2"/>
  <c r="Q1585" i="2"/>
  <c r="E1585" i="2"/>
  <c r="AB1585" i="2"/>
  <c r="P1585" i="2"/>
  <c r="D1585" i="2"/>
  <c r="AA1585" i="2"/>
  <c r="O1585" i="2"/>
  <c r="Z1585" i="2"/>
  <c r="N1585" i="2"/>
  <c r="Y1585" i="2"/>
  <c r="M1585" i="2"/>
  <c r="X1585" i="2"/>
  <c r="L1585" i="2"/>
  <c r="W1585" i="2"/>
  <c r="K1585" i="2"/>
  <c r="V1585" i="2"/>
  <c r="J1585" i="2"/>
  <c r="U1585" i="2"/>
  <c r="I1585" i="2"/>
  <c r="O1557" i="2"/>
  <c r="Q1569" i="2"/>
  <c r="E1569" i="2"/>
  <c r="Z1569" i="2"/>
  <c r="N1569" i="2"/>
  <c r="Y1569" i="2"/>
  <c r="M1569" i="2"/>
  <c r="X1569" i="2"/>
  <c r="L1569" i="2"/>
  <c r="W1569" i="2"/>
  <c r="K1569" i="2"/>
  <c r="V1569" i="2"/>
  <c r="J1569" i="2"/>
  <c r="U1569" i="2"/>
  <c r="I1569" i="2"/>
  <c r="T1569" i="2"/>
  <c r="H1569" i="2"/>
  <c r="K1583" i="2"/>
  <c r="Q1587" i="2"/>
  <c r="R1593" i="2"/>
  <c r="F1593" i="2"/>
  <c r="Q1593" i="2"/>
  <c r="E1593" i="2"/>
  <c r="AB1593" i="2"/>
  <c r="P1593" i="2"/>
  <c r="D1593" i="2"/>
  <c r="AA1593" i="2"/>
  <c r="O1593" i="2"/>
  <c r="Z1593" i="2"/>
  <c r="N1593" i="2"/>
  <c r="Y1593" i="2"/>
  <c r="M1593" i="2"/>
  <c r="X1593" i="2"/>
  <c r="L1593" i="2"/>
  <c r="W1593" i="2"/>
  <c r="K1593" i="2"/>
  <c r="V1593" i="2"/>
  <c r="J1593" i="2"/>
  <c r="U1593" i="2"/>
  <c r="I1593" i="2"/>
  <c r="T1607" i="2"/>
  <c r="Y1619" i="2"/>
  <c r="M1619" i="2"/>
  <c r="X1619" i="2"/>
  <c r="L1619" i="2"/>
  <c r="W1619" i="2"/>
  <c r="K1619" i="2"/>
  <c r="V1619" i="2"/>
  <c r="J1619" i="2"/>
  <c r="U1619" i="2"/>
  <c r="I1619" i="2"/>
  <c r="T1619" i="2"/>
  <c r="H1619" i="2"/>
  <c r="S1619" i="2"/>
  <c r="G1619" i="2"/>
  <c r="R1619" i="2"/>
  <c r="F1619" i="2"/>
  <c r="Q1619" i="2"/>
  <c r="E1619" i="2"/>
  <c r="AB1619" i="2"/>
  <c r="P1619" i="2"/>
  <c r="D1619" i="2"/>
  <c r="AA1619" i="2"/>
  <c r="O1619" i="2"/>
  <c r="L1613" i="2"/>
  <c r="K1605" i="2"/>
  <c r="P1557" i="2"/>
  <c r="D1571" i="2"/>
  <c r="Y1557" i="2"/>
  <c r="AA1555" i="2"/>
  <c r="AB1557" i="2"/>
  <c r="P1571" i="2"/>
  <c r="AB1555" i="2"/>
  <c r="P1569" i="2"/>
  <c r="X1571" i="2"/>
  <c r="D1579" i="2"/>
  <c r="R1569" i="2"/>
  <c r="Y1571" i="2"/>
  <c r="M1579" i="2"/>
  <c r="V1583" i="2"/>
  <c r="AB1587" i="2"/>
  <c r="G1593" i="2"/>
  <c r="U1607" i="2"/>
  <c r="N1551" i="2"/>
  <c r="Z1551" i="2"/>
  <c r="K1553" i="2"/>
  <c r="W1553" i="2"/>
  <c r="N1559" i="2"/>
  <c r="Z1559" i="2"/>
  <c r="N1573" i="2"/>
  <c r="Z1573" i="2"/>
  <c r="K1575" i="2"/>
  <c r="W1575" i="2"/>
  <c r="H1577" i="2"/>
  <c r="T1577" i="2"/>
  <c r="O1581" i="2"/>
  <c r="AA1581" i="2"/>
  <c r="G1595" i="2"/>
  <c r="S1595" i="2"/>
  <c r="G1617" i="2"/>
  <c r="S1617" i="2"/>
  <c r="O1559" i="2"/>
  <c r="AA1559" i="2"/>
  <c r="O1573" i="2"/>
  <c r="AA1573" i="2"/>
  <c r="L1575" i="2"/>
  <c r="X1575" i="2"/>
  <c r="I1577" i="2"/>
  <c r="U1577" i="2"/>
  <c r="H1595" i="2"/>
  <c r="T1595" i="2"/>
  <c r="H1617" i="2"/>
  <c r="T1617" i="2"/>
  <c r="AA1551" i="2"/>
  <c r="D1551" i="2"/>
  <c r="P1551" i="2"/>
  <c r="AB1551" i="2"/>
  <c r="M1553" i="2"/>
  <c r="Y1553" i="2"/>
  <c r="D1559" i="2"/>
  <c r="P1559" i="2"/>
  <c r="AB1559" i="2"/>
  <c r="D1573" i="2"/>
  <c r="P1573" i="2"/>
  <c r="AB1573" i="2"/>
  <c r="M1575" i="2"/>
  <c r="Y1575" i="2"/>
  <c r="J1577" i="2"/>
  <c r="V1577" i="2"/>
  <c r="E1581" i="2"/>
  <c r="Q1581" i="2"/>
  <c r="I1595" i="2"/>
  <c r="U1595" i="2"/>
  <c r="I1617" i="2"/>
  <c r="U1617" i="2"/>
  <c r="O1551" i="2"/>
  <c r="E1551" i="2"/>
  <c r="Q1551" i="2"/>
  <c r="N1553" i="2"/>
  <c r="Z1553" i="2"/>
  <c r="E1559" i="2"/>
  <c r="Q1559" i="2"/>
  <c r="E1573" i="2"/>
  <c r="Q1573" i="2"/>
  <c r="N1575" i="2"/>
  <c r="Z1575" i="2"/>
  <c r="K1577" i="2"/>
  <c r="W1577" i="2"/>
  <c r="F1581" i="2"/>
  <c r="R1581" i="2"/>
  <c r="J1595" i="2"/>
  <c r="V1595" i="2"/>
  <c r="J1617" i="2"/>
  <c r="V1617" i="2"/>
  <c r="F1551" i="2"/>
  <c r="O1553" i="2"/>
  <c r="F1573" i="2"/>
  <c r="O1575" i="2"/>
  <c r="AA1575" i="2"/>
  <c r="L1577" i="2"/>
  <c r="X1577" i="2"/>
  <c r="K1595" i="2"/>
  <c r="W1595" i="2"/>
  <c r="K1617" i="2"/>
  <c r="W1617" i="2"/>
  <c r="R1551" i="2"/>
  <c r="AA1553" i="2"/>
  <c r="F1559" i="2"/>
  <c r="G1551" i="2"/>
  <c r="S1551" i="2"/>
  <c r="D1553" i="2"/>
  <c r="P1553" i="2"/>
  <c r="AB1553" i="2"/>
  <c r="G1559" i="2"/>
  <c r="S1559" i="2"/>
  <c r="G1573" i="2"/>
  <c r="S1573" i="2"/>
  <c r="D1575" i="2"/>
  <c r="P1575" i="2"/>
  <c r="AB1575" i="2"/>
  <c r="M1577" i="2"/>
  <c r="Y1577" i="2"/>
  <c r="H1581" i="2"/>
  <c r="T1581" i="2"/>
  <c r="L1595" i="2"/>
  <c r="X1595" i="2"/>
  <c r="L1617" i="2"/>
  <c r="X1617" i="2"/>
  <c r="R1559" i="2"/>
  <c r="H1551" i="2"/>
  <c r="T1551" i="2"/>
  <c r="E1553" i="2"/>
  <c r="Q1553" i="2"/>
  <c r="H1559" i="2"/>
  <c r="T1559" i="2"/>
  <c r="H1573" i="2"/>
  <c r="T1573" i="2"/>
  <c r="E1575" i="2"/>
  <c r="Q1575" i="2"/>
  <c r="N1577" i="2"/>
  <c r="Z1577" i="2"/>
  <c r="I1581" i="2"/>
  <c r="U1581" i="2"/>
  <c r="M1595" i="2"/>
  <c r="Y1595" i="2"/>
  <c r="M1617" i="2"/>
  <c r="Y1617" i="2"/>
  <c r="O1577" i="2"/>
  <c r="AA1577" i="2"/>
  <c r="N1595" i="2"/>
  <c r="Z1595" i="2"/>
  <c r="N1617" i="2"/>
  <c r="Z1617" i="2"/>
  <c r="O1595" i="2"/>
  <c r="AA1595" i="2"/>
  <c r="O1617" i="2"/>
  <c r="AA1617" i="2"/>
  <c r="K1551" i="2"/>
  <c r="H1553" i="2"/>
  <c r="K1559" i="2"/>
  <c r="K1573" i="2"/>
  <c r="H1575" i="2"/>
  <c r="E1577" i="2"/>
  <c r="L1581" i="2"/>
  <c r="D1595" i="2"/>
  <c r="P1595" i="2"/>
  <c r="D1617" i="2"/>
  <c r="P1617" i="2"/>
  <c r="AB503" i="2"/>
  <c r="P503" i="2"/>
  <c r="D503" i="2"/>
  <c r="AA503" i="2"/>
  <c r="O503" i="2"/>
  <c r="N503" i="2"/>
  <c r="Y503" i="2"/>
  <c r="M503" i="2"/>
  <c r="X503" i="2"/>
  <c r="L503" i="2"/>
  <c r="Z503" i="2"/>
  <c r="W503" i="2"/>
  <c r="K503" i="2"/>
  <c r="F503" i="2"/>
  <c r="V503" i="2"/>
  <c r="J503" i="2"/>
  <c r="R503" i="2"/>
  <c r="E503" i="2"/>
  <c r="U503" i="2"/>
  <c r="I503" i="2"/>
  <c r="T503" i="2"/>
  <c r="H503" i="2"/>
  <c r="Q503" i="2"/>
  <c r="S503" i="2"/>
  <c r="G503" i="2"/>
  <c r="T501" i="2"/>
  <c r="U501" i="2"/>
  <c r="J501" i="2"/>
  <c r="V501" i="2"/>
  <c r="K501" i="2"/>
  <c r="W501" i="2"/>
  <c r="L501" i="2"/>
  <c r="X501" i="2"/>
  <c r="H501" i="2"/>
  <c r="M501" i="2"/>
  <c r="Y501" i="2"/>
  <c r="I501" i="2"/>
  <c r="N501" i="2"/>
  <c r="Z501" i="2"/>
  <c r="AA501" i="2"/>
  <c r="O501" i="2"/>
  <c r="D501" i="2"/>
  <c r="P501" i="2"/>
  <c r="AB501" i="2"/>
  <c r="E501" i="2"/>
  <c r="Q501" i="2"/>
  <c r="F501" i="2"/>
  <c r="R501" i="2"/>
  <c r="G501" i="2"/>
  <c r="O497" i="2"/>
  <c r="Z497" i="2"/>
  <c r="N497" i="2"/>
  <c r="M497" i="2"/>
  <c r="Y497" i="2"/>
  <c r="X497" i="2"/>
  <c r="L497" i="2"/>
  <c r="H497" i="2"/>
  <c r="W497" i="2"/>
  <c r="K497" i="2"/>
  <c r="I497" i="2"/>
  <c r="V497" i="2"/>
  <c r="J497" i="2"/>
  <c r="U497" i="2"/>
  <c r="AB499" i="2"/>
  <c r="P499" i="2"/>
  <c r="D499" i="2"/>
  <c r="N499" i="2"/>
  <c r="AA499" i="2"/>
  <c r="O499" i="2"/>
  <c r="Z499" i="2"/>
  <c r="Y499" i="2"/>
  <c r="M499" i="2"/>
  <c r="X499" i="2"/>
  <c r="L499" i="2"/>
  <c r="W499" i="2"/>
  <c r="K499" i="2"/>
  <c r="F499" i="2"/>
  <c r="V499" i="2"/>
  <c r="J499" i="2"/>
  <c r="U499" i="2"/>
  <c r="I499" i="2"/>
  <c r="R499" i="2"/>
  <c r="T499" i="2"/>
  <c r="H499" i="2"/>
  <c r="E499" i="2"/>
  <c r="S499" i="2"/>
  <c r="G499" i="2"/>
  <c r="Q499" i="2"/>
  <c r="AB493" i="2"/>
  <c r="H493" i="2"/>
  <c r="G493" i="2"/>
  <c r="I493" i="2"/>
  <c r="F493" i="2"/>
  <c r="U493" i="2"/>
  <c r="Y493" i="2"/>
  <c r="E493" i="2"/>
  <c r="M493" i="2"/>
  <c r="V493" i="2"/>
  <c r="T493" i="2"/>
  <c r="R493" i="2"/>
  <c r="J493" i="2"/>
  <c r="Q493" i="2"/>
  <c r="AB495" i="2"/>
  <c r="P495" i="2"/>
  <c r="D495" i="2"/>
  <c r="AA495" i="2"/>
  <c r="O495" i="2"/>
  <c r="K495" i="2"/>
  <c r="G495" i="2"/>
  <c r="F495" i="2"/>
  <c r="E495" i="2"/>
  <c r="Z495" i="2"/>
  <c r="N495" i="2"/>
  <c r="Y495" i="2"/>
  <c r="M495" i="2"/>
  <c r="Q495" i="2"/>
  <c r="X495" i="2"/>
  <c r="L495" i="2"/>
  <c r="W495" i="2"/>
  <c r="R495" i="2"/>
  <c r="V495" i="2"/>
  <c r="J495" i="2"/>
  <c r="S495" i="2"/>
  <c r="U495" i="2"/>
  <c r="I495" i="2"/>
  <c r="T495" i="2"/>
  <c r="H495" i="2"/>
  <c r="S493" i="2"/>
  <c r="K493" i="2"/>
  <c r="W493" i="2"/>
  <c r="L493" i="2"/>
  <c r="X493" i="2"/>
  <c r="N493" i="2"/>
  <c r="Z493" i="2"/>
  <c r="O493" i="2"/>
  <c r="AA493" i="2"/>
  <c r="D493" i="2"/>
  <c r="P493" i="2"/>
  <c r="B270" i="2"/>
  <c r="B268" i="2"/>
  <c r="B266" i="2"/>
  <c r="B264" i="2"/>
  <c r="B262" i="2"/>
  <c r="B260" i="2"/>
  <c r="B280" i="2"/>
  <c r="B278" i="2"/>
  <c r="C284" i="2"/>
  <c r="C256" i="2"/>
  <c r="B254" i="2"/>
  <c r="B252" i="2"/>
  <c r="B250" i="2"/>
  <c r="B248" i="2"/>
  <c r="C857" i="2"/>
  <c r="G497" i="2" l="1"/>
  <c r="T497" i="2"/>
  <c r="R497" i="2"/>
  <c r="F497" i="2"/>
  <c r="Q497" i="2"/>
  <c r="E497" i="2"/>
  <c r="AB497" i="2"/>
  <c r="P497" i="2"/>
  <c r="D497" i="2"/>
  <c r="AA497" i="2"/>
  <c r="S497" i="2"/>
  <c r="I1609" i="2"/>
  <c r="I1624" i="2" s="1"/>
  <c r="U1609" i="2"/>
  <c r="U1624" i="2" s="1"/>
  <c r="V1609" i="2"/>
  <c r="V1624" i="2" s="1"/>
  <c r="K1609" i="2"/>
  <c r="K1624" i="2" s="1"/>
  <c r="W1609" i="2"/>
  <c r="W1624" i="2" s="1"/>
  <c r="L1609" i="2"/>
  <c r="L1624" i="2" s="1"/>
  <c r="X1609" i="2"/>
  <c r="X1624" i="2" s="1"/>
  <c r="M1609" i="2"/>
  <c r="M1624" i="2" s="1"/>
  <c r="N1609" i="2"/>
  <c r="N1624" i="2" s="1"/>
  <c r="Z1609" i="2"/>
  <c r="Z1624" i="2" s="1"/>
  <c r="O1609" i="2"/>
  <c r="O1624" i="2" s="1"/>
  <c r="AA1609" i="2"/>
  <c r="AA1624" i="2" s="1"/>
  <c r="D1609" i="2"/>
  <c r="D1624" i="2" s="1"/>
  <c r="P1609" i="2"/>
  <c r="P1624" i="2" s="1"/>
  <c r="U1549" i="2"/>
  <c r="U1560" i="2" s="1"/>
  <c r="I1549" i="2"/>
  <c r="I1560" i="2" s="1"/>
  <c r="T1549" i="2"/>
  <c r="T1560" i="2" s="1"/>
  <c r="H1549" i="2"/>
  <c r="H1560" i="2" s="1"/>
  <c r="S1549" i="2"/>
  <c r="S1560" i="2" s="1"/>
  <c r="G1549" i="2"/>
  <c r="G1560" i="2" s="1"/>
  <c r="F1549" i="2"/>
  <c r="F1560" i="2" s="1"/>
  <c r="R1549" i="2"/>
  <c r="R1560" i="2" s="1"/>
  <c r="Q1549" i="2"/>
  <c r="Q1560" i="2" s="1"/>
  <c r="E1549" i="2"/>
  <c r="E1560" i="2" s="1"/>
  <c r="D1549" i="2"/>
  <c r="D1560" i="2" s="1"/>
  <c r="O1549" i="2"/>
  <c r="O1560" i="2" s="1"/>
  <c r="M1549" i="2"/>
  <c r="M1560" i="2" s="1"/>
  <c r="P1549" i="2"/>
  <c r="P1560" i="2" s="1"/>
  <c r="X1549" i="2"/>
  <c r="X1560" i="2" s="1"/>
  <c r="C1624" i="2"/>
  <c r="T1609" i="2"/>
  <c r="T1624" i="2" s="1"/>
  <c r="Z1549" i="2"/>
  <c r="Z1560" i="2" s="1"/>
  <c r="N1549" i="2"/>
  <c r="N1560" i="2" s="1"/>
  <c r="W1549" i="2"/>
  <c r="W1560" i="2" s="1"/>
  <c r="K1549" i="2"/>
  <c r="K1560" i="2" s="1"/>
  <c r="V1549" i="2"/>
  <c r="V1560" i="2" s="1"/>
  <c r="J1549" i="2"/>
  <c r="J1560" i="2" s="1"/>
  <c r="Y1549" i="2"/>
  <c r="Y1560" i="2" s="1"/>
  <c r="S1596" i="2"/>
  <c r="G1609" i="2"/>
  <c r="G1624" i="2" s="1"/>
  <c r="S1609" i="2"/>
  <c r="S1624" i="2" s="1"/>
  <c r="H1609" i="2"/>
  <c r="H1624" i="2" s="1"/>
  <c r="AA1596" i="2"/>
  <c r="AB1609" i="2"/>
  <c r="AB1624" i="2" s="1"/>
  <c r="R1609" i="2"/>
  <c r="R1624" i="2" s="1"/>
  <c r="Q1609" i="2"/>
  <c r="Q1624" i="2" s="1"/>
  <c r="E1609" i="2"/>
  <c r="E1624" i="2" s="1"/>
  <c r="F1609" i="2"/>
  <c r="F1624" i="2" s="1"/>
  <c r="AB1596" i="2"/>
  <c r="L1549" i="2"/>
  <c r="L1560" i="2" s="1"/>
  <c r="AA1549" i="2"/>
  <c r="AA1560" i="2" s="1"/>
  <c r="AB1549" i="2"/>
  <c r="AB1560" i="2" s="1"/>
  <c r="Y1609" i="2"/>
  <c r="Y1624" i="2" s="1"/>
  <c r="J1609" i="2"/>
  <c r="C1560" i="2"/>
  <c r="H1596" i="2"/>
  <c r="T1596" i="2"/>
  <c r="Y1596" i="2"/>
  <c r="E1596" i="2"/>
  <c r="U1596" i="2"/>
  <c r="I1596" i="2"/>
  <c r="Q1596" i="2"/>
  <c r="J1596" i="2"/>
  <c r="B504" i="2"/>
  <c r="P1596" i="2"/>
  <c r="N1596" i="2"/>
  <c r="V1596" i="2"/>
  <c r="F1596" i="2"/>
  <c r="K1596" i="2"/>
  <c r="W1596" i="2"/>
  <c r="G1596" i="2"/>
  <c r="D1596" i="2"/>
  <c r="X1596" i="2"/>
  <c r="M1596" i="2"/>
  <c r="Z1596" i="2"/>
  <c r="O1596" i="2"/>
  <c r="R1596" i="2"/>
  <c r="L1596" i="2"/>
  <c r="C1027" i="2"/>
  <c r="C1025" i="2"/>
  <c r="AB1026" i="2" s="1"/>
  <c r="C1023" i="2"/>
  <c r="C1021" i="2"/>
  <c r="C1019" i="2"/>
  <c r="AA1020" i="2" s="1"/>
  <c r="J1624" i="2" l="1"/>
  <c r="AB1028" i="2"/>
  <c r="P1028" i="2"/>
  <c r="D1028" i="2"/>
  <c r="AA1028" i="2"/>
  <c r="O1028" i="2"/>
  <c r="M1028" i="2"/>
  <c r="Z1028" i="2"/>
  <c r="N1028" i="2"/>
  <c r="Y1028" i="2"/>
  <c r="E1028" i="2"/>
  <c r="X1028" i="2"/>
  <c r="L1028" i="2"/>
  <c r="W1028" i="2"/>
  <c r="K1028" i="2"/>
  <c r="V1028" i="2"/>
  <c r="J1028" i="2"/>
  <c r="I1028" i="2"/>
  <c r="F1028" i="2"/>
  <c r="U1028" i="2"/>
  <c r="T1028" i="2"/>
  <c r="H1028" i="2"/>
  <c r="R1028" i="2"/>
  <c r="Q1028" i="2"/>
  <c r="S1028" i="2"/>
  <c r="G1028" i="2"/>
  <c r="T1026" i="2"/>
  <c r="J1026" i="2"/>
  <c r="V1026" i="2"/>
  <c r="Q1026" i="2"/>
  <c r="F1026" i="2"/>
  <c r="K1026" i="2"/>
  <c r="W1026" i="2"/>
  <c r="R1026" i="2"/>
  <c r="S1026" i="2"/>
  <c r="H1026" i="2"/>
  <c r="X1026" i="2"/>
  <c r="M1026" i="2"/>
  <c r="Y1026" i="2"/>
  <c r="E1026" i="2"/>
  <c r="G1026" i="2"/>
  <c r="U1026" i="2"/>
  <c r="L1026" i="2"/>
  <c r="N1026" i="2"/>
  <c r="Z1026" i="2"/>
  <c r="O1026" i="2"/>
  <c r="AA1026" i="2"/>
  <c r="I1026" i="2"/>
  <c r="D1026" i="2"/>
  <c r="P1026" i="2"/>
  <c r="AB1024" i="2"/>
  <c r="P1024" i="2"/>
  <c r="D1024" i="2"/>
  <c r="W1024" i="2"/>
  <c r="V1024" i="2"/>
  <c r="AA1024" i="2"/>
  <c r="O1024" i="2"/>
  <c r="I1024" i="2"/>
  <c r="H1024" i="2"/>
  <c r="G1024" i="2"/>
  <c r="R1024" i="2"/>
  <c r="F1024" i="2"/>
  <c r="Q1024" i="2"/>
  <c r="Z1024" i="2"/>
  <c r="N1024" i="2"/>
  <c r="K1024" i="2"/>
  <c r="J1024" i="2"/>
  <c r="Y1024" i="2"/>
  <c r="M1024" i="2"/>
  <c r="L1024" i="2"/>
  <c r="S1024" i="2"/>
  <c r="E1024" i="2"/>
  <c r="X1024" i="2"/>
  <c r="T1024" i="2"/>
  <c r="U1024" i="2"/>
  <c r="AB1022" i="2"/>
  <c r="P1022" i="2"/>
  <c r="D1022" i="2"/>
  <c r="AA1022" i="2"/>
  <c r="O1022" i="2"/>
  <c r="S1022" i="2"/>
  <c r="Q1022" i="2"/>
  <c r="Z1022" i="2"/>
  <c r="N1022" i="2"/>
  <c r="T1022" i="2"/>
  <c r="R1022" i="2"/>
  <c r="Y1022" i="2"/>
  <c r="M1022" i="2"/>
  <c r="K1022" i="2"/>
  <c r="H1022" i="2"/>
  <c r="X1022" i="2"/>
  <c r="L1022" i="2"/>
  <c r="W1022" i="2"/>
  <c r="F1022" i="2"/>
  <c r="E1022" i="2"/>
  <c r="V1022" i="2"/>
  <c r="J1022" i="2"/>
  <c r="U1022" i="2"/>
  <c r="I1022" i="2"/>
  <c r="G1022" i="2"/>
  <c r="D1020" i="2"/>
  <c r="P1020" i="2"/>
  <c r="E1020" i="2"/>
  <c r="R1020" i="2"/>
  <c r="G1020" i="2"/>
  <c r="S1020" i="2"/>
  <c r="H1020" i="2"/>
  <c r="I1020" i="2"/>
  <c r="V1020" i="2"/>
  <c r="W1020" i="2"/>
  <c r="L1020" i="2"/>
  <c r="X1020" i="2"/>
  <c r="M1020" i="2"/>
  <c r="Y1020" i="2"/>
  <c r="AB1020" i="2"/>
  <c r="Q1020" i="2"/>
  <c r="F1020" i="2"/>
  <c r="T1020" i="2"/>
  <c r="U1020" i="2"/>
  <c r="J1020" i="2"/>
  <c r="K1020" i="2"/>
  <c r="N1020" i="2"/>
  <c r="Z1020" i="2"/>
  <c r="O1020" i="2"/>
  <c r="B1473" i="2" l="1"/>
  <c r="B1471" i="2"/>
  <c r="B1467" i="2"/>
  <c r="B1465" i="2"/>
  <c r="B1463" i="2"/>
  <c r="B1461" i="2"/>
  <c r="B1453" i="2"/>
  <c r="B1451" i="2"/>
  <c r="B1502" i="2" l="1"/>
  <c r="C1210" i="2" l="1"/>
  <c r="B1200" i="2"/>
  <c r="B1198" i="2"/>
  <c r="B1188" i="2"/>
  <c r="C1186" i="2"/>
  <c r="AB1187" i="2" s="1"/>
  <c r="B1352" i="2"/>
  <c r="C1340" i="2"/>
  <c r="C1338" i="2"/>
  <c r="C1334" i="2"/>
  <c r="B1256" i="2" l="1"/>
  <c r="I1187" i="2"/>
  <c r="Q1187" i="2"/>
  <c r="S1187" i="2"/>
  <c r="F1187" i="2"/>
  <c r="H1187" i="2"/>
  <c r="T1187" i="2"/>
  <c r="E1187" i="2"/>
  <c r="G1187" i="2"/>
  <c r="R1187" i="2"/>
  <c r="U1187" i="2"/>
  <c r="L1187" i="2"/>
  <c r="X1187" i="2"/>
  <c r="J1187" i="2"/>
  <c r="V1187" i="2"/>
  <c r="M1187" i="2"/>
  <c r="Y1187" i="2"/>
  <c r="O1187" i="2"/>
  <c r="AA1187" i="2"/>
  <c r="K1187" i="2"/>
  <c r="W1187" i="2"/>
  <c r="N1187" i="2"/>
  <c r="Z1187" i="2"/>
  <c r="D1187" i="2"/>
  <c r="P1187" i="2"/>
  <c r="B1389" i="2"/>
  <c r="B1387" i="2"/>
  <c r="B1385" i="2"/>
  <c r="C1370" i="2"/>
  <c r="C1360" i="2"/>
  <c r="C788" i="2"/>
  <c r="AB789" i="2" s="1"/>
  <c r="C650" i="2"/>
  <c r="C736" i="2"/>
  <c r="C674" i="2"/>
  <c r="C670" i="2"/>
  <c r="C666" i="2"/>
  <c r="C664" i="2"/>
  <c r="C654" i="2"/>
  <c r="C656" i="2"/>
  <c r="C658" i="2"/>
  <c r="C662" i="2"/>
  <c r="C660" i="2"/>
  <c r="B640" i="2"/>
  <c r="B642" i="2"/>
  <c r="B646" i="2"/>
  <c r="B644" i="2"/>
  <c r="B604" i="2"/>
  <c r="B606" i="2"/>
  <c r="B630" i="2"/>
  <c r="B628" i="2"/>
  <c r="B624" i="2"/>
  <c r="B626" i="2"/>
  <c r="B600" i="2"/>
  <c r="B602" i="2"/>
  <c r="B598" i="2"/>
  <c r="B596" i="2"/>
  <c r="B592" i="2"/>
  <c r="B594" i="2"/>
  <c r="B590" i="2"/>
  <c r="B588" i="2"/>
  <c r="B620" i="2"/>
  <c r="B622" i="2"/>
  <c r="B554" i="2"/>
  <c r="B552" i="2"/>
  <c r="B534" i="2"/>
  <c r="B532" i="2"/>
  <c r="B550" i="2"/>
  <c r="B548" i="2"/>
  <c r="B524" i="2"/>
  <c r="B522" i="2"/>
  <c r="B558" i="2"/>
  <c r="B556" i="2"/>
  <c r="B540" i="2"/>
  <c r="B538" i="2"/>
  <c r="C530" i="2"/>
  <c r="C518" i="2"/>
  <c r="B828" i="2"/>
  <c r="B826" i="2"/>
  <c r="B836" i="2"/>
  <c r="B834" i="2"/>
  <c r="B832" i="2"/>
  <c r="C832" i="2" s="1"/>
  <c r="B830" i="2"/>
  <c r="B824" i="2"/>
  <c r="B822" i="2"/>
  <c r="B812" i="2"/>
  <c r="B810" i="2"/>
  <c r="B808" i="2"/>
  <c r="B806" i="2"/>
  <c r="B804" i="2"/>
  <c r="B802" i="2"/>
  <c r="B800" i="2"/>
  <c r="B798" i="2"/>
  <c r="B790" i="2" l="1"/>
  <c r="B842" i="2"/>
  <c r="H789" i="2"/>
  <c r="L789" i="2"/>
  <c r="M789" i="2"/>
  <c r="G789" i="2"/>
  <c r="K789" i="2"/>
  <c r="Q789" i="2"/>
  <c r="R789" i="2"/>
  <c r="S789" i="2"/>
  <c r="T789" i="2"/>
  <c r="W789" i="2"/>
  <c r="E789" i="2"/>
  <c r="X789" i="2"/>
  <c r="F789" i="2"/>
  <c r="Y789" i="2"/>
  <c r="I789" i="2"/>
  <c r="U789" i="2"/>
  <c r="J789" i="2"/>
  <c r="V789" i="2"/>
  <c r="N789" i="2"/>
  <c r="Z789" i="2"/>
  <c r="O789" i="2"/>
  <c r="AA789" i="2"/>
  <c r="D789" i="2"/>
  <c r="P789" i="2"/>
  <c r="C1455" i="2"/>
  <c r="C1538" i="2" l="1"/>
  <c r="H1539" i="2" l="1"/>
  <c r="H1540" i="2" s="1"/>
  <c r="T1539" i="2"/>
  <c r="T1540" i="2" s="1"/>
  <c r="AA1539" i="2"/>
  <c r="AA1540" i="2" s="1"/>
  <c r="E1539" i="2"/>
  <c r="E1540" i="2" s="1"/>
  <c r="F1539" i="2"/>
  <c r="F1540" i="2" s="1"/>
  <c r="S1539" i="2"/>
  <c r="S1540" i="2" s="1"/>
  <c r="I1539" i="2"/>
  <c r="I1540" i="2" s="1"/>
  <c r="U1539" i="2"/>
  <c r="U1540" i="2" s="1"/>
  <c r="J1539" i="2"/>
  <c r="J1540" i="2" s="1"/>
  <c r="V1539" i="2"/>
  <c r="V1540" i="2" s="1"/>
  <c r="K1539" i="2"/>
  <c r="K1540" i="2" s="1"/>
  <c r="W1539" i="2"/>
  <c r="W1540" i="2" s="1"/>
  <c r="L1539" i="2"/>
  <c r="L1540" i="2" s="1"/>
  <c r="X1539" i="2"/>
  <c r="X1540" i="2" s="1"/>
  <c r="M1539" i="2"/>
  <c r="M1540" i="2" s="1"/>
  <c r="N1539" i="2"/>
  <c r="N1540" i="2" s="1"/>
  <c r="P1539" i="2"/>
  <c r="P1540" i="2" s="1"/>
  <c r="Y1539" i="2"/>
  <c r="Y1540" i="2" s="1"/>
  <c r="Z1539" i="2"/>
  <c r="Z1540" i="2" s="1"/>
  <c r="O1539" i="2"/>
  <c r="O1540" i="2" s="1"/>
  <c r="AB1539" i="2"/>
  <c r="AB1540" i="2" s="1"/>
  <c r="Q1539" i="2"/>
  <c r="Q1540" i="2" s="1"/>
  <c r="R1539" i="2"/>
  <c r="R1540" i="2" s="1"/>
  <c r="G1539" i="2"/>
  <c r="G1540" i="2" s="1"/>
  <c r="B1540" i="2"/>
  <c r="C1540" i="2"/>
  <c r="I9" i="3" s="1"/>
  <c r="D1539" i="2"/>
  <c r="D1540" i="2" s="1"/>
  <c r="C1520" i="2"/>
  <c r="C1518" i="2"/>
  <c r="C1516" i="2"/>
  <c r="C1514" i="2"/>
  <c r="C1510" i="2"/>
  <c r="C1512" i="2" l="1"/>
  <c r="C1530" i="2" s="1"/>
  <c r="C1522" i="2"/>
  <c r="P1523" i="2" s="1"/>
  <c r="S1521" i="2"/>
  <c r="G1521" i="2"/>
  <c r="R1521" i="2"/>
  <c r="Q1521" i="2"/>
  <c r="E1521" i="2"/>
  <c r="P1521" i="2"/>
  <c r="AA1521" i="2"/>
  <c r="O1521" i="2"/>
  <c r="Z1521" i="2"/>
  <c r="X1521" i="2"/>
  <c r="F1521" i="2"/>
  <c r="AB1521" i="2"/>
  <c r="D1521" i="2"/>
  <c r="N1521" i="2"/>
  <c r="M1521" i="2"/>
  <c r="L1521" i="2"/>
  <c r="K1521" i="2"/>
  <c r="V1521" i="2"/>
  <c r="I1521" i="2"/>
  <c r="T1521" i="2"/>
  <c r="Y1521" i="2"/>
  <c r="W1521" i="2"/>
  <c r="J1521" i="2"/>
  <c r="U1521" i="2"/>
  <c r="H1521" i="2"/>
  <c r="X1515" i="2"/>
  <c r="L1515" i="2"/>
  <c r="W1515" i="2"/>
  <c r="K1515" i="2"/>
  <c r="U1515" i="2"/>
  <c r="I1515" i="2"/>
  <c r="S1515" i="2"/>
  <c r="G1515" i="2"/>
  <c r="E1515" i="2"/>
  <c r="P1515" i="2"/>
  <c r="O1515" i="2"/>
  <c r="N1515" i="2"/>
  <c r="Y1515" i="2"/>
  <c r="M1515" i="2"/>
  <c r="J1515" i="2"/>
  <c r="H1515" i="2"/>
  <c r="R1515" i="2"/>
  <c r="F1515" i="2"/>
  <c r="Q1515" i="2"/>
  <c r="AB1515" i="2"/>
  <c r="D1515" i="2"/>
  <c r="AA1515" i="2"/>
  <c r="Z1515" i="2"/>
  <c r="V1515" i="2"/>
  <c r="T1515" i="2"/>
  <c r="U1517" i="2"/>
  <c r="I1517" i="2"/>
  <c r="T1517" i="2"/>
  <c r="H1517" i="2"/>
  <c r="R1517" i="2"/>
  <c r="F1517" i="2"/>
  <c r="AB1517" i="2"/>
  <c r="P1517" i="2"/>
  <c r="D1517" i="2"/>
  <c r="M1517" i="2"/>
  <c r="L1517" i="2"/>
  <c r="K1517" i="2"/>
  <c r="V1517" i="2"/>
  <c r="J1517" i="2"/>
  <c r="G1517" i="2"/>
  <c r="E1517" i="2"/>
  <c r="AA1517" i="2"/>
  <c r="O1517" i="2"/>
  <c r="Y1517" i="2"/>
  <c r="X1517" i="2"/>
  <c r="W1517" i="2"/>
  <c r="Z1517" i="2"/>
  <c r="N1517" i="2"/>
  <c r="S1517" i="2"/>
  <c r="Q1517" i="2"/>
  <c r="R1519" i="2"/>
  <c r="F1519" i="2"/>
  <c r="Q1519" i="2"/>
  <c r="E1519" i="2"/>
  <c r="AA1519" i="2"/>
  <c r="O1519" i="2"/>
  <c r="Y1519" i="2"/>
  <c r="M1519" i="2"/>
  <c r="J1519" i="2"/>
  <c r="U1519" i="2"/>
  <c r="I1519" i="2"/>
  <c r="H1519" i="2"/>
  <c r="S1519" i="2"/>
  <c r="P1519" i="2"/>
  <c r="D1519" i="2"/>
  <c r="X1519" i="2"/>
  <c r="L1519" i="2"/>
  <c r="V1519" i="2"/>
  <c r="T1519" i="2"/>
  <c r="W1519" i="2"/>
  <c r="K1519" i="2"/>
  <c r="G1519" i="2"/>
  <c r="AB1519" i="2"/>
  <c r="N1519" i="2"/>
  <c r="Z1519" i="2"/>
  <c r="Z1511" i="2"/>
  <c r="P1511" i="2"/>
  <c r="D1511" i="2"/>
  <c r="I1511" i="2"/>
  <c r="J1511" i="2"/>
  <c r="W1511" i="2"/>
  <c r="L1511" i="2"/>
  <c r="X1511" i="2"/>
  <c r="N1511" i="2"/>
  <c r="AB1511" i="2"/>
  <c r="E1511" i="2"/>
  <c r="Q1511" i="2"/>
  <c r="G1511" i="2"/>
  <c r="S1511" i="2"/>
  <c r="H1511" i="2"/>
  <c r="T1511" i="2"/>
  <c r="U1511" i="2"/>
  <c r="V1511" i="2"/>
  <c r="K1511" i="2"/>
  <c r="M1511" i="2"/>
  <c r="Y1511" i="2"/>
  <c r="O1511" i="2"/>
  <c r="AA1511" i="2"/>
  <c r="F1511" i="2"/>
  <c r="R1511" i="2"/>
  <c r="AB1513" i="2" l="1"/>
  <c r="O1513" i="2"/>
  <c r="E1513" i="2"/>
  <c r="Q1523" i="2"/>
  <c r="S1523" i="2"/>
  <c r="I1523" i="2"/>
  <c r="AA1523" i="2"/>
  <c r="E1523" i="2"/>
  <c r="W1513" i="2"/>
  <c r="F1523" i="2"/>
  <c r="S1513" i="2"/>
  <c r="F1513" i="2"/>
  <c r="F1530" i="2" s="1"/>
  <c r="H1513" i="2"/>
  <c r="Q1513" i="2"/>
  <c r="G1513" i="2"/>
  <c r="J1513" i="2"/>
  <c r="R1513" i="2"/>
  <c r="M1513" i="2"/>
  <c r="T1513" i="2"/>
  <c r="V1513" i="2"/>
  <c r="D1513" i="2"/>
  <c r="I1513" i="2"/>
  <c r="U1513" i="2"/>
  <c r="K1513" i="2"/>
  <c r="N1513" i="2"/>
  <c r="AA1513" i="2"/>
  <c r="Y1513" i="2"/>
  <c r="L1513" i="2"/>
  <c r="X1513" i="2"/>
  <c r="P1513" i="2"/>
  <c r="P1530" i="2" s="1"/>
  <c r="Z1513" i="2"/>
  <c r="AB1523" i="2"/>
  <c r="Z1523" i="2"/>
  <c r="G1523" i="2"/>
  <c r="R1523" i="2"/>
  <c r="H1523" i="2"/>
  <c r="T1523" i="2"/>
  <c r="W1523" i="2"/>
  <c r="U1523" i="2"/>
  <c r="X1523" i="2"/>
  <c r="J1523" i="2"/>
  <c r="M1523" i="2"/>
  <c r="V1523" i="2"/>
  <c r="Y1523" i="2"/>
  <c r="K1523" i="2"/>
  <c r="N1523" i="2"/>
  <c r="L1523" i="2"/>
  <c r="D1523" i="2"/>
  <c r="O1523" i="2"/>
  <c r="B1431" i="2"/>
  <c r="D1530" i="2" l="1"/>
  <c r="N1530" i="2"/>
  <c r="I1530" i="2"/>
  <c r="J1530" i="2"/>
  <c r="T1530" i="2"/>
  <c r="V1530" i="2"/>
  <c r="O1530" i="2"/>
  <c r="M1530" i="2"/>
  <c r="K1530" i="2"/>
  <c r="AA1530" i="2"/>
  <c r="Y1530" i="2"/>
  <c r="L1530" i="2"/>
  <c r="X1530" i="2"/>
  <c r="E1530" i="2"/>
  <c r="U1530" i="2"/>
  <c r="Q1530" i="2"/>
  <c r="G1530" i="2"/>
  <c r="R1530" i="2"/>
  <c r="H1530" i="2"/>
  <c r="S1530" i="2"/>
  <c r="Z1530" i="2"/>
  <c r="W1530" i="2"/>
  <c r="AB1530" i="2"/>
  <c r="C182" i="2" l="1"/>
  <c r="C1389" i="2" l="1"/>
  <c r="C1387" i="2"/>
  <c r="AB1388" i="2" s="1"/>
  <c r="B1391" i="2" l="1"/>
  <c r="C1385" i="2"/>
  <c r="AB1390" i="2"/>
  <c r="P1390" i="2"/>
  <c r="D1390" i="2"/>
  <c r="AA1390" i="2"/>
  <c r="O1390" i="2"/>
  <c r="Z1390" i="2"/>
  <c r="N1390" i="2"/>
  <c r="H1390" i="2"/>
  <c r="R1390" i="2"/>
  <c r="Y1390" i="2"/>
  <c r="M1390" i="2"/>
  <c r="X1390" i="2"/>
  <c r="L1390" i="2"/>
  <c r="V1390" i="2"/>
  <c r="W1390" i="2"/>
  <c r="K1390" i="2"/>
  <c r="J1390" i="2"/>
  <c r="T1390" i="2"/>
  <c r="F1390" i="2"/>
  <c r="U1390" i="2"/>
  <c r="I1390" i="2"/>
  <c r="Q1390" i="2"/>
  <c r="S1390" i="2"/>
  <c r="G1390" i="2"/>
  <c r="E1390" i="2"/>
  <c r="Q1388" i="2"/>
  <c r="U1388" i="2"/>
  <c r="V1388" i="2"/>
  <c r="X1388" i="2"/>
  <c r="E1388" i="2"/>
  <c r="G1388" i="2"/>
  <c r="H1388" i="2"/>
  <c r="I1388" i="2"/>
  <c r="J1388" i="2"/>
  <c r="K1388" i="2"/>
  <c r="W1388" i="2"/>
  <c r="S1388" i="2"/>
  <c r="T1388" i="2"/>
  <c r="L1388" i="2"/>
  <c r="M1388" i="2"/>
  <c r="Y1388" i="2"/>
  <c r="R1388" i="2"/>
  <c r="N1388" i="2"/>
  <c r="Z1388" i="2"/>
  <c r="O1388" i="2"/>
  <c r="AA1388" i="2"/>
  <c r="F1388" i="2"/>
  <c r="D1388" i="2"/>
  <c r="P1388" i="2"/>
  <c r="C889" i="2" l="1"/>
  <c r="C1017" i="2" l="1"/>
  <c r="AB1018" i="2" s="1"/>
  <c r="C1015" i="2" l="1"/>
  <c r="T1018" i="2"/>
  <c r="Q1018" i="2"/>
  <c r="R1018" i="2"/>
  <c r="G1018" i="2"/>
  <c r="H1018" i="2"/>
  <c r="U1018" i="2"/>
  <c r="V1018" i="2"/>
  <c r="W1018" i="2"/>
  <c r="X1018" i="2"/>
  <c r="Y1018" i="2"/>
  <c r="N1018" i="2"/>
  <c r="Z1018" i="2"/>
  <c r="O1018" i="2"/>
  <c r="AA1018" i="2"/>
  <c r="E1018" i="2"/>
  <c r="F1018" i="2"/>
  <c r="S1018" i="2"/>
  <c r="I1018" i="2"/>
  <c r="J1018" i="2"/>
  <c r="K1018" i="2"/>
  <c r="L1018" i="2"/>
  <c r="M1018" i="2"/>
  <c r="D1018" i="2"/>
  <c r="P1018" i="2"/>
  <c r="X1016" i="2" l="1"/>
  <c r="R1016" i="2"/>
  <c r="L1016" i="2"/>
  <c r="M1016" i="2"/>
  <c r="S1016" i="2"/>
  <c r="Z1016" i="2"/>
  <c r="E1016" i="2"/>
  <c r="F1016" i="2"/>
  <c r="O1016" i="2"/>
  <c r="D1016" i="2"/>
  <c r="P1016" i="2"/>
  <c r="AB1016" i="2"/>
  <c r="W1016" i="2"/>
  <c r="Y1016" i="2"/>
  <c r="AA1016" i="2"/>
  <c r="K1016" i="2"/>
  <c r="J1016" i="2"/>
  <c r="N1016" i="2"/>
  <c r="I1016" i="2"/>
  <c r="T1016" i="2"/>
  <c r="H1016" i="2"/>
  <c r="G1016" i="2"/>
  <c r="Q1016" i="2"/>
  <c r="V1016" i="2"/>
  <c r="U1016" i="2"/>
  <c r="C1500" i="2"/>
  <c r="AA1501" i="2" s="1"/>
  <c r="C1498" i="2"/>
  <c r="C1496" i="2"/>
  <c r="Z1497" i="2" s="1"/>
  <c r="C1494" i="2"/>
  <c r="AB1495" i="2" s="1"/>
  <c r="C1492" i="2"/>
  <c r="R1493" i="2" s="1"/>
  <c r="C1490" i="2"/>
  <c r="T1491" i="2" s="1"/>
  <c r="C1488" i="2"/>
  <c r="V1489" i="2" s="1"/>
  <c r="C1486" i="2"/>
  <c r="AB1499" i="2" l="1"/>
  <c r="X1487" i="2"/>
  <c r="C1502" i="2"/>
  <c r="R1501" i="2"/>
  <c r="P1501" i="2"/>
  <c r="Q1501" i="2"/>
  <c r="G1501" i="2"/>
  <c r="V1501" i="2"/>
  <c r="W1501" i="2"/>
  <c r="X1501" i="2"/>
  <c r="Y1501" i="2"/>
  <c r="M1501" i="2"/>
  <c r="Z1501" i="2"/>
  <c r="D1501" i="2"/>
  <c r="E1501" i="2"/>
  <c r="F1501" i="2"/>
  <c r="S1501" i="2"/>
  <c r="T1501" i="2"/>
  <c r="H1501" i="2"/>
  <c r="U1501" i="2"/>
  <c r="I1501" i="2"/>
  <c r="J1501" i="2"/>
  <c r="K1501" i="2"/>
  <c r="L1501" i="2"/>
  <c r="N1501" i="2"/>
  <c r="AB1501" i="2"/>
  <c r="K1499" i="2"/>
  <c r="Q1499" i="2"/>
  <c r="U1499" i="2"/>
  <c r="L1499" i="2"/>
  <c r="V1499" i="2"/>
  <c r="E1499" i="2"/>
  <c r="W1499" i="2"/>
  <c r="I1499" i="2"/>
  <c r="X1499" i="2"/>
  <c r="M1499" i="2"/>
  <c r="R1499" i="2"/>
  <c r="S1499" i="2"/>
  <c r="T1499" i="2"/>
  <c r="F1499" i="2"/>
  <c r="G1499" i="2"/>
  <c r="H1499" i="2"/>
  <c r="J1499" i="2"/>
  <c r="Y1499" i="2"/>
  <c r="O1501" i="2"/>
  <c r="N1499" i="2"/>
  <c r="Z1499" i="2"/>
  <c r="O1499" i="2"/>
  <c r="AA1499" i="2"/>
  <c r="D1499" i="2"/>
  <c r="P1499" i="2"/>
  <c r="Z1493" i="2"/>
  <c r="Z1487" i="2"/>
  <c r="Y1487" i="2"/>
  <c r="L1495" i="2"/>
  <c r="X1489" i="2"/>
  <c r="M1495" i="2"/>
  <c r="P1491" i="2"/>
  <c r="I1493" i="2"/>
  <c r="N1493" i="2"/>
  <c r="S1493" i="2"/>
  <c r="T1493" i="2"/>
  <c r="U1493" i="2"/>
  <c r="U1495" i="2"/>
  <c r="M1489" i="2"/>
  <c r="I1491" i="2"/>
  <c r="Y1491" i="2"/>
  <c r="E1495" i="2"/>
  <c r="H1487" i="2"/>
  <c r="N1489" i="2"/>
  <c r="J1491" i="2"/>
  <c r="AB1491" i="2"/>
  <c r="F1495" i="2"/>
  <c r="X1495" i="2"/>
  <c r="Y1489" i="2"/>
  <c r="Q1491" i="2"/>
  <c r="Z1489" i="2"/>
  <c r="F1489" i="2"/>
  <c r="U1491" i="2"/>
  <c r="G1495" i="2"/>
  <c r="Y1495" i="2"/>
  <c r="S1495" i="2"/>
  <c r="L1489" i="2"/>
  <c r="F1491" i="2"/>
  <c r="X1491" i="2"/>
  <c r="T1495" i="2"/>
  <c r="M1487" i="2"/>
  <c r="R1489" i="2"/>
  <c r="K1491" i="2"/>
  <c r="N1487" i="2"/>
  <c r="S1489" i="2"/>
  <c r="L1491" i="2"/>
  <c r="G1493" i="2"/>
  <c r="H1495" i="2"/>
  <c r="Z1495" i="2"/>
  <c r="R1491" i="2"/>
  <c r="N1495" i="2"/>
  <c r="Q1495" i="2"/>
  <c r="G1489" i="2"/>
  <c r="D1491" i="2"/>
  <c r="V1491" i="2"/>
  <c r="R1495" i="2"/>
  <c r="K1489" i="2"/>
  <c r="E1491" i="2"/>
  <c r="W1491" i="2"/>
  <c r="T1487" i="2"/>
  <c r="W1489" i="2"/>
  <c r="M1491" i="2"/>
  <c r="H1493" i="2"/>
  <c r="I1495" i="2"/>
  <c r="AA1497" i="2"/>
  <c r="P1497" i="2"/>
  <c r="O1487" i="2"/>
  <c r="Q1497" i="2"/>
  <c r="P1487" i="2"/>
  <c r="J1493" i="2"/>
  <c r="O1489" i="2"/>
  <c r="AA1489" i="2"/>
  <c r="K1493" i="2"/>
  <c r="W1493" i="2"/>
  <c r="G1497" i="2"/>
  <c r="S1497" i="2"/>
  <c r="F1487" i="2"/>
  <c r="R1487" i="2"/>
  <c r="D1489" i="2"/>
  <c r="P1489" i="2"/>
  <c r="AB1489" i="2"/>
  <c r="N1491" i="2"/>
  <c r="Z1491" i="2"/>
  <c r="L1493" i="2"/>
  <c r="X1493" i="2"/>
  <c r="J1495" i="2"/>
  <c r="V1495" i="2"/>
  <c r="H1497" i="2"/>
  <c r="T1497" i="2"/>
  <c r="O1497" i="2"/>
  <c r="D1497" i="2"/>
  <c r="AB1497" i="2"/>
  <c r="AA1487" i="2"/>
  <c r="E1497" i="2"/>
  <c r="D1487" i="2"/>
  <c r="AB1487" i="2"/>
  <c r="V1493" i="2"/>
  <c r="F1497" i="2"/>
  <c r="R1497" i="2"/>
  <c r="E1487" i="2"/>
  <c r="Q1487" i="2"/>
  <c r="G1487" i="2"/>
  <c r="S1487" i="2"/>
  <c r="E1489" i="2"/>
  <c r="Q1489" i="2"/>
  <c r="O1491" i="2"/>
  <c r="AA1491" i="2"/>
  <c r="M1493" i="2"/>
  <c r="Y1493" i="2"/>
  <c r="K1495" i="2"/>
  <c r="W1495" i="2"/>
  <c r="I1497" i="2"/>
  <c r="U1497" i="2"/>
  <c r="J1497" i="2"/>
  <c r="V1497" i="2"/>
  <c r="I1487" i="2"/>
  <c r="U1487" i="2"/>
  <c r="O1493" i="2"/>
  <c r="AA1493" i="2"/>
  <c r="K1497" i="2"/>
  <c r="W1497" i="2"/>
  <c r="J1487" i="2"/>
  <c r="V1487" i="2"/>
  <c r="H1489" i="2"/>
  <c r="T1489" i="2"/>
  <c r="D1493" i="2"/>
  <c r="P1493" i="2"/>
  <c r="AB1493" i="2"/>
  <c r="L1497" i="2"/>
  <c r="X1497" i="2"/>
  <c r="K1487" i="2"/>
  <c r="W1487" i="2"/>
  <c r="I1489" i="2"/>
  <c r="U1489" i="2"/>
  <c r="G1491" i="2"/>
  <c r="S1491" i="2"/>
  <c r="E1493" i="2"/>
  <c r="Q1493" i="2"/>
  <c r="O1495" i="2"/>
  <c r="AA1495" i="2"/>
  <c r="M1497" i="2"/>
  <c r="Y1497" i="2"/>
  <c r="L1487" i="2"/>
  <c r="J1489" i="2"/>
  <c r="H1491" i="2"/>
  <c r="F1493" i="2"/>
  <c r="D1495" i="2"/>
  <c r="P1495" i="2"/>
  <c r="N1497" i="2"/>
  <c r="D1502" i="2" l="1"/>
  <c r="T1502" i="2"/>
  <c r="F1502" i="2"/>
  <c r="V1502" i="2"/>
  <c r="J1502" i="2"/>
  <c r="K1502" i="2"/>
  <c r="AA1502" i="2"/>
  <c r="W1502" i="2"/>
  <c r="AB1502" i="2"/>
  <c r="L1502" i="2"/>
  <c r="U1502" i="2"/>
  <c r="Y1502" i="2"/>
  <c r="R1502" i="2"/>
  <c r="P1502" i="2"/>
  <c r="N1502" i="2"/>
  <c r="S1502" i="2"/>
  <c r="H1502" i="2"/>
  <c r="I1502" i="2"/>
  <c r="O1502" i="2"/>
  <c r="Z1502" i="2"/>
  <c r="G1502" i="2"/>
  <c r="Q1502" i="2"/>
  <c r="M1502" i="2"/>
  <c r="E1502" i="2"/>
  <c r="X1502" i="2"/>
  <c r="C1467" i="2"/>
  <c r="B1477" i="2" l="1"/>
  <c r="B1442" i="2"/>
  <c r="C786" i="2" l="1"/>
  <c r="T787" i="2" s="1"/>
  <c r="C546" i="2"/>
  <c r="C544" i="2"/>
  <c r="I787" i="2" l="1"/>
  <c r="J787" i="2"/>
  <c r="K787" i="2"/>
  <c r="L787" i="2"/>
  <c r="V787" i="2"/>
  <c r="N787" i="2"/>
  <c r="W787" i="2"/>
  <c r="X787" i="2"/>
  <c r="M787" i="2"/>
  <c r="U787" i="2"/>
  <c r="Y787" i="2"/>
  <c r="Z787" i="2"/>
  <c r="O787" i="2"/>
  <c r="AA787" i="2"/>
  <c r="D787" i="2"/>
  <c r="P787" i="2"/>
  <c r="AB787" i="2"/>
  <c r="E787" i="2"/>
  <c r="Q787" i="2"/>
  <c r="F787" i="2"/>
  <c r="R787" i="2"/>
  <c r="G787" i="2"/>
  <c r="S787" i="2"/>
  <c r="H787" i="2"/>
  <c r="C1178" i="2" l="1"/>
  <c r="C840" i="2" l="1"/>
  <c r="AB841" i="2" s="1"/>
  <c r="D841" i="2" l="1"/>
  <c r="E841" i="2"/>
  <c r="R841" i="2"/>
  <c r="G841" i="2"/>
  <c r="T841" i="2"/>
  <c r="I841" i="2"/>
  <c r="V841" i="2"/>
  <c r="K841" i="2"/>
  <c r="X841" i="2"/>
  <c r="Y841" i="2"/>
  <c r="N841" i="2"/>
  <c r="Z841" i="2"/>
  <c r="O841" i="2"/>
  <c r="AA841" i="2"/>
  <c r="Q841" i="2"/>
  <c r="F841" i="2"/>
  <c r="S841" i="2"/>
  <c r="H841" i="2"/>
  <c r="U841" i="2"/>
  <c r="J841" i="2"/>
  <c r="W841" i="2"/>
  <c r="L841" i="2"/>
  <c r="M841" i="2"/>
  <c r="P841" i="2"/>
  <c r="C82" i="2" l="1"/>
  <c r="C1068" i="2" l="1"/>
  <c r="C1052" i="2"/>
  <c r="C1140" i="2" l="1"/>
  <c r="C346" i="2" l="1"/>
  <c r="C288" i="2"/>
  <c r="C258" i="2"/>
  <c r="C300" i="2"/>
  <c r="C276" i="2"/>
  <c r="AA1418" i="2" l="1"/>
  <c r="Z1418" i="2" l="1"/>
  <c r="M1418" i="2"/>
  <c r="N1418" i="2"/>
  <c r="P1418" i="2"/>
  <c r="Q1418" i="2"/>
  <c r="R1418" i="2"/>
  <c r="S1418" i="2"/>
  <c r="I1418" i="2"/>
  <c r="V1418" i="2"/>
  <c r="K1418" i="2"/>
  <c r="W1418" i="2"/>
  <c r="Y1418" i="2"/>
  <c r="D1418" i="2"/>
  <c r="AB1418" i="2"/>
  <c r="E1418" i="2"/>
  <c r="F1418" i="2"/>
  <c r="G1418" i="2"/>
  <c r="H1418" i="2"/>
  <c r="T1418" i="2"/>
  <c r="U1418" i="2"/>
  <c r="J1418" i="2"/>
  <c r="L1418" i="2"/>
  <c r="X1418" i="2"/>
  <c r="O1418" i="2"/>
  <c r="C871" i="2" l="1"/>
  <c r="C851" i="2"/>
  <c r="U1430" i="2" l="1"/>
  <c r="U1431" i="2" s="1"/>
  <c r="E1430" i="2"/>
  <c r="E1431" i="2" s="1"/>
  <c r="C1431" i="2"/>
  <c r="V1430" i="2"/>
  <c r="V1431" i="2" s="1"/>
  <c r="W1430" i="2"/>
  <c r="W1431" i="2" s="1"/>
  <c r="X1430" i="2"/>
  <c r="X1431" i="2" s="1"/>
  <c r="AA1430" i="2"/>
  <c r="AA1431" i="2" s="1"/>
  <c r="J1430" i="2"/>
  <c r="J1431" i="2" s="1"/>
  <c r="Y1430" i="2"/>
  <c r="Y1431" i="2" s="1"/>
  <c r="N1430" i="2"/>
  <c r="N1431" i="2" s="1"/>
  <c r="O1430" i="2"/>
  <c r="O1431" i="2" s="1"/>
  <c r="D1430" i="2"/>
  <c r="D1431" i="2" s="1"/>
  <c r="P1430" i="2"/>
  <c r="P1431" i="2" s="1"/>
  <c r="AB1430" i="2"/>
  <c r="AB1431" i="2" s="1"/>
  <c r="Q1430" i="2"/>
  <c r="Q1431" i="2" s="1"/>
  <c r="F1430" i="2"/>
  <c r="F1431" i="2" s="1"/>
  <c r="R1430" i="2"/>
  <c r="R1431" i="2" s="1"/>
  <c r="H1430" i="2"/>
  <c r="H1431" i="2" s="1"/>
  <c r="T1430" i="2"/>
  <c r="T1431" i="2" s="1"/>
  <c r="K1430" i="2"/>
  <c r="K1431" i="2" s="1"/>
  <c r="L1430" i="2"/>
  <c r="L1431" i="2" s="1"/>
  <c r="M1430" i="2"/>
  <c r="M1431" i="2" s="1"/>
  <c r="Z1430" i="2"/>
  <c r="Z1431" i="2" s="1"/>
  <c r="G1430" i="2"/>
  <c r="G1431" i="2" s="1"/>
  <c r="S1430" i="2"/>
  <c r="S1431" i="2" s="1"/>
  <c r="I1430" i="2"/>
  <c r="I1431" i="2" s="1"/>
  <c r="C490" i="2" l="1"/>
  <c r="Z491" i="2" s="1"/>
  <c r="C488" i="2"/>
  <c r="U489" i="2" s="1"/>
  <c r="B505" i="2"/>
  <c r="C252" i="2"/>
  <c r="V489" i="2" l="1"/>
  <c r="J489" i="2"/>
  <c r="K489" i="2"/>
  <c r="L489" i="2"/>
  <c r="M489" i="2"/>
  <c r="N489" i="2"/>
  <c r="T489" i="2"/>
  <c r="I489" i="2"/>
  <c r="G491" i="2"/>
  <c r="S491" i="2"/>
  <c r="AA491" i="2"/>
  <c r="D491" i="2"/>
  <c r="Q491" i="2"/>
  <c r="H491" i="2"/>
  <c r="T491" i="2"/>
  <c r="I491" i="2"/>
  <c r="U491" i="2"/>
  <c r="O491" i="2"/>
  <c r="E491" i="2"/>
  <c r="F491" i="2"/>
  <c r="J491" i="2"/>
  <c r="V491" i="2"/>
  <c r="R491" i="2"/>
  <c r="K491" i="2"/>
  <c r="W491" i="2"/>
  <c r="AB491" i="2"/>
  <c r="L491" i="2"/>
  <c r="X491" i="2"/>
  <c r="P491" i="2"/>
  <c r="M491" i="2"/>
  <c r="Y491" i="2"/>
  <c r="N491" i="2"/>
  <c r="W489" i="2"/>
  <c r="X489" i="2"/>
  <c r="Y489" i="2"/>
  <c r="Z489" i="2"/>
  <c r="O489" i="2"/>
  <c r="AA489" i="2"/>
  <c r="D489" i="2"/>
  <c r="P489" i="2"/>
  <c r="AB489" i="2"/>
  <c r="E489" i="2"/>
  <c r="Q489" i="2"/>
  <c r="F489" i="2"/>
  <c r="R489" i="2"/>
  <c r="G489" i="2"/>
  <c r="S489" i="2"/>
  <c r="H489" i="2"/>
  <c r="C1009" i="2"/>
  <c r="V1010" i="2" s="1"/>
  <c r="C1005" i="2"/>
  <c r="AB1006" i="2" l="1"/>
  <c r="Z1006" i="2"/>
  <c r="AA1006" i="2"/>
  <c r="K1010" i="2"/>
  <c r="W1010" i="2"/>
  <c r="L1010" i="2"/>
  <c r="X1010" i="2"/>
  <c r="M1010" i="2"/>
  <c r="Z1010" i="2"/>
  <c r="O1010" i="2"/>
  <c r="S1010" i="2"/>
  <c r="P1010" i="2"/>
  <c r="T1010" i="2"/>
  <c r="Y1010" i="2"/>
  <c r="N1010" i="2"/>
  <c r="AA1010" i="2"/>
  <c r="D1010" i="2"/>
  <c r="AB1010" i="2"/>
  <c r="E1010" i="2"/>
  <c r="Q1010" i="2"/>
  <c r="F1010" i="2"/>
  <c r="R1010" i="2"/>
  <c r="G1010" i="2"/>
  <c r="H1010" i="2"/>
  <c r="I1010" i="2"/>
  <c r="U1010" i="2"/>
  <c r="J1010" i="2"/>
  <c r="E1006" i="2"/>
  <c r="F1006" i="2"/>
  <c r="G1006" i="2"/>
  <c r="H1006" i="2"/>
  <c r="T1006" i="2"/>
  <c r="O1006" i="2"/>
  <c r="Q1006" i="2"/>
  <c r="R1006" i="2"/>
  <c r="S1006" i="2"/>
  <c r="I1006" i="2"/>
  <c r="U1006" i="2"/>
  <c r="J1006" i="2"/>
  <c r="V1006" i="2"/>
  <c r="K1006" i="2"/>
  <c r="W1006" i="2"/>
  <c r="L1006" i="2"/>
  <c r="X1006" i="2"/>
  <c r="M1006" i="2"/>
  <c r="Y1006" i="2"/>
  <c r="N1006" i="2"/>
  <c r="D1006" i="2"/>
  <c r="P1006" i="2"/>
  <c r="C1001" i="2" l="1"/>
  <c r="Z1002" i="2" l="1"/>
  <c r="O1002" i="2"/>
  <c r="J1002" i="2"/>
  <c r="E1002" i="2"/>
  <c r="D1002" i="2"/>
  <c r="F1002" i="2"/>
  <c r="AA1002" i="2"/>
  <c r="P1002" i="2"/>
  <c r="AB1002" i="2"/>
  <c r="Q1002" i="2"/>
  <c r="R1002" i="2"/>
  <c r="G1002" i="2"/>
  <c r="S1002" i="2"/>
  <c r="H1002" i="2"/>
  <c r="T1002" i="2"/>
  <c r="I1002" i="2"/>
  <c r="U1002" i="2"/>
  <c r="V1002" i="2"/>
  <c r="K1002" i="2"/>
  <c r="W1002" i="2"/>
  <c r="L1002" i="2"/>
  <c r="X1002" i="2"/>
  <c r="M1002" i="2"/>
  <c r="Y1002" i="2"/>
  <c r="N1002" i="2"/>
  <c r="C1013" i="2" l="1"/>
  <c r="AA1014" i="2" s="1"/>
  <c r="C1011" i="2"/>
  <c r="Q1012" i="2" s="1"/>
  <c r="C1007" i="2"/>
  <c r="S1008" i="2" s="1"/>
  <c r="C1003" i="2"/>
  <c r="U1004" i="2" s="1"/>
  <c r="C999" i="2"/>
  <c r="C997" i="2"/>
  <c r="C995" i="2"/>
  <c r="G996" i="2" l="1"/>
  <c r="S996" i="2"/>
  <c r="H996" i="2"/>
  <c r="T996" i="2"/>
  <c r="I996" i="2"/>
  <c r="U996" i="2"/>
  <c r="J996" i="2"/>
  <c r="V996" i="2"/>
  <c r="K996" i="2"/>
  <c r="W996" i="2"/>
  <c r="L996" i="2"/>
  <c r="X996" i="2"/>
  <c r="M996" i="2"/>
  <c r="Y996" i="2"/>
  <c r="N996" i="2"/>
  <c r="Z996" i="2"/>
  <c r="O996" i="2"/>
  <c r="AA996" i="2"/>
  <c r="P996" i="2"/>
  <c r="AB996" i="2"/>
  <c r="E996" i="2"/>
  <c r="Q996" i="2"/>
  <c r="D996" i="2"/>
  <c r="F996" i="2"/>
  <c r="R996" i="2"/>
  <c r="Y998" i="2"/>
  <c r="AA998" i="2"/>
  <c r="E998" i="2"/>
  <c r="W1000" i="2"/>
  <c r="E1000" i="2"/>
  <c r="I1008" i="2"/>
  <c r="J1008" i="2"/>
  <c r="M1008" i="2"/>
  <c r="N1008" i="2"/>
  <c r="T1008" i="2"/>
  <c r="U1008" i="2"/>
  <c r="V1008" i="2"/>
  <c r="Y1008" i="2"/>
  <c r="Z1008" i="2"/>
  <c r="F1000" i="2"/>
  <c r="L1000" i="2"/>
  <c r="M1000" i="2"/>
  <c r="J1014" i="2"/>
  <c r="S1014" i="2"/>
  <c r="E1014" i="2"/>
  <c r="T1014" i="2"/>
  <c r="F1014" i="2"/>
  <c r="U1014" i="2"/>
  <c r="H1014" i="2"/>
  <c r="W1014" i="2"/>
  <c r="I1014" i="2"/>
  <c r="X1014" i="2"/>
  <c r="AB1014" i="2"/>
  <c r="K1014" i="2"/>
  <c r="L1014" i="2"/>
  <c r="P1014" i="2"/>
  <c r="Q1014" i="2"/>
  <c r="R1014" i="2"/>
  <c r="D1014" i="2"/>
  <c r="G1014" i="2"/>
  <c r="V1014" i="2"/>
  <c r="X1012" i="2"/>
  <c r="H1012" i="2"/>
  <c r="K1012" i="2"/>
  <c r="L1012" i="2"/>
  <c r="S1012" i="2"/>
  <c r="T1012" i="2"/>
  <c r="I1012" i="2"/>
  <c r="J1012" i="2"/>
  <c r="Z1012" i="2"/>
  <c r="M1012" i="2"/>
  <c r="U1012" i="2"/>
  <c r="W1012" i="2"/>
  <c r="Y1012" i="2"/>
  <c r="N1012" i="2"/>
  <c r="R1012" i="2"/>
  <c r="F1012" i="2"/>
  <c r="G1012" i="2"/>
  <c r="V1012" i="2"/>
  <c r="H1008" i="2"/>
  <c r="J1004" i="2"/>
  <c r="V1004" i="2"/>
  <c r="R1000" i="2"/>
  <c r="X1000" i="2"/>
  <c r="Q1000" i="2"/>
  <c r="Y1000" i="2"/>
  <c r="N998" i="2"/>
  <c r="S998" i="2"/>
  <c r="G998" i="2"/>
  <c r="Z998" i="2"/>
  <c r="O998" i="2"/>
  <c r="K1004" i="2"/>
  <c r="W1004" i="2"/>
  <c r="AA1000" i="2"/>
  <c r="Y1004" i="2"/>
  <c r="K1008" i="2"/>
  <c r="D998" i="2"/>
  <c r="P998" i="2"/>
  <c r="AB998" i="2"/>
  <c r="N1000" i="2"/>
  <c r="Z1000" i="2"/>
  <c r="L1004" i="2"/>
  <c r="X1004" i="2"/>
  <c r="Q998" i="2"/>
  <c r="O1000" i="2"/>
  <c r="M1004" i="2"/>
  <c r="W1008" i="2"/>
  <c r="F998" i="2"/>
  <c r="R998" i="2"/>
  <c r="D1000" i="2"/>
  <c r="P1000" i="2"/>
  <c r="AB1000" i="2"/>
  <c r="N1004" i="2"/>
  <c r="Z1004" i="2"/>
  <c r="L1008" i="2"/>
  <c r="X1008" i="2"/>
  <c r="O1004" i="2"/>
  <c r="AA1004" i="2"/>
  <c r="T998" i="2"/>
  <c r="P1004" i="2"/>
  <c r="AA1008" i="2"/>
  <c r="V998" i="2"/>
  <c r="H1000" i="2"/>
  <c r="F1004" i="2"/>
  <c r="R1004" i="2"/>
  <c r="P1008" i="2"/>
  <c r="AB1008" i="2"/>
  <c r="K998" i="2"/>
  <c r="W998" i="2"/>
  <c r="I1000" i="2"/>
  <c r="U1000" i="2"/>
  <c r="G1004" i="2"/>
  <c r="S1004" i="2"/>
  <c r="E1008" i="2"/>
  <c r="Q1008" i="2"/>
  <c r="O1012" i="2"/>
  <c r="AA1012" i="2"/>
  <c r="M1014" i="2"/>
  <c r="Y1014" i="2"/>
  <c r="L998" i="2"/>
  <c r="X998" i="2"/>
  <c r="J1000" i="2"/>
  <c r="V1000" i="2"/>
  <c r="H1004" i="2"/>
  <c r="T1004" i="2"/>
  <c r="F1008" i="2"/>
  <c r="R1008" i="2"/>
  <c r="D1012" i="2"/>
  <c r="P1012" i="2"/>
  <c r="AB1012" i="2"/>
  <c r="N1014" i="2"/>
  <c r="Z1014" i="2"/>
  <c r="H998" i="2"/>
  <c r="D1004" i="2"/>
  <c r="AB1004" i="2"/>
  <c r="I998" i="2"/>
  <c r="U998" i="2"/>
  <c r="G1000" i="2"/>
  <c r="S1000" i="2"/>
  <c r="E1004" i="2"/>
  <c r="Q1004" i="2"/>
  <c r="O1008" i="2"/>
  <c r="J998" i="2"/>
  <c r="T1000" i="2"/>
  <c r="D1008" i="2"/>
  <c r="M998" i="2"/>
  <c r="K1000" i="2"/>
  <c r="I1004" i="2"/>
  <c r="G1008" i="2"/>
  <c r="E1012" i="2"/>
  <c r="O1014" i="2"/>
  <c r="C784" i="2"/>
  <c r="R785" i="2" s="1"/>
  <c r="C782" i="2"/>
  <c r="R783" i="2" s="1"/>
  <c r="C780" i="2"/>
  <c r="V781" i="2" s="1"/>
  <c r="C778" i="2"/>
  <c r="V779" i="2" s="1"/>
  <c r="C776" i="2"/>
  <c r="X777" i="2" s="1"/>
  <c r="C774" i="2"/>
  <c r="U775" i="2" s="1"/>
  <c r="C772" i="2"/>
  <c r="R773" i="2" s="1"/>
  <c r="C770" i="2"/>
  <c r="R771" i="2" s="1"/>
  <c r="C768" i="2"/>
  <c r="V769" i="2" s="1"/>
  <c r="C766" i="2"/>
  <c r="U767" i="2" s="1"/>
  <c r="C764" i="2"/>
  <c r="Y765" i="2" s="1"/>
  <c r="C762" i="2"/>
  <c r="Y763" i="2" s="1"/>
  <c r="C760" i="2"/>
  <c r="X761" i="2" s="1"/>
  <c r="C758" i="2"/>
  <c r="Q759" i="2" s="1"/>
  <c r="C756" i="2"/>
  <c r="W757" i="2" s="1"/>
  <c r="C754" i="2"/>
  <c r="U755" i="2" s="1"/>
  <c r="C752" i="2"/>
  <c r="Q753" i="2" s="1"/>
  <c r="C750" i="2"/>
  <c r="P751" i="2" s="1"/>
  <c r="C748" i="2"/>
  <c r="V749" i="2" s="1"/>
  <c r="C746" i="2"/>
  <c r="W747" i="2" s="1"/>
  <c r="C744" i="2"/>
  <c r="R745" i="2" s="1"/>
  <c r="C742" i="2"/>
  <c r="Y743" i="2" s="1"/>
  <c r="C740" i="2"/>
  <c r="S741" i="2" s="1"/>
  <c r="C738" i="2"/>
  <c r="T739" i="2" s="1"/>
  <c r="Q737" i="2"/>
  <c r="C734" i="2"/>
  <c r="W735" i="2" s="1"/>
  <c r="C732" i="2"/>
  <c r="Y733" i="2" s="1"/>
  <c r="C730" i="2"/>
  <c r="W731" i="2" s="1"/>
  <c r="C728" i="2"/>
  <c r="X729" i="2" s="1"/>
  <c r="C726" i="2"/>
  <c r="W727" i="2" s="1"/>
  <c r="C724" i="2"/>
  <c r="Q725" i="2" s="1"/>
  <c r="C722" i="2"/>
  <c r="W723" i="2" s="1"/>
  <c r="C720" i="2"/>
  <c r="Y721" i="2" s="1"/>
  <c r="C718" i="2"/>
  <c r="U719" i="2" s="1"/>
  <c r="C716" i="2"/>
  <c r="U717" i="2" s="1"/>
  <c r="C714" i="2"/>
  <c r="Z715" i="2" s="1"/>
  <c r="C712" i="2"/>
  <c r="R713" i="2" s="1"/>
  <c r="C710" i="2"/>
  <c r="R711" i="2" s="1"/>
  <c r="C708" i="2"/>
  <c r="I709" i="2" s="1"/>
  <c r="C706" i="2"/>
  <c r="AB707" i="2" s="1"/>
  <c r="R755" i="2" l="1"/>
  <c r="S755" i="2"/>
  <c r="AA729" i="2"/>
  <c r="R775" i="2"/>
  <c r="V729" i="2"/>
  <c r="AA709" i="2"/>
  <c r="AB709" i="2"/>
  <c r="Z729" i="2"/>
  <c r="D751" i="2"/>
  <c r="T729" i="2"/>
  <c r="AB729" i="2"/>
  <c r="M755" i="2"/>
  <c r="N755" i="2"/>
  <c r="H709" i="2"/>
  <c r="O755" i="2"/>
  <c r="J709" i="2"/>
  <c r="P755" i="2"/>
  <c r="D755" i="2"/>
  <c r="K709" i="2"/>
  <c r="Z755" i="2"/>
  <c r="D727" i="2"/>
  <c r="AA755" i="2"/>
  <c r="AB755" i="2"/>
  <c r="F729" i="2"/>
  <c r="E755" i="2"/>
  <c r="E729" i="2"/>
  <c r="K755" i="2"/>
  <c r="F755" i="2"/>
  <c r="G755" i="2"/>
  <c r="I775" i="2"/>
  <c r="G729" i="2"/>
  <c r="I755" i="2"/>
  <c r="AA775" i="2"/>
  <c r="N729" i="2"/>
  <c r="J755" i="2"/>
  <c r="AB775" i="2"/>
  <c r="F709" i="2"/>
  <c r="O729" i="2"/>
  <c r="O779" i="2"/>
  <c r="G709" i="2"/>
  <c r="P729" i="2"/>
  <c r="L755" i="2"/>
  <c r="S775" i="2"/>
  <c r="V785" i="2"/>
  <c r="T785" i="2"/>
  <c r="U785" i="2"/>
  <c r="F785" i="2"/>
  <c r="Q785" i="2"/>
  <c r="S785" i="2"/>
  <c r="P785" i="2"/>
  <c r="L785" i="2"/>
  <c r="J785" i="2"/>
  <c r="M785" i="2"/>
  <c r="AB785" i="2"/>
  <c r="G785" i="2"/>
  <c r="K785" i="2"/>
  <c r="N785" i="2"/>
  <c r="Z785" i="2"/>
  <c r="AA785" i="2"/>
  <c r="D785" i="2"/>
  <c r="E785" i="2"/>
  <c r="W785" i="2"/>
  <c r="Z783" i="2"/>
  <c r="Y783" i="2"/>
  <c r="L783" i="2"/>
  <c r="W783" i="2"/>
  <c r="AB783" i="2"/>
  <c r="F783" i="2"/>
  <c r="V783" i="2"/>
  <c r="AA783" i="2"/>
  <c r="H783" i="2"/>
  <c r="I783" i="2"/>
  <c r="K783" i="2"/>
  <c r="X783" i="2"/>
  <c r="Q783" i="2"/>
  <c r="E783" i="2"/>
  <c r="G783" i="2"/>
  <c r="J783" i="2"/>
  <c r="N781" i="2"/>
  <c r="P781" i="2"/>
  <c r="K781" i="2"/>
  <c r="U781" i="2"/>
  <c r="M781" i="2"/>
  <c r="R781" i="2"/>
  <c r="O781" i="2"/>
  <c r="Q781" i="2"/>
  <c r="D781" i="2"/>
  <c r="AA781" i="2"/>
  <c r="G781" i="2"/>
  <c r="AB781" i="2"/>
  <c r="H781" i="2"/>
  <c r="X781" i="2"/>
  <c r="L781" i="2"/>
  <c r="T781" i="2"/>
  <c r="S781" i="2"/>
  <c r="Z781" i="2"/>
  <c r="W781" i="2"/>
  <c r="E781" i="2"/>
  <c r="F781" i="2"/>
  <c r="Y781" i="2"/>
  <c r="I781" i="2"/>
  <c r="J781" i="2"/>
  <c r="Q775" i="2"/>
  <c r="F775" i="2"/>
  <c r="G775" i="2"/>
  <c r="H775" i="2"/>
  <c r="L771" i="2"/>
  <c r="V761" i="2"/>
  <c r="L761" i="2"/>
  <c r="S761" i="2"/>
  <c r="K761" i="2"/>
  <c r="N761" i="2"/>
  <c r="R761" i="2"/>
  <c r="O761" i="2"/>
  <c r="Q761" i="2"/>
  <c r="I761" i="2"/>
  <c r="W761" i="2"/>
  <c r="J761" i="2"/>
  <c r="M761" i="2"/>
  <c r="D761" i="2"/>
  <c r="P761" i="2"/>
  <c r="E761" i="2"/>
  <c r="Z761" i="2"/>
  <c r="F761" i="2"/>
  <c r="AA761" i="2"/>
  <c r="U761" i="2"/>
  <c r="T761" i="2"/>
  <c r="AB761" i="2"/>
  <c r="Y761" i="2"/>
  <c r="G761" i="2"/>
  <c r="H761" i="2"/>
  <c r="F759" i="2"/>
  <c r="G759" i="2"/>
  <c r="H759" i="2"/>
  <c r="AA759" i="2"/>
  <c r="Y759" i="2"/>
  <c r="AB759" i="2"/>
  <c r="I759" i="2"/>
  <c r="D757" i="2"/>
  <c r="V757" i="2"/>
  <c r="U757" i="2"/>
  <c r="E757" i="2"/>
  <c r="N757" i="2"/>
  <c r="T757" i="2"/>
  <c r="S757" i="2"/>
  <c r="M757" i="2"/>
  <c r="O757" i="2"/>
  <c r="R757" i="2"/>
  <c r="P757" i="2"/>
  <c r="Z757" i="2"/>
  <c r="Y751" i="2"/>
  <c r="X751" i="2"/>
  <c r="U751" i="2"/>
  <c r="F751" i="2"/>
  <c r="AA751" i="2"/>
  <c r="L737" i="2"/>
  <c r="V737" i="2"/>
  <c r="K737" i="2"/>
  <c r="N737" i="2"/>
  <c r="O737" i="2"/>
  <c r="X737" i="2"/>
  <c r="P737" i="2"/>
  <c r="U737" i="2"/>
  <c r="F737" i="2"/>
  <c r="J737" i="2"/>
  <c r="M737" i="2"/>
  <c r="D737" i="2"/>
  <c r="E737" i="2"/>
  <c r="Y737" i="2"/>
  <c r="Z737" i="2"/>
  <c r="S737" i="2"/>
  <c r="AA737" i="2"/>
  <c r="G737" i="2"/>
  <c r="AB737" i="2"/>
  <c r="H737" i="2"/>
  <c r="I737" i="2"/>
  <c r="M735" i="2"/>
  <c r="N735" i="2"/>
  <c r="L735" i="2"/>
  <c r="Y735" i="2"/>
  <c r="V735" i="2"/>
  <c r="H735" i="2"/>
  <c r="I735" i="2"/>
  <c r="U735" i="2"/>
  <c r="J735" i="2"/>
  <c r="K733" i="2"/>
  <c r="L733" i="2"/>
  <c r="E727" i="2"/>
  <c r="L721" i="2"/>
  <c r="F715" i="2"/>
  <c r="AA715" i="2"/>
  <c r="E713" i="2"/>
  <c r="Z713" i="2"/>
  <c r="P713" i="2"/>
  <c r="D713" i="2"/>
  <c r="Q713" i="2"/>
  <c r="G711" i="2"/>
  <c r="H711" i="2"/>
  <c r="I711" i="2"/>
  <c r="J711" i="2"/>
  <c r="F711" i="2"/>
  <c r="E711" i="2"/>
  <c r="L711" i="2"/>
  <c r="Z711" i="2"/>
  <c r="K711" i="2"/>
  <c r="AA711" i="2"/>
  <c r="AB711" i="2"/>
  <c r="Y709" i="2"/>
  <c r="X709" i="2"/>
  <c r="I769" i="2"/>
  <c r="M721" i="2"/>
  <c r="S725" i="2"/>
  <c r="Q745" i="2"/>
  <c r="N721" i="2"/>
  <c r="E745" i="2"/>
  <c r="F745" i="2"/>
  <c r="P745" i="2"/>
  <c r="D745" i="2"/>
  <c r="Z745" i="2"/>
  <c r="AA745" i="2"/>
  <c r="U727" i="2"/>
  <c r="X743" i="2"/>
  <c r="M719" i="2"/>
  <c r="P771" i="2"/>
  <c r="N717" i="2"/>
  <c r="Z771" i="2"/>
  <c r="L719" i="2"/>
  <c r="J725" i="2"/>
  <c r="O725" i="2"/>
  <c r="G743" i="2"/>
  <c r="H743" i="2"/>
  <c r="R717" i="2"/>
  <c r="Z717" i="2"/>
  <c r="O719" i="2"/>
  <c r="O721" i="2"/>
  <c r="J743" i="2"/>
  <c r="G745" i="2"/>
  <c r="AB745" i="2"/>
  <c r="T767" i="2"/>
  <c r="V743" i="2"/>
  <c r="S721" i="2"/>
  <c r="Q717" i="2"/>
  <c r="S717" i="2"/>
  <c r="P717" i="2"/>
  <c r="X765" i="2"/>
  <c r="Y745" i="2"/>
  <c r="U743" i="2"/>
  <c r="R721" i="2"/>
  <c r="N719" i="2"/>
  <c r="L743" i="2"/>
  <c r="E765" i="2"/>
  <c r="W765" i="2"/>
  <c r="X745" i="2"/>
  <c r="T743" i="2"/>
  <c r="Q721" i="2"/>
  <c r="D719" i="2"/>
  <c r="AA719" i="2"/>
  <c r="J745" i="2"/>
  <c r="G765" i="2"/>
  <c r="X763" i="2"/>
  <c r="W745" i="2"/>
  <c r="S743" i="2"/>
  <c r="Y719" i="2"/>
  <c r="O717" i="2"/>
  <c r="D717" i="2"/>
  <c r="G719" i="2"/>
  <c r="AB719" i="2"/>
  <c r="N743" i="2"/>
  <c r="K745" i="2"/>
  <c r="H765" i="2"/>
  <c r="V745" i="2"/>
  <c r="R743" i="2"/>
  <c r="U729" i="2"/>
  <c r="X719" i="2"/>
  <c r="K743" i="2"/>
  <c r="E719" i="2"/>
  <c r="E717" i="2"/>
  <c r="I765" i="2"/>
  <c r="U745" i="2"/>
  <c r="Q743" i="2"/>
  <c r="T719" i="2"/>
  <c r="I743" i="2"/>
  <c r="W743" i="2"/>
  <c r="Z719" i="2"/>
  <c r="I745" i="2"/>
  <c r="H719" i="2"/>
  <c r="O743" i="2"/>
  <c r="I719" i="2"/>
  <c r="P743" i="2"/>
  <c r="M745" i="2"/>
  <c r="Z765" i="2"/>
  <c r="T745" i="2"/>
  <c r="S729" i="2"/>
  <c r="S719" i="2"/>
  <c r="T717" i="2"/>
  <c r="P719" i="2"/>
  <c r="H745" i="2"/>
  <c r="D721" i="2"/>
  <c r="D743" i="2"/>
  <c r="AA743" i="2"/>
  <c r="AB765" i="2"/>
  <c r="Y755" i="2"/>
  <c r="S745" i="2"/>
  <c r="R729" i="2"/>
  <c r="R719" i="2"/>
  <c r="T721" i="2"/>
  <c r="P721" i="2"/>
  <c r="H763" i="2"/>
  <c r="F719" i="2"/>
  <c r="M743" i="2"/>
  <c r="L745" i="2"/>
  <c r="K717" i="2"/>
  <c r="I721" i="2"/>
  <c r="P727" i="2"/>
  <c r="L717" i="2"/>
  <c r="J719" i="2"/>
  <c r="J721" i="2"/>
  <c r="Z727" i="2"/>
  <c r="N745" i="2"/>
  <c r="L709" i="2"/>
  <c r="M717" i="2"/>
  <c r="K719" i="2"/>
  <c r="K721" i="2"/>
  <c r="D729" i="2"/>
  <c r="M733" i="2"/>
  <c r="F743" i="2"/>
  <c r="AB743" i="2"/>
  <c r="O745" i="2"/>
  <c r="H755" i="2"/>
  <c r="J767" i="2"/>
  <c r="T775" i="2"/>
  <c r="T755" i="2"/>
  <c r="W737" i="2"/>
  <c r="V727" i="2"/>
  <c r="Q719" i="2"/>
  <c r="G723" i="2"/>
  <c r="P725" i="2"/>
  <c r="K769" i="2"/>
  <c r="AA771" i="2"/>
  <c r="Y771" i="2"/>
  <c r="V723" i="2"/>
  <c r="Q709" i="2"/>
  <c r="F723" i="2"/>
  <c r="J769" i="2"/>
  <c r="H723" i="2"/>
  <c r="Z725" i="2"/>
  <c r="L769" i="2"/>
  <c r="X771" i="2"/>
  <c r="Q755" i="2"/>
  <c r="U723" i="2"/>
  <c r="AA723" i="2"/>
  <c r="AA725" i="2"/>
  <c r="D771" i="2"/>
  <c r="W771" i="2"/>
  <c r="E771" i="2"/>
  <c r="V771" i="2"/>
  <c r="R725" i="2"/>
  <c r="AB725" i="2"/>
  <c r="D725" i="2"/>
  <c r="F771" i="2"/>
  <c r="Q771" i="2"/>
  <c r="AB723" i="2"/>
  <c r="E725" i="2"/>
  <c r="K771" i="2"/>
  <c r="U769" i="2"/>
  <c r="X725" i="2"/>
  <c r="Y711" i="2"/>
  <c r="T769" i="2"/>
  <c r="X755" i="2"/>
  <c r="T735" i="2"/>
  <c r="W725" i="2"/>
  <c r="X711" i="2"/>
  <c r="F725" i="2"/>
  <c r="G725" i="2"/>
  <c r="M771" i="2"/>
  <c r="S769" i="2"/>
  <c r="W755" i="2"/>
  <c r="X733" i="2"/>
  <c r="V725" i="2"/>
  <c r="W711" i="2"/>
  <c r="N771" i="2"/>
  <c r="R769" i="2"/>
  <c r="V755" i="2"/>
  <c r="W733" i="2"/>
  <c r="U725" i="2"/>
  <c r="V711" i="2"/>
  <c r="H725" i="2"/>
  <c r="I725" i="2"/>
  <c r="H769" i="2"/>
  <c r="O771" i="2"/>
  <c r="Q769" i="2"/>
  <c r="W729" i="2"/>
  <c r="T725" i="2"/>
  <c r="Q711" i="2"/>
  <c r="H785" i="2"/>
  <c r="Y785" i="2"/>
  <c r="I785" i="2"/>
  <c r="X785" i="2"/>
  <c r="O785" i="2"/>
  <c r="M783" i="2"/>
  <c r="U783" i="2"/>
  <c r="N783" i="2"/>
  <c r="T783" i="2"/>
  <c r="O783" i="2"/>
  <c r="S783" i="2"/>
  <c r="D783" i="2"/>
  <c r="P783" i="2"/>
  <c r="D779" i="2"/>
  <c r="P779" i="2"/>
  <c r="T779" i="2"/>
  <c r="U779" i="2"/>
  <c r="H779" i="2"/>
  <c r="I779" i="2"/>
  <c r="Z779" i="2"/>
  <c r="F779" i="2"/>
  <c r="G779" i="2"/>
  <c r="J779" i="2"/>
  <c r="S779" i="2"/>
  <c r="Q779" i="2"/>
  <c r="K779" i="2"/>
  <c r="Y779" i="2"/>
  <c r="E779" i="2"/>
  <c r="R779" i="2"/>
  <c r="L779" i="2"/>
  <c r="X779" i="2"/>
  <c r="M779" i="2"/>
  <c r="W779" i="2"/>
  <c r="AA779" i="2"/>
  <c r="AB779" i="2"/>
  <c r="N779" i="2"/>
  <c r="W777" i="2"/>
  <c r="V777" i="2"/>
  <c r="U777" i="2"/>
  <c r="T777" i="2"/>
  <c r="F777" i="2"/>
  <c r="I777" i="2"/>
  <c r="N777" i="2"/>
  <c r="O777" i="2"/>
  <c r="D777" i="2"/>
  <c r="E777" i="2"/>
  <c r="AA777" i="2"/>
  <c r="S777" i="2"/>
  <c r="G777" i="2"/>
  <c r="H777" i="2"/>
  <c r="Q777" i="2"/>
  <c r="J777" i="2"/>
  <c r="P777" i="2"/>
  <c r="Z777" i="2"/>
  <c r="AB777" i="2"/>
  <c r="R777" i="2"/>
  <c r="K777" i="2"/>
  <c r="L777" i="2"/>
  <c r="Y777" i="2"/>
  <c r="M777" i="2"/>
  <c r="L775" i="2"/>
  <c r="Y775" i="2"/>
  <c r="X775" i="2"/>
  <c r="O775" i="2"/>
  <c r="W775" i="2"/>
  <c r="J775" i="2"/>
  <c r="K775" i="2"/>
  <c r="M775" i="2"/>
  <c r="D775" i="2"/>
  <c r="P775" i="2"/>
  <c r="V775" i="2"/>
  <c r="N775" i="2"/>
  <c r="E775" i="2"/>
  <c r="Z775" i="2"/>
  <c r="M773" i="2"/>
  <c r="D773" i="2"/>
  <c r="P773" i="2"/>
  <c r="W773" i="2"/>
  <c r="E773" i="2"/>
  <c r="Z773" i="2"/>
  <c r="V773" i="2"/>
  <c r="F773" i="2"/>
  <c r="AA773" i="2"/>
  <c r="U773" i="2"/>
  <c r="J773" i="2"/>
  <c r="Q773" i="2"/>
  <c r="K773" i="2"/>
  <c r="Y773" i="2"/>
  <c r="G773" i="2"/>
  <c r="AB773" i="2"/>
  <c r="T773" i="2"/>
  <c r="L773" i="2"/>
  <c r="N773" i="2"/>
  <c r="O773" i="2"/>
  <c r="X773" i="2"/>
  <c r="H773" i="2"/>
  <c r="S773" i="2"/>
  <c r="I773" i="2"/>
  <c r="G771" i="2"/>
  <c r="AB771" i="2"/>
  <c r="U771" i="2"/>
  <c r="H771" i="2"/>
  <c r="T771" i="2"/>
  <c r="I771" i="2"/>
  <c r="S771" i="2"/>
  <c r="J771" i="2"/>
  <c r="N769" i="2"/>
  <c r="O769" i="2"/>
  <c r="D769" i="2"/>
  <c r="P769" i="2"/>
  <c r="Y769" i="2"/>
  <c r="E769" i="2"/>
  <c r="Z769" i="2"/>
  <c r="X769" i="2"/>
  <c r="M769" i="2"/>
  <c r="F769" i="2"/>
  <c r="AA769" i="2"/>
  <c r="W769" i="2"/>
  <c r="G769" i="2"/>
  <c r="AB769" i="2"/>
  <c r="M767" i="2"/>
  <c r="N767" i="2"/>
  <c r="O767" i="2"/>
  <c r="Q767" i="2"/>
  <c r="D767" i="2"/>
  <c r="P767" i="2"/>
  <c r="K767" i="2"/>
  <c r="S767" i="2"/>
  <c r="L767" i="2"/>
  <c r="R767" i="2"/>
  <c r="E767" i="2"/>
  <c r="Z767" i="2"/>
  <c r="Y767" i="2"/>
  <c r="F767" i="2"/>
  <c r="AA767" i="2"/>
  <c r="X767" i="2"/>
  <c r="G767" i="2"/>
  <c r="AB767" i="2"/>
  <c r="W767" i="2"/>
  <c r="H767" i="2"/>
  <c r="V767" i="2"/>
  <c r="I767" i="2"/>
  <c r="K765" i="2"/>
  <c r="T765" i="2"/>
  <c r="L765" i="2"/>
  <c r="S765" i="2"/>
  <c r="M765" i="2"/>
  <c r="R765" i="2"/>
  <c r="N765" i="2"/>
  <c r="Q765" i="2"/>
  <c r="V765" i="2"/>
  <c r="J765" i="2"/>
  <c r="U765" i="2"/>
  <c r="O765" i="2"/>
  <c r="D765" i="2"/>
  <c r="P765" i="2"/>
  <c r="F765" i="2"/>
  <c r="AA765" i="2"/>
  <c r="J763" i="2"/>
  <c r="V763" i="2"/>
  <c r="K763" i="2"/>
  <c r="U763" i="2"/>
  <c r="L763" i="2"/>
  <c r="T763" i="2"/>
  <c r="M763" i="2"/>
  <c r="S763" i="2"/>
  <c r="W763" i="2"/>
  <c r="N763" i="2"/>
  <c r="R763" i="2"/>
  <c r="Q763" i="2"/>
  <c r="D763" i="2"/>
  <c r="P763" i="2"/>
  <c r="E763" i="2"/>
  <c r="Z763" i="2"/>
  <c r="I763" i="2"/>
  <c r="O763" i="2"/>
  <c r="F763" i="2"/>
  <c r="AA763" i="2"/>
  <c r="G763" i="2"/>
  <c r="AB763" i="2"/>
  <c r="J759" i="2"/>
  <c r="K759" i="2"/>
  <c r="W759" i="2"/>
  <c r="L759" i="2"/>
  <c r="V759" i="2"/>
  <c r="N759" i="2"/>
  <c r="T759" i="2"/>
  <c r="O759" i="2"/>
  <c r="S759" i="2"/>
  <c r="U759" i="2"/>
  <c r="D759" i="2"/>
  <c r="P759" i="2"/>
  <c r="R759" i="2"/>
  <c r="X759" i="2"/>
  <c r="M759" i="2"/>
  <c r="E759" i="2"/>
  <c r="Z759" i="2"/>
  <c r="AB757" i="2"/>
  <c r="I757" i="2"/>
  <c r="AA757" i="2"/>
  <c r="Q757" i="2"/>
  <c r="H757" i="2"/>
  <c r="J757" i="2"/>
  <c r="Y757" i="2"/>
  <c r="F757" i="2"/>
  <c r="G757" i="2"/>
  <c r="K757" i="2"/>
  <c r="X757" i="2"/>
  <c r="L757" i="2"/>
  <c r="K753" i="2"/>
  <c r="L753" i="2"/>
  <c r="Y753" i="2"/>
  <c r="X753" i="2"/>
  <c r="N753" i="2"/>
  <c r="W753" i="2"/>
  <c r="J753" i="2"/>
  <c r="M753" i="2"/>
  <c r="O753" i="2"/>
  <c r="V753" i="2"/>
  <c r="D753" i="2"/>
  <c r="P753" i="2"/>
  <c r="U753" i="2"/>
  <c r="E753" i="2"/>
  <c r="Z753" i="2"/>
  <c r="T753" i="2"/>
  <c r="I753" i="2"/>
  <c r="F753" i="2"/>
  <c r="AA753" i="2"/>
  <c r="S753" i="2"/>
  <c r="G753" i="2"/>
  <c r="AB753" i="2"/>
  <c r="R753" i="2"/>
  <c r="H753" i="2"/>
  <c r="L751" i="2"/>
  <c r="V751" i="2"/>
  <c r="M751" i="2"/>
  <c r="T751" i="2"/>
  <c r="N751" i="2"/>
  <c r="G751" i="2"/>
  <c r="AB751" i="2"/>
  <c r="S751" i="2"/>
  <c r="H751" i="2"/>
  <c r="R751" i="2"/>
  <c r="I751" i="2"/>
  <c r="Q751" i="2"/>
  <c r="J751" i="2"/>
  <c r="K751" i="2"/>
  <c r="O751" i="2"/>
  <c r="W751" i="2"/>
  <c r="E751" i="2"/>
  <c r="Z751" i="2"/>
  <c r="AB749" i="2"/>
  <c r="T749" i="2"/>
  <c r="H749" i="2"/>
  <c r="S749" i="2"/>
  <c r="I749" i="2"/>
  <c r="R749" i="2"/>
  <c r="J749" i="2"/>
  <c r="Q749" i="2"/>
  <c r="K749" i="2"/>
  <c r="L749" i="2"/>
  <c r="AA749" i="2"/>
  <c r="M749" i="2"/>
  <c r="N749" i="2"/>
  <c r="Y749" i="2"/>
  <c r="F749" i="2"/>
  <c r="U749" i="2"/>
  <c r="G749" i="2"/>
  <c r="O749" i="2"/>
  <c r="X749" i="2"/>
  <c r="D749" i="2"/>
  <c r="P749" i="2"/>
  <c r="W749" i="2"/>
  <c r="E749" i="2"/>
  <c r="Z749" i="2"/>
  <c r="F747" i="2"/>
  <c r="V747" i="2"/>
  <c r="AB747" i="2"/>
  <c r="T747" i="2"/>
  <c r="I747" i="2"/>
  <c r="S747" i="2"/>
  <c r="U747" i="2"/>
  <c r="H747" i="2"/>
  <c r="L747" i="2"/>
  <c r="G747" i="2"/>
  <c r="J747" i="2"/>
  <c r="R747" i="2"/>
  <c r="Q747" i="2"/>
  <c r="M747" i="2"/>
  <c r="AA747" i="2"/>
  <c r="K747" i="2"/>
  <c r="N747" i="2"/>
  <c r="O747" i="2"/>
  <c r="Y747" i="2"/>
  <c r="D747" i="2"/>
  <c r="P747" i="2"/>
  <c r="X747" i="2"/>
  <c r="E747" i="2"/>
  <c r="Z747" i="2"/>
  <c r="E743" i="2"/>
  <c r="Z743" i="2"/>
  <c r="N741" i="2"/>
  <c r="Q741" i="2"/>
  <c r="O741" i="2"/>
  <c r="P741" i="2"/>
  <c r="Z741" i="2"/>
  <c r="AA741" i="2"/>
  <c r="Y741" i="2"/>
  <c r="M741" i="2"/>
  <c r="E741" i="2"/>
  <c r="F741" i="2"/>
  <c r="G741" i="2"/>
  <c r="AB741" i="2"/>
  <c r="X741" i="2"/>
  <c r="D741" i="2"/>
  <c r="H741" i="2"/>
  <c r="W741" i="2"/>
  <c r="I741" i="2"/>
  <c r="V741" i="2"/>
  <c r="R741" i="2"/>
  <c r="J741" i="2"/>
  <c r="U741" i="2"/>
  <c r="K741" i="2"/>
  <c r="T741" i="2"/>
  <c r="L741" i="2"/>
  <c r="R739" i="2"/>
  <c r="O739" i="2"/>
  <c r="Q739" i="2"/>
  <c r="Z739" i="2"/>
  <c r="AA739" i="2"/>
  <c r="D739" i="2"/>
  <c r="E739" i="2"/>
  <c r="F739" i="2"/>
  <c r="G739" i="2"/>
  <c r="AB739" i="2"/>
  <c r="Y739" i="2"/>
  <c r="P739" i="2"/>
  <c r="I739" i="2"/>
  <c r="W739" i="2"/>
  <c r="M739" i="2"/>
  <c r="S739" i="2"/>
  <c r="H739" i="2"/>
  <c r="X739" i="2"/>
  <c r="J739" i="2"/>
  <c r="V739" i="2"/>
  <c r="N739" i="2"/>
  <c r="K739" i="2"/>
  <c r="U739" i="2"/>
  <c r="L739" i="2"/>
  <c r="T737" i="2"/>
  <c r="R737" i="2"/>
  <c r="O735" i="2"/>
  <c r="S735" i="2"/>
  <c r="D735" i="2"/>
  <c r="P735" i="2"/>
  <c r="R735" i="2"/>
  <c r="E735" i="2"/>
  <c r="Z735" i="2"/>
  <c r="Q735" i="2"/>
  <c r="F735" i="2"/>
  <c r="AA735" i="2"/>
  <c r="G735" i="2"/>
  <c r="AB735" i="2"/>
  <c r="X735" i="2"/>
  <c r="K735" i="2"/>
  <c r="U733" i="2"/>
  <c r="T733" i="2"/>
  <c r="D733" i="2"/>
  <c r="S733" i="2"/>
  <c r="R733" i="2"/>
  <c r="Z733" i="2"/>
  <c r="F733" i="2"/>
  <c r="AA733" i="2"/>
  <c r="Q733" i="2"/>
  <c r="V733" i="2"/>
  <c r="O733" i="2"/>
  <c r="P733" i="2"/>
  <c r="E733" i="2"/>
  <c r="G733" i="2"/>
  <c r="AB733" i="2"/>
  <c r="N733" i="2"/>
  <c r="H733" i="2"/>
  <c r="I733" i="2"/>
  <c r="J733" i="2"/>
  <c r="M731" i="2"/>
  <c r="N731" i="2"/>
  <c r="O731" i="2"/>
  <c r="U731" i="2"/>
  <c r="P731" i="2"/>
  <c r="T731" i="2"/>
  <c r="Z731" i="2"/>
  <c r="R731" i="2"/>
  <c r="V731" i="2"/>
  <c r="D731" i="2"/>
  <c r="E731" i="2"/>
  <c r="S731" i="2"/>
  <c r="F731" i="2"/>
  <c r="AA731" i="2"/>
  <c r="G731" i="2"/>
  <c r="AB731" i="2"/>
  <c r="Q731" i="2"/>
  <c r="H731" i="2"/>
  <c r="I731" i="2"/>
  <c r="J731" i="2"/>
  <c r="K731" i="2"/>
  <c r="Y731" i="2"/>
  <c r="L731" i="2"/>
  <c r="X731" i="2"/>
  <c r="J729" i="2"/>
  <c r="K729" i="2"/>
  <c r="H729" i="2"/>
  <c r="Q729" i="2"/>
  <c r="I729" i="2"/>
  <c r="L729" i="2"/>
  <c r="Y729" i="2"/>
  <c r="M729" i="2"/>
  <c r="S727" i="2"/>
  <c r="H727" i="2"/>
  <c r="R727" i="2"/>
  <c r="K727" i="2"/>
  <c r="AB727" i="2"/>
  <c r="I727" i="2"/>
  <c r="Q727" i="2"/>
  <c r="J727" i="2"/>
  <c r="L727" i="2"/>
  <c r="F727" i="2"/>
  <c r="M727" i="2"/>
  <c r="N727" i="2"/>
  <c r="X727" i="2"/>
  <c r="AA727" i="2"/>
  <c r="T727" i="2"/>
  <c r="G727" i="2"/>
  <c r="Y727" i="2"/>
  <c r="O727" i="2"/>
  <c r="K725" i="2"/>
  <c r="L725" i="2"/>
  <c r="M725" i="2"/>
  <c r="N725" i="2"/>
  <c r="Y725" i="2"/>
  <c r="I723" i="2"/>
  <c r="J723" i="2"/>
  <c r="K723" i="2"/>
  <c r="L723" i="2"/>
  <c r="S723" i="2"/>
  <c r="M723" i="2"/>
  <c r="R723" i="2"/>
  <c r="N723" i="2"/>
  <c r="T723" i="2"/>
  <c r="O723" i="2"/>
  <c r="Y723" i="2"/>
  <c r="Q723" i="2"/>
  <c r="D723" i="2"/>
  <c r="P723" i="2"/>
  <c r="X723" i="2"/>
  <c r="E723" i="2"/>
  <c r="Z723" i="2"/>
  <c r="E721" i="2"/>
  <c r="Z721" i="2"/>
  <c r="X721" i="2"/>
  <c r="F721" i="2"/>
  <c r="AA721" i="2"/>
  <c r="W721" i="2"/>
  <c r="G721" i="2"/>
  <c r="AB721" i="2"/>
  <c r="V721" i="2"/>
  <c r="H721" i="2"/>
  <c r="U721" i="2"/>
  <c r="W719" i="2"/>
  <c r="V719" i="2"/>
  <c r="F717" i="2"/>
  <c r="AA717" i="2"/>
  <c r="Y717" i="2"/>
  <c r="G717" i="2"/>
  <c r="AB717" i="2"/>
  <c r="X717" i="2"/>
  <c r="H717" i="2"/>
  <c r="W717" i="2"/>
  <c r="I717" i="2"/>
  <c r="V717" i="2"/>
  <c r="J717" i="2"/>
  <c r="G715" i="2"/>
  <c r="AB715" i="2"/>
  <c r="Y715" i="2"/>
  <c r="H715" i="2"/>
  <c r="I715" i="2"/>
  <c r="J715" i="2"/>
  <c r="V715" i="2"/>
  <c r="K715" i="2"/>
  <c r="U715" i="2"/>
  <c r="W715" i="2"/>
  <c r="L715" i="2"/>
  <c r="M715" i="2"/>
  <c r="S715" i="2"/>
  <c r="N715" i="2"/>
  <c r="R715" i="2"/>
  <c r="X715" i="2"/>
  <c r="T715" i="2"/>
  <c r="O715" i="2"/>
  <c r="Q715" i="2"/>
  <c r="D715" i="2"/>
  <c r="P715" i="2"/>
  <c r="E715" i="2"/>
  <c r="F713" i="2"/>
  <c r="AA713" i="2"/>
  <c r="G713" i="2"/>
  <c r="AB713" i="2"/>
  <c r="H713" i="2"/>
  <c r="Y713" i="2"/>
  <c r="I713" i="2"/>
  <c r="X713" i="2"/>
  <c r="J713" i="2"/>
  <c r="W713" i="2"/>
  <c r="K713" i="2"/>
  <c r="V713" i="2"/>
  <c r="L713" i="2"/>
  <c r="U713" i="2"/>
  <c r="M713" i="2"/>
  <c r="T713" i="2"/>
  <c r="N713" i="2"/>
  <c r="S713" i="2"/>
  <c r="O713" i="2"/>
  <c r="M711" i="2"/>
  <c r="U711" i="2"/>
  <c r="N711" i="2"/>
  <c r="T711" i="2"/>
  <c r="O711" i="2"/>
  <c r="S711" i="2"/>
  <c r="D711" i="2"/>
  <c r="P711" i="2"/>
  <c r="W709" i="2"/>
  <c r="V709" i="2"/>
  <c r="N709" i="2"/>
  <c r="U709" i="2"/>
  <c r="O709" i="2"/>
  <c r="T709" i="2"/>
  <c r="M709" i="2"/>
  <c r="D709" i="2"/>
  <c r="P709" i="2"/>
  <c r="S709" i="2"/>
  <c r="E709" i="2"/>
  <c r="Z709" i="2"/>
  <c r="R709" i="2"/>
  <c r="S707" i="2"/>
  <c r="I707" i="2"/>
  <c r="U707" i="2"/>
  <c r="J707" i="2"/>
  <c r="V707" i="2"/>
  <c r="K707" i="2"/>
  <c r="W707" i="2"/>
  <c r="L707" i="2"/>
  <c r="X707" i="2"/>
  <c r="M707" i="2"/>
  <c r="Y707" i="2"/>
  <c r="N707" i="2"/>
  <c r="Z707" i="2"/>
  <c r="E707" i="2"/>
  <c r="Q707" i="2"/>
  <c r="F707" i="2"/>
  <c r="R707" i="2"/>
  <c r="G707" i="2"/>
  <c r="H707" i="2"/>
  <c r="T707" i="2"/>
  <c r="O707" i="2"/>
  <c r="AA707" i="2"/>
  <c r="D707" i="2"/>
  <c r="P707" i="2"/>
  <c r="C686" i="2" l="1"/>
  <c r="C516" i="2"/>
  <c r="C1350" i="2" l="1"/>
  <c r="AB1351" i="2" s="1"/>
  <c r="E1351" i="2" l="1"/>
  <c r="Q1351" i="2"/>
  <c r="F1351" i="2"/>
  <c r="R1351" i="2"/>
  <c r="G1351" i="2"/>
  <c r="S1351" i="2"/>
  <c r="H1351" i="2"/>
  <c r="T1351" i="2"/>
  <c r="I1351" i="2"/>
  <c r="U1351" i="2"/>
  <c r="J1351" i="2"/>
  <c r="V1351" i="2"/>
  <c r="K1351" i="2"/>
  <c r="W1351" i="2"/>
  <c r="L1351" i="2"/>
  <c r="X1351" i="2"/>
  <c r="M1351" i="2"/>
  <c r="Y1351" i="2"/>
  <c r="N1351" i="2"/>
  <c r="Z1351" i="2"/>
  <c r="O1351" i="2"/>
  <c r="AA1351" i="2"/>
  <c r="D1351" i="2"/>
  <c r="P1351" i="2"/>
  <c r="AB1386" i="2" l="1"/>
  <c r="C1380" i="2"/>
  <c r="C1391" i="2" s="1"/>
  <c r="E1386" i="2" l="1"/>
  <c r="D1386" i="2"/>
  <c r="T1386" i="2"/>
  <c r="S1386" i="2"/>
  <c r="G1386" i="2"/>
  <c r="H1386" i="2"/>
  <c r="I1386" i="2"/>
  <c r="J1386" i="2"/>
  <c r="K1386" i="2"/>
  <c r="L1386" i="2"/>
  <c r="Z1386" i="2"/>
  <c r="N1386" i="2"/>
  <c r="Q1386" i="2"/>
  <c r="R1386" i="2"/>
  <c r="F1386" i="2"/>
  <c r="U1386" i="2"/>
  <c r="V1386" i="2"/>
  <c r="W1386" i="2"/>
  <c r="X1386" i="2"/>
  <c r="Y1386" i="2"/>
  <c r="M1386" i="2"/>
  <c r="O1386" i="2"/>
  <c r="AA1386" i="2"/>
  <c r="P1386" i="2"/>
  <c r="C1399" i="2"/>
  <c r="C1401" i="2" s="1"/>
  <c r="C1290" i="2" l="1"/>
  <c r="C1164" i="2" l="1"/>
  <c r="C1148" i="2" l="1"/>
  <c r="C1048" i="2"/>
  <c r="C1268" i="2" l="1"/>
  <c r="C1280" i="2"/>
  <c r="C1284" i="2"/>
  <c r="C1286" i="2"/>
  <c r="C1288" i="2"/>
  <c r="C1292" i="2"/>
  <c r="C1294" i="2"/>
  <c r="C1296" i="2"/>
  <c r="C1298" i="2"/>
  <c r="C1300" i="2"/>
  <c r="C1304" i="2"/>
  <c r="C1306" i="2"/>
  <c r="C1308" i="2"/>
  <c r="C1310" i="2"/>
  <c r="C1312" i="2"/>
  <c r="C1318" i="2"/>
  <c r="C1162" i="2"/>
  <c r="C1160" i="2"/>
  <c r="C1170" i="2" s="1"/>
  <c r="C1142" i="2"/>
  <c r="C1152" i="2" s="1"/>
  <c r="C1144" i="2"/>
  <c r="C1146" i="2"/>
  <c r="C1150" i="2"/>
  <c r="C1110" i="2"/>
  <c r="C1112" i="2"/>
  <c r="C1114" i="2"/>
  <c r="C1116" i="2"/>
  <c r="C1118" i="2"/>
  <c r="C1120" i="2"/>
  <c r="C1122" i="2"/>
  <c r="C1124" i="2"/>
  <c r="C1126" i="2"/>
  <c r="C1128" i="2"/>
  <c r="C1130" i="2"/>
  <c r="C1092" i="2"/>
  <c r="C1070" i="2"/>
  <c r="C1072" i="2"/>
  <c r="C1078" i="2"/>
  <c r="C1080" i="2"/>
  <c r="C1082" i="2"/>
  <c r="C1040" i="2"/>
  <c r="C1042" i="2"/>
  <c r="C1044" i="2"/>
  <c r="D1045" i="2" s="1"/>
  <c r="C1046" i="2"/>
  <c r="C1050" i="2"/>
  <c r="C1054" i="2"/>
  <c r="C1056" i="2"/>
  <c r="C1058" i="2"/>
  <c r="C1038" i="2"/>
  <c r="C1060" i="2" s="1"/>
  <c r="C800" i="2"/>
  <c r="C802" i="2"/>
  <c r="C804" i="2"/>
  <c r="C806" i="2"/>
  <c r="C808" i="2"/>
  <c r="D809" i="2" s="1"/>
  <c r="C810" i="2"/>
  <c r="C812" i="2"/>
  <c r="C814" i="2"/>
  <c r="C816" i="2"/>
  <c r="C818" i="2"/>
  <c r="C820" i="2"/>
  <c r="C822" i="2"/>
  <c r="C824" i="2"/>
  <c r="C826" i="2"/>
  <c r="C828" i="2"/>
  <c r="C830" i="2"/>
  <c r="C834" i="2"/>
  <c r="C836" i="2"/>
  <c r="C838" i="2"/>
  <c r="C798" i="2"/>
  <c r="C178" i="2"/>
  <c r="C180" i="2"/>
  <c r="C184" i="2"/>
  <c r="C186" i="2"/>
  <c r="C188" i="2"/>
  <c r="C194" i="2"/>
  <c r="C196" i="2"/>
  <c r="C198" i="2"/>
  <c r="C200" i="2"/>
  <c r="C176" i="2"/>
  <c r="H177" i="2" l="1"/>
  <c r="B9" i="3"/>
  <c r="B10" i="3" s="1"/>
  <c r="C842" i="2"/>
  <c r="C248" i="2" l="1"/>
  <c r="C272" i="2" l="1"/>
  <c r="C274" i="2"/>
  <c r="C282" i="2"/>
  <c r="C286" i="2"/>
  <c r="C292" i="2"/>
  <c r="C298" i="2"/>
  <c r="C306" i="2"/>
  <c r="C320" i="2"/>
  <c r="C322" i="2"/>
  <c r="C340" i="2"/>
  <c r="C368" i="2"/>
  <c r="C370" i="2"/>
  <c r="C372" i="2"/>
  <c r="C388" i="2"/>
  <c r="C390" i="2"/>
  <c r="C392" i="2"/>
  <c r="C394" i="2"/>
  <c r="C396" i="2"/>
  <c r="C398" i="2"/>
  <c r="C404" i="2"/>
  <c r="C416" i="2"/>
  <c r="C422" i="2"/>
  <c r="C424" i="2"/>
  <c r="C430" i="2"/>
  <c r="C432" i="2"/>
  <c r="C434" i="2"/>
  <c r="C440" i="2"/>
  <c r="C450" i="2"/>
  <c r="C472" i="2"/>
  <c r="C486" i="2"/>
  <c r="C304" i="2"/>
  <c r="C302" i="2"/>
  <c r="C480" i="2" l="1"/>
  <c r="U481" i="2" s="1"/>
  <c r="C478" i="2"/>
  <c r="C484" i="2"/>
  <c r="Q485" i="2" s="1"/>
  <c r="C482" i="2"/>
  <c r="Z483" i="2" s="1"/>
  <c r="C476" i="2"/>
  <c r="C474" i="2"/>
  <c r="C458" i="2"/>
  <c r="C456" i="2"/>
  <c r="C466" i="2"/>
  <c r="C464" i="2"/>
  <c r="C462" i="2"/>
  <c r="C460" i="2"/>
  <c r="C454" i="2"/>
  <c r="C452" i="2"/>
  <c r="C470" i="2"/>
  <c r="C468" i="2"/>
  <c r="C448" i="2"/>
  <c r="C446" i="2"/>
  <c r="C426" i="2"/>
  <c r="C428" i="2"/>
  <c r="C444" i="2"/>
  <c r="C442" i="2"/>
  <c r="C438" i="2"/>
  <c r="C436" i="2"/>
  <c r="C406" i="2"/>
  <c r="C408" i="2"/>
  <c r="C420" i="2"/>
  <c r="C418" i="2"/>
  <c r="C380" i="2"/>
  <c r="C378" i="2"/>
  <c r="C376" i="2"/>
  <c r="C374" i="2"/>
  <c r="C384" i="2"/>
  <c r="C382" i="2"/>
  <c r="C412" i="2"/>
  <c r="C410" i="2"/>
  <c r="C366" i="2"/>
  <c r="C364" i="2"/>
  <c r="C358" i="2"/>
  <c r="C356" i="2"/>
  <c r="C362" i="2"/>
  <c r="C360" i="2"/>
  <c r="C354" i="2"/>
  <c r="C352" i="2"/>
  <c r="C402" i="2"/>
  <c r="C400" i="2"/>
  <c r="C338" i="2"/>
  <c r="C336" i="2"/>
  <c r="C334" i="2"/>
  <c r="C332" i="2"/>
  <c r="C330" i="2"/>
  <c r="C328" i="2"/>
  <c r="C326" i="2"/>
  <c r="C324" i="2"/>
  <c r="C310" i="2"/>
  <c r="C308" i="2"/>
  <c r="C344" i="2"/>
  <c r="C342" i="2"/>
  <c r="C296" i="2"/>
  <c r="C294" i="2"/>
  <c r="C318" i="2"/>
  <c r="C316" i="2"/>
  <c r="C350" i="2"/>
  <c r="C348" i="2"/>
  <c r="C314" i="2"/>
  <c r="C312" i="2"/>
  <c r="F291" i="2"/>
  <c r="E481" i="2" l="1"/>
  <c r="I481" i="2"/>
  <c r="Y481" i="2"/>
  <c r="AB485" i="2"/>
  <c r="I485" i="2"/>
  <c r="Y485" i="2"/>
  <c r="M481" i="2"/>
  <c r="AB481" i="2"/>
  <c r="Q481" i="2"/>
  <c r="F481" i="2"/>
  <c r="J481" i="2"/>
  <c r="N481" i="2"/>
  <c r="R481" i="2"/>
  <c r="V481" i="2"/>
  <c r="Z481" i="2"/>
  <c r="G481" i="2"/>
  <c r="K481" i="2"/>
  <c r="O481" i="2"/>
  <c r="S481" i="2"/>
  <c r="W481" i="2"/>
  <c r="AA481" i="2"/>
  <c r="D481" i="2"/>
  <c r="H481" i="2"/>
  <c r="L481" i="2"/>
  <c r="P481" i="2"/>
  <c r="T481" i="2"/>
  <c r="X481" i="2"/>
  <c r="J485" i="2"/>
  <c r="R485" i="2"/>
  <c r="Z485" i="2"/>
  <c r="E485" i="2"/>
  <c r="M485" i="2"/>
  <c r="U485" i="2"/>
  <c r="F485" i="2"/>
  <c r="N485" i="2"/>
  <c r="V485" i="2"/>
  <c r="G485" i="2"/>
  <c r="K485" i="2"/>
  <c r="O485" i="2"/>
  <c r="S485" i="2"/>
  <c r="W485" i="2"/>
  <c r="AA485" i="2"/>
  <c r="D485" i="2"/>
  <c r="H485" i="2"/>
  <c r="L485" i="2"/>
  <c r="P485" i="2"/>
  <c r="T485" i="2"/>
  <c r="X485" i="2"/>
  <c r="AB487" i="2"/>
  <c r="X487" i="2"/>
  <c r="T487" i="2"/>
  <c r="P487" i="2"/>
  <c r="L487" i="2"/>
  <c r="H487" i="2"/>
  <c r="D487" i="2"/>
  <c r="U487" i="2"/>
  <c r="I487" i="2"/>
  <c r="AA487" i="2"/>
  <c r="W487" i="2"/>
  <c r="S487" i="2"/>
  <c r="O487" i="2"/>
  <c r="K487" i="2"/>
  <c r="G487" i="2"/>
  <c r="Q487" i="2"/>
  <c r="Z487" i="2"/>
  <c r="V487" i="2"/>
  <c r="R487" i="2"/>
  <c r="N487" i="2"/>
  <c r="J487" i="2"/>
  <c r="F487" i="2"/>
  <c r="Y487" i="2"/>
  <c r="M487" i="2"/>
  <c r="E487" i="2"/>
  <c r="Y479" i="2"/>
  <c r="U479" i="2"/>
  <c r="Q479" i="2"/>
  <c r="M479" i="2"/>
  <c r="I479" i="2"/>
  <c r="E479" i="2"/>
  <c r="AB479" i="2"/>
  <c r="X479" i="2"/>
  <c r="T479" i="2"/>
  <c r="P479" i="2"/>
  <c r="L479" i="2"/>
  <c r="H479" i="2"/>
  <c r="D479" i="2"/>
  <c r="AA479" i="2"/>
  <c r="W479" i="2"/>
  <c r="S479" i="2"/>
  <c r="O479" i="2"/>
  <c r="K479" i="2"/>
  <c r="G479" i="2"/>
  <c r="Z479" i="2"/>
  <c r="V479" i="2"/>
  <c r="R479" i="2"/>
  <c r="N479" i="2"/>
  <c r="J479" i="2"/>
  <c r="F479" i="2"/>
  <c r="G483" i="2"/>
  <c r="K483" i="2"/>
  <c r="O483" i="2"/>
  <c r="S483" i="2"/>
  <c r="W483" i="2"/>
  <c r="AA483" i="2"/>
  <c r="D483" i="2"/>
  <c r="H483" i="2"/>
  <c r="L483" i="2"/>
  <c r="P483" i="2"/>
  <c r="T483" i="2"/>
  <c r="X483" i="2"/>
  <c r="AB483" i="2"/>
  <c r="E483" i="2"/>
  <c r="I483" i="2"/>
  <c r="M483" i="2"/>
  <c r="Q483" i="2"/>
  <c r="U483" i="2"/>
  <c r="Y483" i="2"/>
  <c r="F483" i="2"/>
  <c r="J483" i="2"/>
  <c r="N483" i="2"/>
  <c r="R483" i="2"/>
  <c r="V483" i="2"/>
  <c r="C270" i="2"/>
  <c r="C268" i="2"/>
  <c r="C266" i="2"/>
  <c r="C264" i="2"/>
  <c r="C262" i="2"/>
  <c r="C260" i="2"/>
  <c r="C280" i="2"/>
  <c r="C278" i="2"/>
  <c r="C254" i="2"/>
  <c r="C250" i="2" l="1"/>
  <c r="C10" i="2"/>
  <c r="C12" i="2"/>
  <c r="C32" i="2"/>
  <c r="C34" i="2"/>
  <c r="C46" i="2"/>
  <c r="C50" i="2"/>
  <c r="C52" i="2"/>
  <c r="C54" i="2"/>
  <c r="C56" i="2"/>
  <c r="C58" i="2"/>
  <c r="C66" i="2"/>
  <c r="C68" i="2"/>
  <c r="C70" i="2"/>
  <c r="C72" i="2"/>
  <c r="C76" i="2"/>
  <c r="C78" i="2"/>
  <c r="C80" i="2"/>
  <c r="C96" i="2"/>
  <c r="C98" i="2"/>
  <c r="C100" i="2"/>
  <c r="C102" i="2"/>
  <c r="C104" i="2"/>
  <c r="C108" i="2"/>
  <c r="C110" i="2"/>
  <c r="C112" i="2"/>
  <c r="C114" i="2"/>
  <c r="C116" i="2"/>
  <c r="C118" i="2"/>
  <c r="C120" i="2"/>
  <c r="C128" i="2"/>
  <c r="C130" i="2"/>
  <c r="C132" i="2"/>
  <c r="C134" i="2"/>
  <c r="C136" i="2"/>
  <c r="C138" i="2"/>
  <c r="C140" i="2"/>
  <c r="C142" i="2"/>
  <c r="C144" i="2"/>
  <c r="C146" i="2"/>
  <c r="C148" i="2"/>
  <c r="C152" i="2"/>
  <c r="C154" i="2"/>
  <c r="C156" i="2"/>
  <c r="C158" i="2"/>
  <c r="C160" i="2"/>
  <c r="C504" i="2" l="1"/>
  <c r="C505" i="2" s="1"/>
  <c r="C993" i="2"/>
  <c r="C853" i="2" l="1"/>
  <c r="C855" i="2"/>
  <c r="C859" i="2"/>
  <c r="C861" i="2"/>
  <c r="C863" i="2"/>
  <c r="C865" i="2"/>
  <c r="C867" i="2"/>
  <c r="C869" i="2"/>
  <c r="C873" i="2"/>
  <c r="C875" i="2"/>
  <c r="C877" i="2"/>
  <c r="C879" i="2"/>
  <c r="C881" i="2"/>
  <c r="C883" i="2"/>
  <c r="C885" i="2"/>
  <c r="C887" i="2"/>
  <c r="C891" i="2"/>
  <c r="C893" i="2"/>
  <c r="C895" i="2"/>
  <c r="C897" i="2"/>
  <c r="C899" i="2"/>
  <c r="C901" i="2"/>
  <c r="C903" i="2"/>
  <c r="C905" i="2"/>
  <c r="C907" i="2"/>
  <c r="C909" i="2"/>
  <c r="C911" i="2"/>
  <c r="C913" i="2"/>
  <c r="C915" i="2"/>
  <c r="C917" i="2"/>
  <c r="C919" i="2"/>
  <c r="C921" i="2"/>
  <c r="C923" i="2"/>
  <c r="C925" i="2"/>
  <c r="C927" i="2"/>
  <c r="C929" i="2"/>
  <c r="C931" i="2"/>
  <c r="C933" i="2"/>
  <c r="C935" i="2"/>
  <c r="C937" i="2"/>
  <c r="C939" i="2"/>
  <c r="C941" i="2"/>
  <c r="C943" i="2"/>
  <c r="C945" i="2"/>
  <c r="C947" i="2"/>
  <c r="C949" i="2"/>
  <c r="C951" i="2"/>
  <c r="C953" i="2"/>
  <c r="C955" i="2"/>
  <c r="C957" i="2"/>
  <c r="C959" i="2"/>
  <c r="C961" i="2"/>
  <c r="C963" i="2"/>
  <c r="C965" i="2"/>
  <c r="C967" i="2"/>
  <c r="C969" i="2"/>
  <c r="C971" i="2"/>
  <c r="C973" i="2"/>
  <c r="C975" i="2"/>
  <c r="C977" i="2"/>
  <c r="C979" i="2"/>
  <c r="C981" i="2"/>
  <c r="C983" i="2"/>
  <c r="C985" i="2"/>
  <c r="C987" i="2"/>
  <c r="C989" i="2"/>
  <c r="C991" i="2"/>
  <c r="C1029" i="2" l="1"/>
  <c r="AB994" i="2"/>
  <c r="E994" i="2" l="1"/>
  <c r="M994" i="2"/>
  <c r="U994" i="2"/>
  <c r="J994" i="2"/>
  <c r="N994" i="2"/>
  <c r="R994" i="2"/>
  <c r="V994" i="2"/>
  <c r="Z994" i="2"/>
  <c r="O994" i="2"/>
  <c r="W994" i="2"/>
  <c r="AA994" i="2"/>
  <c r="I994" i="2"/>
  <c r="Q994" i="2"/>
  <c r="Y994" i="2"/>
  <c r="F994" i="2"/>
  <c r="G994" i="2"/>
  <c r="K994" i="2"/>
  <c r="S994" i="2"/>
  <c r="D994" i="2"/>
  <c r="H994" i="2"/>
  <c r="L994" i="2"/>
  <c r="P994" i="2"/>
  <c r="T994" i="2"/>
  <c r="X994" i="2"/>
  <c r="C702" i="2" l="1"/>
  <c r="AB703" i="2" s="1"/>
  <c r="C704" i="2"/>
  <c r="F705" i="2" s="1"/>
  <c r="Y705" i="2" l="1"/>
  <c r="U705" i="2"/>
  <c r="Q705" i="2"/>
  <c r="M705" i="2"/>
  <c r="I705" i="2"/>
  <c r="E705" i="2"/>
  <c r="AB705" i="2"/>
  <c r="X705" i="2"/>
  <c r="T705" i="2"/>
  <c r="P705" i="2"/>
  <c r="L705" i="2"/>
  <c r="H705" i="2"/>
  <c r="D705" i="2"/>
  <c r="AA705" i="2"/>
  <c r="W705" i="2"/>
  <c r="S705" i="2"/>
  <c r="O705" i="2"/>
  <c r="K705" i="2"/>
  <c r="G705" i="2"/>
  <c r="Z705" i="2"/>
  <c r="V705" i="2"/>
  <c r="R705" i="2"/>
  <c r="N705" i="2"/>
  <c r="J705" i="2"/>
  <c r="E703" i="2"/>
  <c r="M703" i="2"/>
  <c r="Y703" i="2"/>
  <c r="F703" i="2"/>
  <c r="J703" i="2"/>
  <c r="N703" i="2"/>
  <c r="R703" i="2"/>
  <c r="V703" i="2"/>
  <c r="Z703" i="2"/>
  <c r="G703" i="2"/>
  <c r="K703" i="2"/>
  <c r="O703" i="2"/>
  <c r="S703" i="2"/>
  <c r="W703" i="2"/>
  <c r="AA703" i="2"/>
  <c r="I703" i="2"/>
  <c r="Q703" i="2"/>
  <c r="U703" i="2"/>
  <c r="D703" i="2"/>
  <c r="H703" i="2"/>
  <c r="L703" i="2"/>
  <c r="P703" i="2"/>
  <c r="T703" i="2"/>
  <c r="X703" i="2"/>
  <c r="C520" i="2"/>
  <c r="C526" i="2"/>
  <c r="C528" i="2"/>
  <c r="C536" i="2"/>
  <c r="C542" i="2"/>
  <c r="C560" i="2"/>
  <c r="C562" i="2"/>
  <c r="C564" i="2"/>
  <c r="C566" i="2"/>
  <c r="C568" i="2"/>
  <c r="C570" i="2"/>
  <c r="C572" i="2"/>
  <c r="C574" i="2"/>
  <c r="C576" i="2"/>
  <c r="C578" i="2"/>
  <c r="C580" i="2"/>
  <c r="C582" i="2"/>
  <c r="C584" i="2"/>
  <c r="C586" i="2"/>
  <c r="C608" i="2"/>
  <c r="C610" i="2"/>
  <c r="C612" i="2"/>
  <c r="C614" i="2"/>
  <c r="C616" i="2"/>
  <c r="C618" i="2"/>
  <c r="C636" i="2"/>
  <c r="C638" i="2"/>
  <c r="C648" i="2"/>
  <c r="C652" i="2"/>
  <c r="C668" i="2"/>
  <c r="C672" i="2"/>
  <c r="C676" i="2"/>
  <c r="C678" i="2"/>
  <c r="C680" i="2"/>
  <c r="C682" i="2"/>
  <c r="C684" i="2"/>
  <c r="C688" i="2"/>
  <c r="C690" i="2"/>
  <c r="C692" i="2"/>
  <c r="C694" i="2"/>
  <c r="C696" i="2"/>
  <c r="C698" i="2"/>
  <c r="C700" i="2"/>
  <c r="C514" i="2"/>
  <c r="C640" i="2" l="1"/>
  <c r="C642" i="2"/>
  <c r="C646" i="2"/>
  <c r="C644" i="2"/>
  <c r="C604" i="2"/>
  <c r="C606" i="2"/>
  <c r="C628" i="2"/>
  <c r="C630" i="2"/>
  <c r="C624" i="2"/>
  <c r="C626" i="2"/>
  <c r="C600" i="2"/>
  <c r="C602" i="2"/>
  <c r="C596" i="2"/>
  <c r="W597" i="2" s="1"/>
  <c r="C598" i="2"/>
  <c r="C592" i="2"/>
  <c r="C594" i="2"/>
  <c r="C588" i="2"/>
  <c r="C590" i="2"/>
  <c r="C620" i="2"/>
  <c r="C622" i="2"/>
  <c r="C554" i="2"/>
  <c r="C552" i="2"/>
  <c r="C532" i="2"/>
  <c r="C534" i="2"/>
  <c r="C550" i="2"/>
  <c r="C548" i="2"/>
  <c r="C524" i="2"/>
  <c r="C634" i="2"/>
  <c r="C632" i="2"/>
  <c r="C558" i="2"/>
  <c r="C556" i="2"/>
  <c r="C540" i="2"/>
  <c r="C538" i="2"/>
  <c r="C522" i="2" l="1"/>
  <c r="C790" i="2" s="1"/>
  <c r="C1250" i="2"/>
  <c r="AB1251" i="2" s="1"/>
  <c r="M1251" i="2" l="1"/>
  <c r="Z1251" i="2"/>
  <c r="G1251" i="2"/>
  <c r="K1251" i="2"/>
  <c r="O1251" i="2"/>
  <c r="S1251" i="2"/>
  <c r="W1251" i="2"/>
  <c r="AA1251" i="2"/>
  <c r="E1251" i="2"/>
  <c r="I1251" i="2"/>
  <c r="Q1251" i="2"/>
  <c r="U1251" i="2"/>
  <c r="Y1251" i="2"/>
  <c r="F1251" i="2"/>
  <c r="J1251" i="2"/>
  <c r="N1251" i="2"/>
  <c r="R1251" i="2"/>
  <c r="V1251" i="2"/>
  <c r="D1251" i="2"/>
  <c r="H1251" i="2"/>
  <c r="L1251" i="2"/>
  <c r="P1251" i="2"/>
  <c r="T1251" i="2"/>
  <c r="X1251" i="2"/>
  <c r="C1202" i="2" l="1"/>
  <c r="C1204" i="2"/>
  <c r="C1206" i="2"/>
  <c r="C1208" i="2"/>
  <c r="C1212" i="2"/>
  <c r="C1214" i="2"/>
  <c r="C1216" i="2"/>
  <c r="C1218" i="2"/>
  <c r="C1220" i="2"/>
  <c r="C1222" i="2"/>
  <c r="C1224" i="2"/>
  <c r="C1226" i="2"/>
  <c r="C1228" i="2"/>
  <c r="C1230" i="2"/>
  <c r="C1232" i="2"/>
  <c r="C1234" i="2"/>
  <c r="C1236" i="2"/>
  <c r="C1246" i="2"/>
  <c r="C1248" i="2"/>
  <c r="C1252" i="2"/>
  <c r="C1254" i="2"/>
  <c r="Z1253" i="2" l="1"/>
  <c r="AB1255" i="2"/>
  <c r="C1244" i="2"/>
  <c r="C1242" i="2"/>
  <c r="C1240" i="2"/>
  <c r="C1238" i="2"/>
  <c r="C1200" i="2"/>
  <c r="C1196" i="2"/>
  <c r="C1198" i="2" l="1"/>
  <c r="C1256" i="2" s="1"/>
  <c r="G1253" i="2"/>
  <c r="K1253" i="2"/>
  <c r="O1253" i="2"/>
  <c r="S1253" i="2"/>
  <c r="W1253" i="2"/>
  <c r="AA1253" i="2"/>
  <c r="D1253" i="2"/>
  <c r="H1253" i="2"/>
  <c r="L1253" i="2"/>
  <c r="P1253" i="2"/>
  <c r="T1253" i="2"/>
  <c r="X1253" i="2"/>
  <c r="AB1253" i="2"/>
  <c r="E1253" i="2"/>
  <c r="I1253" i="2"/>
  <c r="M1253" i="2"/>
  <c r="Q1253" i="2"/>
  <c r="U1253" i="2"/>
  <c r="Y1253" i="2"/>
  <c r="F1253" i="2"/>
  <c r="J1253" i="2"/>
  <c r="N1253" i="2"/>
  <c r="R1253" i="2"/>
  <c r="V1253" i="2"/>
  <c r="E1255" i="2"/>
  <c r="I1255" i="2"/>
  <c r="M1255" i="2"/>
  <c r="Q1255" i="2"/>
  <c r="U1255" i="2"/>
  <c r="Y1255" i="2"/>
  <c r="F1255" i="2"/>
  <c r="J1255" i="2"/>
  <c r="N1255" i="2"/>
  <c r="R1255" i="2"/>
  <c r="V1255" i="2"/>
  <c r="Z1255" i="2"/>
  <c r="G1255" i="2"/>
  <c r="K1255" i="2"/>
  <c r="O1255" i="2"/>
  <c r="S1255" i="2"/>
  <c r="W1255" i="2"/>
  <c r="AA1255" i="2"/>
  <c r="D1255" i="2"/>
  <c r="H1255" i="2"/>
  <c r="L1255" i="2"/>
  <c r="P1255" i="2"/>
  <c r="T1255" i="2"/>
  <c r="X1255" i="2"/>
  <c r="C1475" i="2" l="1"/>
  <c r="C1473" i="2"/>
  <c r="C1471" i="2"/>
  <c r="C1469" i="2"/>
  <c r="C1465" i="2"/>
  <c r="C1463" i="2"/>
  <c r="C1461" i="2"/>
  <c r="C1459" i="2"/>
  <c r="C1457" i="2"/>
  <c r="C1453" i="2" l="1"/>
  <c r="C1451" i="2"/>
  <c r="C1477" i="2" l="1"/>
  <c r="C1440" i="2"/>
  <c r="C1442" i="2" s="1"/>
  <c r="G1441" i="2" l="1"/>
  <c r="G1442" i="2" s="1"/>
  <c r="J1441" i="2"/>
  <c r="J1442" i="2" s="1"/>
  <c r="C1336" i="2"/>
  <c r="C1342" i="2"/>
  <c r="C1344" i="2"/>
  <c r="C1346" i="2"/>
  <c r="C1348" i="2"/>
  <c r="C1180" i="2"/>
  <c r="C1182" i="2"/>
  <c r="C1184" i="2"/>
  <c r="C1188" i="2" l="1"/>
  <c r="C1352" i="2"/>
  <c r="C8" i="2" l="1"/>
  <c r="C28" i="2" l="1"/>
  <c r="C22" i="2"/>
  <c r="C24" i="2"/>
  <c r="C14" i="2"/>
  <c r="C64" i="2"/>
  <c r="C60" i="2"/>
  <c r="C126" i="2"/>
  <c r="C124" i="2"/>
  <c r="C26" i="2" l="1"/>
  <c r="C30" i="2"/>
  <c r="C1324" i="2"/>
  <c r="C1322" i="2"/>
  <c r="C1316" i="2"/>
  <c r="C1314" i="2"/>
  <c r="C1278" i="2"/>
  <c r="C1276" i="2"/>
  <c r="C1274" i="2"/>
  <c r="C1272" i="2"/>
  <c r="C1266" i="2"/>
  <c r="C1264" i="2"/>
  <c r="C1326" i="2" s="1"/>
  <c r="D1151" i="2" l="1"/>
  <c r="AB1151" i="2"/>
  <c r="Z1149" i="2"/>
  <c r="Z1145" i="2"/>
  <c r="C1108" i="2"/>
  <c r="C1106" i="2"/>
  <c r="C1104" i="2"/>
  <c r="C1102" i="2"/>
  <c r="C1100" i="2"/>
  <c r="C1098" i="2"/>
  <c r="C1094" i="2"/>
  <c r="C1132" i="2" s="1"/>
  <c r="C1096" i="2"/>
  <c r="C1076" i="2"/>
  <c r="AB201" i="2"/>
  <c r="AB199" i="2"/>
  <c r="C192" i="2"/>
  <c r="C190" i="2"/>
  <c r="C240" i="2" s="1"/>
  <c r="C122" i="2"/>
  <c r="C94" i="2"/>
  <c r="C92" i="2"/>
  <c r="C90" i="2"/>
  <c r="C88" i="2"/>
  <c r="C1074" i="2" l="1"/>
  <c r="C1084" i="2" s="1"/>
  <c r="Z1147" i="2"/>
  <c r="J1151" i="2"/>
  <c r="R1151" i="2"/>
  <c r="E1151" i="2"/>
  <c r="M1151" i="2"/>
  <c r="U1151" i="2"/>
  <c r="F1151" i="2"/>
  <c r="N1151" i="2"/>
  <c r="V1151" i="2"/>
  <c r="I1151" i="2"/>
  <c r="Q1151" i="2"/>
  <c r="Y1151" i="2"/>
  <c r="K1149" i="2"/>
  <c r="W1149" i="2"/>
  <c r="AA1149" i="2"/>
  <c r="L1149" i="2"/>
  <c r="T1149" i="2"/>
  <c r="AB1149" i="2"/>
  <c r="Z1151" i="2"/>
  <c r="O1149" i="2"/>
  <c r="H1149" i="2"/>
  <c r="E1149" i="2"/>
  <c r="I1149" i="2"/>
  <c r="M1149" i="2"/>
  <c r="Q1149" i="2"/>
  <c r="U1149" i="2"/>
  <c r="Y1149" i="2"/>
  <c r="G1151" i="2"/>
  <c r="K1151" i="2"/>
  <c r="O1151" i="2"/>
  <c r="S1151" i="2"/>
  <c r="W1151" i="2"/>
  <c r="AA1151" i="2"/>
  <c r="G1149" i="2"/>
  <c r="S1149" i="2"/>
  <c r="D1149" i="2"/>
  <c r="P1149" i="2"/>
  <c r="X1149" i="2"/>
  <c r="F1149" i="2"/>
  <c r="J1149" i="2"/>
  <c r="N1149" i="2"/>
  <c r="R1149" i="2"/>
  <c r="V1149" i="2"/>
  <c r="H1151" i="2"/>
  <c r="L1151" i="2"/>
  <c r="P1151" i="2"/>
  <c r="T1151" i="2"/>
  <c r="X1151" i="2"/>
  <c r="G1147" i="2"/>
  <c r="K1147" i="2"/>
  <c r="O1147" i="2"/>
  <c r="S1147" i="2"/>
  <c r="W1147" i="2"/>
  <c r="AA1147" i="2"/>
  <c r="D1147" i="2"/>
  <c r="H1147" i="2"/>
  <c r="L1147" i="2"/>
  <c r="P1147" i="2"/>
  <c r="T1147" i="2"/>
  <c r="X1147" i="2"/>
  <c r="AB1147" i="2"/>
  <c r="E1147" i="2"/>
  <c r="I1147" i="2"/>
  <c r="M1147" i="2"/>
  <c r="Q1147" i="2"/>
  <c r="U1147" i="2"/>
  <c r="Y1147" i="2"/>
  <c r="F1147" i="2"/>
  <c r="J1147" i="2"/>
  <c r="N1147" i="2"/>
  <c r="R1147" i="2"/>
  <c r="V1147" i="2"/>
  <c r="G1145" i="2"/>
  <c r="K1145" i="2"/>
  <c r="O1145" i="2"/>
  <c r="S1145" i="2"/>
  <c r="W1145" i="2"/>
  <c r="AA1145" i="2"/>
  <c r="D1145" i="2"/>
  <c r="H1145" i="2"/>
  <c r="L1145" i="2"/>
  <c r="P1145" i="2"/>
  <c r="T1145" i="2"/>
  <c r="X1145" i="2"/>
  <c r="AB1145" i="2"/>
  <c r="E1145" i="2"/>
  <c r="I1145" i="2"/>
  <c r="M1145" i="2"/>
  <c r="Q1145" i="2"/>
  <c r="U1145" i="2"/>
  <c r="Y1145" i="2"/>
  <c r="F1145" i="2"/>
  <c r="J1145" i="2"/>
  <c r="N1145" i="2"/>
  <c r="R1145" i="2"/>
  <c r="V1145" i="2"/>
  <c r="E201" i="2"/>
  <c r="I201" i="2"/>
  <c r="F201" i="2"/>
  <c r="J201" i="2"/>
  <c r="N201" i="2"/>
  <c r="R201" i="2"/>
  <c r="V201" i="2"/>
  <c r="Z201" i="2"/>
  <c r="G201" i="2"/>
  <c r="K201" i="2"/>
  <c r="O201" i="2"/>
  <c r="S201" i="2"/>
  <c r="W201" i="2"/>
  <c r="AA201" i="2"/>
  <c r="M201" i="2"/>
  <c r="Q201" i="2"/>
  <c r="U201" i="2"/>
  <c r="Y201" i="2"/>
  <c r="D201" i="2"/>
  <c r="H201" i="2"/>
  <c r="L201" i="2"/>
  <c r="P201" i="2"/>
  <c r="T201" i="2"/>
  <c r="X201" i="2"/>
  <c r="E199" i="2"/>
  <c r="M199" i="2"/>
  <c r="U199" i="2"/>
  <c r="F199" i="2"/>
  <c r="J199" i="2"/>
  <c r="N199" i="2"/>
  <c r="R199" i="2"/>
  <c r="V199" i="2"/>
  <c r="Z199" i="2"/>
  <c r="G199" i="2"/>
  <c r="K199" i="2"/>
  <c r="O199" i="2"/>
  <c r="S199" i="2"/>
  <c r="W199" i="2"/>
  <c r="AA199" i="2"/>
  <c r="I199" i="2"/>
  <c r="Q199" i="2"/>
  <c r="Y199" i="2"/>
  <c r="D199" i="2"/>
  <c r="H199" i="2"/>
  <c r="L199" i="2"/>
  <c r="P199" i="2"/>
  <c r="T199" i="2"/>
  <c r="X199" i="2"/>
  <c r="C86" i="2"/>
  <c r="C84" i="2"/>
  <c r="C44" i="2"/>
  <c r="C42" i="2"/>
  <c r="C38" i="2"/>
  <c r="C36" i="2"/>
  <c r="AB1476" i="2" l="1"/>
  <c r="AA1476" i="2"/>
  <c r="Y1474" i="2"/>
  <c r="M1474" i="2"/>
  <c r="X1472" i="2"/>
  <c r="AA1470" i="2"/>
  <c r="T1466" i="2"/>
  <c r="S1464" i="2"/>
  <c r="R1462" i="2"/>
  <c r="AB1460" i="2"/>
  <c r="H1458" i="2"/>
  <c r="V1456" i="2"/>
  <c r="N1456" i="2"/>
  <c r="F1456" i="2"/>
  <c r="AB1456" i="2"/>
  <c r="P1454" i="2"/>
  <c r="I1454" i="2"/>
  <c r="AB1441" i="2"/>
  <c r="AB1442" i="2" s="1"/>
  <c r="S1416" i="2"/>
  <c r="Z1414" i="2"/>
  <c r="T1414" i="2"/>
  <c r="P1414" i="2"/>
  <c r="I1414" i="2"/>
  <c r="E1414" i="2"/>
  <c r="AA1414" i="2"/>
  <c r="R1412" i="2"/>
  <c r="B1401" i="2"/>
  <c r="S1400" i="2"/>
  <c r="S1401" i="2" s="1"/>
  <c r="N1381" i="2"/>
  <c r="N1391" i="2" s="1"/>
  <c r="B1372" i="2"/>
  <c r="B1362" i="2"/>
  <c r="AA1361" i="2"/>
  <c r="AA1362" i="2" s="1"/>
  <c r="I1349" i="2"/>
  <c r="O1347" i="2"/>
  <c r="W1345" i="2"/>
  <c r="W1343" i="2"/>
  <c r="Q1341" i="2"/>
  <c r="F1341" i="2"/>
  <c r="R1341" i="2"/>
  <c r="AA1339" i="2"/>
  <c r="M1337" i="2"/>
  <c r="V1337" i="2"/>
  <c r="T1325" i="2"/>
  <c r="Y1323" i="2"/>
  <c r="I1323" i="2"/>
  <c r="T1323" i="2"/>
  <c r="AB1321" i="2"/>
  <c r="AA1319" i="2"/>
  <c r="Z1317" i="2"/>
  <c r="T1317" i="2"/>
  <c r="P1317" i="2"/>
  <c r="J1317" i="2"/>
  <c r="F1317" i="2"/>
  <c r="D1317" i="2"/>
  <c r="AA1317" i="2"/>
  <c r="V1315" i="2"/>
  <c r="AA1313" i="2"/>
  <c r="V1311" i="2"/>
  <c r="AA1309" i="2"/>
  <c r="K1307" i="2"/>
  <c r="AA1305" i="2"/>
  <c r="V1303" i="2"/>
  <c r="AA1301" i="2"/>
  <c r="Z1299" i="2"/>
  <c r="AA1297" i="2"/>
  <c r="Z1295" i="2"/>
  <c r="R1295" i="2"/>
  <c r="AA1293" i="2"/>
  <c r="S1291" i="2"/>
  <c r="AA1289" i="2"/>
  <c r="Z1287" i="2"/>
  <c r="R1287" i="2"/>
  <c r="O1287" i="2"/>
  <c r="G1287" i="2"/>
  <c r="F1287" i="2"/>
  <c r="W1287" i="2"/>
  <c r="Z1285" i="2"/>
  <c r="Y1285" i="2"/>
  <c r="U1285" i="2"/>
  <c r="T1285" i="2"/>
  <c r="P1285" i="2"/>
  <c r="N1285" i="2"/>
  <c r="J1285" i="2"/>
  <c r="I1285" i="2"/>
  <c r="E1285" i="2"/>
  <c r="D1285" i="2"/>
  <c r="AA1285" i="2"/>
  <c r="O1283" i="2"/>
  <c r="AA1281" i="2"/>
  <c r="Z1279" i="2"/>
  <c r="Y1277" i="2"/>
  <c r="N1277" i="2"/>
  <c r="E1277" i="2"/>
  <c r="V1277" i="2"/>
  <c r="X1275" i="2"/>
  <c r="P1275" i="2"/>
  <c r="H1275" i="2"/>
  <c r="T1273" i="2"/>
  <c r="Z1271" i="2"/>
  <c r="AA1269" i="2"/>
  <c r="K1267" i="2"/>
  <c r="Y1265" i="2"/>
  <c r="I1265" i="2"/>
  <c r="V1265" i="2"/>
  <c r="AB1249" i="2"/>
  <c r="G1249" i="2"/>
  <c r="W1249" i="2"/>
  <c r="AB1247" i="2"/>
  <c r="AA1245" i="2"/>
  <c r="AB1243" i="2"/>
  <c r="P1241" i="2"/>
  <c r="H1241" i="2"/>
  <c r="X1241" i="2"/>
  <c r="Y1239" i="2"/>
  <c r="E1239" i="2"/>
  <c r="AB1239" i="2"/>
  <c r="W1237" i="2"/>
  <c r="P1237" i="2"/>
  <c r="Y1235" i="2"/>
  <c r="N1235" i="2"/>
  <c r="E1235" i="2"/>
  <c r="AB1235" i="2"/>
  <c r="W1233" i="2"/>
  <c r="U1231" i="2"/>
  <c r="I1231" i="2"/>
  <c r="AB1231" i="2"/>
  <c r="AA1229" i="2"/>
  <c r="K1229" i="2"/>
  <c r="AB1227" i="2"/>
  <c r="AB1225" i="2"/>
  <c r="X1221" i="2"/>
  <c r="G1219" i="2"/>
  <c r="W1219" i="2"/>
  <c r="G1217" i="2"/>
  <c r="AB1217" i="2"/>
  <c r="AA1215" i="2"/>
  <c r="W1215" i="2"/>
  <c r="U1213" i="2"/>
  <c r="Q1211" i="2"/>
  <c r="J1211" i="2"/>
  <c r="Z1211" i="2"/>
  <c r="K1209" i="2"/>
  <c r="AA1209" i="2"/>
  <c r="AB1207" i="2"/>
  <c r="H1205" i="2"/>
  <c r="P1205" i="2"/>
  <c r="V1203" i="2"/>
  <c r="F1203" i="2"/>
  <c r="AB1203" i="2"/>
  <c r="AB1201" i="2"/>
  <c r="X1201" i="2"/>
  <c r="T1201" i="2"/>
  <c r="P1201" i="2"/>
  <c r="O1201" i="2"/>
  <c r="H1201" i="2"/>
  <c r="G1201" i="2"/>
  <c r="D1201" i="2"/>
  <c r="W1201" i="2"/>
  <c r="R1199" i="2"/>
  <c r="M1197" i="2"/>
  <c r="Z1197" i="2"/>
  <c r="V1185" i="2"/>
  <c r="AA1183" i="2"/>
  <c r="K1181" i="2"/>
  <c r="AB1181" i="2"/>
  <c r="L1179" i="2"/>
  <c r="AA1179" i="2"/>
  <c r="V1165" i="2"/>
  <c r="V1170" i="2" s="1"/>
  <c r="K1165" i="2"/>
  <c r="K1170" i="2" s="1"/>
  <c r="R1165" i="2"/>
  <c r="R1170" i="2" s="1"/>
  <c r="N1161" i="2"/>
  <c r="E1161" i="2"/>
  <c r="I1161" i="2"/>
  <c r="AB1143" i="2"/>
  <c r="V1143" i="2"/>
  <c r="R1143" i="2"/>
  <c r="K1143" i="2"/>
  <c r="G1143" i="2"/>
  <c r="AA1143" i="2"/>
  <c r="AB1141" i="2"/>
  <c r="V1141" i="2"/>
  <c r="Q1141" i="2"/>
  <c r="L1141" i="2"/>
  <c r="F1141" i="2"/>
  <c r="AA1141" i="2"/>
  <c r="V1131" i="2"/>
  <c r="U1129" i="2"/>
  <c r="K1129" i="2"/>
  <c r="AB1129" i="2"/>
  <c r="Z1127" i="2"/>
  <c r="AB1125" i="2"/>
  <c r="AA1125" i="2"/>
  <c r="U1125" i="2"/>
  <c r="T1125" i="2"/>
  <c r="O1125" i="2"/>
  <c r="L1125" i="2"/>
  <c r="G1125" i="2"/>
  <c r="E1125" i="2"/>
  <c r="Y1125" i="2"/>
  <c r="Y1121" i="2"/>
  <c r="I1121" i="2"/>
  <c r="T1121" i="2"/>
  <c r="W1119" i="2"/>
  <c r="M1119" i="2"/>
  <c r="N1119" i="2"/>
  <c r="Q1117" i="2"/>
  <c r="W1117" i="2"/>
  <c r="AA1115" i="2"/>
  <c r="R1115" i="2"/>
  <c r="Q1115" i="2"/>
  <c r="G1115" i="2"/>
  <c r="F1115" i="2"/>
  <c r="W1115" i="2"/>
  <c r="AB1113" i="2"/>
  <c r="AA1113" i="2"/>
  <c r="U1113" i="2"/>
  <c r="Q1113" i="2"/>
  <c r="P1113" i="2"/>
  <c r="K1113" i="2"/>
  <c r="G1113" i="2"/>
  <c r="E1113" i="2"/>
  <c r="W1113" i="2"/>
  <c r="V1111" i="2"/>
  <c r="O1111" i="2"/>
  <c r="G1111" i="2"/>
  <c r="AA1111" i="2"/>
  <c r="AA1109" i="2"/>
  <c r="V1107" i="2"/>
  <c r="W1105" i="2"/>
  <c r="Q1103" i="2"/>
  <c r="V1103" i="2"/>
  <c r="W1101" i="2"/>
  <c r="M1101" i="2"/>
  <c r="Z1099" i="2"/>
  <c r="S1097" i="2"/>
  <c r="O1097" i="2"/>
  <c r="U1097" i="2"/>
  <c r="AB1095" i="2"/>
  <c r="AA1093" i="2"/>
  <c r="Y1093" i="2"/>
  <c r="T1093" i="2"/>
  <c r="Q1093" i="2"/>
  <c r="L1093" i="2"/>
  <c r="K1093" i="2"/>
  <c r="E1093" i="2"/>
  <c r="D1093" i="2"/>
  <c r="W1093" i="2"/>
  <c r="Z1083" i="2"/>
  <c r="Y1083" i="2"/>
  <c r="U1083" i="2"/>
  <c r="T1083" i="2"/>
  <c r="P1083" i="2"/>
  <c r="N1083" i="2"/>
  <c r="J1083" i="2"/>
  <c r="I1083" i="2"/>
  <c r="E1083" i="2"/>
  <c r="D1083" i="2"/>
  <c r="AA1083" i="2"/>
  <c r="AA1081" i="2"/>
  <c r="Z1081" i="2"/>
  <c r="T1081" i="2"/>
  <c r="R1081" i="2"/>
  <c r="L1081" i="2"/>
  <c r="K1081" i="2"/>
  <c r="F1081" i="2"/>
  <c r="D1081" i="2"/>
  <c r="W1081" i="2"/>
  <c r="Z1079" i="2"/>
  <c r="Y1079" i="2"/>
  <c r="U1079" i="2"/>
  <c r="T1079" i="2"/>
  <c r="P1079" i="2"/>
  <c r="N1079" i="2"/>
  <c r="J1079" i="2"/>
  <c r="I1079" i="2"/>
  <c r="E1079" i="2"/>
  <c r="D1079" i="2"/>
  <c r="AA1079" i="2"/>
  <c r="J1077" i="2"/>
  <c r="T1077" i="2"/>
  <c r="Z1075" i="2"/>
  <c r="U1075" i="2"/>
  <c r="J1075" i="2"/>
  <c r="F1075" i="2"/>
  <c r="Q1075" i="2"/>
  <c r="Z1073" i="2"/>
  <c r="P1073" i="2"/>
  <c r="V1073" i="2"/>
  <c r="U1071" i="2"/>
  <c r="X1069" i="2"/>
  <c r="W1059" i="2"/>
  <c r="M1059" i="2"/>
  <c r="L1059" i="2"/>
  <c r="V1057" i="2"/>
  <c r="R1057" i="2"/>
  <c r="K1057" i="2"/>
  <c r="G1057" i="2"/>
  <c r="AA1057" i="2"/>
  <c r="AB1055" i="2"/>
  <c r="AA1055" i="2"/>
  <c r="Q1055" i="2"/>
  <c r="P1055" i="2"/>
  <c r="G1055" i="2"/>
  <c r="E1055" i="2"/>
  <c r="W1055" i="2"/>
  <c r="V1053" i="2"/>
  <c r="AB1051" i="2"/>
  <c r="AA1051" i="2"/>
  <c r="Y1051" i="2"/>
  <c r="U1051" i="2"/>
  <c r="T1051" i="2"/>
  <c r="Q1051" i="2"/>
  <c r="O1051" i="2"/>
  <c r="L1051" i="2"/>
  <c r="K1051" i="2"/>
  <c r="G1051" i="2"/>
  <c r="E1051" i="2"/>
  <c r="D1051" i="2"/>
  <c r="W1051" i="2"/>
  <c r="O1049" i="2"/>
  <c r="I1049" i="2"/>
  <c r="U1049" i="2"/>
  <c r="M1047" i="2"/>
  <c r="T1047" i="2"/>
  <c r="AA1043" i="2"/>
  <c r="Z1043" i="2"/>
  <c r="U1043" i="2"/>
  <c r="R1043" i="2"/>
  <c r="M1043" i="2"/>
  <c r="K1043" i="2"/>
  <c r="F1043" i="2"/>
  <c r="E1043" i="2"/>
  <c r="W1043" i="2"/>
  <c r="Y1041" i="2"/>
  <c r="Q1041" i="2"/>
  <c r="K1041" i="2"/>
  <c r="D1041" i="2"/>
  <c r="W1041" i="2"/>
  <c r="Z1039" i="2"/>
  <c r="O1039" i="2"/>
  <c r="E1039" i="2"/>
  <c r="N1039" i="2"/>
  <c r="H990" i="2"/>
  <c r="R990" i="2"/>
  <c r="J988" i="2"/>
  <c r="W988" i="2"/>
  <c r="R986" i="2"/>
  <c r="W984" i="2"/>
  <c r="M982" i="2"/>
  <c r="W980" i="2"/>
  <c r="R974" i="2"/>
  <c r="W972" i="2"/>
  <c r="R970" i="2"/>
  <c r="P968" i="2"/>
  <c r="W968" i="2"/>
  <c r="M966" i="2"/>
  <c r="R966" i="2"/>
  <c r="W964" i="2"/>
  <c r="M956" i="2"/>
  <c r="R956" i="2"/>
  <c r="Z954" i="2"/>
  <c r="T952" i="2"/>
  <c r="P952" i="2"/>
  <c r="I952" i="2"/>
  <c r="E952" i="2"/>
  <c r="V952" i="2"/>
  <c r="N950" i="2"/>
  <c r="R944" i="2"/>
  <c r="Y940" i="2"/>
  <c r="N940" i="2"/>
  <c r="I940" i="2"/>
  <c r="D940" i="2"/>
  <c r="AA940" i="2"/>
  <c r="O938" i="2"/>
  <c r="X936" i="2"/>
  <c r="O934" i="2"/>
  <c r="W934" i="2"/>
  <c r="AA932" i="2"/>
  <c r="S930" i="2"/>
  <c r="R928" i="2"/>
  <c r="AA926" i="2"/>
  <c r="V926" i="2"/>
  <c r="T924" i="2"/>
  <c r="I924" i="2"/>
  <c r="AA924" i="2"/>
  <c r="F922" i="2"/>
  <c r="Z922" i="2"/>
  <c r="Y920" i="2"/>
  <c r="N920" i="2"/>
  <c r="I920" i="2"/>
  <c r="D920" i="2"/>
  <c r="AA920" i="2"/>
  <c r="R918" i="2"/>
  <c r="J918" i="2"/>
  <c r="Z918" i="2"/>
  <c r="U916" i="2"/>
  <c r="J916" i="2"/>
  <c r="AA916" i="2"/>
  <c r="AA914" i="2"/>
  <c r="X912" i="2"/>
  <c r="J908" i="2"/>
  <c r="AA908" i="2"/>
  <c r="Z906" i="2"/>
  <c r="AA904" i="2"/>
  <c r="O902" i="2"/>
  <c r="Y900" i="2"/>
  <c r="N900" i="2"/>
  <c r="D900" i="2"/>
  <c r="AA900" i="2"/>
  <c r="O898" i="2"/>
  <c r="J898" i="2"/>
  <c r="D898" i="2"/>
  <c r="S898" i="2"/>
  <c r="AB896" i="2"/>
  <c r="F896" i="2"/>
  <c r="AA896" i="2"/>
  <c r="T894" i="2"/>
  <c r="Q892" i="2"/>
  <c r="L892" i="2"/>
  <c r="AA892" i="2"/>
  <c r="Z890" i="2"/>
  <c r="D890" i="2"/>
  <c r="S890" i="2"/>
  <c r="N888" i="2"/>
  <c r="AA888" i="2"/>
  <c r="S886" i="2"/>
  <c r="O886" i="2"/>
  <c r="AA884" i="2"/>
  <c r="S882" i="2"/>
  <c r="AB880" i="2"/>
  <c r="V880" i="2"/>
  <c r="L880" i="2"/>
  <c r="F880" i="2"/>
  <c r="E880" i="2"/>
  <c r="AA880" i="2"/>
  <c r="Z878" i="2"/>
  <c r="J878" i="2"/>
  <c r="T878" i="2"/>
  <c r="Q876" i="2"/>
  <c r="AA876" i="2"/>
  <c r="Z874" i="2"/>
  <c r="S874" i="2"/>
  <c r="AA872" i="2"/>
  <c r="O870" i="2"/>
  <c r="N868" i="2"/>
  <c r="I868" i="2"/>
  <c r="AA868" i="2"/>
  <c r="S866" i="2"/>
  <c r="Q864" i="2"/>
  <c r="AA864" i="2"/>
  <c r="Z862" i="2"/>
  <c r="J862" i="2"/>
  <c r="T862" i="2"/>
  <c r="S858" i="2"/>
  <c r="Z856" i="2"/>
  <c r="U856" i="2"/>
  <c r="J856" i="2"/>
  <c r="E856" i="2"/>
  <c r="D856" i="2"/>
  <c r="AA856" i="2"/>
  <c r="T854" i="2"/>
  <c r="S854" i="2"/>
  <c r="Z852" i="2"/>
  <c r="P852" i="2"/>
  <c r="J852" i="2"/>
  <c r="E852" i="2"/>
  <c r="AA852" i="2"/>
  <c r="S839" i="2"/>
  <c r="O839" i="2"/>
  <c r="G839" i="2"/>
  <c r="E839" i="2"/>
  <c r="U839" i="2"/>
  <c r="Q837" i="2"/>
  <c r="X835" i="2"/>
  <c r="J833" i="2"/>
  <c r="Z831" i="2"/>
  <c r="Y831" i="2"/>
  <c r="T831" i="2"/>
  <c r="Q831" i="2"/>
  <c r="L831" i="2"/>
  <c r="J831" i="2"/>
  <c r="E831" i="2"/>
  <c r="D831" i="2"/>
  <c r="V831" i="2"/>
  <c r="Y829" i="2"/>
  <c r="Q829" i="2"/>
  <c r="K829" i="2"/>
  <c r="D829" i="2"/>
  <c r="W829" i="2"/>
  <c r="W827" i="2"/>
  <c r="F827" i="2"/>
  <c r="S827" i="2"/>
  <c r="N825" i="2"/>
  <c r="M823" i="2"/>
  <c r="Q821" i="2"/>
  <c r="G821" i="2"/>
  <c r="Y821" i="2"/>
  <c r="N819" i="2"/>
  <c r="U817" i="2"/>
  <c r="Z815" i="2"/>
  <c r="O815" i="2"/>
  <c r="E815" i="2"/>
  <c r="AA815" i="2"/>
  <c r="AA813" i="2"/>
  <c r="S811" i="2"/>
  <c r="Y809" i="2"/>
  <c r="AB805" i="2"/>
  <c r="Q805" i="2"/>
  <c r="K805" i="2"/>
  <c r="D805" i="2"/>
  <c r="Y805" i="2"/>
  <c r="S803" i="2"/>
  <c r="H803" i="2"/>
  <c r="V803" i="2"/>
  <c r="S801" i="2"/>
  <c r="Z799" i="2"/>
  <c r="R701" i="2"/>
  <c r="AA701" i="2"/>
  <c r="AB699" i="2"/>
  <c r="U699" i="2"/>
  <c r="Q699" i="2"/>
  <c r="J699" i="2"/>
  <c r="F699" i="2"/>
  <c r="AA699" i="2"/>
  <c r="Z697" i="2"/>
  <c r="J697" i="2"/>
  <c r="AA697" i="2"/>
  <c r="AB695" i="2"/>
  <c r="U695" i="2"/>
  <c r="N695" i="2"/>
  <c r="F695" i="2"/>
  <c r="AA695" i="2"/>
  <c r="O693" i="2"/>
  <c r="Z693" i="2"/>
  <c r="S689" i="2"/>
  <c r="U687" i="2"/>
  <c r="Q687" i="2"/>
  <c r="Y683" i="2"/>
  <c r="AB683" i="2"/>
  <c r="E679" i="2"/>
  <c r="AB679" i="2"/>
  <c r="O677" i="2"/>
  <c r="U675" i="2"/>
  <c r="S673" i="2"/>
  <c r="AB671" i="2"/>
  <c r="Q667" i="2"/>
  <c r="Q663" i="2"/>
  <c r="AA661" i="2"/>
  <c r="O661" i="2"/>
  <c r="I659" i="2"/>
  <c r="E659" i="2"/>
  <c r="AB659" i="2"/>
  <c r="S657" i="2"/>
  <c r="M655" i="2"/>
  <c r="AB655" i="2"/>
  <c r="AA653" i="2"/>
  <c r="O653" i="2"/>
  <c r="U651" i="2"/>
  <c r="Q651" i="2"/>
  <c r="U647" i="2"/>
  <c r="W643" i="2"/>
  <c r="V641" i="2"/>
  <c r="N641" i="2"/>
  <c r="F641" i="2"/>
  <c r="U639" i="2"/>
  <c r="G637" i="2"/>
  <c r="G631" i="2"/>
  <c r="T629" i="2"/>
  <c r="P629" i="2"/>
  <c r="D629" i="2"/>
  <c r="T625" i="2"/>
  <c r="G623" i="2"/>
  <c r="T621" i="2"/>
  <c r="P621" i="2"/>
  <c r="D621" i="2"/>
  <c r="Q617" i="2"/>
  <c r="K615" i="2"/>
  <c r="Y613" i="2"/>
  <c r="U613" i="2"/>
  <c r="M613" i="2"/>
  <c r="I613" i="2"/>
  <c r="E613" i="2"/>
  <c r="W613" i="2"/>
  <c r="W611" i="2"/>
  <c r="O611" i="2"/>
  <c r="G611" i="2"/>
  <c r="Y611" i="2"/>
  <c r="AA607" i="2"/>
  <c r="X605" i="2"/>
  <c r="P605" i="2"/>
  <c r="H605" i="2"/>
  <c r="D605" i="2"/>
  <c r="AA599" i="2"/>
  <c r="X597" i="2"/>
  <c r="Y589" i="2"/>
  <c r="U589" i="2"/>
  <c r="M589" i="2"/>
  <c r="I589" i="2"/>
  <c r="E589" i="2"/>
  <c r="AB589" i="2"/>
  <c r="Z587" i="2"/>
  <c r="Y585" i="2"/>
  <c r="T583" i="2"/>
  <c r="T581" i="2"/>
  <c r="H581" i="2"/>
  <c r="Y581" i="2"/>
  <c r="Z579" i="2"/>
  <c r="T579" i="2"/>
  <c r="J579" i="2"/>
  <c r="H579" i="2"/>
  <c r="R579" i="2"/>
  <c r="V577" i="2"/>
  <c r="T575" i="2"/>
  <c r="L575" i="2"/>
  <c r="Y573" i="2"/>
  <c r="Z571" i="2"/>
  <c r="X569" i="2"/>
  <c r="V569" i="2"/>
  <c r="H569" i="2"/>
  <c r="F569" i="2"/>
  <c r="Y569" i="2"/>
  <c r="J567" i="2"/>
  <c r="AB567" i="2"/>
  <c r="N565" i="2"/>
  <c r="Y565" i="2"/>
  <c r="L563" i="2"/>
  <c r="AB563" i="2"/>
  <c r="V561" i="2"/>
  <c r="N561" i="2"/>
  <c r="F561" i="2"/>
  <c r="Y561" i="2"/>
  <c r="W557" i="2"/>
  <c r="Q553" i="2"/>
  <c r="AB551" i="2"/>
  <c r="L551" i="2"/>
  <c r="H551" i="2"/>
  <c r="D551" i="2"/>
  <c r="T551" i="2"/>
  <c r="X547" i="2"/>
  <c r="V547" i="2"/>
  <c r="H547" i="2"/>
  <c r="F547" i="2"/>
  <c r="Y547" i="2"/>
  <c r="AB545" i="2"/>
  <c r="X543" i="2"/>
  <c r="V543" i="2"/>
  <c r="H543" i="2"/>
  <c r="F543" i="2"/>
  <c r="Y543" i="2"/>
  <c r="AB541" i="2"/>
  <c r="T541" i="2"/>
  <c r="S539" i="2"/>
  <c r="J537" i="2"/>
  <c r="P535" i="2"/>
  <c r="T531" i="2"/>
  <c r="H531" i="2"/>
  <c r="Y531" i="2"/>
  <c r="P529" i="2"/>
  <c r="Y527" i="2"/>
  <c r="AB525" i="2"/>
  <c r="O523" i="2"/>
  <c r="Z521" i="2"/>
  <c r="L521" i="2"/>
  <c r="AB519" i="2"/>
  <c r="T519" i="2"/>
  <c r="P519" i="2"/>
  <c r="H519" i="2"/>
  <c r="F519" i="2"/>
  <c r="AA519" i="2"/>
  <c r="J517" i="2"/>
  <c r="AB515" i="2"/>
  <c r="T515" i="2"/>
  <c r="P515" i="2"/>
  <c r="H515" i="2"/>
  <c r="F515" i="2"/>
  <c r="Y515" i="2"/>
  <c r="R475" i="2"/>
  <c r="M473" i="2"/>
  <c r="AB473" i="2"/>
  <c r="O471" i="2"/>
  <c r="N469" i="2"/>
  <c r="AB467" i="2"/>
  <c r="J465" i="2"/>
  <c r="W463" i="2"/>
  <c r="Z461" i="2"/>
  <c r="Y459" i="2"/>
  <c r="W459" i="2"/>
  <c r="J457" i="2"/>
  <c r="M455" i="2"/>
  <c r="W455" i="2"/>
  <c r="R453" i="2"/>
  <c r="W451" i="2"/>
  <c r="Y449" i="2"/>
  <c r="X447" i="2"/>
  <c r="Y445" i="2"/>
  <c r="X443" i="2"/>
  <c r="AB441" i="2"/>
  <c r="AA441" i="2"/>
  <c r="Z441" i="2"/>
  <c r="Y441" i="2"/>
  <c r="X441" i="2"/>
  <c r="W441" i="2"/>
  <c r="V441" i="2"/>
  <c r="U441" i="2"/>
  <c r="T441" i="2"/>
  <c r="S441" i="2"/>
  <c r="R441" i="2"/>
  <c r="Q441" i="2"/>
  <c r="P441" i="2"/>
  <c r="O441" i="2"/>
  <c r="N441" i="2"/>
  <c r="M441" i="2"/>
  <c r="L441" i="2"/>
  <c r="K441" i="2"/>
  <c r="J441" i="2"/>
  <c r="I441" i="2"/>
  <c r="H441" i="2"/>
  <c r="G441" i="2"/>
  <c r="F441" i="2"/>
  <c r="E441" i="2"/>
  <c r="D441" i="2"/>
  <c r="R439" i="2"/>
  <c r="Y437" i="2"/>
  <c r="Y435" i="2"/>
  <c r="AA433" i="2"/>
  <c r="N431" i="2"/>
  <c r="Y431" i="2"/>
  <c r="X429" i="2"/>
  <c r="Q427" i="2"/>
  <c r="E427" i="2"/>
  <c r="W427" i="2"/>
  <c r="H425" i="2"/>
  <c r="Y425" i="2"/>
  <c r="AA423" i="2"/>
  <c r="X421" i="2"/>
  <c r="Q419" i="2"/>
  <c r="X417" i="2"/>
  <c r="N417" i="2"/>
  <c r="AA417" i="2"/>
  <c r="Y415" i="2"/>
  <c r="X413" i="2"/>
  <c r="Q411" i="2"/>
  <c r="X409" i="2"/>
  <c r="Q407" i="2"/>
  <c r="Y407" i="2"/>
  <c r="AA405" i="2"/>
  <c r="Y401" i="2"/>
  <c r="AA399" i="2"/>
  <c r="Y397" i="2"/>
  <c r="AA395" i="2"/>
  <c r="N393" i="2"/>
  <c r="Y393" i="2"/>
  <c r="AA391" i="2"/>
  <c r="Y389" i="2"/>
  <c r="D387" i="2"/>
  <c r="AA387" i="2"/>
  <c r="T385" i="2"/>
  <c r="AA383" i="2"/>
  <c r="T381" i="2"/>
  <c r="AB381" i="2"/>
  <c r="K379" i="2"/>
  <c r="X377" i="2"/>
  <c r="AA375" i="2"/>
  <c r="AA373" i="2"/>
  <c r="Y371" i="2"/>
  <c r="O369" i="2"/>
  <c r="AA367" i="2"/>
  <c r="AA365" i="2"/>
  <c r="W363" i="2"/>
  <c r="V361" i="2"/>
  <c r="AA359" i="2"/>
  <c r="AA357" i="2"/>
  <c r="AA355" i="2"/>
  <c r="V353" i="2"/>
  <c r="AA351" i="2"/>
  <c r="AA349" i="2"/>
  <c r="W347" i="2"/>
  <c r="AA345" i="2"/>
  <c r="AA343" i="2"/>
  <c r="O341" i="2"/>
  <c r="T339" i="2"/>
  <c r="D339" i="2"/>
  <c r="AA339" i="2"/>
  <c r="AA337" i="2"/>
  <c r="O335" i="2"/>
  <c r="W335" i="2"/>
  <c r="N333" i="2"/>
  <c r="M331" i="2"/>
  <c r="AA331" i="2"/>
  <c r="AA329" i="2"/>
  <c r="Z325" i="2"/>
  <c r="E323" i="2"/>
  <c r="AA323" i="2"/>
  <c r="K321" i="2"/>
  <c r="AA319" i="2"/>
  <c r="AA317" i="2"/>
  <c r="AA315" i="2"/>
  <c r="Z313" i="2"/>
  <c r="AA311" i="2"/>
  <c r="AA309" i="2"/>
  <c r="G307" i="2"/>
  <c r="AA305" i="2"/>
  <c r="AA303" i="2"/>
  <c r="O301" i="2"/>
  <c r="AA299" i="2"/>
  <c r="O297" i="2"/>
  <c r="V295" i="2"/>
  <c r="U293" i="2"/>
  <c r="AA293" i="2"/>
  <c r="W291" i="2"/>
  <c r="X289" i="2"/>
  <c r="AA289" i="2"/>
  <c r="K287" i="2"/>
  <c r="AA285" i="2"/>
  <c r="O283" i="2"/>
  <c r="AA281" i="2"/>
  <c r="AA279" i="2"/>
  <c r="AA277" i="2"/>
  <c r="AA275" i="2"/>
  <c r="O273" i="2"/>
  <c r="P271" i="2"/>
  <c r="AA271" i="2"/>
  <c r="AA269" i="2"/>
  <c r="W267" i="2"/>
  <c r="N265" i="2"/>
  <c r="M263" i="2"/>
  <c r="AA263" i="2"/>
  <c r="H261" i="2"/>
  <c r="AA261" i="2"/>
  <c r="S259" i="2"/>
  <c r="AA257" i="2"/>
  <c r="AA255" i="2"/>
  <c r="V253" i="2"/>
  <c r="X251" i="2"/>
  <c r="P251" i="2"/>
  <c r="AA251" i="2"/>
  <c r="Z249" i="2"/>
  <c r="AB197" i="2"/>
  <c r="Z197" i="2"/>
  <c r="V197" i="2"/>
  <c r="U197" i="2"/>
  <c r="Q197" i="2"/>
  <c r="P197" i="2"/>
  <c r="L197" i="2"/>
  <c r="J197" i="2"/>
  <c r="F197" i="2"/>
  <c r="E197" i="2"/>
  <c r="AA197" i="2"/>
  <c r="AB195" i="2"/>
  <c r="X195" i="2"/>
  <c r="L195" i="2"/>
  <c r="H195" i="2"/>
  <c r="AA195" i="2"/>
  <c r="AB191" i="2"/>
  <c r="U191" i="2"/>
  <c r="T191" i="2"/>
  <c r="M191" i="2"/>
  <c r="L191" i="2"/>
  <c r="E191" i="2"/>
  <c r="D191" i="2"/>
  <c r="AA191" i="2"/>
  <c r="AB189" i="2"/>
  <c r="L189" i="2"/>
  <c r="AA189" i="2"/>
  <c r="Z187" i="2"/>
  <c r="Y187" i="2"/>
  <c r="U187" i="2"/>
  <c r="T187" i="2"/>
  <c r="P187" i="2"/>
  <c r="N187" i="2"/>
  <c r="J187" i="2"/>
  <c r="I187" i="2"/>
  <c r="E187" i="2"/>
  <c r="D187" i="2"/>
  <c r="AA187" i="2"/>
  <c r="AB185" i="2"/>
  <c r="X185" i="2"/>
  <c r="L185" i="2"/>
  <c r="H185" i="2"/>
  <c r="AA185" i="2"/>
  <c r="AB183" i="2"/>
  <c r="Z183" i="2"/>
  <c r="V183" i="2"/>
  <c r="U183" i="2"/>
  <c r="Q183" i="2"/>
  <c r="P183" i="2"/>
  <c r="L183" i="2"/>
  <c r="J183" i="2"/>
  <c r="F183" i="2"/>
  <c r="E183" i="2"/>
  <c r="AA183" i="2"/>
  <c r="AB181" i="2"/>
  <c r="X181" i="2"/>
  <c r="L181" i="2"/>
  <c r="H181" i="2"/>
  <c r="AA181" i="2"/>
  <c r="Z179" i="2"/>
  <c r="U179" i="2"/>
  <c r="P179" i="2"/>
  <c r="J179" i="2"/>
  <c r="E179" i="2"/>
  <c r="AA179" i="2"/>
  <c r="AA177" i="2"/>
  <c r="AA161" i="2"/>
  <c r="AB159" i="2"/>
  <c r="Z159" i="2"/>
  <c r="V159" i="2"/>
  <c r="U159" i="2"/>
  <c r="Q159" i="2"/>
  <c r="P159" i="2"/>
  <c r="L159" i="2"/>
  <c r="J159" i="2"/>
  <c r="F159" i="2"/>
  <c r="E159" i="2"/>
  <c r="AA159" i="2"/>
  <c r="AB157" i="2"/>
  <c r="X157" i="2"/>
  <c r="L157" i="2"/>
  <c r="H157" i="2"/>
  <c r="AA157" i="2"/>
  <c r="AB155" i="2"/>
  <c r="Z155" i="2"/>
  <c r="Y155" i="2"/>
  <c r="X155" i="2"/>
  <c r="V155" i="2"/>
  <c r="U155" i="2"/>
  <c r="T155" i="2"/>
  <c r="R155" i="2"/>
  <c r="Q155" i="2"/>
  <c r="P155" i="2"/>
  <c r="N155" i="2"/>
  <c r="M155" i="2"/>
  <c r="L155" i="2"/>
  <c r="J155" i="2"/>
  <c r="I155" i="2"/>
  <c r="H155" i="2"/>
  <c r="F155" i="2"/>
  <c r="E155" i="2"/>
  <c r="D155" i="2"/>
  <c r="AA155" i="2"/>
  <c r="T153" i="2"/>
  <c r="H153" i="2"/>
  <c r="AA153" i="2"/>
  <c r="AA151" i="2"/>
  <c r="AB149" i="2"/>
  <c r="V149" i="2"/>
  <c r="T149" i="2"/>
  <c r="N149" i="2"/>
  <c r="L149" i="2"/>
  <c r="F149" i="2"/>
  <c r="D149" i="2"/>
  <c r="AA149" i="2"/>
  <c r="AB147" i="2"/>
  <c r="V147" i="2"/>
  <c r="Q147" i="2"/>
  <c r="L147" i="2"/>
  <c r="F147" i="2"/>
  <c r="AA147" i="2"/>
  <c r="AB145" i="2"/>
  <c r="X145" i="2"/>
  <c r="V145" i="2"/>
  <c r="T145" i="2"/>
  <c r="P145" i="2"/>
  <c r="N145" i="2"/>
  <c r="L145" i="2"/>
  <c r="H145" i="2"/>
  <c r="F145" i="2"/>
  <c r="D145" i="2"/>
  <c r="AA145" i="2"/>
  <c r="AA143" i="2"/>
  <c r="AB141" i="2"/>
  <c r="V141" i="2"/>
  <c r="T141" i="2"/>
  <c r="N141" i="2"/>
  <c r="L141" i="2"/>
  <c r="F141" i="2"/>
  <c r="D141" i="2"/>
  <c r="AA141" i="2"/>
  <c r="Z139" i="2"/>
  <c r="Y139" i="2"/>
  <c r="U139" i="2"/>
  <c r="T139" i="2"/>
  <c r="P139" i="2"/>
  <c r="N139" i="2"/>
  <c r="J139" i="2"/>
  <c r="I139" i="2"/>
  <c r="E139" i="2"/>
  <c r="D139" i="2"/>
  <c r="AA139" i="2"/>
  <c r="AA137" i="2"/>
  <c r="AB135" i="2"/>
  <c r="V135" i="2"/>
  <c r="Q135" i="2"/>
  <c r="L135" i="2"/>
  <c r="F135" i="2"/>
  <c r="AA135" i="2"/>
  <c r="AB133" i="2"/>
  <c r="V133" i="2"/>
  <c r="T133" i="2"/>
  <c r="N133" i="2"/>
  <c r="L133" i="2"/>
  <c r="F133" i="2"/>
  <c r="D133" i="2"/>
  <c r="AA133" i="2"/>
  <c r="Z131" i="2"/>
  <c r="Y131" i="2"/>
  <c r="U131" i="2"/>
  <c r="T131" i="2"/>
  <c r="P131" i="2"/>
  <c r="N131" i="2"/>
  <c r="J131" i="2"/>
  <c r="I131" i="2"/>
  <c r="E131" i="2"/>
  <c r="D131" i="2"/>
  <c r="AA131" i="2"/>
  <c r="X129" i="2"/>
  <c r="P129" i="2"/>
  <c r="H129" i="2"/>
  <c r="AA129" i="2"/>
  <c r="N127" i="2"/>
  <c r="F127" i="2"/>
  <c r="AB125" i="2"/>
  <c r="AB123" i="2"/>
  <c r="L123" i="2"/>
  <c r="H123" i="2"/>
  <c r="X123" i="2"/>
  <c r="AA121" i="2"/>
  <c r="K121" i="2"/>
  <c r="O121" i="2"/>
  <c r="AB119" i="2"/>
  <c r="AB115" i="2"/>
  <c r="O113" i="2"/>
  <c r="AB111" i="2"/>
  <c r="AA109" i="2"/>
  <c r="M107" i="2"/>
  <c r="AB107" i="2"/>
  <c r="AA105" i="2"/>
  <c r="O105" i="2"/>
  <c r="Y103" i="2"/>
  <c r="U103" i="2"/>
  <c r="I103" i="2"/>
  <c r="E103" i="2"/>
  <c r="AB103" i="2"/>
  <c r="AA101" i="2"/>
  <c r="Y99" i="2"/>
  <c r="U99" i="2"/>
  <c r="I99" i="2"/>
  <c r="E99" i="2"/>
  <c r="AB99" i="2"/>
  <c r="O97" i="2"/>
  <c r="U95" i="2"/>
  <c r="M95" i="2"/>
  <c r="E95" i="2"/>
  <c r="AB95" i="2"/>
  <c r="AB93" i="2"/>
  <c r="W91" i="2"/>
  <c r="AA91" i="2"/>
  <c r="Z89" i="2"/>
  <c r="M87" i="2"/>
  <c r="W87" i="2"/>
  <c r="AB85" i="2"/>
  <c r="W83" i="2"/>
  <c r="AB81" i="2"/>
  <c r="V81" i="2"/>
  <c r="Q81" i="2"/>
  <c r="L81" i="2"/>
  <c r="F81" i="2"/>
  <c r="AA81" i="2"/>
  <c r="AA79" i="2"/>
  <c r="Z77" i="2"/>
  <c r="Y77" i="2"/>
  <c r="U77" i="2"/>
  <c r="T77" i="2"/>
  <c r="P77" i="2"/>
  <c r="N77" i="2"/>
  <c r="J77" i="2"/>
  <c r="I77" i="2"/>
  <c r="E77" i="2"/>
  <c r="D77" i="2"/>
  <c r="AA77" i="2"/>
  <c r="AA75" i="2"/>
  <c r="AB73" i="2"/>
  <c r="V73" i="2"/>
  <c r="Q73" i="2"/>
  <c r="L73" i="2"/>
  <c r="F73" i="2"/>
  <c r="AA73" i="2"/>
  <c r="AB71" i="2"/>
  <c r="T71" i="2"/>
  <c r="L71" i="2"/>
  <c r="D71" i="2"/>
  <c r="AA71" i="2"/>
  <c r="AB69" i="2"/>
  <c r="Z69" i="2"/>
  <c r="V69" i="2"/>
  <c r="U69" i="2"/>
  <c r="Q69" i="2"/>
  <c r="P69" i="2"/>
  <c r="L69" i="2"/>
  <c r="J69" i="2"/>
  <c r="F69" i="2"/>
  <c r="E69" i="2"/>
  <c r="AA69" i="2"/>
  <c r="AB67" i="2"/>
  <c r="V67" i="2"/>
  <c r="T67" i="2"/>
  <c r="N67" i="2"/>
  <c r="L67" i="2"/>
  <c r="F67" i="2"/>
  <c r="D67" i="2"/>
  <c r="AA67" i="2"/>
  <c r="N65" i="2"/>
  <c r="C62" i="2"/>
  <c r="M63" i="2" s="1"/>
  <c r="V61" i="2"/>
  <c r="M59" i="2"/>
  <c r="W59" i="2"/>
  <c r="W57" i="2"/>
  <c r="K57" i="2"/>
  <c r="Y55" i="2"/>
  <c r="U55" i="2"/>
  <c r="I55" i="2"/>
  <c r="E55" i="2"/>
  <c r="Q55" i="2"/>
  <c r="K53" i="2"/>
  <c r="M51" i="2"/>
  <c r="W51" i="2"/>
  <c r="W49" i="2"/>
  <c r="G49" i="2"/>
  <c r="S49" i="2"/>
  <c r="AA47" i="2"/>
  <c r="K47" i="2"/>
  <c r="F47" i="2"/>
  <c r="N47" i="2"/>
  <c r="K45" i="2"/>
  <c r="X45" i="2"/>
  <c r="AA41" i="2"/>
  <c r="W41" i="2"/>
  <c r="O41" i="2"/>
  <c r="K41" i="2"/>
  <c r="G41" i="2"/>
  <c r="Z41" i="2"/>
  <c r="Z39" i="2"/>
  <c r="Y35" i="2"/>
  <c r="U35" i="2"/>
  <c r="I35" i="2"/>
  <c r="E35" i="2"/>
  <c r="AB35" i="2"/>
  <c r="Z33" i="2"/>
  <c r="Z15" i="2"/>
  <c r="AB13" i="2"/>
  <c r="Z13" i="2"/>
  <c r="X13" i="2"/>
  <c r="V13" i="2"/>
  <c r="T13" i="2"/>
  <c r="R13" i="2"/>
  <c r="P13" i="2"/>
  <c r="N13" i="2"/>
  <c r="L13" i="2"/>
  <c r="J13" i="2"/>
  <c r="H13" i="2"/>
  <c r="F13" i="2"/>
  <c r="E13" i="2"/>
  <c r="D13" i="2"/>
  <c r="Y13" i="2"/>
  <c r="Q9" i="2"/>
  <c r="W63" i="2" l="1"/>
  <c r="Q63" i="2"/>
  <c r="AB1152" i="2"/>
  <c r="E63" i="2"/>
  <c r="U63" i="2"/>
  <c r="I63" i="2"/>
  <c r="Y63" i="2"/>
  <c r="AA1152" i="2"/>
  <c r="V1152" i="2"/>
  <c r="C168" i="2"/>
  <c r="H303" i="2"/>
  <c r="R457" i="2"/>
  <c r="F429" i="2"/>
  <c r="AB409" i="2"/>
  <c r="D423" i="2"/>
  <c r="T423" i="2"/>
  <c r="L357" i="2"/>
  <c r="N397" i="2"/>
  <c r="H417" i="2"/>
  <c r="L337" i="2"/>
  <c r="U323" i="2"/>
  <c r="D309" i="2"/>
  <c r="E387" i="2"/>
  <c r="R387" i="2"/>
  <c r="T387" i="2"/>
  <c r="H317" i="2"/>
  <c r="E293" i="2"/>
  <c r="D289" i="2"/>
  <c r="M289" i="2"/>
  <c r="AB261" i="2"/>
  <c r="X285" i="2"/>
  <c r="J253" i="2"/>
  <c r="N1416" i="2"/>
  <c r="J1414" i="2"/>
  <c r="U1414" i="2"/>
  <c r="D1414" i="2"/>
  <c r="N1414" i="2"/>
  <c r="Y1414" i="2"/>
  <c r="J1412" i="2"/>
  <c r="V1412" i="2"/>
  <c r="H986" i="2"/>
  <c r="M986" i="2"/>
  <c r="J984" i="2"/>
  <c r="P984" i="2"/>
  <c r="H982" i="2"/>
  <c r="R982" i="2"/>
  <c r="P980" i="2"/>
  <c r="H974" i="2"/>
  <c r="J972" i="2"/>
  <c r="H970" i="2"/>
  <c r="M970" i="2"/>
  <c r="J968" i="2"/>
  <c r="P964" i="2"/>
  <c r="H956" i="2"/>
  <c r="N954" i="2"/>
  <c r="J952" i="2"/>
  <c r="U952" i="2"/>
  <c r="D952" i="2"/>
  <c r="N952" i="2"/>
  <c r="AB952" i="2"/>
  <c r="M944" i="2"/>
  <c r="T940" i="2"/>
  <c r="R934" i="2"/>
  <c r="F934" i="2"/>
  <c r="Z934" i="2"/>
  <c r="G934" i="2"/>
  <c r="I932" i="2"/>
  <c r="T932" i="2"/>
  <c r="U932" i="2"/>
  <c r="D932" i="2"/>
  <c r="N932" i="2"/>
  <c r="Y932" i="2"/>
  <c r="J932" i="2"/>
  <c r="E932" i="2"/>
  <c r="P932" i="2"/>
  <c r="Z932" i="2"/>
  <c r="H928" i="2"/>
  <c r="F926" i="2"/>
  <c r="K926" i="2"/>
  <c r="J924" i="2"/>
  <c r="U924" i="2"/>
  <c r="D924" i="2"/>
  <c r="N924" i="2"/>
  <c r="Y924" i="2"/>
  <c r="E924" i="2"/>
  <c r="P924" i="2"/>
  <c r="Z924" i="2"/>
  <c r="V922" i="2"/>
  <c r="T920" i="2"/>
  <c r="V918" i="2"/>
  <c r="G918" i="2"/>
  <c r="L916" i="2"/>
  <c r="V916" i="2"/>
  <c r="E916" i="2"/>
  <c r="P916" i="2"/>
  <c r="Z916" i="2"/>
  <c r="F916" i="2"/>
  <c r="Q916" i="2"/>
  <c r="AB916" i="2"/>
  <c r="P908" i="2"/>
  <c r="D908" i="2"/>
  <c r="U908" i="2"/>
  <c r="E908" i="2"/>
  <c r="Z908" i="2"/>
  <c r="F906" i="2"/>
  <c r="V906" i="2"/>
  <c r="D904" i="2"/>
  <c r="Y904" i="2"/>
  <c r="T904" i="2"/>
  <c r="I904" i="2"/>
  <c r="N904" i="2"/>
  <c r="S902" i="2"/>
  <c r="D902" i="2"/>
  <c r="I900" i="2"/>
  <c r="T900" i="2"/>
  <c r="L896" i="2"/>
  <c r="D896" i="2"/>
  <c r="Q896" i="2"/>
  <c r="E896" i="2"/>
  <c r="V896" i="2"/>
  <c r="J894" i="2"/>
  <c r="Z894" i="2"/>
  <c r="V892" i="2"/>
  <c r="F892" i="2"/>
  <c r="AB892" i="2"/>
  <c r="T888" i="2"/>
  <c r="D888" i="2"/>
  <c r="Y888" i="2"/>
  <c r="I888" i="2"/>
  <c r="D886" i="2"/>
  <c r="T884" i="2"/>
  <c r="D884" i="2"/>
  <c r="I884" i="2"/>
  <c r="Y884" i="2"/>
  <c r="N884" i="2"/>
  <c r="J882" i="2"/>
  <c r="O882" i="2"/>
  <c r="Q880" i="2"/>
  <c r="F876" i="2"/>
  <c r="AB876" i="2"/>
  <c r="V876" i="2"/>
  <c r="L876" i="2"/>
  <c r="D874" i="2"/>
  <c r="D872" i="2"/>
  <c r="Y872" i="2"/>
  <c r="T872" i="2"/>
  <c r="I872" i="2"/>
  <c r="N872" i="2"/>
  <c r="D870" i="2"/>
  <c r="S870" i="2"/>
  <c r="D868" i="2"/>
  <c r="Y868" i="2"/>
  <c r="T868" i="2"/>
  <c r="O866" i="2"/>
  <c r="D866" i="2"/>
  <c r="V864" i="2"/>
  <c r="F864" i="2"/>
  <c r="AB864" i="2"/>
  <c r="L864" i="2"/>
  <c r="J858" i="2"/>
  <c r="P856" i="2"/>
  <c r="D854" i="2"/>
  <c r="H854" i="2"/>
  <c r="U852" i="2"/>
  <c r="L699" i="2"/>
  <c r="V699" i="2"/>
  <c r="E699" i="2"/>
  <c r="P699" i="2"/>
  <c r="Z699" i="2"/>
  <c r="O697" i="2"/>
  <c r="D697" i="2"/>
  <c r="R697" i="2"/>
  <c r="AB697" i="2"/>
  <c r="G697" i="2"/>
  <c r="T697" i="2"/>
  <c r="I695" i="2"/>
  <c r="P695" i="2"/>
  <c r="V695" i="2"/>
  <c r="D695" i="2"/>
  <c r="J695" i="2"/>
  <c r="Q695" i="2"/>
  <c r="Y695" i="2"/>
  <c r="E695" i="2"/>
  <c r="L695" i="2"/>
  <c r="T695" i="2"/>
  <c r="Z695" i="2"/>
  <c r="I683" i="2"/>
  <c r="M683" i="2"/>
  <c r="I679" i="2"/>
  <c r="M679" i="2"/>
  <c r="Y679" i="2"/>
  <c r="K677" i="2"/>
  <c r="AA677" i="2"/>
  <c r="E671" i="2"/>
  <c r="I671" i="2"/>
  <c r="Y671" i="2"/>
  <c r="U671" i="2"/>
  <c r="U659" i="2"/>
  <c r="Y659" i="2"/>
  <c r="G701" i="2"/>
  <c r="AB701" i="2"/>
  <c r="T701" i="2"/>
  <c r="J701" i="2"/>
  <c r="Y655" i="2"/>
  <c r="E655" i="2"/>
  <c r="I655" i="2"/>
  <c r="K653" i="2"/>
  <c r="G643" i="2"/>
  <c r="O643" i="2"/>
  <c r="AA615" i="2"/>
  <c r="K599" i="2"/>
  <c r="G693" i="2"/>
  <c r="P579" i="2"/>
  <c r="AB579" i="2"/>
  <c r="D579" i="2"/>
  <c r="D587" i="2"/>
  <c r="H587" i="2"/>
  <c r="T587" i="2"/>
  <c r="P587" i="2"/>
  <c r="AB587" i="2"/>
  <c r="R587" i="2"/>
  <c r="J587" i="2"/>
  <c r="J583" i="2"/>
  <c r="L581" i="2"/>
  <c r="V581" i="2"/>
  <c r="D581" i="2"/>
  <c r="N581" i="2"/>
  <c r="X581" i="2"/>
  <c r="F581" i="2"/>
  <c r="P581" i="2"/>
  <c r="AB581" i="2"/>
  <c r="J575" i="2"/>
  <c r="N569" i="2"/>
  <c r="P569" i="2"/>
  <c r="F585" i="2"/>
  <c r="P585" i="2"/>
  <c r="H585" i="2"/>
  <c r="T585" i="2"/>
  <c r="L585" i="2"/>
  <c r="V585" i="2"/>
  <c r="D585" i="2"/>
  <c r="N585" i="2"/>
  <c r="X585" i="2"/>
  <c r="AB585" i="2"/>
  <c r="M553" i="2"/>
  <c r="P547" i="2"/>
  <c r="N547" i="2"/>
  <c r="L545" i="2"/>
  <c r="L567" i="2"/>
  <c r="Z567" i="2"/>
  <c r="N543" i="2"/>
  <c r="P543" i="2"/>
  <c r="P565" i="2"/>
  <c r="F565" i="2"/>
  <c r="V565" i="2"/>
  <c r="H565" i="2"/>
  <c r="X565" i="2"/>
  <c r="T563" i="2"/>
  <c r="D563" i="2"/>
  <c r="Z563" i="2"/>
  <c r="J563" i="2"/>
  <c r="Z537" i="2"/>
  <c r="H561" i="2"/>
  <c r="X561" i="2"/>
  <c r="P561" i="2"/>
  <c r="AA523" i="2"/>
  <c r="E687" i="2"/>
  <c r="L531" i="2"/>
  <c r="D531" i="2"/>
  <c r="N531" i="2"/>
  <c r="X531" i="2"/>
  <c r="V531" i="2"/>
  <c r="F531" i="2"/>
  <c r="P531" i="2"/>
  <c r="AB531" i="2"/>
  <c r="Z529" i="2"/>
  <c r="J529" i="2"/>
  <c r="H529" i="2"/>
  <c r="X529" i="2"/>
  <c r="N527" i="2"/>
  <c r="E527" i="2"/>
  <c r="T527" i="2"/>
  <c r="F527" i="2"/>
  <c r="V527" i="2"/>
  <c r="L527" i="2"/>
  <c r="AB527" i="2"/>
  <c r="D519" i="2"/>
  <c r="N519" i="2"/>
  <c r="X519" i="2"/>
  <c r="L519" i="2"/>
  <c r="V519" i="2"/>
  <c r="P517" i="2"/>
  <c r="X517" i="2"/>
  <c r="H517" i="2"/>
  <c r="Z517" i="2"/>
  <c r="V515" i="2"/>
  <c r="L515" i="2"/>
  <c r="D515" i="2"/>
  <c r="N515" i="2"/>
  <c r="X515" i="2"/>
  <c r="O1249" i="2"/>
  <c r="P1249" i="2"/>
  <c r="D1249" i="2"/>
  <c r="X1249" i="2"/>
  <c r="N1243" i="2"/>
  <c r="E1243" i="2"/>
  <c r="F1243" i="2"/>
  <c r="V1243" i="2"/>
  <c r="U1243" i="2"/>
  <c r="M1243" i="2"/>
  <c r="F1239" i="2"/>
  <c r="N1239" i="2"/>
  <c r="Q1239" i="2"/>
  <c r="I1239" i="2"/>
  <c r="U1239" i="2"/>
  <c r="M1239" i="2"/>
  <c r="V1239" i="2"/>
  <c r="S1229" i="2"/>
  <c r="M1247" i="2"/>
  <c r="V1247" i="2"/>
  <c r="E1247" i="2"/>
  <c r="N1247" i="2"/>
  <c r="Y1247" i="2"/>
  <c r="F1247" i="2"/>
  <c r="Q1247" i="2"/>
  <c r="I1247" i="2"/>
  <c r="U1247" i="2"/>
  <c r="F1215" i="2"/>
  <c r="Q1215" i="2"/>
  <c r="L1217" i="2"/>
  <c r="Q1217" i="2"/>
  <c r="X1237" i="2"/>
  <c r="G1237" i="2"/>
  <c r="H1237" i="2"/>
  <c r="F1235" i="2"/>
  <c r="Q1235" i="2"/>
  <c r="I1235" i="2"/>
  <c r="U1235" i="2"/>
  <c r="M1235" i="2"/>
  <c r="V1235" i="2"/>
  <c r="P1233" i="2"/>
  <c r="D1233" i="2"/>
  <c r="X1233" i="2"/>
  <c r="G1233" i="2"/>
  <c r="AB1233" i="2"/>
  <c r="O1233" i="2"/>
  <c r="F1231" i="2"/>
  <c r="Q1231" i="2"/>
  <c r="M1231" i="2"/>
  <c r="V1231" i="2"/>
  <c r="E1231" i="2"/>
  <c r="N1231" i="2"/>
  <c r="Y1231" i="2"/>
  <c r="U1211" i="2"/>
  <c r="F1211" i="2"/>
  <c r="AA1211" i="2"/>
  <c r="O1209" i="2"/>
  <c r="Q1207" i="2"/>
  <c r="F1207" i="2"/>
  <c r="V1207" i="2"/>
  <c r="I1207" i="2"/>
  <c r="Y1207" i="2"/>
  <c r="N1207" i="2"/>
  <c r="O1205" i="2"/>
  <c r="W1205" i="2"/>
  <c r="G1205" i="2"/>
  <c r="X1205" i="2"/>
  <c r="I1203" i="2"/>
  <c r="Y1203" i="2"/>
  <c r="N1203" i="2"/>
  <c r="Q1203" i="2"/>
  <c r="K1199" i="2"/>
  <c r="Z1199" i="2"/>
  <c r="U1197" i="2"/>
  <c r="E1197" i="2"/>
  <c r="G1476" i="2"/>
  <c r="S1476" i="2"/>
  <c r="K1470" i="2"/>
  <c r="O1470" i="2"/>
  <c r="F1460" i="2"/>
  <c r="V1460" i="2"/>
  <c r="I1460" i="2"/>
  <c r="Y1460" i="2"/>
  <c r="Q1460" i="2"/>
  <c r="N1460" i="2"/>
  <c r="S1458" i="2"/>
  <c r="I1456" i="2"/>
  <c r="Y1456" i="2"/>
  <c r="Q1456" i="2"/>
  <c r="N1441" i="2"/>
  <c r="N1442" i="2" s="1"/>
  <c r="V1441" i="2"/>
  <c r="V1442" i="2" s="1"/>
  <c r="F1441" i="2"/>
  <c r="F1442" i="2" s="1"/>
  <c r="G1345" i="2"/>
  <c r="M1345" i="2"/>
  <c r="S1345" i="2"/>
  <c r="V1341" i="2"/>
  <c r="K1341" i="2"/>
  <c r="E1337" i="2"/>
  <c r="U1337" i="2"/>
  <c r="Q1337" i="2"/>
  <c r="I1337" i="2"/>
  <c r="Z1337" i="2"/>
  <c r="V1181" i="2"/>
  <c r="Q1179" i="2"/>
  <c r="V1179" i="2"/>
  <c r="F1179" i="2"/>
  <c r="AB1179" i="2"/>
  <c r="W1454" i="2"/>
  <c r="H1472" i="2"/>
  <c r="K1476" i="2"/>
  <c r="T1476" i="2"/>
  <c r="E1454" i="2"/>
  <c r="J1456" i="2"/>
  <c r="R1456" i="2"/>
  <c r="Z1456" i="2"/>
  <c r="J1460" i="2"/>
  <c r="R1460" i="2"/>
  <c r="Z1460" i="2"/>
  <c r="W1470" i="2"/>
  <c r="L1472" i="2"/>
  <c r="I1474" i="2"/>
  <c r="D1476" i="2"/>
  <c r="L1476" i="2"/>
  <c r="W1476" i="2"/>
  <c r="AB1472" i="2"/>
  <c r="E1456" i="2"/>
  <c r="M1456" i="2"/>
  <c r="U1456" i="2"/>
  <c r="E1460" i="2"/>
  <c r="M1460" i="2"/>
  <c r="U1460" i="2"/>
  <c r="G1470" i="2"/>
  <c r="F1476" i="2"/>
  <c r="O1476" i="2"/>
  <c r="I1441" i="2"/>
  <c r="I1442" i="2" s="1"/>
  <c r="Q1441" i="2"/>
  <c r="Q1442" i="2" s="1"/>
  <c r="Y1441" i="2"/>
  <c r="Y1442" i="2" s="1"/>
  <c r="R1441" i="2"/>
  <c r="R1442" i="2" s="1"/>
  <c r="Z1441" i="2"/>
  <c r="Z1442" i="2" s="1"/>
  <c r="E1441" i="2"/>
  <c r="E1442" i="2" s="1"/>
  <c r="M1441" i="2"/>
  <c r="M1442" i="2" s="1"/>
  <c r="U1441" i="2"/>
  <c r="U1442" i="2" s="1"/>
  <c r="AA1410" i="2"/>
  <c r="N1412" i="2"/>
  <c r="W1412" i="2"/>
  <c r="F1412" i="2"/>
  <c r="O1412" i="2"/>
  <c r="Z1412" i="2"/>
  <c r="F1414" i="2"/>
  <c r="L1414" i="2"/>
  <c r="Q1414" i="2"/>
  <c r="V1414" i="2"/>
  <c r="AB1414" i="2"/>
  <c r="G1412" i="2"/>
  <c r="H1414" i="2"/>
  <c r="M1414" i="2"/>
  <c r="R1414" i="2"/>
  <c r="X1414" i="2"/>
  <c r="W1400" i="2"/>
  <c r="W1401" i="2" s="1"/>
  <c r="I1400" i="2"/>
  <c r="I1401" i="2" s="1"/>
  <c r="M1400" i="2"/>
  <c r="M1401" i="2" s="1"/>
  <c r="T1381" i="2"/>
  <c r="T1391" i="2" s="1"/>
  <c r="J1381" i="2"/>
  <c r="J1391" i="2" s="1"/>
  <c r="H1361" i="2"/>
  <c r="H1362" i="2" s="1"/>
  <c r="D1361" i="2"/>
  <c r="D1362" i="2" s="1"/>
  <c r="I1361" i="2"/>
  <c r="I1362" i="2" s="1"/>
  <c r="N1361" i="2"/>
  <c r="N1362" i="2" s="1"/>
  <c r="T1361" i="2"/>
  <c r="T1362" i="2" s="1"/>
  <c r="Y1361" i="2"/>
  <c r="Y1362" i="2" s="1"/>
  <c r="C1362" i="2"/>
  <c r="E1361" i="2"/>
  <c r="E1362" i="2" s="1"/>
  <c r="J1361" i="2"/>
  <c r="J1362" i="2" s="1"/>
  <c r="P1361" i="2"/>
  <c r="P1362" i="2" s="1"/>
  <c r="U1361" i="2"/>
  <c r="U1362" i="2" s="1"/>
  <c r="Z1361" i="2"/>
  <c r="Z1362" i="2" s="1"/>
  <c r="M1361" i="2"/>
  <c r="M1362" i="2" s="1"/>
  <c r="R1361" i="2"/>
  <c r="R1362" i="2" s="1"/>
  <c r="X1361" i="2"/>
  <c r="X1362" i="2" s="1"/>
  <c r="F1361" i="2"/>
  <c r="F1362" i="2" s="1"/>
  <c r="L1361" i="2"/>
  <c r="L1362" i="2" s="1"/>
  <c r="Q1361" i="2"/>
  <c r="Q1362" i="2" s="1"/>
  <c r="V1361" i="2"/>
  <c r="V1362" i="2" s="1"/>
  <c r="AB1361" i="2"/>
  <c r="AB1362" i="2" s="1"/>
  <c r="G1339" i="2"/>
  <c r="Q1339" i="2"/>
  <c r="AB1339" i="2"/>
  <c r="J1349" i="2"/>
  <c r="J1337" i="2"/>
  <c r="R1337" i="2"/>
  <c r="AA1337" i="2"/>
  <c r="K1339" i="2"/>
  <c r="U1339" i="2"/>
  <c r="M1341" i="2"/>
  <c r="W1341" i="2"/>
  <c r="R1345" i="2"/>
  <c r="S1349" i="2"/>
  <c r="L1339" i="2"/>
  <c r="W1339" i="2"/>
  <c r="AA1341" i="2"/>
  <c r="U1349" i="2"/>
  <c r="F1337" i="2"/>
  <c r="N1337" i="2"/>
  <c r="E1339" i="2"/>
  <c r="P1339" i="2"/>
  <c r="G1341" i="2"/>
  <c r="I1345" i="2"/>
  <c r="I1225" i="2"/>
  <c r="W1225" i="2"/>
  <c r="R1227" i="2"/>
  <c r="F1197" i="2"/>
  <c r="N1197" i="2"/>
  <c r="V1197" i="2"/>
  <c r="AA1199" i="2"/>
  <c r="J1203" i="2"/>
  <c r="R1203" i="2"/>
  <c r="Z1203" i="2"/>
  <c r="J1207" i="2"/>
  <c r="R1207" i="2"/>
  <c r="Z1207" i="2"/>
  <c r="K1211" i="2"/>
  <c r="V1211" i="2"/>
  <c r="E1213" i="2"/>
  <c r="P1213" i="2"/>
  <c r="AA1213" i="2"/>
  <c r="G1215" i="2"/>
  <c r="R1215" i="2"/>
  <c r="W1217" i="2"/>
  <c r="M1219" i="2"/>
  <c r="H1221" i="2"/>
  <c r="D1225" i="2"/>
  <c r="K1225" i="2"/>
  <c r="Q1225" i="2"/>
  <c r="Y1225" i="2"/>
  <c r="E1227" i="2"/>
  <c r="M1227" i="2"/>
  <c r="U1227" i="2"/>
  <c r="J1231" i="2"/>
  <c r="R1231" i="2"/>
  <c r="Z1231" i="2"/>
  <c r="H1233" i="2"/>
  <c r="T1233" i="2"/>
  <c r="J1235" i="2"/>
  <c r="R1235" i="2"/>
  <c r="Z1235" i="2"/>
  <c r="O1237" i="2"/>
  <c r="J1239" i="2"/>
  <c r="R1239" i="2"/>
  <c r="Z1239" i="2"/>
  <c r="I1243" i="2"/>
  <c r="Q1243" i="2"/>
  <c r="Y1243" i="2"/>
  <c r="J1247" i="2"/>
  <c r="R1247" i="2"/>
  <c r="Z1247" i="2"/>
  <c r="H1249" i="2"/>
  <c r="T1249" i="2"/>
  <c r="L1213" i="2"/>
  <c r="Z1227" i="2"/>
  <c r="I1197" i="2"/>
  <c r="Q1197" i="2"/>
  <c r="Y1197" i="2"/>
  <c r="J1199" i="2"/>
  <c r="L1201" i="2"/>
  <c r="E1203" i="2"/>
  <c r="M1203" i="2"/>
  <c r="U1203" i="2"/>
  <c r="E1207" i="2"/>
  <c r="M1207" i="2"/>
  <c r="U1207" i="2"/>
  <c r="E1211" i="2"/>
  <c r="O1211" i="2"/>
  <c r="G1213" i="2"/>
  <c r="Q1213" i="2"/>
  <c r="AB1213" i="2"/>
  <c r="K1215" i="2"/>
  <c r="V1215" i="2"/>
  <c r="R1219" i="2"/>
  <c r="E1225" i="2"/>
  <c r="L1225" i="2"/>
  <c r="T1225" i="2"/>
  <c r="AA1225" i="2"/>
  <c r="F1227" i="2"/>
  <c r="N1227" i="2"/>
  <c r="V1227" i="2"/>
  <c r="L1233" i="2"/>
  <c r="J1243" i="2"/>
  <c r="R1243" i="2"/>
  <c r="Z1243" i="2"/>
  <c r="L1249" i="2"/>
  <c r="W1213" i="2"/>
  <c r="P1225" i="2"/>
  <c r="J1227" i="2"/>
  <c r="J1197" i="2"/>
  <c r="R1197" i="2"/>
  <c r="K1213" i="2"/>
  <c r="M1215" i="2"/>
  <c r="G1225" i="2"/>
  <c r="O1225" i="2"/>
  <c r="U1225" i="2"/>
  <c r="I1227" i="2"/>
  <c r="Q1227" i="2"/>
  <c r="Y1227" i="2"/>
  <c r="H1183" i="2"/>
  <c r="M1183" i="2"/>
  <c r="R1183" i="2"/>
  <c r="X1183" i="2"/>
  <c r="L1185" i="2"/>
  <c r="H1179" i="2"/>
  <c r="M1179" i="2"/>
  <c r="R1179" i="2"/>
  <c r="X1179" i="2"/>
  <c r="L1181" i="2"/>
  <c r="W1181" i="2"/>
  <c r="D1183" i="2"/>
  <c r="I1183" i="2"/>
  <c r="N1183" i="2"/>
  <c r="T1183" i="2"/>
  <c r="Y1183" i="2"/>
  <c r="F1185" i="2"/>
  <c r="P1185" i="2"/>
  <c r="AA1185" i="2"/>
  <c r="W1185" i="2"/>
  <c r="D1179" i="2"/>
  <c r="I1179" i="2"/>
  <c r="N1179" i="2"/>
  <c r="T1179" i="2"/>
  <c r="Y1179" i="2"/>
  <c r="F1181" i="2"/>
  <c r="P1181" i="2"/>
  <c r="AA1181" i="2"/>
  <c r="E1183" i="2"/>
  <c r="J1183" i="2"/>
  <c r="P1183" i="2"/>
  <c r="U1183" i="2"/>
  <c r="Z1183" i="2"/>
  <c r="G1185" i="2"/>
  <c r="R1185" i="2"/>
  <c r="AB1185" i="2"/>
  <c r="E1179" i="2"/>
  <c r="J1179" i="2"/>
  <c r="P1179" i="2"/>
  <c r="U1179" i="2"/>
  <c r="Z1179" i="2"/>
  <c r="G1181" i="2"/>
  <c r="R1181" i="2"/>
  <c r="F1183" i="2"/>
  <c r="L1183" i="2"/>
  <c r="Q1183" i="2"/>
  <c r="V1183" i="2"/>
  <c r="AB1183" i="2"/>
  <c r="K1185" i="2"/>
  <c r="AA860" i="2"/>
  <c r="Z860" i="2"/>
  <c r="U860" i="2"/>
  <c r="Y860" i="2"/>
  <c r="X860" i="2"/>
  <c r="R860" i="2"/>
  <c r="F852" i="2"/>
  <c r="L852" i="2"/>
  <c r="Q852" i="2"/>
  <c r="V852" i="2"/>
  <c r="AB852" i="2"/>
  <c r="J854" i="2"/>
  <c r="Z854" i="2"/>
  <c r="F856" i="2"/>
  <c r="L856" i="2"/>
  <c r="Q856" i="2"/>
  <c r="V856" i="2"/>
  <c r="AB856" i="2"/>
  <c r="O858" i="2"/>
  <c r="D860" i="2"/>
  <c r="I860" i="2"/>
  <c r="N860" i="2"/>
  <c r="T860" i="2"/>
  <c r="AA978" i="2"/>
  <c r="AB978" i="2"/>
  <c r="V978" i="2"/>
  <c r="Q978" i="2"/>
  <c r="L978" i="2"/>
  <c r="F978" i="2"/>
  <c r="Z978" i="2"/>
  <c r="U978" i="2"/>
  <c r="P978" i="2"/>
  <c r="J978" i="2"/>
  <c r="E978" i="2"/>
  <c r="Y978" i="2"/>
  <c r="T978" i="2"/>
  <c r="N978" i="2"/>
  <c r="I978" i="2"/>
  <c r="D978" i="2"/>
  <c r="R978" i="2"/>
  <c r="M978" i="2"/>
  <c r="H978" i="2"/>
  <c r="X978" i="2"/>
  <c r="M860" i="2"/>
  <c r="AA936" i="2"/>
  <c r="AB936" i="2"/>
  <c r="V936" i="2"/>
  <c r="Q936" i="2"/>
  <c r="L936" i="2"/>
  <c r="F936" i="2"/>
  <c r="Z936" i="2"/>
  <c r="U936" i="2"/>
  <c r="P936" i="2"/>
  <c r="J936" i="2"/>
  <c r="E936" i="2"/>
  <c r="Y936" i="2"/>
  <c r="T936" i="2"/>
  <c r="N936" i="2"/>
  <c r="I936" i="2"/>
  <c r="D936" i="2"/>
  <c r="R936" i="2"/>
  <c r="M936" i="2"/>
  <c r="H936" i="2"/>
  <c r="H852" i="2"/>
  <c r="M852" i="2"/>
  <c r="R852" i="2"/>
  <c r="X852" i="2"/>
  <c r="O854" i="2"/>
  <c r="H856" i="2"/>
  <c r="M856" i="2"/>
  <c r="R856" i="2"/>
  <c r="X856" i="2"/>
  <c r="T858" i="2"/>
  <c r="E860" i="2"/>
  <c r="J860" i="2"/>
  <c r="P860" i="2"/>
  <c r="V860" i="2"/>
  <c r="AA912" i="2"/>
  <c r="AB912" i="2"/>
  <c r="V912" i="2"/>
  <c r="Q912" i="2"/>
  <c r="L912" i="2"/>
  <c r="F912" i="2"/>
  <c r="Z912" i="2"/>
  <c r="U912" i="2"/>
  <c r="P912" i="2"/>
  <c r="J912" i="2"/>
  <c r="E912" i="2"/>
  <c r="T912" i="2"/>
  <c r="I912" i="2"/>
  <c r="R912" i="2"/>
  <c r="H912" i="2"/>
  <c r="Y912" i="2"/>
  <c r="N912" i="2"/>
  <c r="D912" i="2"/>
  <c r="AA948" i="2"/>
  <c r="AB948" i="2"/>
  <c r="V948" i="2"/>
  <c r="Q948" i="2"/>
  <c r="L948" i="2"/>
  <c r="F948" i="2"/>
  <c r="Z948" i="2"/>
  <c r="U948" i="2"/>
  <c r="P948" i="2"/>
  <c r="J948" i="2"/>
  <c r="E948" i="2"/>
  <c r="Y948" i="2"/>
  <c r="T948" i="2"/>
  <c r="N948" i="2"/>
  <c r="I948" i="2"/>
  <c r="D948" i="2"/>
  <c r="R948" i="2"/>
  <c r="M948" i="2"/>
  <c r="H948" i="2"/>
  <c r="AB960" i="2"/>
  <c r="V960" i="2"/>
  <c r="O960" i="2"/>
  <c r="G960" i="2"/>
  <c r="AA960" i="2"/>
  <c r="T960" i="2"/>
  <c r="L960" i="2"/>
  <c r="F960" i="2"/>
  <c r="Z960" i="2"/>
  <c r="R960" i="2"/>
  <c r="K960" i="2"/>
  <c r="D960" i="2"/>
  <c r="W960" i="2"/>
  <c r="P960" i="2"/>
  <c r="J960" i="2"/>
  <c r="H860" i="2"/>
  <c r="D852" i="2"/>
  <c r="I852" i="2"/>
  <c r="N852" i="2"/>
  <c r="T852" i="2"/>
  <c r="Y852" i="2"/>
  <c r="I856" i="2"/>
  <c r="N856" i="2"/>
  <c r="T856" i="2"/>
  <c r="Y856" i="2"/>
  <c r="D858" i="2"/>
  <c r="Z858" i="2"/>
  <c r="F860" i="2"/>
  <c r="L860" i="2"/>
  <c r="Q860" i="2"/>
  <c r="AB860" i="2"/>
  <c r="M912" i="2"/>
  <c r="X948" i="2"/>
  <c r="O862" i="2"/>
  <c r="H864" i="2"/>
  <c r="M864" i="2"/>
  <c r="R864" i="2"/>
  <c r="X864" i="2"/>
  <c r="T866" i="2"/>
  <c r="E868" i="2"/>
  <c r="J868" i="2"/>
  <c r="P868" i="2"/>
  <c r="U868" i="2"/>
  <c r="Z868" i="2"/>
  <c r="H870" i="2"/>
  <c r="T870" i="2"/>
  <c r="E872" i="2"/>
  <c r="J872" i="2"/>
  <c r="P872" i="2"/>
  <c r="U872" i="2"/>
  <c r="Z872" i="2"/>
  <c r="J874" i="2"/>
  <c r="H876" i="2"/>
  <c r="M876" i="2"/>
  <c r="R876" i="2"/>
  <c r="X876" i="2"/>
  <c r="O878" i="2"/>
  <c r="H880" i="2"/>
  <c r="M880" i="2"/>
  <c r="R880" i="2"/>
  <c r="X880" i="2"/>
  <c r="T882" i="2"/>
  <c r="E884" i="2"/>
  <c r="J884" i="2"/>
  <c r="P884" i="2"/>
  <c r="U884" i="2"/>
  <c r="Z884" i="2"/>
  <c r="H886" i="2"/>
  <c r="T886" i="2"/>
  <c r="E888" i="2"/>
  <c r="J888" i="2"/>
  <c r="P888" i="2"/>
  <c r="U888" i="2"/>
  <c r="Z888" i="2"/>
  <c r="J890" i="2"/>
  <c r="H892" i="2"/>
  <c r="M892" i="2"/>
  <c r="R892" i="2"/>
  <c r="X892" i="2"/>
  <c r="O894" i="2"/>
  <c r="H896" i="2"/>
  <c r="M896" i="2"/>
  <c r="R896" i="2"/>
  <c r="X896" i="2"/>
  <c r="T898" i="2"/>
  <c r="E900" i="2"/>
  <c r="J900" i="2"/>
  <c r="P900" i="2"/>
  <c r="U900" i="2"/>
  <c r="Z900" i="2"/>
  <c r="H902" i="2"/>
  <c r="T902" i="2"/>
  <c r="E904" i="2"/>
  <c r="J904" i="2"/>
  <c r="P904" i="2"/>
  <c r="U904" i="2"/>
  <c r="Z904" i="2"/>
  <c r="G906" i="2"/>
  <c r="W906" i="2"/>
  <c r="F908" i="2"/>
  <c r="L908" i="2"/>
  <c r="Q908" i="2"/>
  <c r="V908" i="2"/>
  <c r="AB908" i="2"/>
  <c r="AA928" i="2"/>
  <c r="AB928" i="2"/>
  <c r="V928" i="2"/>
  <c r="Q928" i="2"/>
  <c r="L928" i="2"/>
  <c r="F928" i="2"/>
  <c r="Z928" i="2"/>
  <c r="U928" i="2"/>
  <c r="P928" i="2"/>
  <c r="J928" i="2"/>
  <c r="E928" i="2"/>
  <c r="Y928" i="2"/>
  <c r="T928" i="2"/>
  <c r="N928" i="2"/>
  <c r="I928" i="2"/>
  <c r="D928" i="2"/>
  <c r="X928" i="2"/>
  <c r="Z938" i="2"/>
  <c r="N938" i="2"/>
  <c r="W938" i="2"/>
  <c r="G938" i="2"/>
  <c r="V938" i="2"/>
  <c r="F938" i="2"/>
  <c r="V950" i="2"/>
  <c r="J950" i="2"/>
  <c r="R950" i="2"/>
  <c r="G950" i="2"/>
  <c r="Z950" i="2"/>
  <c r="O950" i="2"/>
  <c r="F950" i="2"/>
  <c r="AA962" i="2"/>
  <c r="AB962" i="2"/>
  <c r="V962" i="2"/>
  <c r="Q962" i="2"/>
  <c r="L962" i="2"/>
  <c r="F962" i="2"/>
  <c r="Z962" i="2"/>
  <c r="U962" i="2"/>
  <c r="P962" i="2"/>
  <c r="J962" i="2"/>
  <c r="E962" i="2"/>
  <c r="Y962" i="2"/>
  <c r="T962" i="2"/>
  <c r="N962" i="2"/>
  <c r="I962" i="2"/>
  <c r="D962" i="2"/>
  <c r="R962" i="2"/>
  <c r="M962" i="2"/>
  <c r="H962" i="2"/>
  <c r="D862" i="2"/>
  <c r="S862" i="2"/>
  <c r="D864" i="2"/>
  <c r="I864" i="2"/>
  <c r="N864" i="2"/>
  <c r="T864" i="2"/>
  <c r="Y864" i="2"/>
  <c r="Z866" i="2"/>
  <c r="F868" i="2"/>
  <c r="L868" i="2"/>
  <c r="Q868" i="2"/>
  <c r="V868" i="2"/>
  <c r="AB868" i="2"/>
  <c r="J870" i="2"/>
  <c r="Z870" i="2"/>
  <c r="F872" i="2"/>
  <c r="L872" i="2"/>
  <c r="Q872" i="2"/>
  <c r="V872" i="2"/>
  <c r="AB872" i="2"/>
  <c r="O874" i="2"/>
  <c r="D876" i="2"/>
  <c r="I876" i="2"/>
  <c r="N876" i="2"/>
  <c r="T876" i="2"/>
  <c r="Y876" i="2"/>
  <c r="D878" i="2"/>
  <c r="S878" i="2"/>
  <c r="D880" i="2"/>
  <c r="I880" i="2"/>
  <c r="N880" i="2"/>
  <c r="T880" i="2"/>
  <c r="Y880" i="2"/>
  <c r="D882" i="2"/>
  <c r="Z882" i="2"/>
  <c r="F884" i="2"/>
  <c r="L884" i="2"/>
  <c r="Q884" i="2"/>
  <c r="V884" i="2"/>
  <c r="AB884" i="2"/>
  <c r="J886" i="2"/>
  <c r="Z886" i="2"/>
  <c r="F888" i="2"/>
  <c r="L888" i="2"/>
  <c r="Q888" i="2"/>
  <c r="V888" i="2"/>
  <c r="AB888" i="2"/>
  <c r="O890" i="2"/>
  <c r="D892" i="2"/>
  <c r="I892" i="2"/>
  <c r="N892" i="2"/>
  <c r="T892" i="2"/>
  <c r="Y892" i="2"/>
  <c r="D894" i="2"/>
  <c r="S894" i="2"/>
  <c r="I896" i="2"/>
  <c r="N896" i="2"/>
  <c r="T896" i="2"/>
  <c r="Y896" i="2"/>
  <c r="Z898" i="2"/>
  <c r="F900" i="2"/>
  <c r="L900" i="2"/>
  <c r="Q900" i="2"/>
  <c r="V900" i="2"/>
  <c r="AB900" i="2"/>
  <c r="J902" i="2"/>
  <c r="Z902" i="2"/>
  <c r="F904" i="2"/>
  <c r="L904" i="2"/>
  <c r="Q904" i="2"/>
  <c r="V904" i="2"/>
  <c r="AB904" i="2"/>
  <c r="N906" i="2"/>
  <c r="H908" i="2"/>
  <c r="M908" i="2"/>
  <c r="R908" i="2"/>
  <c r="X908" i="2"/>
  <c r="N910" i="2"/>
  <c r="AA910" i="2"/>
  <c r="Z914" i="2"/>
  <c r="R914" i="2"/>
  <c r="K914" i="2"/>
  <c r="AA944" i="2"/>
  <c r="AB944" i="2"/>
  <c r="V944" i="2"/>
  <c r="Q944" i="2"/>
  <c r="L944" i="2"/>
  <c r="F944" i="2"/>
  <c r="Z944" i="2"/>
  <c r="U944" i="2"/>
  <c r="P944" i="2"/>
  <c r="J944" i="2"/>
  <c r="E944" i="2"/>
  <c r="Y944" i="2"/>
  <c r="T944" i="2"/>
  <c r="N944" i="2"/>
  <c r="I944" i="2"/>
  <c r="D944" i="2"/>
  <c r="X944" i="2"/>
  <c r="X962" i="2"/>
  <c r="H862" i="2"/>
  <c r="E864" i="2"/>
  <c r="J864" i="2"/>
  <c r="P864" i="2"/>
  <c r="U864" i="2"/>
  <c r="Z864" i="2"/>
  <c r="J866" i="2"/>
  <c r="H868" i="2"/>
  <c r="M868" i="2"/>
  <c r="R868" i="2"/>
  <c r="X868" i="2"/>
  <c r="H872" i="2"/>
  <c r="M872" i="2"/>
  <c r="R872" i="2"/>
  <c r="X872" i="2"/>
  <c r="T874" i="2"/>
  <c r="E876" i="2"/>
  <c r="J876" i="2"/>
  <c r="P876" i="2"/>
  <c r="U876" i="2"/>
  <c r="Z876" i="2"/>
  <c r="H878" i="2"/>
  <c r="J880" i="2"/>
  <c r="P880" i="2"/>
  <c r="U880" i="2"/>
  <c r="Z880" i="2"/>
  <c r="H884" i="2"/>
  <c r="M884" i="2"/>
  <c r="R884" i="2"/>
  <c r="X884" i="2"/>
  <c r="H888" i="2"/>
  <c r="M888" i="2"/>
  <c r="R888" i="2"/>
  <c r="X888" i="2"/>
  <c r="T890" i="2"/>
  <c r="E892" i="2"/>
  <c r="J892" i="2"/>
  <c r="P892" i="2"/>
  <c r="U892" i="2"/>
  <c r="Z892" i="2"/>
  <c r="H894" i="2"/>
  <c r="J896" i="2"/>
  <c r="P896" i="2"/>
  <c r="U896" i="2"/>
  <c r="Z896" i="2"/>
  <c r="H900" i="2"/>
  <c r="M900" i="2"/>
  <c r="R900" i="2"/>
  <c r="X900" i="2"/>
  <c r="H904" i="2"/>
  <c r="M904" i="2"/>
  <c r="R904" i="2"/>
  <c r="X904" i="2"/>
  <c r="O906" i="2"/>
  <c r="I908" i="2"/>
  <c r="N908" i="2"/>
  <c r="T908" i="2"/>
  <c r="Y908" i="2"/>
  <c r="K910" i="2"/>
  <c r="J914" i="2"/>
  <c r="M928" i="2"/>
  <c r="H944" i="2"/>
  <c r="AA946" i="2"/>
  <c r="Z946" i="2"/>
  <c r="R946" i="2"/>
  <c r="J946" i="2"/>
  <c r="W950" i="2"/>
  <c r="AB976" i="2"/>
  <c r="V976" i="2"/>
  <c r="O976" i="2"/>
  <c r="G976" i="2"/>
  <c r="AA976" i="2"/>
  <c r="T976" i="2"/>
  <c r="L976" i="2"/>
  <c r="F976" i="2"/>
  <c r="Z976" i="2"/>
  <c r="R976" i="2"/>
  <c r="K976" i="2"/>
  <c r="D976" i="2"/>
  <c r="W976" i="2"/>
  <c r="P976" i="2"/>
  <c r="J976" i="2"/>
  <c r="AB992" i="2"/>
  <c r="V992" i="2"/>
  <c r="O992" i="2"/>
  <c r="G992" i="2"/>
  <c r="AA992" i="2"/>
  <c r="T992" i="2"/>
  <c r="L992" i="2"/>
  <c r="F992" i="2"/>
  <c r="Z992" i="2"/>
  <c r="R992" i="2"/>
  <c r="K992" i="2"/>
  <c r="D992" i="2"/>
  <c r="W992" i="2"/>
  <c r="P992" i="2"/>
  <c r="J992" i="2"/>
  <c r="H916" i="2"/>
  <c r="M916" i="2"/>
  <c r="R916" i="2"/>
  <c r="X916" i="2"/>
  <c r="N918" i="2"/>
  <c r="W918" i="2"/>
  <c r="E920" i="2"/>
  <c r="J920" i="2"/>
  <c r="P920" i="2"/>
  <c r="U920" i="2"/>
  <c r="Z920" i="2"/>
  <c r="G922" i="2"/>
  <c r="W922" i="2"/>
  <c r="F924" i="2"/>
  <c r="L924" i="2"/>
  <c r="Q924" i="2"/>
  <c r="V924" i="2"/>
  <c r="AB924" i="2"/>
  <c r="N926" i="2"/>
  <c r="F932" i="2"/>
  <c r="L932" i="2"/>
  <c r="Q932" i="2"/>
  <c r="V932" i="2"/>
  <c r="AB932" i="2"/>
  <c r="J934" i="2"/>
  <c r="V934" i="2"/>
  <c r="E940" i="2"/>
  <c r="J940" i="2"/>
  <c r="P940" i="2"/>
  <c r="U940" i="2"/>
  <c r="Z940" i="2"/>
  <c r="F952" i="2"/>
  <c r="L952" i="2"/>
  <c r="Q952" i="2"/>
  <c r="AB964" i="2"/>
  <c r="V964" i="2"/>
  <c r="O964" i="2"/>
  <c r="G964" i="2"/>
  <c r="AA964" i="2"/>
  <c r="T964" i="2"/>
  <c r="L964" i="2"/>
  <c r="F964" i="2"/>
  <c r="Z964" i="2"/>
  <c r="R964" i="2"/>
  <c r="K964" i="2"/>
  <c r="D964" i="2"/>
  <c r="AA966" i="2"/>
  <c r="AB966" i="2"/>
  <c r="V966" i="2"/>
  <c r="Q966" i="2"/>
  <c r="L966" i="2"/>
  <c r="F966" i="2"/>
  <c r="Z966" i="2"/>
  <c r="U966" i="2"/>
  <c r="P966" i="2"/>
  <c r="J966" i="2"/>
  <c r="E966" i="2"/>
  <c r="Y966" i="2"/>
  <c r="T966" i="2"/>
  <c r="N966" i="2"/>
  <c r="I966" i="2"/>
  <c r="D966" i="2"/>
  <c r="X966" i="2"/>
  <c r="P972" i="2"/>
  <c r="M974" i="2"/>
  <c r="AB980" i="2"/>
  <c r="V980" i="2"/>
  <c r="O980" i="2"/>
  <c r="G980" i="2"/>
  <c r="AA980" i="2"/>
  <c r="T980" i="2"/>
  <c r="L980" i="2"/>
  <c r="F980" i="2"/>
  <c r="Z980" i="2"/>
  <c r="R980" i="2"/>
  <c r="K980" i="2"/>
  <c r="D980" i="2"/>
  <c r="AA982" i="2"/>
  <c r="AB982" i="2"/>
  <c r="V982" i="2"/>
  <c r="Q982" i="2"/>
  <c r="L982" i="2"/>
  <c r="F982" i="2"/>
  <c r="Z982" i="2"/>
  <c r="U982" i="2"/>
  <c r="P982" i="2"/>
  <c r="J982" i="2"/>
  <c r="E982" i="2"/>
  <c r="Y982" i="2"/>
  <c r="T982" i="2"/>
  <c r="N982" i="2"/>
  <c r="I982" i="2"/>
  <c r="D982" i="2"/>
  <c r="X982" i="2"/>
  <c r="P988" i="2"/>
  <c r="M990" i="2"/>
  <c r="D916" i="2"/>
  <c r="I916" i="2"/>
  <c r="N916" i="2"/>
  <c r="T916" i="2"/>
  <c r="Y916" i="2"/>
  <c r="F918" i="2"/>
  <c r="O918" i="2"/>
  <c r="F920" i="2"/>
  <c r="L920" i="2"/>
  <c r="Q920" i="2"/>
  <c r="V920" i="2"/>
  <c r="AB920" i="2"/>
  <c r="N922" i="2"/>
  <c r="H924" i="2"/>
  <c r="M924" i="2"/>
  <c r="R924" i="2"/>
  <c r="X924" i="2"/>
  <c r="H932" i="2"/>
  <c r="M932" i="2"/>
  <c r="R932" i="2"/>
  <c r="X932" i="2"/>
  <c r="N934" i="2"/>
  <c r="F940" i="2"/>
  <c r="L940" i="2"/>
  <c r="Q940" i="2"/>
  <c r="V940" i="2"/>
  <c r="AB940" i="2"/>
  <c r="AA952" i="2"/>
  <c r="Z952" i="2"/>
  <c r="Y952" i="2"/>
  <c r="H952" i="2"/>
  <c r="M952" i="2"/>
  <c r="R952" i="2"/>
  <c r="X952" i="2"/>
  <c r="AA956" i="2"/>
  <c r="AB956" i="2"/>
  <c r="V956" i="2"/>
  <c r="Q956" i="2"/>
  <c r="L956" i="2"/>
  <c r="F956" i="2"/>
  <c r="Z956" i="2"/>
  <c r="U956" i="2"/>
  <c r="P956" i="2"/>
  <c r="J956" i="2"/>
  <c r="E956" i="2"/>
  <c r="Y956" i="2"/>
  <c r="T956" i="2"/>
  <c r="N956" i="2"/>
  <c r="I956" i="2"/>
  <c r="D956" i="2"/>
  <c r="X956" i="2"/>
  <c r="J964" i="2"/>
  <c r="H966" i="2"/>
  <c r="AB968" i="2"/>
  <c r="V968" i="2"/>
  <c r="O968" i="2"/>
  <c r="G968" i="2"/>
  <c r="AA968" i="2"/>
  <c r="T968" i="2"/>
  <c r="L968" i="2"/>
  <c r="F968" i="2"/>
  <c r="Z968" i="2"/>
  <c r="R968" i="2"/>
  <c r="K968" i="2"/>
  <c r="D968" i="2"/>
  <c r="AA970" i="2"/>
  <c r="AB970" i="2"/>
  <c r="V970" i="2"/>
  <c r="Q970" i="2"/>
  <c r="L970" i="2"/>
  <c r="F970" i="2"/>
  <c r="Z970" i="2"/>
  <c r="U970" i="2"/>
  <c r="P970" i="2"/>
  <c r="J970" i="2"/>
  <c r="E970" i="2"/>
  <c r="Y970" i="2"/>
  <c r="T970" i="2"/>
  <c r="N970" i="2"/>
  <c r="I970" i="2"/>
  <c r="D970" i="2"/>
  <c r="X970" i="2"/>
  <c r="J980" i="2"/>
  <c r="AB984" i="2"/>
  <c r="V984" i="2"/>
  <c r="O984" i="2"/>
  <c r="G984" i="2"/>
  <c r="AA984" i="2"/>
  <c r="T984" i="2"/>
  <c r="L984" i="2"/>
  <c r="F984" i="2"/>
  <c r="Z984" i="2"/>
  <c r="R984" i="2"/>
  <c r="K984" i="2"/>
  <c r="D984" i="2"/>
  <c r="AA986" i="2"/>
  <c r="AB986" i="2"/>
  <c r="V986" i="2"/>
  <c r="Q986" i="2"/>
  <c r="L986" i="2"/>
  <c r="F986" i="2"/>
  <c r="Z986" i="2"/>
  <c r="U986" i="2"/>
  <c r="P986" i="2"/>
  <c r="J986" i="2"/>
  <c r="E986" i="2"/>
  <c r="Y986" i="2"/>
  <c r="T986" i="2"/>
  <c r="N986" i="2"/>
  <c r="I986" i="2"/>
  <c r="D986" i="2"/>
  <c r="X986" i="2"/>
  <c r="H920" i="2"/>
  <c r="M920" i="2"/>
  <c r="R920" i="2"/>
  <c r="X920" i="2"/>
  <c r="O922" i="2"/>
  <c r="H940" i="2"/>
  <c r="M940" i="2"/>
  <c r="R940" i="2"/>
  <c r="X940" i="2"/>
  <c r="AA958" i="2"/>
  <c r="V958" i="2"/>
  <c r="N958" i="2"/>
  <c r="F958" i="2"/>
  <c r="AB972" i="2"/>
  <c r="V972" i="2"/>
  <c r="O972" i="2"/>
  <c r="G972" i="2"/>
  <c r="AA972" i="2"/>
  <c r="T972" i="2"/>
  <c r="L972" i="2"/>
  <c r="F972" i="2"/>
  <c r="Z972" i="2"/>
  <c r="R972" i="2"/>
  <c r="K972" i="2"/>
  <c r="D972" i="2"/>
  <c r="AA974" i="2"/>
  <c r="AB974" i="2"/>
  <c r="V974" i="2"/>
  <c r="Q974" i="2"/>
  <c r="L974" i="2"/>
  <c r="F974" i="2"/>
  <c r="Z974" i="2"/>
  <c r="U974" i="2"/>
  <c r="P974" i="2"/>
  <c r="J974" i="2"/>
  <c r="E974" i="2"/>
  <c r="Y974" i="2"/>
  <c r="T974" i="2"/>
  <c r="N974" i="2"/>
  <c r="I974" i="2"/>
  <c r="D974" i="2"/>
  <c r="X974" i="2"/>
  <c r="AB988" i="2"/>
  <c r="V988" i="2"/>
  <c r="O988" i="2"/>
  <c r="G988" i="2"/>
  <c r="AA988" i="2"/>
  <c r="T988" i="2"/>
  <c r="L988" i="2"/>
  <c r="F988" i="2"/>
  <c r="Z988" i="2"/>
  <c r="R988" i="2"/>
  <c r="K988" i="2"/>
  <c r="D988" i="2"/>
  <c r="AA990" i="2"/>
  <c r="AB990" i="2"/>
  <c r="V990" i="2"/>
  <c r="Q990" i="2"/>
  <c r="L990" i="2"/>
  <c r="F990" i="2"/>
  <c r="Z990" i="2"/>
  <c r="U990" i="2"/>
  <c r="P990" i="2"/>
  <c r="J990" i="2"/>
  <c r="E990" i="2"/>
  <c r="Y990" i="2"/>
  <c r="T990" i="2"/>
  <c r="N990" i="2"/>
  <c r="I990" i="2"/>
  <c r="D990" i="2"/>
  <c r="X990" i="2"/>
  <c r="O954" i="2"/>
  <c r="F954" i="2"/>
  <c r="V954" i="2"/>
  <c r="G954" i="2"/>
  <c r="W954" i="2"/>
  <c r="N573" i="2"/>
  <c r="E573" i="2"/>
  <c r="F573" i="2"/>
  <c r="L573" i="2"/>
  <c r="AB573" i="2"/>
  <c r="T573" i="2"/>
  <c r="V573" i="2"/>
  <c r="O549" i="2"/>
  <c r="AA549" i="2"/>
  <c r="N591" i="2"/>
  <c r="J591" i="2"/>
  <c r="Z591" i="2"/>
  <c r="T601" i="2"/>
  <c r="D601" i="2"/>
  <c r="P601" i="2"/>
  <c r="L601" i="2"/>
  <c r="H601" i="2"/>
  <c r="AB601" i="2"/>
  <c r="Y521" i="2"/>
  <c r="X521" i="2"/>
  <c r="P521" i="2"/>
  <c r="J521" i="2"/>
  <c r="E521" i="2"/>
  <c r="V521" i="2"/>
  <c r="N521" i="2"/>
  <c r="I521" i="2"/>
  <c r="D521" i="2"/>
  <c r="M521" i="2"/>
  <c r="AB521" i="2"/>
  <c r="T525" i="2"/>
  <c r="K533" i="2"/>
  <c r="G533" i="2"/>
  <c r="Y537" i="2"/>
  <c r="V537" i="2"/>
  <c r="N537" i="2"/>
  <c r="F537" i="2"/>
  <c r="AB537" i="2"/>
  <c r="T537" i="2"/>
  <c r="L537" i="2"/>
  <c r="E537" i="2"/>
  <c r="P537" i="2"/>
  <c r="AA545" i="2"/>
  <c r="X545" i="2"/>
  <c r="P545" i="2"/>
  <c r="H545" i="2"/>
  <c r="V545" i="2"/>
  <c r="N545" i="2"/>
  <c r="F545" i="2"/>
  <c r="R545" i="2"/>
  <c r="K549" i="2"/>
  <c r="G557" i="2"/>
  <c r="AA571" i="2"/>
  <c r="X571" i="2"/>
  <c r="P571" i="2"/>
  <c r="H571" i="2"/>
  <c r="AB571" i="2"/>
  <c r="T571" i="2"/>
  <c r="D571" i="2"/>
  <c r="V571" i="2"/>
  <c r="N571" i="2"/>
  <c r="F571" i="2"/>
  <c r="L571" i="2"/>
  <c r="L577" i="2"/>
  <c r="X601" i="2"/>
  <c r="M609" i="2"/>
  <c r="Q609" i="2"/>
  <c r="I609" i="2"/>
  <c r="Y609" i="2"/>
  <c r="E609" i="2"/>
  <c r="F521" i="2"/>
  <c r="R521" i="2"/>
  <c r="O533" i="2"/>
  <c r="D537" i="2"/>
  <c r="R537" i="2"/>
  <c r="D545" i="2"/>
  <c r="T545" i="2"/>
  <c r="V555" i="2"/>
  <c r="N555" i="2"/>
  <c r="AA567" i="2"/>
  <c r="X567" i="2"/>
  <c r="P567" i="2"/>
  <c r="H567" i="2"/>
  <c r="N567" i="2"/>
  <c r="V567" i="2"/>
  <c r="F567" i="2"/>
  <c r="R567" i="2"/>
  <c r="J571" i="2"/>
  <c r="T595" i="2"/>
  <c r="AB595" i="2"/>
  <c r="L595" i="2"/>
  <c r="D595" i="2"/>
  <c r="U609" i="2"/>
  <c r="AB635" i="2"/>
  <c r="Y635" i="2"/>
  <c r="I635" i="2"/>
  <c r="U635" i="2"/>
  <c r="E635" i="2"/>
  <c r="Q635" i="2"/>
  <c r="M635" i="2"/>
  <c r="L525" i="2"/>
  <c r="D525" i="2"/>
  <c r="O557" i="2"/>
  <c r="K557" i="2"/>
  <c r="Y577" i="2"/>
  <c r="Z577" i="2"/>
  <c r="R577" i="2"/>
  <c r="J577" i="2"/>
  <c r="D577" i="2"/>
  <c r="T577" i="2"/>
  <c r="H577" i="2"/>
  <c r="AB577" i="2"/>
  <c r="P577" i="2"/>
  <c r="F577" i="2"/>
  <c r="N577" i="2"/>
  <c r="X577" i="2"/>
  <c r="E577" i="2"/>
  <c r="Y517" i="2"/>
  <c r="V517" i="2"/>
  <c r="N517" i="2"/>
  <c r="F517" i="2"/>
  <c r="AB517" i="2"/>
  <c r="T517" i="2"/>
  <c r="D517" i="2"/>
  <c r="L517" i="2"/>
  <c r="R517" i="2"/>
  <c r="H521" i="2"/>
  <c r="T521" i="2"/>
  <c r="AA529" i="2"/>
  <c r="V529" i="2"/>
  <c r="N529" i="2"/>
  <c r="F529" i="2"/>
  <c r="L529" i="2"/>
  <c r="AB529" i="2"/>
  <c r="T529" i="2"/>
  <c r="D529" i="2"/>
  <c r="R529" i="2"/>
  <c r="W533" i="2"/>
  <c r="H537" i="2"/>
  <c r="X537" i="2"/>
  <c r="X541" i="2"/>
  <c r="L541" i="2"/>
  <c r="D541" i="2"/>
  <c r="J545" i="2"/>
  <c r="Z545" i="2"/>
  <c r="AB553" i="2"/>
  <c r="Y553" i="2"/>
  <c r="I553" i="2"/>
  <c r="E553" i="2"/>
  <c r="U553" i="2"/>
  <c r="F555" i="2"/>
  <c r="AA563" i="2"/>
  <c r="X563" i="2"/>
  <c r="P563" i="2"/>
  <c r="H563" i="2"/>
  <c r="V563" i="2"/>
  <c r="N563" i="2"/>
  <c r="F563" i="2"/>
  <c r="R563" i="2"/>
  <c r="D567" i="2"/>
  <c r="T567" i="2"/>
  <c r="R571" i="2"/>
  <c r="Z597" i="2"/>
  <c r="I597" i="2"/>
  <c r="Q597" i="2"/>
  <c r="M597" i="2"/>
  <c r="E597" i="2"/>
  <c r="AA583" i="2"/>
  <c r="V583" i="2"/>
  <c r="N583" i="2"/>
  <c r="F583" i="2"/>
  <c r="L583" i="2"/>
  <c r="X583" i="2"/>
  <c r="Y619" i="2"/>
  <c r="W619" i="2"/>
  <c r="O619" i="2"/>
  <c r="V625" i="2"/>
  <c r="AB625" i="2"/>
  <c r="L625" i="2"/>
  <c r="X625" i="2"/>
  <c r="H625" i="2"/>
  <c r="X633" i="2"/>
  <c r="T633" i="2"/>
  <c r="L633" i="2"/>
  <c r="O669" i="2"/>
  <c r="AA669" i="2"/>
  <c r="AB675" i="2"/>
  <c r="M675" i="2"/>
  <c r="Y675" i="2"/>
  <c r="I675" i="2"/>
  <c r="AA691" i="2"/>
  <c r="I691" i="2"/>
  <c r="Y691" i="2"/>
  <c r="E691" i="2"/>
  <c r="H527" i="2"/>
  <c r="X527" i="2"/>
  <c r="R543" i="2"/>
  <c r="Z543" i="2"/>
  <c r="J547" i="2"/>
  <c r="Z547" i="2"/>
  <c r="R561" i="2"/>
  <c r="Z565" i="2"/>
  <c r="J569" i="2"/>
  <c r="R569" i="2"/>
  <c r="X573" i="2"/>
  <c r="AA575" i="2"/>
  <c r="X575" i="2"/>
  <c r="P575" i="2"/>
  <c r="H575" i="2"/>
  <c r="V575" i="2"/>
  <c r="Y627" i="2"/>
  <c r="W627" i="2"/>
  <c r="O627" i="2"/>
  <c r="AB639" i="2"/>
  <c r="M639" i="2"/>
  <c r="Y639" i="2"/>
  <c r="I639" i="2"/>
  <c r="AB647" i="2"/>
  <c r="M647" i="2"/>
  <c r="Y647" i="2"/>
  <c r="I647" i="2"/>
  <c r="P527" i="2"/>
  <c r="J543" i="2"/>
  <c r="R547" i="2"/>
  <c r="J561" i="2"/>
  <c r="Z561" i="2"/>
  <c r="J565" i="2"/>
  <c r="R565" i="2"/>
  <c r="Z569" i="2"/>
  <c r="H573" i="2"/>
  <c r="P573" i="2"/>
  <c r="D575" i="2"/>
  <c r="N575" i="2"/>
  <c r="Z575" i="2"/>
  <c r="D583" i="2"/>
  <c r="P583" i="2"/>
  <c r="Z583" i="2"/>
  <c r="O593" i="2"/>
  <c r="AA593" i="2"/>
  <c r="AA603" i="2"/>
  <c r="S603" i="2"/>
  <c r="K607" i="2"/>
  <c r="Y617" i="2"/>
  <c r="I617" i="2"/>
  <c r="U617" i="2"/>
  <c r="E617" i="2"/>
  <c r="G619" i="2"/>
  <c r="D625" i="2"/>
  <c r="G627" i="2"/>
  <c r="D633" i="2"/>
  <c r="E639" i="2"/>
  <c r="E647" i="2"/>
  <c r="AB651" i="2"/>
  <c r="M651" i="2"/>
  <c r="Y651" i="2"/>
  <c r="I651" i="2"/>
  <c r="AB663" i="2"/>
  <c r="Y663" i="2"/>
  <c r="I663" i="2"/>
  <c r="U663" i="2"/>
  <c r="E663" i="2"/>
  <c r="AB667" i="2"/>
  <c r="Y667" i="2"/>
  <c r="I667" i="2"/>
  <c r="U667" i="2"/>
  <c r="E667" i="2"/>
  <c r="K669" i="2"/>
  <c r="E675" i="2"/>
  <c r="O685" i="2"/>
  <c r="AA685" i="2"/>
  <c r="K685" i="2"/>
  <c r="M691" i="2"/>
  <c r="J515" i="2"/>
  <c r="R515" i="2"/>
  <c r="Z515" i="2"/>
  <c r="J519" i="2"/>
  <c r="R519" i="2"/>
  <c r="Z519" i="2"/>
  <c r="K523" i="2"/>
  <c r="D527" i="2"/>
  <c r="J527" i="2"/>
  <c r="R527" i="2"/>
  <c r="Z527" i="2"/>
  <c r="J531" i="2"/>
  <c r="R531" i="2"/>
  <c r="Z531" i="2"/>
  <c r="D543" i="2"/>
  <c r="L543" i="2"/>
  <c r="T543" i="2"/>
  <c r="AB543" i="2"/>
  <c r="D547" i="2"/>
  <c r="L547" i="2"/>
  <c r="T547" i="2"/>
  <c r="AB547" i="2"/>
  <c r="D561" i="2"/>
  <c r="L561" i="2"/>
  <c r="T561" i="2"/>
  <c r="AB561" i="2"/>
  <c r="D565" i="2"/>
  <c r="L565" i="2"/>
  <c r="T565" i="2"/>
  <c r="AB565" i="2"/>
  <c r="D569" i="2"/>
  <c r="L569" i="2"/>
  <c r="T569" i="2"/>
  <c r="AB569" i="2"/>
  <c r="D573" i="2"/>
  <c r="J573" i="2"/>
  <c r="R573" i="2"/>
  <c r="Z573" i="2"/>
  <c r="F575" i="2"/>
  <c r="R575" i="2"/>
  <c r="AB575" i="2"/>
  <c r="AA579" i="2"/>
  <c r="V579" i="2"/>
  <c r="N579" i="2"/>
  <c r="F579" i="2"/>
  <c r="L579" i="2"/>
  <c r="X579" i="2"/>
  <c r="H583" i="2"/>
  <c r="R583" i="2"/>
  <c r="AB583" i="2"/>
  <c r="AA587" i="2"/>
  <c r="V587" i="2"/>
  <c r="N587" i="2"/>
  <c r="F587" i="2"/>
  <c r="L587" i="2"/>
  <c r="X587" i="2"/>
  <c r="K593" i="2"/>
  <c r="AB605" i="2"/>
  <c r="L605" i="2"/>
  <c r="T605" i="2"/>
  <c r="S607" i="2"/>
  <c r="M617" i="2"/>
  <c r="V621" i="2"/>
  <c r="AB621" i="2"/>
  <c r="L621" i="2"/>
  <c r="X621" i="2"/>
  <c r="H621" i="2"/>
  <c r="Y623" i="2"/>
  <c r="W623" i="2"/>
  <c r="O623" i="2"/>
  <c r="P625" i="2"/>
  <c r="V629" i="2"/>
  <c r="AB629" i="2"/>
  <c r="L629" i="2"/>
  <c r="X629" i="2"/>
  <c r="H629" i="2"/>
  <c r="Y631" i="2"/>
  <c r="W631" i="2"/>
  <c r="O631" i="2"/>
  <c r="AB633" i="2"/>
  <c r="AA637" i="2"/>
  <c r="W637" i="2"/>
  <c r="O637" i="2"/>
  <c r="Q639" i="2"/>
  <c r="Q647" i="2"/>
  <c r="E651" i="2"/>
  <c r="M663" i="2"/>
  <c r="M667" i="2"/>
  <c r="Q675" i="2"/>
  <c r="AB687" i="2"/>
  <c r="M687" i="2"/>
  <c r="Y687" i="2"/>
  <c r="I687" i="2"/>
  <c r="Q691" i="2"/>
  <c r="Q655" i="2"/>
  <c r="M659" i="2"/>
  <c r="M671" i="2"/>
  <c r="Q679" i="2"/>
  <c r="Q683" i="2"/>
  <c r="W693" i="2"/>
  <c r="H699" i="2"/>
  <c r="M699" i="2"/>
  <c r="R699" i="2"/>
  <c r="X699" i="2"/>
  <c r="L701" i="2"/>
  <c r="W701" i="2"/>
  <c r="J581" i="2"/>
  <c r="R581" i="2"/>
  <c r="Z581" i="2"/>
  <c r="J585" i="2"/>
  <c r="R585" i="2"/>
  <c r="Z585" i="2"/>
  <c r="Q589" i="2"/>
  <c r="Q613" i="2"/>
  <c r="U655" i="2"/>
  <c r="Q659" i="2"/>
  <c r="K661" i="2"/>
  <c r="Q671" i="2"/>
  <c r="U679" i="2"/>
  <c r="E683" i="2"/>
  <c r="U683" i="2"/>
  <c r="H695" i="2"/>
  <c r="M695" i="2"/>
  <c r="R695" i="2"/>
  <c r="X695" i="2"/>
  <c r="L697" i="2"/>
  <c r="W697" i="2"/>
  <c r="D699" i="2"/>
  <c r="I699" i="2"/>
  <c r="N699" i="2"/>
  <c r="T699" i="2"/>
  <c r="Y699" i="2"/>
  <c r="D701" i="2"/>
  <c r="O701" i="2"/>
  <c r="Z701" i="2"/>
  <c r="AB413" i="2"/>
  <c r="H359" i="2"/>
  <c r="F361" i="2"/>
  <c r="G363" i="2"/>
  <c r="E367" i="2"/>
  <c r="U367" i="2"/>
  <c r="F371" i="2"/>
  <c r="V371" i="2"/>
  <c r="K375" i="2"/>
  <c r="AA379" i="2"/>
  <c r="F389" i="2"/>
  <c r="P393" i="2"/>
  <c r="P397" i="2"/>
  <c r="U407" i="2"/>
  <c r="F413" i="2"/>
  <c r="D421" i="2"/>
  <c r="F423" i="2"/>
  <c r="V423" i="2"/>
  <c r="P425" i="2"/>
  <c r="G427" i="2"/>
  <c r="U427" i="2"/>
  <c r="V429" i="2"/>
  <c r="V431" i="2"/>
  <c r="E437" i="2"/>
  <c r="J439" i="2"/>
  <c r="D443" i="2"/>
  <c r="D447" i="2"/>
  <c r="E449" i="2"/>
  <c r="I451" i="2"/>
  <c r="Z453" i="2"/>
  <c r="Y455" i="2"/>
  <c r="Z457" i="2"/>
  <c r="Z465" i="2"/>
  <c r="AA471" i="2"/>
  <c r="Y473" i="2"/>
  <c r="P371" i="2"/>
  <c r="P359" i="2"/>
  <c r="J361" i="2"/>
  <c r="K363" i="2"/>
  <c r="L365" i="2"/>
  <c r="H367" i="2"/>
  <c r="X367" i="2"/>
  <c r="H371" i="2"/>
  <c r="X371" i="2"/>
  <c r="J387" i="2"/>
  <c r="Z387" i="2"/>
  <c r="N389" i="2"/>
  <c r="F393" i="2"/>
  <c r="V393" i="2"/>
  <c r="F397" i="2"/>
  <c r="V397" i="2"/>
  <c r="U401" i="2"/>
  <c r="G407" i="2"/>
  <c r="I411" i="2"/>
  <c r="L413" i="2"/>
  <c r="P417" i="2"/>
  <c r="I419" i="2"/>
  <c r="T421" i="2"/>
  <c r="L423" i="2"/>
  <c r="AB423" i="2"/>
  <c r="X425" i="2"/>
  <c r="I427" i="2"/>
  <c r="Y427" i="2"/>
  <c r="M437" i="2"/>
  <c r="Z439" i="2"/>
  <c r="L443" i="2"/>
  <c r="L447" i="2"/>
  <c r="G449" i="2"/>
  <c r="M451" i="2"/>
  <c r="AA363" i="2"/>
  <c r="P367" i="2"/>
  <c r="X359" i="2"/>
  <c r="Z361" i="2"/>
  <c r="O363" i="2"/>
  <c r="AB365" i="2"/>
  <c r="M367" i="2"/>
  <c r="N371" i="2"/>
  <c r="H381" i="2"/>
  <c r="L387" i="2"/>
  <c r="AB387" i="2"/>
  <c r="V389" i="2"/>
  <c r="H393" i="2"/>
  <c r="X393" i="2"/>
  <c r="H397" i="2"/>
  <c r="X397" i="2"/>
  <c r="I407" i="2"/>
  <c r="L409" i="2"/>
  <c r="U411" i="2"/>
  <c r="V413" i="2"/>
  <c r="F417" i="2"/>
  <c r="V417" i="2"/>
  <c r="U419" i="2"/>
  <c r="N423" i="2"/>
  <c r="O427" i="2"/>
  <c r="F431" i="2"/>
  <c r="U437" i="2"/>
  <c r="T447" i="2"/>
  <c r="O449" i="2"/>
  <c r="Y451" i="2"/>
  <c r="I455" i="2"/>
  <c r="I459" i="2"/>
  <c r="M463" i="2"/>
  <c r="I473" i="2"/>
  <c r="T357" i="2"/>
  <c r="D357" i="2"/>
  <c r="X357" i="2"/>
  <c r="H357" i="2"/>
  <c r="AB357" i="2"/>
  <c r="D351" i="2"/>
  <c r="M351" i="2"/>
  <c r="X351" i="2"/>
  <c r="U351" i="2"/>
  <c r="E351" i="2"/>
  <c r="P351" i="2"/>
  <c r="AB351" i="2"/>
  <c r="L351" i="2"/>
  <c r="H351" i="2"/>
  <c r="T351" i="2"/>
  <c r="L349" i="2"/>
  <c r="AB349" i="2"/>
  <c r="M345" i="2"/>
  <c r="P345" i="2"/>
  <c r="E345" i="2"/>
  <c r="U345" i="2"/>
  <c r="H345" i="2"/>
  <c r="X345" i="2"/>
  <c r="E339" i="2"/>
  <c r="U339" i="2"/>
  <c r="L339" i="2"/>
  <c r="AB339" i="2"/>
  <c r="M339" i="2"/>
  <c r="X337" i="2"/>
  <c r="AB337" i="2"/>
  <c r="H337" i="2"/>
  <c r="G335" i="2"/>
  <c r="AA335" i="2"/>
  <c r="K335" i="2"/>
  <c r="P331" i="2"/>
  <c r="E331" i="2"/>
  <c r="U331" i="2"/>
  <c r="H331" i="2"/>
  <c r="X331" i="2"/>
  <c r="L323" i="2"/>
  <c r="AB323" i="2"/>
  <c r="M323" i="2"/>
  <c r="D323" i="2"/>
  <c r="T323" i="2"/>
  <c r="O321" i="2"/>
  <c r="M319" i="2"/>
  <c r="D319" i="2"/>
  <c r="T319" i="2"/>
  <c r="E319" i="2"/>
  <c r="U319" i="2"/>
  <c r="L319" i="2"/>
  <c r="AB319" i="2"/>
  <c r="L317" i="2"/>
  <c r="X317" i="2"/>
  <c r="AB317" i="2"/>
  <c r="H309" i="2"/>
  <c r="T309" i="2"/>
  <c r="X309" i="2"/>
  <c r="O307" i="2"/>
  <c r="W307" i="2"/>
  <c r="T303" i="2"/>
  <c r="X303" i="2"/>
  <c r="D303" i="2"/>
  <c r="K301" i="2"/>
  <c r="H299" i="2"/>
  <c r="P299" i="2"/>
  <c r="X299" i="2"/>
  <c r="H293" i="2"/>
  <c r="X293" i="2"/>
  <c r="M293" i="2"/>
  <c r="P293" i="2"/>
  <c r="E289" i="2"/>
  <c r="P289" i="2"/>
  <c r="AB289" i="2"/>
  <c r="H289" i="2"/>
  <c r="T289" i="2"/>
  <c r="L289" i="2"/>
  <c r="U289" i="2"/>
  <c r="O287" i="2"/>
  <c r="H285" i="2"/>
  <c r="P285" i="2"/>
  <c r="E281" i="2"/>
  <c r="M281" i="2"/>
  <c r="U281" i="2"/>
  <c r="K277" i="2"/>
  <c r="O277" i="2"/>
  <c r="X271" i="2"/>
  <c r="H271" i="2"/>
  <c r="X269" i="2"/>
  <c r="AB269" i="2"/>
  <c r="H269" i="2"/>
  <c r="L269" i="2"/>
  <c r="AA267" i="2"/>
  <c r="G267" i="2"/>
  <c r="K267" i="2"/>
  <c r="P263" i="2"/>
  <c r="E263" i="2"/>
  <c r="U263" i="2"/>
  <c r="H263" i="2"/>
  <c r="X263" i="2"/>
  <c r="L261" i="2"/>
  <c r="T261" i="2"/>
  <c r="D261" i="2"/>
  <c r="X261" i="2"/>
  <c r="K255" i="2"/>
  <c r="Z253" i="2"/>
  <c r="F253" i="2"/>
  <c r="H251" i="2"/>
  <c r="T807" i="2"/>
  <c r="D807" i="2"/>
  <c r="L807" i="2"/>
  <c r="E807" i="2"/>
  <c r="N807" i="2"/>
  <c r="Y807" i="2"/>
  <c r="I807" i="2"/>
  <c r="V807" i="2"/>
  <c r="F807" i="2"/>
  <c r="Q807" i="2"/>
  <c r="AB807" i="2"/>
  <c r="I1325" i="2"/>
  <c r="D1323" i="2"/>
  <c r="S1323" i="2"/>
  <c r="O1323" i="2"/>
  <c r="H1323" i="2"/>
  <c r="J1321" i="2"/>
  <c r="P1321" i="2"/>
  <c r="W1321" i="2"/>
  <c r="D1321" i="2"/>
  <c r="K1321" i="2"/>
  <c r="R1321" i="2"/>
  <c r="Z1321" i="2"/>
  <c r="F1321" i="2"/>
  <c r="L1321" i="2"/>
  <c r="T1321" i="2"/>
  <c r="AA1321" i="2"/>
  <c r="G1321" i="2"/>
  <c r="O1321" i="2"/>
  <c r="V1321" i="2"/>
  <c r="X1319" i="2"/>
  <c r="D1319" i="2"/>
  <c r="I1319" i="2"/>
  <c r="N1319" i="2"/>
  <c r="T1319" i="2"/>
  <c r="Y1319" i="2"/>
  <c r="H1319" i="2"/>
  <c r="R1319" i="2"/>
  <c r="E1319" i="2"/>
  <c r="J1319" i="2"/>
  <c r="P1319" i="2"/>
  <c r="U1319" i="2"/>
  <c r="Z1319" i="2"/>
  <c r="M1319" i="2"/>
  <c r="F1319" i="2"/>
  <c r="L1319" i="2"/>
  <c r="Q1319" i="2"/>
  <c r="V1319" i="2"/>
  <c r="AB1319" i="2"/>
  <c r="O1317" i="2"/>
  <c r="K1315" i="2"/>
  <c r="L1311" i="2"/>
  <c r="W1311" i="2"/>
  <c r="F1311" i="2"/>
  <c r="P1311" i="2"/>
  <c r="AA1311" i="2"/>
  <c r="G1311" i="2"/>
  <c r="R1311" i="2"/>
  <c r="AB1311" i="2"/>
  <c r="K1311" i="2"/>
  <c r="H1309" i="2"/>
  <c r="M1309" i="2"/>
  <c r="R1309" i="2"/>
  <c r="X1309" i="2"/>
  <c r="D1309" i="2"/>
  <c r="I1309" i="2"/>
  <c r="N1309" i="2"/>
  <c r="T1309" i="2"/>
  <c r="Y1309" i="2"/>
  <c r="E1309" i="2"/>
  <c r="J1309" i="2"/>
  <c r="P1309" i="2"/>
  <c r="U1309" i="2"/>
  <c r="Z1309" i="2"/>
  <c r="F1309" i="2"/>
  <c r="L1309" i="2"/>
  <c r="Q1309" i="2"/>
  <c r="V1309" i="2"/>
  <c r="AB1309" i="2"/>
  <c r="E1305" i="2"/>
  <c r="J1305" i="2"/>
  <c r="P1305" i="2"/>
  <c r="U1305" i="2"/>
  <c r="Z1305" i="2"/>
  <c r="F1305" i="2"/>
  <c r="L1305" i="2"/>
  <c r="Q1305" i="2"/>
  <c r="V1305" i="2"/>
  <c r="AB1305" i="2"/>
  <c r="H1305" i="2"/>
  <c r="M1305" i="2"/>
  <c r="R1305" i="2"/>
  <c r="X1305" i="2"/>
  <c r="D1305" i="2"/>
  <c r="I1305" i="2"/>
  <c r="N1305" i="2"/>
  <c r="T1305" i="2"/>
  <c r="Y1305" i="2"/>
  <c r="W1303" i="2"/>
  <c r="F1303" i="2"/>
  <c r="O1303" i="2"/>
  <c r="Z1303" i="2"/>
  <c r="G1303" i="2"/>
  <c r="R1303" i="2"/>
  <c r="N1303" i="2"/>
  <c r="J1303" i="2"/>
  <c r="R1301" i="2"/>
  <c r="D1301" i="2"/>
  <c r="I1301" i="2"/>
  <c r="N1301" i="2"/>
  <c r="T1301" i="2"/>
  <c r="Y1301" i="2"/>
  <c r="M1301" i="2"/>
  <c r="E1301" i="2"/>
  <c r="J1301" i="2"/>
  <c r="P1301" i="2"/>
  <c r="U1301" i="2"/>
  <c r="Z1301" i="2"/>
  <c r="H1301" i="2"/>
  <c r="X1301" i="2"/>
  <c r="F1301" i="2"/>
  <c r="L1301" i="2"/>
  <c r="Q1301" i="2"/>
  <c r="V1301" i="2"/>
  <c r="AB1301" i="2"/>
  <c r="O1299" i="2"/>
  <c r="R1299" i="2"/>
  <c r="G1299" i="2"/>
  <c r="W1299" i="2"/>
  <c r="J1299" i="2"/>
  <c r="H1297" i="2"/>
  <c r="X1297" i="2"/>
  <c r="I1297" i="2"/>
  <c r="Y1297" i="2"/>
  <c r="F1297" i="2"/>
  <c r="L1297" i="2"/>
  <c r="Q1297" i="2"/>
  <c r="V1297" i="2"/>
  <c r="AB1297" i="2"/>
  <c r="M1297" i="2"/>
  <c r="R1297" i="2"/>
  <c r="D1297" i="2"/>
  <c r="N1297" i="2"/>
  <c r="T1297" i="2"/>
  <c r="E1297" i="2"/>
  <c r="J1297" i="2"/>
  <c r="P1297" i="2"/>
  <c r="U1297" i="2"/>
  <c r="Z1297" i="2"/>
  <c r="J1295" i="2"/>
  <c r="F1293" i="2"/>
  <c r="L1293" i="2"/>
  <c r="Q1293" i="2"/>
  <c r="V1293" i="2"/>
  <c r="AB1293" i="2"/>
  <c r="H1293" i="2"/>
  <c r="M1293" i="2"/>
  <c r="R1293" i="2"/>
  <c r="X1293" i="2"/>
  <c r="D1293" i="2"/>
  <c r="I1293" i="2"/>
  <c r="N1293" i="2"/>
  <c r="T1293" i="2"/>
  <c r="Y1293" i="2"/>
  <c r="E1293" i="2"/>
  <c r="J1293" i="2"/>
  <c r="P1293" i="2"/>
  <c r="U1293" i="2"/>
  <c r="Z1293" i="2"/>
  <c r="AA1291" i="2"/>
  <c r="K1291" i="2"/>
  <c r="F1289" i="2"/>
  <c r="L1289" i="2"/>
  <c r="Q1289" i="2"/>
  <c r="V1289" i="2"/>
  <c r="AB1289" i="2"/>
  <c r="H1289" i="2"/>
  <c r="M1289" i="2"/>
  <c r="R1289" i="2"/>
  <c r="X1289" i="2"/>
  <c r="D1289" i="2"/>
  <c r="I1289" i="2"/>
  <c r="N1289" i="2"/>
  <c r="T1289" i="2"/>
  <c r="Y1289" i="2"/>
  <c r="E1289" i="2"/>
  <c r="J1289" i="2"/>
  <c r="P1289" i="2"/>
  <c r="U1289" i="2"/>
  <c r="Z1289" i="2"/>
  <c r="J1287" i="2"/>
  <c r="V1287" i="2"/>
  <c r="N1287" i="2"/>
  <c r="F1285" i="2"/>
  <c r="L1285" i="2"/>
  <c r="Q1285" i="2"/>
  <c r="V1285" i="2"/>
  <c r="AB1285" i="2"/>
  <c r="H1285" i="2"/>
  <c r="M1285" i="2"/>
  <c r="R1285" i="2"/>
  <c r="X1285" i="2"/>
  <c r="G1283" i="2"/>
  <c r="W1283" i="2"/>
  <c r="R1283" i="2"/>
  <c r="J1283" i="2"/>
  <c r="Z1283" i="2"/>
  <c r="H1281" i="2"/>
  <c r="M1281" i="2"/>
  <c r="R1281" i="2"/>
  <c r="X1281" i="2"/>
  <c r="D1281" i="2"/>
  <c r="I1281" i="2"/>
  <c r="N1281" i="2"/>
  <c r="T1281" i="2"/>
  <c r="Y1281" i="2"/>
  <c r="E1281" i="2"/>
  <c r="J1281" i="2"/>
  <c r="P1281" i="2"/>
  <c r="U1281" i="2"/>
  <c r="Z1281" i="2"/>
  <c r="F1281" i="2"/>
  <c r="L1281" i="2"/>
  <c r="Q1281" i="2"/>
  <c r="V1281" i="2"/>
  <c r="AB1281" i="2"/>
  <c r="R1279" i="2"/>
  <c r="F1277" i="2"/>
  <c r="Q1277" i="2"/>
  <c r="I1277" i="2"/>
  <c r="U1277" i="2"/>
  <c r="M1277" i="2"/>
  <c r="L1273" i="2"/>
  <c r="D1273" i="2"/>
  <c r="O1273" i="2"/>
  <c r="X1273" i="2"/>
  <c r="G1273" i="2"/>
  <c r="P1273" i="2"/>
  <c r="AB1273" i="2"/>
  <c r="W1273" i="2"/>
  <c r="H1273" i="2"/>
  <c r="H1313" i="2"/>
  <c r="M1313" i="2"/>
  <c r="R1313" i="2"/>
  <c r="X1313" i="2"/>
  <c r="D1313" i="2"/>
  <c r="I1313" i="2"/>
  <c r="N1313" i="2"/>
  <c r="T1313" i="2"/>
  <c r="Y1313" i="2"/>
  <c r="E1313" i="2"/>
  <c r="J1313" i="2"/>
  <c r="P1313" i="2"/>
  <c r="U1313" i="2"/>
  <c r="Z1313" i="2"/>
  <c r="F1313" i="2"/>
  <c r="L1313" i="2"/>
  <c r="Q1313" i="2"/>
  <c r="V1313" i="2"/>
  <c r="AB1313" i="2"/>
  <c r="J1271" i="2"/>
  <c r="R1271" i="2"/>
  <c r="H1269" i="2"/>
  <c r="M1269" i="2"/>
  <c r="R1269" i="2"/>
  <c r="X1269" i="2"/>
  <c r="D1269" i="2"/>
  <c r="I1269" i="2"/>
  <c r="N1269" i="2"/>
  <c r="T1269" i="2"/>
  <c r="Y1269" i="2"/>
  <c r="E1269" i="2"/>
  <c r="J1269" i="2"/>
  <c r="P1269" i="2"/>
  <c r="U1269" i="2"/>
  <c r="Z1269" i="2"/>
  <c r="F1269" i="2"/>
  <c r="L1269" i="2"/>
  <c r="Q1269" i="2"/>
  <c r="V1269" i="2"/>
  <c r="AB1269" i="2"/>
  <c r="N1265" i="2"/>
  <c r="Q1265" i="2"/>
  <c r="F1265" i="2"/>
  <c r="M1165" i="2"/>
  <c r="M1170" i="2" s="1"/>
  <c r="W1165" i="2"/>
  <c r="W1170" i="2" s="1"/>
  <c r="F1165" i="2"/>
  <c r="Q1165" i="2"/>
  <c r="Q1170" i="2" s="1"/>
  <c r="AA1165" i="2"/>
  <c r="AA1170" i="2" s="1"/>
  <c r="G1165" i="2"/>
  <c r="F1161" i="2"/>
  <c r="G1161" i="2"/>
  <c r="J1161" i="2"/>
  <c r="I839" i="2"/>
  <c r="W839" i="2"/>
  <c r="M839" i="2"/>
  <c r="Z839" i="2"/>
  <c r="I837" i="2"/>
  <c r="X837" i="2"/>
  <c r="P835" i="2"/>
  <c r="N833" i="2"/>
  <c r="F833" i="2"/>
  <c r="Y833" i="2"/>
  <c r="F831" i="2"/>
  <c r="N831" i="2"/>
  <c r="U831" i="2"/>
  <c r="AB831" i="2"/>
  <c r="I831" i="2"/>
  <c r="P831" i="2"/>
  <c r="E829" i="2"/>
  <c r="L829" i="2"/>
  <c r="T829" i="2"/>
  <c r="AA829" i="2"/>
  <c r="G829" i="2"/>
  <c r="O829" i="2"/>
  <c r="U829" i="2"/>
  <c r="AB829" i="2"/>
  <c r="I829" i="2"/>
  <c r="P829" i="2"/>
  <c r="H827" i="2"/>
  <c r="AA827" i="2"/>
  <c r="L827" i="2"/>
  <c r="K825" i="2"/>
  <c r="Y825" i="2"/>
  <c r="T823" i="2"/>
  <c r="F823" i="2"/>
  <c r="I823" i="2"/>
  <c r="AB823" i="2"/>
  <c r="X823" i="2"/>
  <c r="I821" i="2"/>
  <c r="T821" i="2"/>
  <c r="D821" i="2"/>
  <c r="L821" i="2"/>
  <c r="W821" i="2"/>
  <c r="E821" i="2"/>
  <c r="O821" i="2"/>
  <c r="S817" i="2"/>
  <c r="H817" i="2"/>
  <c r="G815" i="2"/>
  <c r="R815" i="2"/>
  <c r="J815" i="2"/>
  <c r="U815" i="2"/>
  <c r="M815" i="2"/>
  <c r="W815" i="2"/>
  <c r="P813" i="2"/>
  <c r="D813" i="2"/>
  <c r="K813" i="2"/>
  <c r="Q813" i="2"/>
  <c r="AB813" i="2"/>
  <c r="I813" i="2"/>
  <c r="E813" i="2"/>
  <c r="L813" i="2"/>
  <c r="T813" i="2"/>
  <c r="Y813" i="2"/>
  <c r="G813" i="2"/>
  <c r="O813" i="2"/>
  <c r="W813" i="2"/>
  <c r="P811" i="2"/>
  <c r="V811" i="2"/>
  <c r="F811" i="2"/>
  <c r="AA811" i="2"/>
  <c r="K811" i="2"/>
  <c r="N809" i="2"/>
  <c r="E805" i="2"/>
  <c r="L805" i="2"/>
  <c r="T805" i="2"/>
  <c r="G805" i="2"/>
  <c r="O805" i="2"/>
  <c r="W805" i="2"/>
  <c r="I805" i="2"/>
  <c r="P805" i="2"/>
  <c r="V801" i="2"/>
  <c r="F801" i="2"/>
  <c r="AA801" i="2"/>
  <c r="K801" i="2"/>
  <c r="Q801" i="2"/>
  <c r="V799" i="2"/>
  <c r="F799" i="2"/>
  <c r="Q799" i="2"/>
  <c r="AB799" i="2"/>
  <c r="L799" i="2"/>
  <c r="D799" i="2"/>
  <c r="N799" i="2"/>
  <c r="Y799" i="2"/>
  <c r="I799" i="2"/>
  <c r="T799" i="2"/>
  <c r="L1143" i="2"/>
  <c r="L1152" i="2" s="1"/>
  <c r="W1143" i="2"/>
  <c r="F1143" i="2"/>
  <c r="F1152" i="2" s="1"/>
  <c r="P1143" i="2"/>
  <c r="H1141" i="2"/>
  <c r="M1141" i="2"/>
  <c r="R1141" i="2"/>
  <c r="R1152" i="2" s="1"/>
  <c r="X1141" i="2"/>
  <c r="D1141" i="2"/>
  <c r="I1141" i="2"/>
  <c r="N1141" i="2"/>
  <c r="T1141" i="2"/>
  <c r="Y1141" i="2"/>
  <c r="E1141" i="2"/>
  <c r="J1141" i="2"/>
  <c r="P1141" i="2"/>
  <c r="U1141" i="2"/>
  <c r="Z1141" i="2"/>
  <c r="M1131" i="2"/>
  <c r="F1131" i="2"/>
  <c r="AA1131" i="2"/>
  <c r="G1131" i="2"/>
  <c r="R1131" i="2"/>
  <c r="W1131" i="2"/>
  <c r="Q1131" i="2"/>
  <c r="K1131" i="2"/>
  <c r="W1129" i="2"/>
  <c r="E1129" i="2"/>
  <c r="P1129" i="2"/>
  <c r="AA1129" i="2"/>
  <c r="L1129" i="2"/>
  <c r="G1129" i="2"/>
  <c r="Q1129" i="2"/>
  <c r="F1127" i="2"/>
  <c r="M1127" i="2"/>
  <c r="U1127" i="2"/>
  <c r="AA1127" i="2"/>
  <c r="G1127" i="2"/>
  <c r="O1127" i="2"/>
  <c r="V1127" i="2"/>
  <c r="J1127" i="2"/>
  <c r="Q1127" i="2"/>
  <c r="W1127" i="2"/>
  <c r="E1127" i="2"/>
  <c r="K1127" i="2"/>
  <c r="R1127" i="2"/>
  <c r="I1125" i="2"/>
  <c r="P1125" i="2"/>
  <c r="W1125" i="2"/>
  <c r="D1125" i="2"/>
  <c r="K1125" i="2"/>
  <c r="Q1125" i="2"/>
  <c r="S1117" i="2"/>
  <c r="G1117" i="2"/>
  <c r="AB1117" i="2"/>
  <c r="H1117" i="2"/>
  <c r="K1115" i="2"/>
  <c r="V1115" i="2"/>
  <c r="M1115" i="2"/>
  <c r="L1113" i="2"/>
  <c r="Q1111" i="2"/>
  <c r="E1111" i="2"/>
  <c r="K1111" i="2"/>
  <c r="R1111" i="2"/>
  <c r="Z1111" i="2"/>
  <c r="J1111" i="2"/>
  <c r="W1111" i="2"/>
  <c r="F1111" i="2"/>
  <c r="M1111" i="2"/>
  <c r="U1111" i="2"/>
  <c r="G1109" i="2"/>
  <c r="O1109" i="2"/>
  <c r="U1109" i="2"/>
  <c r="AB1109" i="2"/>
  <c r="I1109" i="2"/>
  <c r="P1109" i="2"/>
  <c r="D1109" i="2"/>
  <c r="K1109" i="2"/>
  <c r="Q1109" i="2"/>
  <c r="Y1109" i="2"/>
  <c r="W1109" i="2"/>
  <c r="E1109" i="2"/>
  <c r="L1109" i="2"/>
  <c r="T1109" i="2"/>
  <c r="F1107" i="2"/>
  <c r="P1107" i="2"/>
  <c r="R1107" i="2"/>
  <c r="AA1107" i="2"/>
  <c r="G1107" i="2"/>
  <c r="AB1107" i="2"/>
  <c r="R1103" i="2"/>
  <c r="F1103" i="2"/>
  <c r="AB1103" i="2"/>
  <c r="H1103" i="2"/>
  <c r="L1101" i="2"/>
  <c r="O1099" i="2"/>
  <c r="S1099" i="2"/>
  <c r="H1099" i="2"/>
  <c r="T1099" i="2"/>
  <c r="D1099" i="2"/>
  <c r="J1099" i="2"/>
  <c r="V1095" i="2"/>
  <c r="D1095" i="2"/>
  <c r="J1095" i="2"/>
  <c r="Q1095" i="2"/>
  <c r="Y1095" i="2"/>
  <c r="I1095" i="2"/>
  <c r="E1095" i="2"/>
  <c r="L1095" i="2"/>
  <c r="T1095" i="2"/>
  <c r="Z1095" i="2"/>
  <c r="P1095" i="2"/>
  <c r="F1095" i="2"/>
  <c r="N1095" i="2"/>
  <c r="U1095" i="2"/>
  <c r="E1097" i="2"/>
  <c r="Z1097" i="2"/>
  <c r="I1097" i="2"/>
  <c r="O1121" i="2"/>
  <c r="D1121" i="2"/>
  <c r="S1121" i="2"/>
  <c r="H1121" i="2"/>
  <c r="G1093" i="2"/>
  <c r="O1093" i="2"/>
  <c r="U1093" i="2"/>
  <c r="AB1093" i="2"/>
  <c r="I1093" i="2"/>
  <c r="P1093" i="2"/>
  <c r="F1083" i="2"/>
  <c r="L1083" i="2"/>
  <c r="Q1083" i="2"/>
  <c r="V1083" i="2"/>
  <c r="AB1083" i="2"/>
  <c r="H1083" i="2"/>
  <c r="M1083" i="2"/>
  <c r="R1083" i="2"/>
  <c r="X1083" i="2"/>
  <c r="G1081" i="2"/>
  <c r="O1081" i="2"/>
  <c r="V1081" i="2"/>
  <c r="AB1081" i="2"/>
  <c r="J1081" i="2"/>
  <c r="P1081" i="2"/>
  <c r="F1079" i="2"/>
  <c r="L1079" i="2"/>
  <c r="Q1079" i="2"/>
  <c r="V1079" i="2"/>
  <c r="AB1079" i="2"/>
  <c r="H1079" i="2"/>
  <c r="M1079" i="2"/>
  <c r="R1079" i="2"/>
  <c r="X1079" i="2"/>
  <c r="K1077" i="2"/>
  <c r="O1075" i="2"/>
  <c r="AA1075" i="2"/>
  <c r="E1075" i="2"/>
  <c r="E1073" i="2"/>
  <c r="F1073" i="2"/>
  <c r="Q1073" i="2"/>
  <c r="AB1073" i="2"/>
  <c r="J1073" i="2"/>
  <c r="U1073" i="2"/>
  <c r="L1073" i="2"/>
  <c r="W1071" i="2"/>
  <c r="AA1071" i="2"/>
  <c r="G1071" i="2"/>
  <c r="Q1071" i="2"/>
  <c r="AB1071" i="2"/>
  <c r="L1071" i="2"/>
  <c r="E1071" i="2"/>
  <c r="P1071" i="2"/>
  <c r="K1071" i="2"/>
  <c r="M1057" i="2"/>
  <c r="W1057" i="2"/>
  <c r="F1057" i="2"/>
  <c r="Q1057" i="2"/>
  <c r="K1055" i="2"/>
  <c r="U1055" i="2"/>
  <c r="L1055" i="2"/>
  <c r="J1053" i="2"/>
  <c r="Q1053" i="2"/>
  <c r="W1053" i="2"/>
  <c r="K1053" i="2"/>
  <c r="Z1053" i="2"/>
  <c r="F1053" i="2"/>
  <c r="M1053" i="2"/>
  <c r="U1053" i="2"/>
  <c r="AA1053" i="2"/>
  <c r="E1053" i="2"/>
  <c r="R1053" i="2"/>
  <c r="G1053" i="2"/>
  <c r="O1053" i="2"/>
  <c r="I1051" i="2"/>
  <c r="P1051" i="2"/>
  <c r="S1049" i="2"/>
  <c r="E1049" i="2"/>
  <c r="Z1049" i="2"/>
  <c r="G1043" i="2"/>
  <c r="O1043" i="2"/>
  <c r="V1043" i="2"/>
  <c r="J1043" i="2"/>
  <c r="Q1043" i="2"/>
  <c r="E1041" i="2"/>
  <c r="L1041" i="2"/>
  <c r="T1041" i="2"/>
  <c r="AA1041" i="2"/>
  <c r="G1041" i="2"/>
  <c r="O1041" i="2"/>
  <c r="U1041" i="2"/>
  <c r="AB1041" i="2"/>
  <c r="I1041" i="2"/>
  <c r="P1041" i="2"/>
  <c r="H197" i="2"/>
  <c r="M197" i="2"/>
  <c r="R197" i="2"/>
  <c r="X197" i="2"/>
  <c r="D197" i="2"/>
  <c r="I197" i="2"/>
  <c r="N197" i="2"/>
  <c r="T197" i="2"/>
  <c r="Y197" i="2"/>
  <c r="P195" i="2"/>
  <c r="D195" i="2"/>
  <c r="T195" i="2"/>
  <c r="H191" i="2"/>
  <c r="P191" i="2"/>
  <c r="X191" i="2"/>
  <c r="I191" i="2"/>
  <c r="Q191" i="2"/>
  <c r="Y191" i="2"/>
  <c r="F187" i="2"/>
  <c r="L187" i="2"/>
  <c r="Q187" i="2"/>
  <c r="V187" i="2"/>
  <c r="AB187" i="2"/>
  <c r="H187" i="2"/>
  <c r="M187" i="2"/>
  <c r="R187" i="2"/>
  <c r="X187" i="2"/>
  <c r="H189" i="2"/>
  <c r="X189" i="2"/>
  <c r="P189" i="2"/>
  <c r="D189" i="2"/>
  <c r="T189" i="2"/>
  <c r="P185" i="2"/>
  <c r="D185" i="2"/>
  <c r="T185" i="2"/>
  <c r="H183" i="2"/>
  <c r="M183" i="2"/>
  <c r="R183" i="2"/>
  <c r="X183" i="2"/>
  <c r="D183" i="2"/>
  <c r="I183" i="2"/>
  <c r="N183" i="2"/>
  <c r="T183" i="2"/>
  <c r="Y183" i="2"/>
  <c r="P181" i="2"/>
  <c r="D181" i="2"/>
  <c r="T181" i="2"/>
  <c r="X177" i="2"/>
  <c r="P177" i="2"/>
  <c r="D177" i="2"/>
  <c r="T177" i="2"/>
  <c r="L177" i="2"/>
  <c r="AB177" i="2"/>
  <c r="F179" i="2"/>
  <c r="L179" i="2"/>
  <c r="Q179" i="2"/>
  <c r="V179" i="2"/>
  <c r="AB179" i="2"/>
  <c r="H179" i="2"/>
  <c r="M179" i="2"/>
  <c r="R179" i="2"/>
  <c r="X179" i="2"/>
  <c r="D179" i="2"/>
  <c r="I179" i="2"/>
  <c r="N179" i="2"/>
  <c r="T179" i="2"/>
  <c r="Y179" i="2"/>
  <c r="I125" i="2"/>
  <c r="Y125" i="2"/>
  <c r="T123" i="2"/>
  <c r="D123" i="2"/>
  <c r="V127" i="2"/>
  <c r="H161" i="2"/>
  <c r="T161" i="2"/>
  <c r="X161" i="2"/>
  <c r="D161" i="2"/>
  <c r="L161" i="2"/>
  <c r="AB161" i="2"/>
  <c r="P161" i="2"/>
  <c r="D159" i="2"/>
  <c r="I159" i="2"/>
  <c r="N159" i="2"/>
  <c r="T159" i="2"/>
  <c r="Y159" i="2"/>
  <c r="H159" i="2"/>
  <c r="M159" i="2"/>
  <c r="R159" i="2"/>
  <c r="X159" i="2"/>
  <c r="D157" i="2"/>
  <c r="T157" i="2"/>
  <c r="P157" i="2"/>
  <c r="J153" i="2"/>
  <c r="X153" i="2"/>
  <c r="D153" i="2"/>
  <c r="L153" i="2"/>
  <c r="AB153" i="2"/>
  <c r="F153" i="2"/>
  <c r="P153" i="2"/>
  <c r="F151" i="2"/>
  <c r="L151" i="2"/>
  <c r="Q151" i="2"/>
  <c r="V151" i="2"/>
  <c r="AB151" i="2"/>
  <c r="H151" i="2"/>
  <c r="M151" i="2"/>
  <c r="R151" i="2"/>
  <c r="X151" i="2"/>
  <c r="D151" i="2"/>
  <c r="I151" i="2"/>
  <c r="N151" i="2"/>
  <c r="T151" i="2"/>
  <c r="Y151" i="2"/>
  <c r="E151" i="2"/>
  <c r="J151" i="2"/>
  <c r="P151" i="2"/>
  <c r="U151" i="2"/>
  <c r="Z151" i="2"/>
  <c r="H149" i="2"/>
  <c r="P149" i="2"/>
  <c r="X149" i="2"/>
  <c r="J149" i="2"/>
  <c r="R149" i="2"/>
  <c r="Z149" i="2"/>
  <c r="H147" i="2"/>
  <c r="M147" i="2"/>
  <c r="R147" i="2"/>
  <c r="X147" i="2"/>
  <c r="D147" i="2"/>
  <c r="I147" i="2"/>
  <c r="N147" i="2"/>
  <c r="T147" i="2"/>
  <c r="Y147" i="2"/>
  <c r="E147" i="2"/>
  <c r="J147" i="2"/>
  <c r="P147" i="2"/>
  <c r="U147" i="2"/>
  <c r="Z147" i="2"/>
  <c r="J145" i="2"/>
  <c r="R145" i="2"/>
  <c r="Z145" i="2"/>
  <c r="H143" i="2"/>
  <c r="M143" i="2"/>
  <c r="R143" i="2"/>
  <c r="X143" i="2"/>
  <c r="D143" i="2"/>
  <c r="I143" i="2"/>
  <c r="N143" i="2"/>
  <c r="T143" i="2"/>
  <c r="Y143" i="2"/>
  <c r="E143" i="2"/>
  <c r="J143" i="2"/>
  <c r="P143" i="2"/>
  <c r="U143" i="2"/>
  <c r="Z143" i="2"/>
  <c r="F143" i="2"/>
  <c r="L143" i="2"/>
  <c r="Q143" i="2"/>
  <c r="V143" i="2"/>
  <c r="AB143" i="2"/>
  <c r="H141" i="2"/>
  <c r="P141" i="2"/>
  <c r="X141" i="2"/>
  <c r="J141" i="2"/>
  <c r="R141" i="2"/>
  <c r="Z141" i="2"/>
  <c r="F139" i="2"/>
  <c r="L139" i="2"/>
  <c r="Q139" i="2"/>
  <c r="V139" i="2"/>
  <c r="AB139" i="2"/>
  <c r="H139" i="2"/>
  <c r="M139" i="2"/>
  <c r="R139" i="2"/>
  <c r="X139" i="2"/>
  <c r="D137" i="2"/>
  <c r="L137" i="2"/>
  <c r="T137" i="2"/>
  <c r="AB137" i="2"/>
  <c r="F137" i="2"/>
  <c r="N137" i="2"/>
  <c r="V137" i="2"/>
  <c r="H137" i="2"/>
  <c r="P137" i="2"/>
  <c r="X137" i="2"/>
  <c r="J137" i="2"/>
  <c r="R137" i="2"/>
  <c r="Z137" i="2"/>
  <c r="H135" i="2"/>
  <c r="R135" i="2"/>
  <c r="D135" i="2"/>
  <c r="I135" i="2"/>
  <c r="N135" i="2"/>
  <c r="T135" i="2"/>
  <c r="Y135" i="2"/>
  <c r="M135" i="2"/>
  <c r="X135" i="2"/>
  <c r="E135" i="2"/>
  <c r="J135" i="2"/>
  <c r="P135" i="2"/>
  <c r="U135" i="2"/>
  <c r="Z135" i="2"/>
  <c r="H133" i="2"/>
  <c r="P133" i="2"/>
  <c r="X133" i="2"/>
  <c r="J133" i="2"/>
  <c r="R133" i="2"/>
  <c r="Z133" i="2"/>
  <c r="F131" i="2"/>
  <c r="L131" i="2"/>
  <c r="Q131" i="2"/>
  <c r="V131" i="2"/>
  <c r="AB131" i="2"/>
  <c r="H131" i="2"/>
  <c r="M131" i="2"/>
  <c r="R131" i="2"/>
  <c r="X131" i="2"/>
  <c r="R129" i="2"/>
  <c r="D129" i="2"/>
  <c r="L129" i="2"/>
  <c r="T129" i="2"/>
  <c r="AB129" i="2"/>
  <c r="J129" i="2"/>
  <c r="Z129" i="2"/>
  <c r="F129" i="2"/>
  <c r="N129" i="2"/>
  <c r="V129" i="2"/>
  <c r="M125" i="2"/>
  <c r="Q125" i="2"/>
  <c r="E125" i="2"/>
  <c r="U125" i="2"/>
  <c r="Q119" i="2"/>
  <c r="U119" i="2"/>
  <c r="I119" i="2"/>
  <c r="Y119" i="2"/>
  <c r="E119" i="2"/>
  <c r="M119" i="2"/>
  <c r="E115" i="2"/>
  <c r="I115" i="2"/>
  <c r="Y115" i="2"/>
  <c r="Q115" i="2"/>
  <c r="U115" i="2"/>
  <c r="M115" i="2"/>
  <c r="H81" i="2"/>
  <c r="R81" i="2"/>
  <c r="D81" i="2"/>
  <c r="I81" i="2"/>
  <c r="N81" i="2"/>
  <c r="T81" i="2"/>
  <c r="Y81" i="2"/>
  <c r="M81" i="2"/>
  <c r="X81" i="2"/>
  <c r="E81" i="2"/>
  <c r="J81" i="2"/>
  <c r="P81" i="2"/>
  <c r="U81" i="2"/>
  <c r="Z81" i="2"/>
  <c r="H77" i="2"/>
  <c r="M77" i="2"/>
  <c r="R77" i="2"/>
  <c r="X77" i="2"/>
  <c r="F77" i="2"/>
  <c r="L77" i="2"/>
  <c r="Q77" i="2"/>
  <c r="V77" i="2"/>
  <c r="AB77" i="2"/>
  <c r="H67" i="2"/>
  <c r="P67" i="2"/>
  <c r="X67" i="2"/>
  <c r="J67" i="2"/>
  <c r="R67" i="2"/>
  <c r="Z67" i="2"/>
  <c r="Q111" i="2"/>
  <c r="U111" i="2"/>
  <c r="I111" i="2"/>
  <c r="Y111" i="2"/>
  <c r="E111" i="2"/>
  <c r="M111" i="2"/>
  <c r="R75" i="2"/>
  <c r="L75" i="2"/>
  <c r="AB75" i="2"/>
  <c r="F75" i="2"/>
  <c r="N75" i="2"/>
  <c r="V75" i="2"/>
  <c r="J75" i="2"/>
  <c r="Z75" i="2"/>
  <c r="D75" i="2"/>
  <c r="T75" i="2"/>
  <c r="H75" i="2"/>
  <c r="P75" i="2"/>
  <c r="X75" i="2"/>
  <c r="K113" i="2"/>
  <c r="AA113" i="2"/>
  <c r="S109" i="2"/>
  <c r="M73" i="2"/>
  <c r="X73" i="2"/>
  <c r="D73" i="2"/>
  <c r="I73" i="2"/>
  <c r="N73" i="2"/>
  <c r="T73" i="2"/>
  <c r="Y73" i="2"/>
  <c r="H73" i="2"/>
  <c r="R73" i="2"/>
  <c r="E73" i="2"/>
  <c r="J73" i="2"/>
  <c r="P73" i="2"/>
  <c r="U73" i="2"/>
  <c r="Z73" i="2"/>
  <c r="F71" i="2"/>
  <c r="N71" i="2"/>
  <c r="V71" i="2"/>
  <c r="H71" i="2"/>
  <c r="P71" i="2"/>
  <c r="X71" i="2"/>
  <c r="J71" i="2"/>
  <c r="R71" i="2"/>
  <c r="Z71" i="2"/>
  <c r="Q107" i="2"/>
  <c r="E107" i="2"/>
  <c r="U107" i="2"/>
  <c r="I107" i="2"/>
  <c r="Y107" i="2"/>
  <c r="H69" i="2"/>
  <c r="M69" i="2"/>
  <c r="R69" i="2"/>
  <c r="X69" i="2"/>
  <c r="D69" i="2"/>
  <c r="I69" i="2"/>
  <c r="N69" i="2"/>
  <c r="T69" i="2"/>
  <c r="Y69" i="2"/>
  <c r="K105" i="2"/>
  <c r="M103" i="2"/>
  <c r="Q103" i="2"/>
  <c r="M99" i="2"/>
  <c r="Q99" i="2"/>
  <c r="J79" i="2"/>
  <c r="Z79" i="2"/>
  <c r="D79" i="2"/>
  <c r="T79" i="2"/>
  <c r="F79" i="2"/>
  <c r="N79" i="2"/>
  <c r="V79" i="2"/>
  <c r="R79" i="2"/>
  <c r="L79" i="2"/>
  <c r="AB79" i="2"/>
  <c r="H79" i="2"/>
  <c r="P79" i="2"/>
  <c r="X79" i="2"/>
  <c r="K97" i="2"/>
  <c r="AA97" i="2"/>
  <c r="Q95" i="2"/>
  <c r="I95" i="2"/>
  <c r="Y95" i="2"/>
  <c r="H93" i="2"/>
  <c r="X93" i="2"/>
  <c r="G91" i="2"/>
  <c r="O91" i="2"/>
  <c r="N89" i="2"/>
  <c r="F89" i="2"/>
  <c r="V89" i="2"/>
  <c r="M55" i="2"/>
  <c r="Q87" i="2"/>
  <c r="E87" i="2"/>
  <c r="U87" i="2"/>
  <c r="I87" i="2"/>
  <c r="Y87" i="2"/>
  <c r="Q59" i="2"/>
  <c r="E59" i="2"/>
  <c r="U59" i="2"/>
  <c r="I59" i="2"/>
  <c r="Y59" i="2"/>
  <c r="G57" i="2"/>
  <c r="O57" i="2"/>
  <c r="E83" i="2"/>
  <c r="U83" i="2"/>
  <c r="Q83" i="2"/>
  <c r="I83" i="2"/>
  <c r="Y83" i="2"/>
  <c r="M83" i="2"/>
  <c r="U51" i="2"/>
  <c r="I51" i="2"/>
  <c r="Y51" i="2"/>
  <c r="Q51" i="2"/>
  <c r="E51" i="2"/>
  <c r="K49" i="2"/>
  <c r="AA49" i="2"/>
  <c r="O49" i="2"/>
  <c r="D49" i="2"/>
  <c r="V47" i="2"/>
  <c r="Q47" i="2"/>
  <c r="P45" i="2"/>
  <c r="U45" i="2"/>
  <c r="E45" i="2"/>
  <c r="AA45" i="2"/>
  <c r="S41" i="2"/>
  <c r="M35" i="2"/>
  <c r="Q35" i="2"/>
  <c r="Q473" i="2"/>
  <c r="E473" i="2"/>
  <c r="U473" i="2"/>
  <c r="K471" i="2"/>
  <c r="J469" i="2"/>
  <c r="Z469" i="2"/>
  <c r="E467" i="2"/>
  <c r="U467" i="2"/>
  <c r="I467" i="2"/>
  <c r="Y467" i="2"/>
  <c r="Q467" i="2"/>
  <c r="M467" i="2"/>
  <c r="E463" i="2"/>
  <c r="U463" i="2"/>
  <c r="Q463" i="2"/>
  <c r="I463" i="2"/>
  <c r="Y463" i="2"/>
  <c r="J461" i="2"/>
  <c r="M459" i="2"/>
  <c r="Q459" i="2"/>
  <c r="E459" i="2"/>
  <c r="U459" i="2"/>
  <c r="Q455" i="2"/>
  <c r="E455" i="2"/>
  <c r="U455" i="2"/>
  <c r="J453" i="2"/>
  <c r="Q451" i="2"/>
  <c r="E451" i="2"/>
  <c r="U451" i="2"/>
  <c r="W449" i="2"/>
  <c r="AB447" i="2"/>
  <c r="O445" i="2"/>
  <c r="U445" i="2"/>
  <c r="G445" i="2"/>
  <c r="W445" i="2"/>
  <c r="E445" i="2"/>
  <c r="M445" i="2"/>
  <c r="T443" i="2"/>
  <c r="AB443" i="2"/>
  <c r="J435" i="2"/>
  <c r="R435" i="2"/>
  <c r="Z435" i="2"/>
  <c r="D435" i="2"/>
  <c r="L435" i="2"/>
  <c r="T435" i="2"/>
  <c r="AB435" i="2"/>
  <c r="F435" i="2"/>
  <c r="N435" i="2"/>
  <c r="V435" i="2"/>
  <c r="H435" i="2"/>
  <c r="P435" i="2"/>
  <c r="X435" i="2"/>
  <c r="J433" i="2"/>
  <c r="R433" i="2"/>
  <c r="Z433" i="2"/>
  <c r="D433" i="2"/>
  <c r="L433" i="2"/>
  <c r="T433" i="2"/>
  <c r="AB433" i="2"/>
  <c r="F433" i="2"/>
  <c r="N433" i="2"/>
  <c r="V433" i="2"/>
  <c r="H433" i="2"/>
  <c r="P433" i="2"/>
  <c r="X433" i="2"/>
  <c r="H431" i="2"/>
  <c r="P431" i="2"/>
  <c r="X431" i="2"/>
  <c r="J431" i="2"/>
  <c r="R431" i="2"/>
  <c r="Z431" i="2"/>
  <c r="D431" i="2"/>
  <c r="L431" i="2"/>
  <c r="T431" i="2"/>
  <c r="AB431" i="2"/>
  <c r="L429" i="2"/>
  <c r="AB429" i="2"/>
  <c r="N429" i="2"/>
  <c r="D429" i="2"/>
  <c r="T429" i="2"/>
  <c r="M427" i="2"/>
  <c r="Z425" i="2"/>
  <c r="D425" i="2"/>
  <c r="T425" i="2"/>
  <c r="AB425" i="2"/>
  <c r="J425" i="2"/>
  <c r="R425" i="2"/>
  <c r="L425" i="2"/>
  <c r="F425" i="2"/>
  <c r="N425" i="2"/>
  <c r="V425" i="2"/>
  <c r="H423" i="2"/>
  <c r="P423" i="2"/>
  <c r="X423" i="2"/>
  <c r="J423" i="2"/>
  <c r="R423" i="2"/>
  <c r="Z423" i="2"/>
  <c r="F421" i="2"/>
  <c r="V421" i="2"/>
  <c r="L421" i="2"/>
  <c r="AB421" i="2"/>
  <c r="N421" i="2"/>
  <c r="M419" i="2"/>
  <c r="W419" i="2"/>
  <c r="E419" i="2"/>
  <c r="O419" i="2"/>
  <c r="Y419" i="2"/>
  <c r="G419" i="2"/>
  <c r="J417" i="2"/>
  <c r="R417" i="2"/>
  <c r="Z417" i="2"/>
  <c r="D417" i="2"/>
  <c r="L417" i="2"/>
  <c r="T417" i="2"/>
  <c r="AB417" i="2"/>
  <c r="J415" i="2"/>
  <c r="R415" i="2"/>
  <c r="D415" i="2"/>
  <c r="T415" i="2"/>
  <c r="F415" i="2"/>
  <c r="N415" i="2"/>
  <c r="V415" i="2"/>
  <c r="Z415" i="2"/>
  <c r="L415" i="2"/>
  <c r="AB415" i="2"/>
  <c r="H415" i="2"/>
  <c r="P415" i="2"/>
  <c r="X415" i="2"/>
  <c r="N413" i="2"/>
  <c r="D413" i="2"/>
  <c r="T413" i="2"/>
  <c r="M411" i="2"/>
  <c r="W411" i="2"/>
  <c r="E411" i="2"/>
  <c r="O411" i="2"/>
  <c r="Y411" i="2"/>
  <c r="G411" i="2"/>
  <c r="D409" i="2"/>
  <c r="T409" i="2"/>
  <c r="N409" i="2"/>
  <c r="F409" i="2"/>
  <c r="V409" i="2"/>
  <c r="M407" i="2"/>
  <c r="W407" i="2"/>
  <c r="E407" i="2"/>
  <c r="O407" i="2"/>
  <c r="J405" i="2"/>
  <c r="Z405" i="2"/>
  <c r="D405" i="2"/>
  <c r="T405" i="2"/>
  <c r="F405" i="2"/>
  <c r="N405" i="2"/>
  <c r="V405" i="2"/>
  <c r="R405" i="2"/>
  <c r="L405" i="2"/>
  <c r="AB405" i="2"/>
  <c r="H405" i="2"/>
  <c r="P405" i="2"/>
  <c r="X405" i="2"/>
  <c r="E401" i="2"/>
  <c r="M401" i="2"/>
  <c r="J399" i="2"/>
  <c r="Z399" i="2"/>
  <c r="L399" i="2"/>
  <c r="T399" i="2"/>
  <c r="F399" i="2"/>
  <c r="N399" i="2"/>
  <c r="V399" i="2"/>
  <c r="R399" i="2"/>
  <c r="D399" i="2"/>
  <c r="AB399" i="2"/>
  <c r="H399" i="2"/>
  <c r="P399" i="2"/>
  <c r="X399" i="2"/>
  <c r="J397" i="2"/>
  <c r="R397" i="2"/>
  <c r="Z397" i="2"/>
  <c r="D397" i="2"/>
  <c r="L397" i="2"/>
  <c r="T397" i="2"/>
  <c r="AB397" i="2"/>
  <c r="J395" i="2"/>
  <c r="Z395" i="2"/>
  <c r="D395" i="2"/>
  <c r="AB395" i="2"/>
  <c r="F395" i="2"/>
  <c r="N395" i="2"/>
  <c r="V395" i="2"/>
  <c r="R395" i="2"/>
  <c r="L395" i="2"/>
  <c r="T395" i="2"/>
  <c r="H395" i="2"/>
  <c r="P395" i="2"/>
  <c r="X395" i="2"/>
  <c r="J393" i="2"/>
  <c r="R393" i="2"/>
  <c r="Z393" i="2"/>
  <c r="D393" i="2"/>
  <c r="L393" i="2"/>
  <c r="T393" i="2"/>
  <c r="AB393" i="2"/>
  <c r="J391" i="2"/>
  <c r="Z391" i="2"/>
  <c r="L391" i="2"/>
  <c r="T391" i="2"/>
  <c r="F391" i="2"/>
  <c r="N391" i="2"/>
  <c r="V391" i="2"/>
  <c r="R391" i="2"/>
  <c r="D391" i="2"/>
  <c r="AB391" i="2"/>
  <c r="H391" i="2"/>
  <c r="P391" i="2"/>
  <c r="X391" i="2"/>
  <c r="H389" i="2"/>
  <c r="P389" i="2"/>
  <c r="X389" i="2"/>
  <c r="J389" i="2"/>
  <c r="R389" i="2"/>
  <c r="Z389" i="2"/>
  <c r="D389" i="2"/>
  <c r="L389" i="2"/>
  <c r="T389" i="2"/>
  <c r="AB389" i="2"/>
  <c r="F387" i="2"/>
  <c r="N387" i="2"/>
  <c r="V387" i="2"/>
  <c r="H387" i="2"/>
  <c r="P387" i="2"/>
  <c r="X387" i="2"/>
  <c r="V385" i="2"/>
  <c r="X385" i="2"/>
  <c r="F385" i="2"/>
  <c r="P385" i="2"/>
  <c r="AB385" i="2"/>
  <c r="L385" i="2"/>
  <c r="D385" i="2"/>
  <c r="N385" i="2"/>
  <c r="H385" i="2"/>
  <c r="K383" i="2"/>
  <c r="V381" i="2"/>
  <c r="D381" i="2"/>
  <c r="N381" i="2"/>
  <c r="X381" i="2"/>
  <c r="L381" i="2"/>
  <c r="F381" i="2"/>
  <c r="P381" i="2"/>
  <c r="F377" i="2"/>
  <c r="P377" i="2"/>
  <c r="AB377" i="2"/>
  <c r="H377" i="2"/>
  <c r="T377" i="2"/>
  <c r="L377" i="2"/>
  <c r="V377" i="2"/>
  <c r="D377" i="2"/>
  <c r="N377" i="2"/>
  <c r="R373" i="2"/>
  <c r="D373" i="2"/>
  <c r="AB373" i="2"/>
  <c r="F373" i="2"/>
  <c r="N373" i="2"/>
  <c r="V373" i="2"/>
  <c r="J373" i="2"/>
  <c r="Z373" i="2"/>
  <c r="L373" i="2"/>
  <c r="T373" i="2"/>
  <c r="H373" i="2"/>
  <c r="P373" i="2"/>
  <c r="X373" i="2"/>
  <c r="J371" i="2"/>
  <c r="R371" i="2"/>
  <c r="Z371" i="2"/>
  <c r="D371" i="2"/>
  <c r="L371" i="2"/>
  <c r="T371" i="2"/>
  <c r="AB371" i="2"/>
  <c r="K369" i="2"/>
  <c r="I367" i="2"/>
  <c r="Q367" i="2"/>
  <c r="Y367" i="2"/>
  <c r="D367" i="2"/>
  <c r="L367" i="2"/>
  <c r="T367" i="2"/>
  <c r="AB367" i="2"/>
  <c r="P365" i="2"/>
  <c r="D365" i="2"/>
  <c r="T365" i="2"/>
  <c r="H365" i="2"/>
  <c r="X365" i="2"/>
  <c r="N361" i="2"/>
  <c r="I359" i="2"/>
  <c r="Y359" i="2"/>
  <c r="D359" i="2"/>
  <c r="L359" i="2"/>
  <c r="T359" i="2"/>
  <c r="AB359" i="2"/>
  <c r="Q359" i="2"/>
  <c r="E359" i="2"/>
  <c r="M359" i="2"/>
  <c r="U359" i="2"/>
  <c r="P357" i="2"/>
  <c r="I351" i="2"/>
  <c r="Q351" i="2"/>
  <c r="Y351" i="2"/>
  <c r="P349" i="2"/>
  <c r="D349" i="2"/>
  <c r="T349" i="2"/>
  <c r="H349" i="2"/>
  <c r="X349" i="2"/>
  <c r="O347" i="2"/>
  <c r="G347" i="2"/>
  <c r="I345" i="2"/>
  <c r="Q345" i="2"/>
  <c r="Y345" i="2"/>
  <c r="D345" i="2"/>
  <c r="L345" i="2"/>
  <c r="T345" i="2"/>
  <c r="AB345" i="2"/>
  <c r="P343" i="2"/>
  <c r="D343" i="2"/>
  <c r="T343" i="2"/>
  <c r="H343" i="2"/>
  <c r="X343" i="2"/>
  <c r="L343" i="2"/>
  <c r="AB343" i="2"/>
  <c r="K341" i="2"/>
  <c r="AA341" i="2"/>
  <c r="H339" i="2"/>
  <c r="P339" i="2"/>
  <c r="X339" i="2"/>
  <c r="I339" i="2"/>
  <c r="Q339" i="2"/>
  <c r="Y339" i="2"/>
  <c r="P337" i="2"/>
  <c r="D337" i="2"/>
  <c r="T337" i="2"/>
  <c r="Z333" i="2"/>
  <c r="J333" i="2"/>
  <c r="V333" i="2"/>
  <c r="F333" i="2"/>
  <c r="I331" i="2"/>
  <c r="Q331" i="2"/>
  <c r="Y331" i="2"/>
  <c r="D331" i="2"/>
  <c r="L331" i="2"/>
  <c r="T331" i="2"/>
  <c r="AB331" i="2"/>
  <c r="P329" i="2"/>
  <c r="D329" i="2"/>
  <c r="T329" i="2"/>
  <c r="H329" i="2"/>
  <c r="X329" i="2"/>
  <c r="L329" i="2"/>
  <c r="AB329" i="2"/>
  <c r="H323" i="2"/>
  <c r="P323" i="2"/>
  <c r="X323" i="2"/>
  <c r="I323" i="2"/>
  <c r="Q323" i="2"/>
  <c r="Y323" i="2"/>
  <c r="W321" i="2"/>
  <c r="G321" i="2"/>
  <c r="AA321" i="2"/>
  <c r="H319" i="2"/>
  <c r="P319" i="2"/>
  <c r="X319" i="2"/>
  <c r="I319" i="2"/>
  <c r="Q319" i="2"/>
  <c r="Y319" i="2"/>
  <c r="P317" i="2"/>
  <c r="D317" i="2"/>
  <c r="T317" i="2"/>
  <c r="L311" i="2"/>
  <c r="T311" i="2"/>
  <c r="E311" i="2"/>
  <c r="M311" i="2"/>
  <c r="U311" i="2"/>
  <c r="I311" i="2"/>
  <c r="Q311" i="2"/>
  <c r="Y311" i="2"/>
  <c r="D311" i="2"/>
  <c r="AB311" i="2"/>
  <c r="H311" i="2"/>
  <c r="P311" i="2"/>
  <c r="X311" i="2"/>
  <c r="L309" i="2"/>
  <c r="AB309" i="2"/>
  <c r="P309" i="2"/>
  <c r="I305" i="2"/>
  <c r="Q305" i="2"/>
  <c r="Y305" i="2"/>
  <c r="T305" i="2"/>
  <c r="E305" i="2"/>
  <c r="M305" i="2"/>
  <c r="U305" i="2"/>
  <c r="D305" i="2"/>
  <c r="L305" i="2"/>
  <c r="AB305" i="2"/>
  <c r="H305" i="2"/>
  <c r="P305" i="2"/>
  <c r="X305" i="2"/>
  <c r="L303" i="2"/>
  <c r="AB303" i="2"/>
  <c r="P303" i="2"/>
  <c r="AA301" i="2"/>
  <c r="Y299" i="2"/>
  <c r="I299" i="2"/>
  <c r="D299" i="2"/>
  <c r="L299" i="2"/>
  <c r="T299" i="2"/>
  <c r="AB299" i="2"/>
  <c r="Q299" i="2"/>
  <c r="E299" i="2"/>
  <c r="M299" i="2"/>
  <c r="U299" i="2"/>
  <c r="W297" i="2"/>
  <c r="G297" i="2"/>
  <c r="F295" i="2"/>
  <c r="N295" i="2"/>
  <c r="I293" i="2"/>
  <c r="Q293" i="2"/>
  <c r="Y293" i="2"/>
  <c r="D293" i="2"/>
  <c r="L293" i="2"/>
  <c r="T293" i="2"/>
  <c r="AB293" i="2"/>
  <c r="I289" i="2"/>
  <c r="Q289" i="2"/>
  <c r="Y289" i="2"/>
  <c r="G287" i="2"/>
  <c r="AA287" i="2"/>
  <c r="W287" i="2"/>
  <c r="D285" i="2"/>
  <c r="L285" i="2"/>
  <c r="T285" i="2"/>
  <c r="AB285" i="2"/>
  <c r="E285" i="2"/>
  <c r="M285" i="2"/>
  <c r="U285" i="2"/>
  <c r="I285" i="2"/>
  <c r="Q285" i="2"/>
  <c r="Y285" i="2"/>
  <c r="K283" i="2"/>
  <c r="AA283" i="2"/>
  <c r="H281" i="2"/>
  <c r="P281" i="2"/>
  <c r="X281" i="2"/>
  <c r="I281" i="2"/>
  <c r="Q281" i="2"/>
  <c r="Y281" i="2"/>
  <c r="D281" i="2"/>
  <c r="L281" i="2"/>
  <c r="T281" i="2"/>
  <c r="AB281" i="2"/>
  <c r="P279" i="2"/>
  <c r="D279" i="2"/>
  <c r="T279" i="2"/>
  <c r="H279" i="2"/>
  <c r="X279" i="2"/>
  <c r="L279" i="2"/>
  <c r="AB279" i="2"/>
  <c r="W277" i="2"/>
  <c r="G277" i="2"/>
  <c r="I275" i="2"/>
  <c r="Y275" i="2"/>
  <c r="D275" i="2"/>
  <c r="L275" i="2"/>
  <c r="T275" i="2"/>
  <c r="E275" i="2"/>
  <c r="M275" i="2"/>
  <c r="U275" i="2"/>
  <c r="Q275" i="2"/>
  <c r="AB275" i="2"/>
  <c r="H275" i="2"/>
  <c r="P275" i="2"/>
  <c r="X275" i="2"/>
  <c r="K273" i="2"/>
  <c r="AA273" i="2"/>
  <c r="I271" i="2"/>
  <c r="Q271" i="2"/>
  <c r="Y271" i="2"/>
  <c r="D271" i="2"/>
  <c r="L271" i="2"/>
  <c r="T271" i="2"/>
  <c r="AB271" i="2"/>
  <c r="E271" i="2"/>
  <c r="M271" i="2"/>
  <c r="U271" i="2"/>
  <c r="P269" i="2"/>
  <c r="D269" i="2"/>
  <c r="T269" i="2"/>
  <c r="O267" i="2"/>
  <c r="Z265" i="2"/>
  <c r="J265" i="2"/>
  <c r="V265" i="2"/>
  <c r="F265" i="2"/>
  <c r="I263" i="2"/>
  <c r="Q263" i="2"/>
  <c r="Y263" i="2"/>
  <c r="D263" i="2"/>
  <c r="L263" i="2"/>
  <c r="T263" i="2"/>
  <c r="AB263" i="2"/>
  <c r="P261" i="2"/>
  <c r="I257" i="2"/>
  <c r="Y257" i="2"/>
  <c r="D257" i="2"/>
  <c r="T257" i="2"/>
  <c r="E257" i="2"/>
  <c r="M257" i="2"/>
  <c r="U257" i="2"/>
  <c r="Q257" i="2"/>
  <c r="L257" i="2"/>
  <c r="AB257" i="2"/>
  <c r="H257" i="2"/>
  <c r="P257" i="2"/>
  <c r="X257" i="2"/>
  <c r="O255" i="2"/>
  <c r="W255" i="2"/>
  <c r="G255" i="2"/>
  <c r="N253" i="2"/>
  <c r="I251" i="2"/>
  <c r="Q251" i="2"/>
  <c r="Y251" i="2"/>
  <c r="D251" i="2"/>
  <c r="L251" i="2"/>
  <c r="T251" i="2"/>
  <c r="AB251" i="2"/>
  <c r="E251" i="2"/>
  <c r="M251" i="2"/>
  <c r="U251" i="2"/>
  <c r="P249" i="2"/>
  <c r="D249" i="2"/>
  <c r="T249" i="2"/>
  <c r="H249" i="2"/>
  <c r="X249" i="2"/>
  <c r="L249" i="2"/>
  <c r="AB249" i="2"/>
  <c r="H1410" i="2"/>
  <c r="X1410" i="2"/>
  <c r="D1410" i="2"/>
  <c r="I1410" i="2"/>
  <c r="N1410" i="2"/>
  <c r="T1410" i="2"/>
  <c r="Y1410" i="2"/>
  <c r="R1410" i="2"/>
  <c r="E1410" i="2"/>
  <c r="J1410" i="2"/>
  <c r="P1410" i="2"/>
  <c r="U1410" i="2"/>
  <c r="Z1410" i="2"/>
  <c r="M1410" i="2"/>
  <c r="F1410" i="2"/>
  <c r="L1410" i="2"/>
  <c r="Q1410" i="2"/>
  <c r="V1410" i="2"/>
  <c r="AB1410" i="2"/>
  <c r="Y25" i="2"/>
  <c r="U25" i="2"/>
  <c r="Q25" i="2"/>
  <c r="M25" i="2"/>
  <c r="I25" i="2"/>
  <c r="E25" i="2"/>
  <c r="X25" i="2"/>
  <c r="T25" i="2"/>
  <c r="L25" i="2"/>
  <c r="D25" i="2"/>
  <c r="R25" i="2"/>
  <c r="F25" i="2"/>
  <c r="AB25" i="2"/>
  <c r="P25" i="2"/>
  <c r="H25" i="2"/>
  <c r="Z25" i="2"/>
  <c r="J25" i="2"/>
  <c r="AA25" i="2"/>
  <c r="W25" i="2"/>
  <c r="S25" i="2"/>
  <c r="O25" i="2"/>
  <c r="K25" i="2"/>
  <c r="G25" i="2"/>
  <c r="V25" i="2"/>
  <c r="N25" i="2"/>
  <c r="AA43" i="2"/>
  <c r="W43" i="2"/>
  <c r="S43" i="2"/>
  <c r="O43" i="2"/>
  <c r="K43" i="2"/>
  <c r="G43" i="2"/>
  <c r="V43" i="2"/>
  <c r="N43" i="2"/>
  <c r="F43" i="2"/>
  <c r="X43" i="2"/>
  <c r="P43" i="2"/>
  <c r="Z43" i="2"/>
  <c r="R43" i="2"/>
  <c r="J43" i="2"/>
  <c r="L43" i="2"/>
  <c r="Y43" i="2"/>
  <c r="U43" i="2"/>
  <c r="Q43" i="2"/>
  <c r="M43" i="2"/>
  <c r="I43" i="2"/>
  <c r="E43" i="2"/>
  <c r="AB43" i="2"/>
  <c r="T43" i="2"/>
  <c r="H43" i="2"/>
  <c r="D43" i="2"/>
  <c r="Z27" i="2"/>
  <c r="V27" i="2"/>
  <c r="R27" i="2"/>
  <c r="N27" i="2"/>
  <c r="J27" i="2"/>
  <c r="F27" i="2"/>
  <c r="U27" i="2"/>
  <c r="M27" i="2"/>
  <c r="E27" i="2"/>
  <c r="W27" i="2"/>
  <c r="K27" i="2"/>
  <c r="Y27" i="2"/>
  <c r="Q27" i="2"/>
  <c r="I27" i="2"/>
  <c r="O27" i="2"/>
  <c r="AB27" i="2"/>
  <c r="X27" i="2"/>
  <c r="T27" i="2"/>
  <c r="P27" i="2"/>
  <c r="L27" i="2"/>
  <c r="H27" i="2"/>
  <c r="D27" i="2"/>
  <c r="AA27" i="2"/>
  <c r="S27" i="2"/>
  <c r="G27" i="2"/>
  <c r="AA11" i="2"/>
  <c r="W11" i="2"/>
  <c r="S11" i="2"/>
  <c r="O11" i="2"/>
  <c r="K11" i="2"/>
  <c r="G11" i="2"/>
  <c r="Z11" i="2"/>
  <c r="V11" i="2"/>
  <c r="R11" i="2"/>
  <c r="J11" i="2"/>
  <c r="F11" i="2"/>
  <c r="T11" i="2"/>
  <c r="H11" i="2"/>
  <c r="N11" i="2"/>
  <c r="P11" i="2"/>
  <c r="Y11" i="2"/>
  <c r="U11" i="2"/>
  <c r="Q11" i="2"/>
  <c r="M11" i="2"/>
  <c r="I11" i="2"/>
  <c r="E11" i="2"/>
  <c r="AB11" i="2"/>
  <c r="X11" i="2"/>
  <c r="L11" i="2"/>
  <c r="D11" i="2"/>
  <c r="AA29" i="2"/>
  <c r="W29" i="2"/>
  <c r="S29" i="2"/>
  <c r="O29" i="2"/>
  <c r="K29" i="2"/>
  <c r="G29" i="2"/>
  <c r="V29" i="2"/>
  <c r="R29" i="2"/>
  <c r="J29" i="2"/>
  <c r="AB29" i="2"/>
  <c r="P29" i="2"/>
  <c r="H29" i="2"/>
  <c r="Z29" i="2"/>
  <c r="N29" i="2"/>
  <c r="F29" i="2"/>
  <c r="X29" i="2"/>
  <c r="D29" i="2"/>
  <c r="Y29" i="2"/>
  <c r="U29" i="2"/>
  <c r="Q29" i="2"/>
  <c r="M29" i="2"/>
  <c r="I29" i="2"/>
  <c r="E29" i="2"/>
  <c r="T29" i="2"/>
  <c r="L29" i="2"/>
  <c r="Y37" i="2"/>
  <c r="U37" i="2"/>
  <c r="Q37" i="2"/>
  <c r="M37" i="2"/>
  <c r="I37" i="2"/>
  <c r="E37" i="2"/>
  <c r="AB37" i="2"/>
  <c r="X37" i="2"/>
  <c r="P37" i="2"/>
  <c r="L37" i="2"/>
  <c r="D37" i="2"/>
  <c r="R37" i="2"/>
  <c r="F37" i="2"/>
  <c r="T37" i="2"/>
  <c r="H37" i="2"/>
  <c r="Z37" i="2"/>
  <c r="N37" i="2"/>
  <c r="AA37" i="2"/>
  <c r="W37" i="2"/>
  <c r="S37" i="2"/>
  <c r="O37" i="2"/>
  <c r="K37" i="2"/>
  <c r="G37" i="2"/>
  <c r="V37" i="2"/>
  <c r="J37" i="2"/>
  <c r="G9" i="2"/>
  <c r="S9" i="2"/>
  <c r="K15" i="2"/>
  <c r="S15" i="2"/>
  <c r="AA15" i="2"/>
  <c r="K33" i="2"/>
  <c r="S33" i="2"/>
  <c r="W33" i="2"/>
  <c r="G39" i="2"/>
  <c r="O39" i="2"/>
  <c r="W39" i="2"/>
  <c r="AB53" i="2"/>
  <c r="X53" i="2"/>
  <c r="T53" i="2"/>
  <c r="P53" i="2"/>
  <c r="L53" i="2"/>
  <c r="H53" i="2"/>
  <c r="D53" i="2"/>
  <c r="Z53" i="2"/>
  <c r="V53" i="2"/>
  <c r="R53" i="2"/>
  <c r="N53" i="2"/>
  <c r="J53" i="2"/>
  <c r="F53" i="2"/>
  <c r="AA53" i="2"/>
  <c r="J61" i="2"/>
  <c r="Z61" i="2"/>
  <c r="J65" i="2"/>
  <c r="Z65" i="2"/>
  <c r="R85" i="2"/>
  <c r="S101" i="2"/>
  <c r="Z117" i="2"/>
  <c r="V117" i="2"/>
  <c r="R117" i="2"/>
  <c r="N117" i="2"/>
  <c r="J117" i="2"/>
  <c r="F117" i="2"/>
  <c r="Y117" i="2"/>
  <c r="U117" i="2"/>
  <c r="Q117" i="2"/>
  <c r="M117" i="2"/>
  <c r="I117" i="2"/>
  <c r="E117" i="2"/>
  <c r="AB117" i="2"/>
  <c r="X117" i="2"/>
  <c r="T117" i="2"/>
  <c r="P117" i="2"/>
  <c r="L117" i="2"/>
  <c r="H117" i="2"/>
  <c r="D117" i="2"/>
  <c r="Z259" i="2"/>
  <c r="V259" i="2"/>
  <c r="R259" i="2"/>
  <c r="N259" i="2"/>
  <c r="J259" i="2"/>
  <c r="F259" i="2"/>
  <c r="Y259" i="2"/>
  <c r="U259" i="2"/>
  <c r="Q259" i="2"/>
  <c r="M259" i="2"/>
  <c r="I259" i="2"/>
  <c r="E259" i="2"/>
  <c r="AB259" i="2"/>
  <c r="X259" i="2"/>
  <c r="T259" i="2"/>
  <c r="P259" i="2"/>
  <c r="L259" i="2"/>
  <c r="H259" i="2"/>
  <c r="D259" i="2"/>
  <c r="R313" i="2"/>
  <c r="Z327" i="2"/>
  <c r="V327" i="2"/>
  <c r="R327" i="2"/>
  <c r="N327" i="2"/>
  <c r="J327" i="2"/>
  <c r="F327" i="2"/>
  <c r="Y327" i="2"/>
  <c r="U327" i="2"/>
  <c r="Q327" i="2"/>
  <c r="M327" i="2"/>
  <c r="I327" i="2"/>
  <c r="E327" i="2"/>
  <c r="AB327" i="2"/>
  <c r="X327" i="2"/>
  <c r="T327" i="2"/>
  <c r="P327" i="2"/>
  <c r="L327" i="2"/>
  <c r="H327" i="2"/>
  <c r="D327" i="2"/>
  <c r="R353" i="2"/>
  <c r="Y403" i="2"/>
  <c r="U403" i="2"/>
  <c r="Q403" i="2"/>
  <c r="M403" i="2"/>
  <c r="I403" i="2"/>
  <c r="E403" i="2"/>
  <c r="AA403" i="2"/>
  <c r="W403" i="2"/>
  <c r="S403" i="2"/>
  <c r="O403" i="2"/>
  <c r="K403" i="2"/>
  <c r="G403" i="2"/>
  <c r="X403" i="2"/>
  <c r="P403" i="2"/>
  <c r="H403" i="2"/>
  <c r="V403" i="2"/>
  <c r="N403" i="2"/>
  <c r="F403" i="2"/>
  <c r="AB403" i="2"/>
  <c r="T403" i="2"/>
  <c r="L403" i="2"/>
  <c r="D403" i="2"/>
  <c r="D9" i="2"/>
  <c r="H9" i="2"/>
  <c r="L9" i="2"/>
  <c r="P9" i="2"/>
  <c r="T9" i="2"/>
  <c r="X9" i="2"/>
  <c r="AB9" i="2"/>
  <c r="G13" i="2"/>
  <c r="K13" i="2"/>
  <c r="O13" i="2"/>
  <c r="S13" i="2"/>
  <c r="W13" i="2"/>
  <c r="AA13" i="2"/>
  <c r="D15" i="2"/>
  <c r="H15" i="2"/>
  <c r="L15" i="2"/>
  <c r="P15" i="2"/>
  <c r="T15" i="2"/>
  <c r="X15" i="2"/>
  <c r="AB15" i="2"/>
  <c r="D33" i="2"/>
  <c r="H33" i="2"/>
  <c r="L33" i="2"/>
  <c r="P33" i="2"/>
  <c r="T33" i="2"/>
  <c r="X33" i="2"/>
  <c r="AB33" i="2"/>
  <c r="F35" i="2"/>
  <c r="J35" i="2"/>
  <c r="N35" i="2"/>
  <c r="R35" i="2"/>
  <c r="V35" i="2"/>
  <c r="Z35" i="2"/>
  <c r="D39" i="2"/>
  <c r="H39" i="2"/>
  <c r="L39" i="2"/>
  <c r="P39" i="2"/>
  <c r="T39" i="2"/>
  <c r="X39" i="2"/>
  <c r="AB39" i="2"/>
  <c r="H41" i="2"/>
  <c r="L41" i="2"/>
  <c r="P41" i="2"/>
  <c r="T41" i="2"/>
  <c r="X41" i="2"/>
  <c r="AB41" i="2"/>
  <c r="G45" i="2"/>
  <c r="L45" i="2"/>
  <c r="Q45" i="2"/>
  <c r="W45" i="2"/>
  <c r="AB45" i="2"/>
  <c r="G47" i="2"/>
  <c r="M47" i="2"/>
  <c r="R47" i="2"/>
  <c r="W47" i="2"/>
  <c r="AB49" i="2"/>
  <c r="X49" i="2"/>
  <c r="T49" i="2"/>
  <c r="P49" i="2"/>
  <c r="L49" i="2"/>
  <c r="H49" i="2"/>
  <c r="Z49" i="2"/>
  <c r="V49" i="2"/>
  <c r="R49" i="2"/>
  <c r="N49" i="2"/>
  <c r="J49" i="2"/>
  <c r="F49" i="2"/>
  <c r="I49" i="2"/>
  <c r="Q49" i="2"/>
  <c r="Y49" i="2"/>
  <c r="G51" i="2"/>
  <c r="O51" i="2"/>
  <c r="E53" i="2"/>
  <c r="M53" i="2"/>
  <c r="U53" i="2"/>
  <c r="Z55" i="2"/>
  <c r="V55" i="2"/>
  <c r="R55" i="2"/>
  <c r="N55" i="2"/>
  <c r="J55" i="2"/>
  <c r="F55" i="2"/>
  <c r="AB55" i="2"/>
  <c r="X55" i="2"/>
  <c r="T55" i="2"/>
  <c r="P55" i="2"/>
  <c r="L55" i="2"/>
  <c r="H55" i="2"/>
  <c r="D55" i="2"/>
  <c r="K55" i="2"/>
  <c r="S55" i="2"/>
  <c r="AA55" i="2"/>
  <c r="I57" i="2"/>
  <c r="Q57" i="2"/>
  <c r="Y57" i="2"/>
  <c r="G59" i="2"/>
  <c r="O59" i="2"/>
  <c r="D61" i="2"/>
  <c r="L61" i="2"/>
  <c r="T61" i="2"/>
  <c r="AB61" i="2"/>
  <c r="G63" i="2"/>
  <c r="O63" i="2"/>
  <c r="D65" i="2"/>
  <c r="L65" i="2"/>
  <c r="T65" i="2"/>
  <c r="AB65" i="2"/>
  <c r="G83" i="2"/>
  <c r="O83" i="2"/>
  <c r="D85" i="2"/>
  <c r="L85" i="2"/>
  <c r="T85" i="2"/>
  <c r="G87" i="2"/>
  <c r="O87" i="2"/>
  <c r="J89" i="2"/>
  <c r="K91" i="2"/>
  <c r="L93" i="2"/>
  <c r="G101" i="2"/>
  <c r="W101" i="2"/>
  <c r="G109" i="2"/>
  <c r="W109" i="2"/>
  <c r="G117" i="2"/>
  <c r="W117" i="2"/>
  <c r="AA123" i="2"/>
  <c r="W123" i="2"/>
  <c r="S123" i="2"/>
  <c r="O123" i="2"/>
  <c r="K123" i="2"/>
  <c r="G123" i="2"/>
  <c r="Z123" i="2"/>
  <c r="V123" i="2"/>
  <c r="R123" i="2"/>
  <c r="N123" i="2"/>
  <c r="J123" i="2"/>
  <c r="F123" i="2"/>
  <c r="Y123" i="2"/>
  <c r="U123" i="2"/>
  <c r="Q123" i="2"/>
  <c r="M123" i="2"/>
  <c r="I123" i="2"/>
  <c r="E123" i="2"/>
  <c r="P123" i="2"/>
  <c r="Y127" i="2"/>
  <c r="U127" i="2"/>
  <c r="Q127" i="2"/>
  <c r="M127" i="2"/>
  <c r="I127" i="2"/>
  <c r="E127" i="2"/>
  <c r="AB127" i="2"/>
  <c r="X127" i="2"/>
  <c r="T127" i="2"/>
  <c r="P127" i="2"/>
  <c r="L127" i="2"/>
  <c r="H127" i="2"/>
  <c r="D127" i="2"/>
  <c r="AA127" i="2"/>
  <c r="W127" i="2"/>
  <c r="S127" i="2"/>
  <c r="O127" i="2"/>
  <c r="K127" i="2"/>
  <c r="G127" i="2"/>
  <c r="R127" i="2"/>
  <c r="G259" i="2"/>
  <c r="W259" i="2"/>
  <c r="G291" i="2"/>
  <c r="Y295" i="2"/>
  <c r="U295" i="2"/>
  <c r="Q295" i="2"/>
  <c r="M295" i="2"/>
  <c r="I295" i="2"/>
  <c r="E295" i="2"/>
  <c r="AB295" i="2"/>
  <c r="X295" i="2"/>
  <c r="T295" i="2"/>
  <c r="P295" i="2"/>
  <c r="L295" i="2"/>
  <c r="H295" i="2"/>
  <c r="D295" i="2"/>
  <c r="AA295" i="2"/>
  <c r="W295" i="2"/>
  <c r="S295" i="2"/>
  <c r="O295" i="2"/>
  <c r="K295" i="2"/>
  <c r="G295" i="2"/>
  <c r="R295" i="2"/>
  <c r="Z297" i="2"/>
  <c r="V297" i="2"/>
  <c r="R297" i="2"/>
  <c r="N297" i="2"/>
  <c r="J297" i="2"/>
  <c r="F297" i="2"/>
  <c r="Y297" i="2"/>
  <c r="U297" i="2"/>
  <c r="Q297" i="2"/>
  <c r="M297" i="2"/>
  <c r="I297" i="2"/>
  <c r="E297" i="2"/>
  <c r="AB297" i="2"/>
  <c r="X297" i="2"/>
  <c r="T297" i="2"/>
  <c r="P297" i="2"/>
  <c r="L297" i="2"/>
  <c r="H297" i="2"/>
  <c r="D297" i="2"/>
  <c r="S297" i="2"/>
  <c r="Z307" i="2"/>
  <c r="V307" i="2"/>
  <c r="R307" i="2"/>
  <c r="N307" i="2"/>
  <c r="J307" i="2"/>
  <c r="F307" i="2"/>
  <c r="Y307" i="2"/>
  <c r="U307" i="2"/>
  <c r="Q307" i="2"/>
  <c r="M307" i="2"/>
  <c r="I307" i="2"/>
  <c r="E307" i="2"/>
  <c r="AB307" i="2"/>
  <c r="X307" i="2"/>
  <c r="T307" i="2"/>
  <c r="P307" i="2"/>
  <c r="L307" i="2"/>
  <c r="H307" i="2"/>
  <c r="D307" i="2"/>
  <c r="S307" i="2"/>
  <c r="F313" i="2"/>
  <c r="V313" i="2"/>
  <c r="G315" i="2"/>
  <c r="W315" i="2"/>
  <c r="F325" i="2"/>
  <c r="V325" i="2"/>
  <c r="G327" i="2"/>
  <c r="W327" i="2"/>
  <c r="Z347" i="2"/>
  <c r="V347" i="2"/>
  <c r="R347" i="2"/>
  <c r="N347" i="2"/>
  <c r="J347" i="2"/>
  <c r="F347" i="2"/>
  <c r="Y347" i="2"/>
  <c r="U347" i="2"/>
  <c r="Q347" i="2"/>
  <c r="M347" i="2"/>
  <c r="I347" i="2"/>
  <c r="E347" i="2"/>
  <c r="AB347" i="2"/>
  <c r="X347" i="2"/>
  <c r="T347" i="2"/>
  <c r="P347" i="2"/>
  <c r="L347" i="2"/>
  <c r="H347" i="2"/>
  <c r="D347" i="2"/>
  <c r="S347" i="2"/>
  <c r="F353" i="2"/>
  <c r="G355" i="2"/>
  <c r="W355" i="2"/>
  <c r="AB375" i="2"/>
  <c r="X375" i="2"/>
  <c r="T375" i="2"/>
  <c r="P375" i="2"/>
  <c r="L375" i="2"/>
  <c r="H375" i="2"/>
  <c r="D375" i="2"/>
  <c r="Z375" i="2"/>
  <c r="V375" i="2"/>
  <c r="R375" i="2"/>
  <c r="N375" i="2"/>
  <c r="J375" i="2"/>
  <c r="F375" i="2"/>
  <c r="Y375" i="2"/>
  <c r="Q375" i="2"/>
  <c r="I375" i="2"/>
  <c r="W375" i="2"/>
  <c r="O375" i="2"/>
  <c r="G375" i="2"/>
  <c r="U375" i="2"/>
  <c r="M375" i="2"/>
  <c r="E375" i="2"/>
  <c r="Z379" i="2"/>
  <c r="V379" i="2"/>
  <c r="R379" i="2"/>
  <c r="N379" i="2"/>
  <c r="J379" i="2"/>
  <c r="F379" i="2"/>
  <c r="AB379" i="2"/>
  <c r="X379" i="2"/>
  <c r="T379" i="2"/>
  <c r="P379" i="2"/>
  <c r="L379" i="2"/>
  <c r="H379" i="2"/>
  <c r="D379" i="2"/>
  <c r="Y379" i="2"/>
  <c r="Q379" i="2"/>
  <c r="I379" i="2"/>
  <c r="W379" i="2"/>
  <c r="O379" i="2"/>
  <c r="G379" i="2"/>
  <c r="U379" i="2"/>
  <c r="M379" i="2"/>
  <c r="E379" i="2"/>
  <c r="AB383" i="2"/>
  <c r="X383" i="2"/>
  <c r="T383" i="2"/>
  <c r="P383" i="2"/>
  <c r="L383" i="2"/>
  <c r="H383" i="2"/>
  <c r="D383" i="2"/>
  <c r="Z383" i="2"/>
  <c r="V383" i="2"/>
  <c r="R383" i="2"/>
  <c r="N383" i="2"/>
  <c r="J383" i="2"/>
  <c r="F383" i="2"/>
  <c r="Y383" i="2"/>
  <c r="Q383" i="2"/>
  <c r="I383" i="2"/>
  <c r="W383" i="2"/>
  <c r="O383" i="2"/>
  <c r="G383" i="2"/>
  <c r="U383" i="2"/>
  <c r="M383" i="2"/>
  <c r="E383" i="2"/>
  <c r="J403" i="2"/>
  <c r="AA439" i="2"/>
  <c r="W439" i="2"/>
  <c r="S439" i="2"/>
  <c r="O439" i="2"/>
  <c r="K439" i="2"/>
  <c r="G439" i="2"/>
  <c r="Y439" i="2"/>
  <c r="U439" i="2"/>
  <c r="Q439" i="2"/>
  <c r="M439" i="2"/>
  <c r="I439" i="2"/>
  <c r="E439" i="2"/>
  <c r="X439" i="2"/>
  <c r="P439" i="2"/>
  <c r="H439" i="2"/>
  <c r="V439" i="2"/>
  <c r="N439" i="2"/>
  <c r="F439" i="2"/>
  <c r="AB439" i="2"/>
  <c r="T439" i="2"/>
  <c r="L439" i="2"/>
  <c r="D439" i="2"/>
  <c r="Y453" i="2"/>
  <c r="U453" i="2"/>
  <c r="Q453" i="2"/>
  <c r="M453" i="2"/>
  <c r="I453" i="2"/>
  <c r="E453" i="2"/>
  <c r="AA453" i="2"/>
  <c r="W453" i="2"/>
  <c r="S453" i="2"/>
  <c r="O453" i="2"/>
  <c r="K453" i="2"/>
  <c r="G453" i="2"/>
  <c r="X453" i="2"/>
  <c r="P453" i="2"/>
  <c r="H453" i="2"/>
  <c r="V453" i="2"/>
  <c r="N453" i="2"/>
  <c r="F453" i="2"/>
  <c r="AB453" i="2"/>
  <c r="T453" i="2"/>
  <c r="L453" i="2"/>
  <c r="D453" i="2"/>
  <c r="AA457" i="2"/>
  <c r="W457" i="2"/>
  <c r="S457" i="2"/>
  <c r="O457" i="2"/>
  <c r="K457" i="2"/>
  <c r="G457" i="2"/>
  <c r="Y457" i="2"/>
  <c r="U457" i="2"/>
  <c r="Q457" i="2"/>
  <c r="M457" i="2"/>
  <c r="I457" i="2"/>
  <c r="E457" i="2"/>
  <c r="X457" i="2"/>
  <c r="P457" i="2"/>
  <c r="H457" i="2"/>
  <c r="V457" i="2"/>
  <c r="N457" i="2"/>
  <c r="F457" i="2"/>
  <c r="AB457" i="2"/>
  <c r="T457" i="2"/>
  <c r="L457" i="2"/>
  <c r="D457" i="2"/>
  <c r="Y461" i="2"/>
  <c r="U461" i="2"/>
  <c r="Q461" i="2"/>
  <c r="M461" i="2"/>
  <c r="I461" i="2"/>
  <c r="E461" i="2"/>
  <c r="AA461" i="2"/>
  <c r="W461" i="2"/>
  <c r="S461" i="2"/>
  <c r="O461" i="2"/>
  <c r="K461" i="2"/>
  <c r="G461" i="2"/>
  <c r="X461" i="2"/>
  <c r="P461" i="2"/>
  <c r="H461" i="2"/>
  <c r="V461" i="2"/>
  <c r="N461" i="2"/>
  <c r="F461" i="2"/>
  <c r="AB461" i="2"/>
  <c r="T461" i="2"/>
  <c r="L461" i="2"/>
  <c r="D461" i="2"/>
  <c r="AA465" i="2"/>
  <c r="W465" i="2"/>
  <c r="S465" i="2"/>
  <c r="O465" i="2"/>
  <c r="K465" i="2"/>
  <c r="G465" i="2"/>
  <c r="Y465" i="2"/>
  <c r="U465" i="2"/>
  <c r="Q465" i="2"/>
  <c r="M465" i="2"/>
  <c r="I465" i="2"/>
  <c r="E465" i="2"/>
  <c r="X465" i="2"/>
  <c r="P465" i="2"/>
  <c r="H465" i="2"/>
  <c r="V465" i="2"/>
  <c r="N465" i="2"/>
  <c r="F465" i="2"/>
  <c r="AB465" i="2"/>
  <c r="T465" i="2"/>
  <c r="L465" i="2"/>
  <c r="D465" i="2"/>
  <c r="Z539" i="2"/>
  <c r="V539" i="2"/>
  <c r="R539" i="2"/>
  <c r="N539" i="2"/>
  <c r="J539" i="2"/>
  <c r="F539" i="2"/>
  <c r="Y539" i="2"/>
  <c r="U539" i="2"/>
  <c r="Q539" i="2"/>
  <c r="M539" i="2"/>
  <c r="I539" i="2"/>
  <c r="E539" i="2"/>
  <c r="AB539" i="2"/>
  <c r="X539" i="2"/>
  <c r="T539" i="2"/>
  <c r="P539" i="2"/>
  <c r="L539" i="2"/>
  <c r="H539" i="2"/>
  <c r="D539" i="2"/>
  <c r="O539" i="2"/>
  <c r="AA539" i="2"/>
  <c r="K539" i="2"/>
  <c r="W539" i="2"/>
  <c r="G539" i="2"/>
  <c r="AA645" i="2"/>
  <c r="W645" i="2"/>
  <c r="S645" i="2"/>
  <c r="O645" i="2"/>
  <c r="K645" i="2"/>
  <c r="G645" i="2"/>
  <c r="Z645" i="2"/>
  <c r="V645" i="2"/>
  <c r="R645" i="2"/>
  <c r="N645" i="2"/>
  <c r="J645" i="2"/>
  <c r="F645" i="2"/>
  <c r="Y645" i="2"/>
  <c r="U645" i="2"/>
  <c r="Q645" i="2"/>
  <c r="M645" i="2"/>
  <c r="I645" i="2"/>
  <c r="E645" i="2"/>
  <c r="AB645" i="2"/>
  <c r="L645" i="2"/>
  <c r="X645" i="2"/>
  <c r="H645" i="2"/>
  <c r="T645" i="2"/>
  <c r="D645" i="2"/>
  <c r="P645" i="2"/>
  <c r="K9" i="2"/>
  <c r="W9" i="2"/>
  <c r="G15" i="2"/>
  <c r="O15" i="2"/>
  <c r="W15" i="2"/>
  <c r="K39" i="2"/>
  <c r="AA39" i="2"/>
  <c r="R61" i="2"/>
  <c r="AA85" i="2"/>
  <c r="W85" i="2"/>
  <c r="S85" i="2"/>
  <c r="O85" i="2"/>
  <c r="K85" i="2"/>
  <c r="G85" i="2"/>
  <c r="Y85" i="2"/>
  <c r="U85" i="2"/>
  <c r="Q85" i="2"/>
  <c r="M85" i="2"/>
  <c r="I85" i="2"/>
  <c r="E85" i="2"/>
  <c r="S117" i="2"/>
  <c r="Z291" i="2"/>
  <c r="V291" i="2"/>
  <c r="R291" i="2"/>
  <c r="N291" i="2"/>
  <c r="J291" i="2"/>
  <c r="Y291" i="2"/>
  <c r="U291" i="2"/>
  <c r="Q291" i="2"/>
  <c r="M291" i="2"/>
  <c r="I291" i="2"/>
  <c r="E291" i="2"/>
  <c r="AB291" i="2"/>
  <c r="X291" i="2"/>
  <c r="T291" i="2"/>
  <c r="P291" i="2"/>
  <c r="L291" i="2"/>
  <c r="H291" i="2"/>
  <c r="D291" i="2"/>
  <c r="S315" i="2"/>
  <c r="S327" i="2"/>
  <c r="Y353" i="2"/>
  <c r="U353" i="2"/>
  <c r="Q353" i="2"/>
  <c r="M353" i="2"/>
  <c r="I353" i="2"/>
  <c r="E353" i="2"/>
  <c r="AB353" i="2"/>
  <c r="X353" i="2"/>
  <c r="T353" i="2"/>
  <c r="P353" i="2"/>
  <c r="L353" i="2"/>
  <c r="H353" i="2"/>
  <c r="D353" i="2"/>
  <c r="AA353" i="2"/>
  <c r="W353" i="2"/>
  <c r="S353" i="2"/>
  <c r="O353" i="2"/>
  <c r="K353" i="2"/>
  <c r="G353" i="2"/>
  <c r="E9" i="2"/>
  <c r="M15" i="2"/>
  <c r="U15" i="2"/>
  <c r="Y15" i="2"/>
  <c r="M33" i="2"/>
  <c r="Q33" i="2"/>
  <c r="Y33" i="2"/>
  <c r="K35" i="2"/>
  <c r="S35" i="2"/>
  <c r="AA35" i="2"/>
  <c r="E39" i="2"/>
  <c r="Q39" i="2"/>
  <c r="Q41" i="2"/>
  <c r="H45" i="2"/>
  <c r="G53" i="2"/>
  <c r="W53" i="2"/>
  <c r="F61" i="2"/>
  <c r="F65" i="2"/>
  <c r="F85" i="2"/>
  <c r="N85" i="2"/>
  <c r="V85" i="2"/>
  <c r="AA93" i="2"/>
  <c r="W93" i="2"/>
  <c r="S93" i="2"/>
  <c r="O93" i="2"/>
  <c r="K93" i="2"/>
  <c r="G93" i="2"/>
  <c r="Z93" i="2"/>
  <c r="V93" i="2"/>
  <c r="R93" i="2"/>
  <c r="N93" i="2"/>
  <c r="J93" i="2"/>
  <c r="F93" i="2"/>
  <c r="Y93" i="2"/>
  <c r="U93" i="2"/>
  <c r="Q93" i="2"/>
  <c r="M93" i="2"/>
  <c r="I93" i="2"/>
  <c r="E93" i="2"/>
  <c r="P93" i="2"/>
  <c r="Z97" i="2"/>
  <c r="V97" i="2"/>
  <c r="R97" i="2"/>
  <c r="N97" i="2"/>
  <c r="J97" i="2"/>
  <c r="F97" i="2"/>
  <c r="Y97" i="2"/>
  <c r="U97" i="2"/>
  <c r="Q97" i="2"/>
  <c r="M97" i="2"/>
  <c r="I97" i="2"/>
  <c r="E97" i="2"/>
  <c r="AB97" i="2"/>
  <c r="X97" i="2"/>
  <c r="T97" i="2"/>
  <c r="P97" i="2"/>
  <c r="L97" i="2"/>
  <c r="H97" i="2"/>
  <c r="D97" i="2"/>
  <c r="S97" i="2"/>
  <c r="K101" i="2"/>
  <c r="Z105" i="2"/>
  <c r="V105" i="2"/>
  <c r="R105" i="2"/>
  <c r="N105" i="2"/>
  <c r="J105" i="2"/>
  <c r="F105" i="2"/>
  <c r="Y105" i="2"/>
  <c r="U105" i="2"/>
  <c r="Q105" i="2"/>
  <c r="M105" i="2"/>
  <c r="I105" i="2"/>
  <c r="E105" i="2"/>
  <c r="AB105" i="2"/>
  <c r="X105" i="2"/>
  <c r="T105" i="2"/>
  <c r="P105" i="2"/>
  <c r="L105" i="2"/>
  <c r="H105" i="2"/>
  <c r="D105" i="2"/>
  <c r="S105" i="2"/>
  <c r="K109" i="2"/>
  <c r="Z113" i="2"/>
  <c r="V113" i="2"/>
  <c r="R113" i="2"/>
  <c r="N113" i="2"/>
  <c r="J113" i="2"/>
  <c r="F113" i="2"/>
  <c r="Y113" i="2"/>
  <c r="U113" i="2"/>
  <c r="Q113" i="2"/>
  <c r="M113" i="2"/>
  <c r="I113" i="2"/>
  <c r="E113" i="2"/>
  <c r="AB113" i="2"/>
  <c r="X113" i="2"/>
  <c r="T113" i="2"/>
  <c r="P113" i="2"/>
  <c r="L113" i="2"/>
  <c r="H113" i="2"/>
  <c r="D113" i="2"/>
  <c r="S113" i="2"/>
  <c r="K117" i="2"/>
  <c r="AA117" i="2"/>
  <c r="Z121" i="2"/>
  <c r="V121" i="2"/>
  <c r="R121" i="2"/>
  <c r="N121" i="2"/>
  <c r="J121" i="2"/>
  <c r="F121" i="2"/>
  <c r="Y121" i="2"/>
  <c r="U121" i="2"/>
  <c r="Q121" i="2"/>
  <c r="M121" i="2"/>
  <c r="I121" i="2"/>
  <c r="E121" i="2"/>
  <c r="AB121" i="2"/>
  <c r="X121" i="2"/>
  <c r="T121" i="2"/>
  <c r="P121" i="2"/>
  <c r="L121" i="2"/>
  <c r="H121" i="2"/>
  <c r="D121" i="2"/>
  <c r="S121" i="2"/>
  <c r="K259" i="2"/>
  <c r="AA259" i="2"/>
  <c r="Z273" i="2"/>
  <c r="V273" i="2"/>
  <c r="R273" i="2"/>
  <c r="N273" i="2"/>
  <c r="J273" i="2"/>
  <c r="F273" i="2"/>
  <c r="Y273" i="2"/>
  <c r="U273" i="2"/>
  <c r="Q273" i="2"/>
  <c r="M273" i="2"/>
  <c r="I273" i="2"/>
  <c r="E273" i="2"/>
  <c r="AB273" i="2"/>
  <c r="X273" i="2"/>
  <c r="T273" i="2"/>
  <c r="P273" i="2"/>
  <c r="L273" i="2"/>
  <c r="H273" i="2"/>
  <c r="D273" i="2"/>
  <c r="S273" i="2"/>
  <c r="Z283" i="2"/>
  <c r="V283" i="2"/>
  <c r="R283" i="2"/>
  <c r="N283" i="2"/>
  <c r="J283" i="2"/>
  <c r="F283" i="2"/>
  <c r="Y283" i="2"/>
  <c r="U283" i="2"/>
  <c r="Q283" i="2"/>
  <c r="M283" i="2"/>
  <c r="I283" i="2"/>
  <c r="E283" i="2"/>
  <c r="AB283" i="2"/>
  <c r="X283" i="2"/>
  <c r="T283" i="2"/>
  <c r="P283" i="2"/>
  <c r="L283" i="2"/>
  <c r="H283" i="2"/>
  <c r="D283" i="2"/>
  <c r="S283" i="2"/>
  <c r="K291" i="2"/>
  <c r="AA291" i="2"/>
  <c r="Z301" i="2"/>
  <c r="V301" i="2"/>
  <c r="R301" i="2"/>
  <c r="N301" i="2"/>
  <c r="J301" i="2"/>
  <c r="F301" i="2"/>
  <c r="Y301" i="2"/>
  <c r="U301" i="2"/>
  <c r="Q301" i="2"/>
  <c r="M301" i="2"/>
  <c r="I301" i="2"/>
  <c r="E301" i="2"/>
  <c r="AB301" i="2"/>
  <c r="X301" i="2"/>
  <c r="T301" i="2"/>
  <c r="P301" i="2"/>
  <c r="L301" i="2"/>
  <c r="H301" i="2"/>
  <c r="D301" i="2"/>
  <c r="S301" i="2"/>
  <c r="J313" i="2"/>
  <c r="K315" i="2"/>
  <c r="J325" i="2"/>
  <c r="K327" i="2"/>
  <c r="AA327" i="2"/>
  <c r="Z341" i="2"/>
  <c r="V341" i="2"/>
  <c r="R341" i="2"/>
  <c r="N341" i="2"/>
  <c r="J341" i="2"/>
  <c r="F341" i="2"/>
  <c r="Y341" i="2"/>
  <c r="U341" i="2"/>
  <c r="Q341" i="2"/>
  <c r="M341" i="2"/>
  <c r="I341" i="2"/>
  <c r="E341" i="2"/>
  <c r="AB341" i="2"/>
  <c r="X341" i="2"/>
  <c r="T341" i="2"/>
  <c r="P341" i="2"/>
  <c r="L341" i="2"/>
  <c r="H341" i="2"/>
  <c r="D341" i="2"/>
  <c r="S341" i="2"/>
  <c r="J353" i="2"/>
  <c r="Z353" i="2"/>
  <c r="K355" i="2"/>
  <c r="AA369" i="2"/>
  <c r="W369" i="2"/>
  <c r="Y369" i="2"/>
  <c r="V369" i="2"/>
  <c r="R369" i="2"/>
  <c r="N369" i="2"/>
  <c r="J369" i="2"/>
  <c r="F369" i="2"/>
  <c r="AB369" i="2"/>
  <c r="U369" i="2"/>
  <c r="Q369" i="2"/>
  <c r="M369" i="2"/>
  <c r="I369" i="2"/>
  <c r="E369" i="2"/>
  <c r="Z369" i="2"/>
  <c r="T369" i="2"/>
  <c r="P369" i="2"/>
  <c r="L369" i="2"/>
  <c r="H369" i="2"/>
  <c r="D369" i="2"/>
  <c r="S369" i="2"/>
  <c r="R403" i="2"/>
  <c r="Z477" i="2"/>
  <c r="V477" i="2"/>
  <c r="R477" i="2"/>
  <c r="N477" i="2"/>
  <c r="J477" i="2"/>
  <c r="F477" i="2"/>
  <c r="Y477" i="2"/>
  <c r="U477" i="2"/>
  <c r="Q477" i="2"/>
  <c r="M477" i="2"/>
  <c r="I477" i="2"/>
  <c r="E477" i="2"/>
  <c r="AB477" i="2"/>
  <c r="X477" i="2"/>
  <c r="T477" i="2"/>
  <c r="P477" i="2"/>
  <c r="L477" i="2"/>
  <c r="H477" i="2"/>
  <c r="D477" i="2"/>
  <c r="O477" i="2"/>
  <c r="AA477" i="2"/>
  <c r="K477" i="2"/>
  <c r="W477" i="2"/>
  <c r="G477" i="2"/>
  <c r="AA559" i="2"/>
  <c r="W559" i="2"/>
  <c r="S559" i="2"/>
  <c r="O559" i="2"/>
  <c r="K559" i="2"/>
  <c r="G559" i="2"/>
  <c r="Z559" i="2"/>
  <c r="V559" i="2"/>
  <c r="R559" i="2"/>
  <c r="N559" i="2"/>
  <c r="J559" i="2"/>
  <c r="F559" i="2"/>
  <c r="Y559" i="2"/>
  <c r="U559" i="2"/>
  <c r="Q559" i="2"/>
  <c r="M559" i="2"/>
  <c r="I559" i="2"/>
  <c r="E559" i="2"/>
  <c r="AB559" i="2"/>
  <c r="L559" i="2"/>
  <c r="X559" i="2"/>
  <c r="H559" i="2"/>
  <c r="T559" i="2"/>
  <c r="D559" i="2"/>
  <c r="O9" i="2"/>
  <c r="AA9" i="2"/>
  <c r="G33" i="2"/>
  <c r="O33" i="2"/>
  <c r="AA33" i="2"/>
  <c r="S39" i="2"/>
  <c r="S53" i="2"/>
  <c r="AA61" i="2"/>
  <c r="W61" i="2"/>
  <c r="S61" i="2"/>
  <c r="O61" i="2"/>
  <c r="K61" i="2"/>
  <c r="G61" i="2"/>
  <c r="Y61" i="2"/>
  <c r="U61" i="2"/>
  <c r="Q61" i="2"/>
  <c r="M61" i="2"/>
  <c r="I61" i="2"/>
  <c r="E61" i="2"/>
  <c r="Y65" i="2"/>
  <c r="U65" i="2"/>
  <c r="Q65" i="2"/>
  <c r="M65" i="2"/>
  <c r="I65" i="2"/>
  <c r="E65" i="2"/>
  <c r="AA65" i="2"/>
  <c r="W65" i="2"/>
  <c r="S65" i="2"/>
  <c r="O65" i="2"/>
  <c r="K65" i="2"/>
  <c r="G65" i="2"/>
  <c r="R65" i="2"/>
  <c r="J85" i="2"/>
  <c r="Z85" i="2"/>
  <c r="Z101" i="2"/>
  <c r="V101" i="2"/>
  <c r="R101" i="2"/>
  <c r="N101" i="2"/>
  <c r="J101" i="2"/>
  <c r="F101" i="2"/>
  <c r="Y101" i="2"/>
  <c r="U101" i="2"/>
  <c r="Q101" i="2"/>
  <c r="M101" i="2"/>
  <c r="I101" i="2"/>
  <c r="E101" i="2"/>
  <c r="AB101" i="2"/>
  <c r="X101" i="2"/>
  <c r="T101" i="2"/>
  <c r="P101" i="2"/>
  <c r="L101" i="2"/>
  <c r="H101" i="2"/>
  <c r="D101" i="2"/>
  <c r="Z109" i="2"/>
  <c r="V109" i="2"/>
  <c r="R109" i="2"/>
  <c r="N109" i="2"/>
  <c r="J109" i="2"/>
  <c r="F109" i="2"/>
  <c r="Y109" i="2"/>
  <c r="U109" i="2"/>
  <c r="Q109" i="2"/>
  <c r="M109" i="2"/>
  <c r="I109" i="2"/>
  <c r="E109" i="2"/>
  <c r="AB109" i="2"/>
  <c r="X109" i="2"/>
  <c r="T109" i="2"/>
  <c r="P109" i="2"/>
  <c r="L109" i="2"/>
  <c r="H109" i="2"/>
  <c r="D109" i="2"/>
  <c r="S291" i="2"/>
  <c r="Y313" i="2"/>
  <c r="U313" i="2"/>
  <c r="Q313" i="2"/>
  <c r="M313" i="2"/>
  <c r="I313" i="2"/>
  <c r="E313" i="2"/>
  <c r="AB313" i="2"/>
  <c r="X313" i="2"/>
  <c r="T313" i="2"/>
  <c r="P313" i="2"/>
  <c r="L313" i="2"/>
  <c r="H313" i="2"/>
  <c r="D313" i="2"/>
  <c r="AA313" i="2"/>
  <c r="W313" i="2"/>
  <c r="S313" i="2"/>
  <c r="O313" i="2"/>
  <c r="K313" i="2"/>
  <c r="G313" i="2"/>
  <c r="Z315" i="2"/>
  <c r="V315" i="2"/>
  <c r="R315" i="2"/>
  <c r="N315" i="2"/>
  <c r="J315" i="2"/>
  <c r="F315" i="2"/>
  <c r="Y315" i="2"/>
  <c r="U315" i="2"/>
  <c r="Q315" i="2"/>
  <c r="M315" i="2"/>
  <c r="I315" i="2"/>
  <c r="E315" i="2"/>
  <c r="AB315" i="2"/>
  <c r="X315" i="2"/>
  <c r="T315" i="2"/>
  <c r="P315" i="2"/>
  <c r="L315" i="2"/>
  <c r="H315" i="2"/>
  <c r="D315" i="2"/>
  <c r="Y325" i="2"/>
  <c r="U325" i="2"/>
  <c r="Q325" i="2"/>
  <c r="M325" i="2"/>
  <c r="I325" i="2"/>
  <c r="E325" i="2"/>
  <c r="AB325" i="2"/>
  <c r="X325" i="2"/>
  <c r="T325" i="2"/>
  <c r="P325" i="2"/>
  <c r="L325" i="2"/>
  <c r="H325" i="2"/>
  <c r="D325" i="2"/>
  <c r="AA325" i="2"/>
  <c r="W325" i="2"/>
  <c r="S325" i="2"/>
  <c r="O325" i="2"/>
  <c r="K325" i="2"/>
  <c r="G325" i="2"/>
  <c r="R325" i="2"/>
  <c r="Z355" i="2"/>
  <c r="V355" i="2"/>
  <c r="R355" i="2"/>
  <c r="N355" i="2"/>
  <c r="J355" i="2"/>
  <c r="F355" i="2"/>
  <c r="Y355" i="2"/>
  <c r="U355" i="2"/>
  <c r="Q355" i="2"/>
  <c r="M355" i="2"/>
  <c r="I355" i="2"/>
  <c r="E355" i="2"/>
  <c r="AB355" i="2"/>
  <c r="X355" i="2"/>
  <c r="T355" i="2"/>
  <c r="P355" i="2"/>
  <c r="L355" i="2"/>
  <c r="H355" i="2"/>
  <c r="D355" i="2"/>
  <c r="S355" i="2"/>
  <c r="I9" i="2"/>
  <c r="M9" i="2"/>
  <c r="U9" i="2"/>
  <c r="Y9" i="2"/>
  <c r="E15" i="2"/>
  <c r="I15" i="2"/>
  <c r="Q15" i="2"/>
  <c r="E33" i="2"/>
  <c r="I33" i="2"/>
  <c r="U33" i="2"/>
  <c r="G35" i="2"/>
  <c r="O35" i="2"/>
  <c r="W35" i="2"/>
  <c r="I39" i="2"/>
  <c r="M39" i="2"/>
  <c r="U39" i="2"/>
  <c r="Y39" i="2"/>
  <c r="I41" i="2"/>
  <c r="M41" i="2"/>
  <c r="U41" i="2"/>
  <c r="Y41" i="2"/>
  <c r="Z45" i="2"/>
  <c r="V45" i="2"/>
  <c r="R45" i="2"/>
  <c r="N45" i="2"/>
  <c r="J45" i="2"/>
  <c r="F45" i="2"/>
  <c r="M45" i="2"/>
  <c r="S45" i="2"/>
  <c r="AB47" i="2"/>
  <c r="X47" i="2"/>
  <c r="T47" i="2"/>
  <c r="P47" i="2"/>
  <c r="L47" i="2"/>
  <c r="H47" i="2"/>
  <c r="D47" i="2"/>
  <c r="I47" i="2"/>
  <c r="S47" i="2"/>
  <c r="Y47" i="2"/>
  <c r="O53" i="2"/>
  <c r="AB57" i="2"/>
  <c r="X57" i="2"/>
  <c r="T57" i="2"/>
  <c r="P57" i="2"/>
  <c r="L57" i="2"/>
  <c r="H57" i="2"/>
  <c r="D57" i="2"/>
  <c r="Z57" i="2"/>
  <c r="V57" i="2"/>
  <c r="R57" i="2"/>
  <c r="N57" i="2"/>
  <c r="J57" i="2"/>
  <c r="F57" i="2"/>
  <c r="S57" i="2"/>
  <c r="AA57" i="2"/>
  <c r="N61" i="2"/>
  <c r="V65" i="2"/>
  <c r="F9" i="2"/>
  <c r="J9" i="2"/>
  <c r="N9" i="2"/>
  <c r="R9" i="2"/>
  <c r="V9" i="2"/>
  <c r="Z9" i="2"/>
  <c r="I13" i="2"/>
  <c r="M13" i="2"/>
  <c r="Q13" i="2"/>
  <c r="U13" i="2"/>
  <c r="F15" i="2"/>
  <c r="J15" i="2"/>
  <c r="N15" i="2"/>
  <c r="R15" i="2"/>
  <c r="V15" i="2"/>
  <c r="F33" i="2"/>
  <c r="J33" i="2"/>
  <c r="N33" i="2"/>
  <c r="R33" i="2"/>
  <c r="V33" i="2"/>
  <c r="D35" i="2"/>
  <c r="H35" i="2"/>
  <c r="L35" i="2"/>
  <c r="P35" i="2"/>
  <c r="T35" i="2"/>
  <c r="X35" i="2"/>
  <c r="F39" i="2"/>
  <c r="J39" i="2"/>
  <c r="N39" i="2"/>
  <c r="R39" i="2"/>
  <c r="V39" i="2"/>
  <c r="F41" i="2"/>
  <c r="J41" i="2"/>
  <c r="N41" i="2"/>
  <c r="R41" i="2"/>
  <c r="V41" i="2"/>
  <c r="D45" i="2"/>
  <c r="I45" i="2"/>
  <c r="O45" i="2"/>
  <c r="T45" i="2"/>
  <c r="Y45" i="2"/>
  <c r="E47" i="2"/>
  <c r="J47" i="2"/>
  <c r="O47" i="2"/>
  <c r="U47" i="2"/>
  <c r="Z47" i="2"/>
  <c r="E49" i="2"/>
  <c r="M49" i="2"/>
  <c r="U49" i="2"/>
  <c r="Z51" i="2"/>
  <c r="V51" i="2"/>
  <c r="R51" i="2"/>
  <c r="N51" i="2"/>
  <c r="J51" i="2"/>
  <c r="F51" i="2"/>
  <c r="AB51" i="2"/>
  <c r="X51" i="2"/>
  <c r="T51" i="2"/>
  <c r="P51" i="2"/>
  <c r="L51" i="2"/>
  <c r="H51" i="2"/>
  <c r="D51" i="2"/>
  <c r="K51" i="2"/>
  <c r="S51" i="2"/>
  <c r="AA51" i="2"/>
  <c r="I53" i="2"/>
  <c r="Q53" i="2"/>
  <c r="Y53" i="2"/>
  <c r="G55" i="2"/>
  <c r="O55" i="2"/>
  <c r="W55" i="2"/>
  <c r="E57" i="2"/>
  <c r="M57" i="2"/>
  <c r="U57" i="2"/>
  <c r="Z59" i="2"/>
  <c r="V59" i="2"/>
  <c r="R59" i="2"/>
  <c r="N59" i="2"/>
  <c r="J59" i="2"/>
  <c r="F59" i="2"/>
  <c r="AB59" i="2"/>
  <c r="X59" i="2"/>
  <c r="T59" i="2"/>
  <c r="P59" i="2"/>
  <c r="L59" i="2"/>
  <c r="H59" i="2"/>
  <c r="D59" i="2"/>
  <c r="K59" i="2"/>
  <c r="S59" i="2"/>
  <c r="AA59" i="2"/>
  <c r="H61" i="2"/>
  <c r="P61" i="2"/>
  <c r="X61" i="2"/>
  <c r="AB63" i="2"/>
  <c r="X63" i="2"/>
  <c r="T63" i="2"/>
  <c r="P63" i="2"/>
  <c r="L63" i="2"/>
  <c r="H63" i="2"/>
  <c r="D63" i="2"/>
  <c r="Z63" i="2"/>
  <c r="V63" i="2"/>
  <c r="R63" i="2"/>
  <c r="N63" i="2"/>
  <c r="J63" i="2"/>
  <c r="F63" i="2"/>
  <c r="K63" i="2"/>
  <c r="S63" i="2"/>
  <c r="AA63" i="2"/>
  <c r="H65" i="2"/>
  <c r="P65" i="2"/>
  <c r="X65" i="2"/>
  <c r="Z83" i="2"/>
  <c r="V83" i="2"/>
  <c r="R83" i="2"/>
  <c r="N83" i="2"/>
  <c r="J83" i="2"/>
  <c r="F83" i="2"/>
  <c r="AB83" i="2"/>
  <c r="X83" i="2"/>
  <c r="T83" i="2"/>
  <c r="P83" i="2"/>
  <c r="L83" i="2"/>
  <c r="H83" i="2"/>
  <c r="D83" i="2"/>
  <c r="K83" i="2"/>
  <c r="S83" i="2"/>
  <c r="AA83" i="2"/>
  <c r="H85" i="2"/>
  <c r="P85" i="2"/>
  <c r="X85" i="2"/>
  <c r="AB87" i="2"/>
  <c r="X87" i="2"/>
  <c r="T87" i="2"/>
  <c r="P87" i="2"/>
  <c r="L87" i="2"/>
  <c r="H87" i="2"/>
  <c r="D87" i="2"/>
  <c r="AA87" i="2"/>
  <c r="Z87" i="2"/>
  <c r="V87" i="2"/>
  <c r="R87" i="2"/>
  <c r="N87" i="2"/>
  <c r="J87" i="2"/>
  <c r="F87" i="2"/>
  <c r="K87" i="2"/>
  <c r="S87" i="2"/>
  <c r="Y89" i="2"/>
  <c r="U89" i="2"/>
  <c r="Q89" i="2"/>
  <c r="M89" i="2"/>
  <c r="I89" i="2"/>
  <c r="E89" i="2"/>
  <c r="AB89" i="2"/>
  <c r="X89" i="2"/>
  <c r="T89" i="2"/>
  <c r="P89" i="2"/>
  <c r="L89" i="2"/>
  <c r="H89" i="2"/>
  <c r="D89" i="2"/>
  <c r="AA89" i="2"/>
  <c r="W89" i="2"/>
  <c r="S89" i="2"/>
  <c r="O89" i="2"/>
  <c r="K89" i="2"/>
  <c r="G89" i="2"/>
  <c r="R89" i="2"/>
  <c r="Z91" i="2"/>
  <c r="V91" i="2"/>
  <c r="R91" i="2"/>
  <c r="N91" i="2"/>
  <c r="J91" i="2"/>
  <c r="F91" i="2"/>
  <c r="Y91" i="2"/>
  <c r="U91" i="2"/>
  <c r="Q91" i="2"/>
  <c r="M91" i="2"/>
  <c r="I91" i="2"/>
  <c r="E91" i="2"/>
  <c r="AB91" i="2"/>
  <c r="X91" i="2"/>
  <c r="T91" i="2"/>
  <c r="P91" i="2"/>
  <c r="L91" i="2"/>
  <c r="H91" i="2"/>
  <c r="D91" i="2"/>
  <c r="S91" i="2"/>
  <c r="D93" i="2"/>
  <c r="T93" i="2"/>
  <c r="G97" i="2"/>
  <c r="W97" i="2"/>
  <c r="O101" i="2"/>
  <c r="G105" i="2"/>
  <c r="W105" i="2"/>
  <c r="O109" i="2"/>
  <c r="G113" i="2"/>
  <c r="W113" i="2"/>
  <c r="O117" i="2"/>
  <c r="G121" i="2"/>
  <c r="W121" i="2"/>
  <c r="J127" i="2"/>
  <c r="Z127" i="2"/>
  <c r="Y253" i="2"/>
  <c r="U253" i="2"/>
  <c r="Q253" i="2"/>
  <c r="M253" i="2"/>
  <c r="I253" i="2"/>
  <c r="E253" i="2"/>
  <c r="AB253" i="2"/>
  <c r="X253" i="2"/>
  <c r="T253" i="2"/>
  <c r="P253" i="2"/>
  <c r="L253" i="2"/>
  <c r="H253" i="2"/>
  <c r="D253" i="2"/>
  <c r="AA253" i="2"/>
  <c r="W253" i="2"/>
  <c r="S253" i="2"/>
  <c r="O253" i="2"/>
  <c r="K253" i="2"/>
  <c r="G253" i="2"/>
  <c r="R253" i="2"/>
  <c r="Z255" i="2"/>
  <c r="V255" i="2"/>
  <c r="R255" i="2"/>
  <c r="N255" i="2"/>
  <c r="J255" i="2"/>
  <c r="F255" i="2"/>
  <c r="Y255" i="2"/>
  <c r="U255" i="2"/>
  <c r="Q255" i="2"/>
  <c r="M255" i="2"/>
  <c r="I255" i="2"/>
  <c r="E255" i="2"/>
  <c r="AB255" i="2"/>
  <c r="X255" i="2"/>
  <c r="T255" i="2"/>
  <c r="P255" i="2"/>
  <c r="L255" i="2"/>
  <c r="H255" i="2"/>
  <c r="D255" i="2"/>
  <c r="S255" i="2"/>
  <c r="O259" i="2"/>
  <c r="Y265" i="2"/>
  <c r="U265" i="2"/>
  <c r="Q265" i="2"/>
  <c r="M265" i="2"/>
  <c r="I265" i="2"/>
  <c r="E265" i="2"/>
  <c r="AB265" i="2"/>
  <c r="X265" i="2"/>
  <c r="T265" i="2"/>
  <c r="P265" i="2"/>
  <c r="L265" i="2"/>
  <c r="H265" i="2"/>
  <c r="D265" i="2"/>
  <c r="AA265" i="2"/>
  <c r="W265" i="2"/>
  <c r="S265" i="2"/>
  <c r="O265" i="2"/>
  <c r="K265" i="2"/>
  <c r="G265" i="2"/>
  <c r="R265" i="2"/>
  <c r="Z267" i="2"/>
  <c r="V267" i="2"/>
  <c r="R267" i="2"/>
  <c r="N267" i="2"/>
  <c r="J267" i="2"/>
  <c r="F267" i="2"/>
  <c r="Y267" i="2"/>
  <c r="U267" i="2"/>
  <c r="Q267" i="2"/>
  <c r="M267" i="2"/>
  <c r="I267" i="2"/>
  <c r="E267" i="2"/>
  <c r="AB267" i="2"/>
  <c r="X267" i="2"/>
  <c r="T267" i="2"/>
  <c r="P267" i="2"/>
  <c r="L267" i="2"/>
  <c r="H267" i="2"/>
  <c r="D267" i="2"/>
  <c r="S267" i="2"/>
  <c r="G273" i="2"/>
  <c r="W273" i="2"/>
  <c r="Z277" i="2"/>
  <c r="V277" i="2"/>
  <c r="R277" i="2"/>
  <c r="N277" i="2"/>
  <c r="J277" i="2"/>
  <c r="F277" i="2"/>
  <c r="Y277" i="2"/>
  <c r="U277" i="2"/>
  <c r="Q277" i="2"/>
  <c r="M277" i="2"/>
  <c r="I277" i="2"/>
  <c r="E277" i="2"/>
  <c r="AB277" i="2"/>
  <c r="X277" i="2"/>
  <c r="T277" i="2"/>
  <c r="P277" i="2"/>
  <c r="L277" i="2"/>
  <c r="H277" i="2"/>
  <c r="D277" i="2"/>
  <c r="S277" i="2"/>
  <c r="G283" i="2"/>
  <c r="W283" i="2"/>
  <c r="Z287" i="2"/>
  <c r="V287" i="2"/>
  <c r="R287" i="2"/>
  <c r="N287" i="2"/>
  <c r="J287" i="2"/>
  <c r="F287" i="2"/>
  <c r="Y287" i="2"/>
  <c r="U287" i="2"/>
  <c r="Q287" i="2"/>
  <c r="M287" i="2"/>
  <c r="I287" i="2"/>
  <c r="E287" i="2"/>
  <c r="AB287" i="2"/>
  <c r="X287" i="2"/>
  <c r="T287" i="2"/>
  <c r="P287" i="2"/>
  <c r="L287" i="2"/>
  <c r="H287" i="2"/>
  <c r="D287" i="2"/>
  <c r="S287" i="2"/>
  <c r="O291" i="2"/>
  <c r="J295" i="2"/>
  <c r="Z295" i="2"/>
  <c r="K297" i="2"/>
  <c r="AA297" i="2"/>
  <c r="G301" i="2"/>
  <c r="W301" i="2"/>
  <c r="K307" i="2"/>
  <c r="AA307" i="2"/>
  <c r="N313" i="2"/>
  <c r="O315" i="2"/>
  <c r="Z321" i="2"/>
  <c r="V321" i="2"/>
  <c r="R321" i="2"/>
  <c r="N321" i="2"/>
  <c r="J321" i="2"/>
  <c r="F321" i="2"/>
  <c r="Y321" i="2"/>
  <c r="U321" i="2"/>
  <c r="Q321" i="2"/>
  <c r="M321" i="2"/>
  <c r="I321" i="2"/>
  <c r="E321" i="2"/>
  <c r="AB321" i="2"/>
  <c r="X321" i="2"/>
  <c r="T321" i="2"/>
  <c r="P321" i="2"/>
  <c r="L321" i="2"/>
  <c r="H321" i="2"/>
  <c r="D321" i="2"/>
  <c r="S321" i="2"/>
  <c r="N325" i="2"/>
  <c r="O327" i="2"/>
  <c r="Y333" i="2"/>
  <c r="U333" i="2"/>
  <c r="Q333" i="2"/>
  <c r="M333" i="2"/>
  <c r="I333" i="2"/>
  <c r="E333" i="2"/>
  <c r="AB333" i="2"/>
  <c r="X333" i="2"/>
  <c r="T333" i="2"/>
  <c r="P333" i="2"/>
  <c r="L333" i="2"/>
  <c r="H333" i="2"/>
  <c r="D333" i="2"/>
  <c r="AA333" i="2"/>
  <c r="W333" i="2"/>
  <c r="S333" i="2"/>
  <c r="O333" i="2"/>
  <c r="K333" i="2"/>
  <c r="G333" i="2"/>
  <c r="R333" i="2"/>
  <c r="Z335" i="2"/>
  <c r="V335" i="2"/>
  <c r="R335" i="2"/>
  <c r="N335" i="2"/>
  <c r="J335" i="2"/>
  <c r="F335" i="2"/>
  <c r="Y335" i="2"/>
  <c r="U335" i="2"/>
  <c r="Q335" i="2"/>
  <c r="M335" i="2"/>
  <c r="I335" i="2"/>
  <c r="E335" i="2"/>
  <c r="AB335" i="2"/>
  <c r="X335" i="2"/>
  <c r="T335" i="2"/>
  <c r="P335" i="2"/>
  <c r="L335" i="2"/>
  <c r="H335" i="2"/>
  <c r="D335" i="2"/>
  <c r="S335" i="2"/>
  <c r="G341" i="2"/>
  <c r="W341" i="2"/>
  <c r="K347" i="2"/>
  <c r="AA347" i="2"/>
  <c r="N353" i="2"/>
  <c r="O355" i="2"/>
  <c r="Y361" i="2"/>
  <c r="U361" i="2"/>
  <c r="Q361" i="2"/>
  <c r="M361" i="2"/>
  <c r="I361" i="2"/>
  <c r="E361" i="2"/>
  <c r="AB361" i="2"/>
  <c r="X361" i="2"/>
  <c r="T361" i="2"/>
  <c r="P361" i="2"/>
  <c r="L361" i="2"/>
  <c r="H361" i="2"/>
  <c r="D361" i="2"/>
  <c r="AA361" i="2"/>
  <c r="W361" i="2"/>
  <c r="S361" i="2"/>
  <c r="O361" i="2"/>
  <c r="K361" i="2"/>
  <c r="G361" i="2"/>
  <c r="R361" i="2"/>
  <c r="Z363" i="2"/>
  <c r="V363" i="2"/>
  <c r="R363" i="2"/>
  <c r="N363" i="2"/>
  <c r="J363" i="2"/>
  <c r="F363" i="2"/>
  <c r="Y363" i="2"/>
  <c r="U363" i="2"/>
  <c r="Q363" i="2"/>
  <c r="M363" i="2"/>
  <c r="I363" i="2"/>
  <c r="E363" i="2"/>
  <c r="AB363" i="2"/>
  <c r="X363" i="2"/>
  <c r="T363" i="2"/>
  <c r="P363" i="2"/>
  <c r="L363" i="2"/>
  <c r="H363" i="2"/>
  <c r="D363" i="2"/>
  <c r="S363" i="2"/>
  <c r="G369" i="2"/>
  <c r="X369" i="2"/>
  <c r="S375" i="2"/>
  <c r="S379" i="2"/>
  <c r="S383" i="2"/>
  <c r="Z403" i="2"/>
  <c r="R461" i="2"/>
  <c r="R465" i="2"/>
  <c r="Y475" i="2"/>
  <c r="U475" i="2"/>
  <c r="Q475" i="2"/>
  <c r="M475" i="2"/>
  <c r="I475" i="2"/>
  <c r="E475" i="2"/>
  <c r="AB475" i="2"/>
  <c r="X475" i="2"/>
  <c r="T475" i="2"/>
  <c r="P475" i="2"/>
  <c r="L475" i="2"/>
  <c r="H475" i="2"/>
  <c r="D475" i="2"/>
  <c r="AA475" i="2"/>
  <c r="W475" i="2"/>
  <c r="S475" i="2"/>
  <c r="O475" i="2"/>
  <c r="K475" i="2"/>
  <c r="G475" i="2"/>
  <c r="N475" i="2"/>
  <c r="Z475" i="2"/>
  <c r="J475" i="2"/>
  <c r="V475" i="2"/>
  <c r="F475" i="2"/>
  <c r="S477" i="2"/>
  <c r="AA535" i="2"/>
  <c r="W535" i="2"/>
  <c r="S535" i="2"/>
  <c r="O535" i="2"/>
  <c r="K535" i="2"/>
  <c r="G535" i="2"/>
  <c r="Z535" i="2"/>
  <c r="V535" i="2"/>
  <c r="R535" i="2"/>
  <c r="N535" i="2"/>
  <c r="J535" i="2"/>
  <c r="F535" i="2"/>
  <c r="Y535" i="2"/>
  <c r="U535" i="2"/>
  <c r="Q535" i="2"/>
  <c r="M535" i="2"/>
  <c r="I535" i="2"/>
  <c r="E535" i="2"/>
  <c r="AB535" i="2"/>
  <c r="L535" i="2"/>
  <c r="X535" i="2"/>
  <c r="H535" i="2"/>
  <c r="T535" i="2"/>
  <c r="D535" i="2"/>
  <c r="P559" i="2"/>
  <c r="Z665" i="2"/>
  <c r="V665" i="2"/>
  <c r="R665" i="2"/>
  <c r="N665" i="2"/>
  <c r="J665" i="2"/>
  <c r="F665" i="2"/>
  <c r="Y665" i="2"/>
  <c r="U665" i="2"/>
  <c r="Q665" i="2"/>
  <c r="M665" i="2"/>
  <c r="I665" i="2"/>
  <c r="E665" i="2"/>
  <c r="AB665" i="2"/>
  <c r="X665" i="2"/>
  <c r="T665" i="2"/>
  <c r="P665" i="2"/>
  <c r="L665" i="2"/>
  <c r="H665" i="2"/>
  <c r="D665" i="2"/>
  <c r="O665" i="2"/>
  <c r="AA665" i="2"/>
  <c r="K665" i="2"/>
  <c r="W665" i="2"/>
  <c r="G665" i="2"/>
  <c r="S665" i="2"/>
  <c r="E67" i="2"/>
  <c r="I67" i="2"/>
  <c r="M67" i="2"/>
  <c r="Q67" i="2"/>
  <c r="U67" i="2"/>
  <c r="Y67" i="2"/>
  <c r="G69" i="2"/>
  <c r="K69" i="2"/>
  <c r="O69" i="2"/>
  <c r="S69" i="2"/>
  <c r="W69" i="2"/>
  <c r="E71" i="2"/>
  <c r="I71" i="2"/>
  <c r="M71" i="2"/>
  <c r="Q71" i="2"/>
  <c r="U71" i="2"/>
  <c r="Y71" i="2"/>
  <c r="G73" i="2"/>
  <c r="K73" i="2"/>
  <c r="O73" i="2"/>
  <c r="S73" i="2"/>
  <c r="W73" i="2"/>
  <c r="E75" i="2"/>
  <c r="I75" i="2"/>
  <c r="M75" i="2"/>
  <c r="Q75" i="2"/>
  <c r="U75" i="2"/>
  <c r="Y75" i="2"/>
  <c r="G77" i="2"/>
  <c r="K77" i="2"/>
  <c r="O77" i="2"/>
  <c r="S77" i="2"/>
  <c r="W77" i="2"/>
  <c r="E79" i="2"/>
  <c r="I79" i="2"/>
  <c r="M79" i="2"/>
  <c r="Q79" i="2"/>
  <c r="U79" i="2"/>
  <c r="Y79" i="2"/>
  <c r="G81" i="2"/>
  <c r="K81" i="2"/>
  <c r="O81" i="2"/>
  <c r="S81" i="2"/>
  <c r="W81" i="2"/>
  <c r="F95" i="2"/>
  <c r="J95" i="2"/>
  <c r="N95" i="2"/>
  <c r="R95" i="2"/>
  <c r="V95" i="2"/>
  <c r="Z95" i="2"/>
  <c r="F99" i="2"/>
  <c r="J99" i="2"/>
  <c r="N99" i="2"/>
  <c r="R99" i="2"/>
  <c r="V99" i="2"/>
  <c r="Z99" i="2"/>
  <c r="F103" i="2"/>
  <c r="J103" i="2"/>
  <c r="N103" i="2"/>
  <c r="R103" i="2"/>
  <c r="V103" i="2"/>
  <c r="Z103" i="2"/>
  <c r="F107" i="2"/>
  <c r="J107" i="2"/>
  <c r="N107" i="2"/>
  <c r="R107" i="2"/>
  <c r="V107" i="2"/>
  <c r="Z107" i="2"/>
  <c r="F111" i="2"/>
  <c r="J111" i="2"/>
  <c r="N111" i="2"/>
  <c r="R111" i="2"/>
  <c r="V111" i="2"/>
  <c r="Z111" i="2"/>
  <c r="F115" i="2"/>
  <c r="J115" i="2"/>
  <c r="N115" i="2"/>
  <c r="R115" i="2"/>
  <c r="V115" i="2"/>
  <c r="Z115" i="2"/>
  <c r="F119" i="2"/>
  <c r="J119" i="2"/>
  <c r="N119" i="2"/>
  <c r="R119" i="2"/>
  <c r="V119" i="2"/>
  <c r="Z119" i="2"/>
  <c r="F125" i="2"/>
  <c r="J125" i="2"/>
  <c r="N125" i="2"/>
  <c r="R125" i="2"/>
  <c r="V125" i="2"/>
  <c r="Z125" i="2"/>
  <c r="E129" i="2"/>
  <c r="I129" i="2"/>
  <c r="M129" i="2"/>
  <c r="Q129" i="2"/>
  <c r="U129" i="2"/>
  <c r="Y129" i="2"/>
  <c r="G131" i="2"/>
  <c r="K131" i="2"/>
  <c r="O131" i="2"/>
  <c r="S131" i="2"/>
  <c r="W131" i="2"/>
  <c r="E133" i="2"/>
  <c r="I133" i="2"/>
  <c r="M133" i="2"/>
  <c r="Q133" i="2"/>
  <c r="U133" i="2"/>
  <c r="Y133" i="2"/>
  <c r="G135" i="2"/>
  <c r="K135" i="2"/>
  <c r="O135" i="2"/>
  <c r="S135" i="2"/>
  <c r="W135" i="2"/>
  <c r="E137" i="2"/>
  <c r="I137" i="2"/>
  <c r="M137" i="2"/>
  <c r="Q137" i="2"/>
  <c r="U137" i="2"/>
  <c r="Y137" i="2"/>
  <c r="G139" i="2"/>
  <c r="K139" i="2"/>
  <c r="O139" i="2"/>
  <c r="S139" i="2"/>
  <c r="W139" i="2"/>
  <c r="E141" i="2"/>
  <c r="I141" i="2"/>
  <c r="M141" i="2"/>
  <c r="Q141" i="2"/>
  <c r="U141" i="2"/>
  <c r="Y141" i="2"/>
  <c r="G143" i="2"/>
  <c r="K143" i="2"/>
  <c r="O143" i="2"/>
  <c r="S143" i="2"/>
  <c r="W143" i="2"/>
  <c r="E145" i="2"/>
  <c r="I145" i="2"/>
  <c r="M145" i="2"/>
  <c r="Q145" i="2"/>
  <c r="U145" i="2"/>
  <c r="Y145" i="2"/>
  <c r="G147" i="2"/>
  <c r="K147" i="2"/>
  <c r="O147" i="2"/>
  <c r="S147" i="2"/>
  <c r="W147" i="2"/>
  <c r="E149" i="2"/>
  <c r="I149" i="2"/>
  <c r="M149" i="2"/>
  <c r="Q149" i="2"/>
  <c r="U149" i="2"/>
  <c r="Y149" i="2"/>
  <c r="G151" i="2"/>
  <c r="K151" i="2"/>
  <c r="O151" i="2"/>
  <c r="S151" i="2"/>
  <c r="W151" i="2"/>
  <c r="E153" i="2"/>
  <c r="I153" i="2"/>
  <c r="M153" i="2"/>
  <c r="Q153" i="2"/>
  <c r="U153" i="2"/>
  <c r="Y153" i="2"/>
  <c r="G155" i="2"/>
  <c r="K155" i="2"/>
  <c r="O155" i="2"/>
  <c r="S155" i="2"/>
  <c r="W155" i="2"/>
  <c r="E157" i="2"/>
  <c r="I157" i="2"/>
  <c r="M157" i="2"/>
  <c r="Q157" i="2"/>
  <c r="U157" i="2"/>
  <c r="Y157" i="2"/>
  <c r="G159" i="2"/>
  <c r="K159" i="2"/>
  <c r="O159" i="2"/>
  <c r="S159" i="2"/>
  <c r="W159" i="2"/>
  <c r="E161" i="2"/>
  <c r="I161" i="2"/>
  <c r="M161" i="2"/>
  <c r="Q161" i="2"/>
  <c r="U161" i="2"/>
  <c r="Y161" i="2"/>
  <c r="E177" i="2"/>
  <c r="I177" i="2"/>
  <c r="M177" i="2"/>
  <c r="Q177" i="2"/>
  <c r="U177" i="2"/>
  <c r="Y177" i="2"/>
  <c r="G179" i="2"/>
  <c r="K179" i="2"/>
  <c r="O179" i="2"/>
  <c r="S179" i="2"/>
  <c r="W179" i="2"/>
  <c r="E181" i="2"/>
  <c r="I181" i="2"/>
  <c r="M181" i="2"/>
  <c r="Q181" i="2"/>
  <c r="U181" i="2"/>
  <c r="Y181" i="2"/>
  <c r="G183" i="2"/>
  <c r="K183" i="2"/>
  <c r="O183" i="2"/>
  <c r="S183" i="2"/>
  <c r="W183" i="2"/>
  <c r="E185" i="2"/>
  <c r="I185" i="2"/>
  <c r="M185" i="2"/>
  <c r="Q185" i="2"/>
  <c r="U185" i="2"/>
  <c r="Y185" i="2"/>
  <c r="G187" i="2"/>
  <c r="K187" i="2"/>
  <c r="O187" i="2"/>
  <c r="S187" i="2"/>
  <c r="W187" i="2"/>
  <c r="E189" i="2"/>
  <c r="I189" i="2"/>
  <c r="M189" i="2"/>
  <c r="Q189" i="2"/>
  <c r="U189" i="2"/>
  <c r="Y189" i="2"/>
  <c r="F191" i="2"/>
  <c r="J191" i="2"/>
  <c r="N191" i="2"/>
  <c r="R191" i="2"/>
  <c r="V191" i="2"/>
  <c r="Z191" i="2"/>
  <c r="E195" i="2"/>
  <c r="I195" i="2"/>
  <c r="M195" i="2"/>
  <c r="Q195" i="2"/>
  <c r="U195" i="2"/>
  <c r="Y195" i="2"/>
  <c r="G197" i="2"/>
  <c r="K197" i="2"/>
  <c r="O197" i="2"/>
  <c r="S197" i="2"/>
  <c r="W197" i="2"/>
  <c r="E249" i="2"/>
  <c r="I249" i="2"/>
  <c r="M249" i="2"/>
  <c r="Q249" i="2"/>
  <c r="U249" i="2"/>
  <c r="Y249" i="2"/>
  <c r="F251" i="2"/>
  <c r="J251" i="2"/>
  <c r="N251" i="2"/>
  <c r="R251" i="2"/>
  <c r="V251" i="2"/>
  <c r="Z251" i="2"/>
  <c r="F257" i="2"/>
  <c r="J257" i="2"/>
  <c r="N257" i="2"/>
  <c r="R257" i="2"/>
  <c r="V257" i="2"/>
  <c r="Z257" i="2"/>
  <c r="E261" i="2"/>
  <c r="I261" i="2"/>
  <c r="M261" i="2"/>
  <c r="Q261" i="2"/>
  <c r="U261" i="2"/>
  <c r="Y261" i="2"/>
  <c r="F263" i="2"/>
  <c r="J263" i="2"/>
  <c r="N263" i="2"/>
  <c r="R263" i="2"/>
  <c r="V263" i="2"/>
  <c r="Z263" i="2"/>
  <c r="E269" i="2"/>
  <c r="I269" i="2"/>
  <c r="M269" i="2"/>
  <c r="Q269" i="2"/>
  <c r="U269" i="2"/>
  <c r="Y269" i="2"/>
  <c r="F271" i="2"/>
  <c r="J271" i="2"/>
  <c r="N271" i="2"/>
  <c r="R271" i="2"/>
  <c r="V271" i="2"/>
  <c r="Z271" i="2"/>
  <c r="F275" i="2"/>
  <c r="J275" i="2"/>
  <c r="N275" i="2"/>
  <c r="R275" i="2"/>
  <c r="V275" i="2"/>
  <c r="Z275" i="2"/>
  <c r="E279" i="2"/>
  <c r="I279" i="2"/>
  <c r="M279" i="2"/>
  <c r="Q279" i="2"/>
  <c r="U279" i="2"/>
  <c r="Y279" i="2"/>
  <c r="F281" i="2"/>
  <c r="J281" i="2"/>
  <c r="N281" i="2"/>
  <c r="R281" i="2"/>
  <c r="V281" i="2"/>
  <c r="Z281" i="2"/>
  <c r="F285" i="2"/>
  <c r="J285" i="2"/>
  <c r="N285" i="2"/>
  <c r="R285" i="2"/>
  <c r="V285" i="2"/>
  <c r="Z285" i="2"/>
  <c r="F289" i="2"/>
  <c r="J289" i="2"/>
  <c r="N289" i="2"/>
  <c r="R289" i="2"/>
  <c r="V289" i="2"/>
  <c r="Z289" i="2"/>
  <c r="F293" i="2"/>
  <c r="J293" i="2"/>
  <c r="N293" i="2"/>
  <c r="R293" i="2"/>
  <c r="V293" i="2"/>
  <c r="Z293" i="2"/>
  <c r="F299" i="2"/>
  <c r="J299" i="2"/>
  <c r="N299" i="2"/>
  <c r="R299" i="2"/>
  <c r="V299" i="2"/>
  <c r="Z299" i="2"/>
  <c r="E303" i="2"/>
  <c r="I303" i="2"/>
  <c r="M303" i="2"/>
  <c r="Q303" i="2"/>
  <c r="U303" i="2"/>
  <c r="Y303" i="2"/>
  <c r="F305" i="2"/>
  <c r="J305" i="2"/>
  <c r="N305" i="2"/>
  <c r="R305" i="2"/>
  <c r="V305" i="2"/>
  <c r="Z305" i="2"/>
  <c r="E309" i="2"/>
  <c r="I309" i="2"/>
  <c r="M309" i="2"/>
  <c r="Q309" i="2"/>
  <c r="U309" i="2"/>
  <c r="Y309" i="2"/>
  <c r="F311" i="2"/>
  <c r="J311" i="2"/>
  <c r="N311" i="2"/>
  <c r="R311" i="2"/>
  <c r="V311" i="2"/>
  <c r="Z311" i="2"/>
  <c r="E317" i="2"/>
  <c r="I317" i="2"/>
  <c r="M317" i="2"/>
  <c r="Q317" i="2"/>
  <c r="U317" i="2"/>
  <c r="Y317" i="2"/>
  <c r="F319" i="2"/>
  <c r="J319" i="2"/>
  <c r="N319" i="2"/>
  <c r="R319" i="2"/>
  <c r="V319" i="2"/>
  <c r="Z319" i="2"/>
  <c r="F323" i="2"/>
  <c r="J323" i="2"/>
  <c r="N323" i="2"/>
  <c r="R323" i="2"/>
  <c r="V323" i="2"/>
  <c r="Z323" i="2"/>
  <c r="E329" i="2"/>
  <c r="I329" i="2"/>
  <c r="M329" i="2"/>
  <c r="Q329" i="2"/>
  <c r="U329" i="2"/>
  <c r="Y329" i="2"/>
  <c r="F331" i="2"/>
  <c r="J331" i="2"/>
  <c r="N331" i="2"/>
  <c r="R331" i="2"/>
  <c r="V331" i="2"/>
  <c r="Z331" i="2"/>
  <c r="E337" i="2"/>
  <c r="I337" i="2"/>
  <c r="M337" i="2"/>
  <c r="Q337" i="2"/>
  <c r="U337" i="2"/>
  <c r="Y337" i="2"/>
  <c r="F339" i="2"/>
  <c r="J339" i="2"/>
  <c r="N339" i="2"/>
  <c r="R339" i="2"/>
  <c r="V339" i="2"/>
  <c r="Z339" i="2"/>
  <c r="E343" i="2"/>
  <c r="I343" i="2"/>
  <c r="M343" i="2"/>
  <c r="Q343" i="2"/>
  <c r="U343" i="2"/>
  <c r="Y343" i="2"/>
  <c r="F345" i="2"/>
  <c r="J345" i="2"/>
  <c r="N345" i="2"/>
  <c r="R345" i="2"/>
  <c r="V345" i="2"/>
  <c r="Z345" i="2"/>
  <c r="E349" i="2"/>
  <c r="I349" i="2"/>
  <c r="M349" i="2"/>
  <c r="Q349" i="2"/>
  <c r="U349" i="2"/>
  <c r="Y349" i="2"/>
  <c r="F351" i="2"/>
  <c r="J351" i="2"/>
  <c r="N351" i="2"/>
  <c r="R351" i="2"/>
  <c r="V351" i="2"/>
  <c r="Z351" i="2"/>
  <c r="E357" i="2"/>
  <c r="I357" i="2"/>
  <c r="M357" i="2"/>
  <c r="Q357" i="2"/>
  <c r="U357" i="2"/>
  <c r="Y357" i="2"/>
  <c r="F359" i="2"/>
  <c r="J359" i="2"/>
  <c r="N359" i="2"/>
  <c r="R359" i="2"/>
  <c r="V359" i="2"/>
  <c r="Z359" i="2"/>
  <c r="E365" i="2"/>
  <c r="I365" i="2"/>
  <c r="M365" i="2"/>
  <c r="Q365" i="2"/>
  <c r="U365" i="2"/>
  <c r="Y365" i="2"/>
  <c r="F367" i="2"/>
  <c r="J367" i="2"/>
  <c r="N367" i="2"/>
  <c r="R367" i="2"/>
  <c r="V367" i="2"/>
  <c r="Z367" i="2"/>
  <c r="Y377" i="2"/>
  <c r="U377" i="2"/>
  <c r="Q377" i="2"/>
  <c r="M377" i="2"/>
  <c r="I377" i="2"/>
  <c r="E377" i="2"/>
  <c r="AA377" i="2"/>
  <c r="W377" i="2"/>
  <c r="S377" i="2"/>
  <c r="O377" i="2"/>
  <c r="K377" i="2"/>
  <c r="G377" i="2"/>
  <c r="J377" i="2"/>
  <c r="R377" i="2"/>
  <c r="Z377" i="2"/>
  <c r="AA381" i="2"/>
  <c r="W381" i="2"/>
  <c r="S381" i="2"/>
  <c r="O381" i="2"/>
  <c r="K381" i="2"/>
  <c r="G381" i="2"/>
  <c r="Y381" i="2"/>
  <c r="U381" i="2"/>
  <c r="Q381" i="2"/>
  <c r="M381" i="2"/>
  <c r="I381" i="2"/>
  <c r="E381" i="2"/>
  <c r="J381" i="2"/>
  <c r="R381" i="2"/>
  <c r="Z381" i="2"/>
  <c r="Y385" i="2"/>
  <c r="U385" i="2"/>
  <c r="Q385" i="2"/>
  <c r="M385" i="2"/>
  <c r="I385" i="2"/>
  <c r="E385" i="2"/>
  <c r="AA385" i="2"/>
  <c r="W385" i="2"/>
  <c r="S385" i="2"/>
  <c r="O385" i="2"/>
  <c r="K385" i="2"/>
  <c r="G385" i="2"/>
  <c r="J385" i="2"/>
  <c r="R385" i="2"/>
  <c r="Z385" i="2"/>
  <c r="G401" i="2"/>
  <c r="O401" i="2"/>
  <c r="W401" i="2"/>
  <c r="AB407" i="2"/>
  <c r="X407" i="2"/>
  <c r="T407" i="2"/>
  <c r="P407" i="2"/>
  <c r="L407" i="2"/>
  <c r="H407" i="2"/>
  <c r="D407" i="2"/>
  <c r="Z407" i="2"/>
  <c r="V407" i="2"/>
  <c r="R407" i="2"/>
  <c r="N407" i="2"/>
  <c r="J407" i="2"/>
  <c r="F407" i="2"/>
  <c r="K407" i="2"/>
  <c r="S407" i="2"/>
  <c r="AA407" i="2"/>
  <c r="H409" i="2"/>
  <c r="P409" i="2"/>
  <c r="Z411" i="2"/>
  <c r="V411" i="2"/>
  <c r="R411" i="2"/>
  <c r="N411" i="2"/>
  <c r="J411" i="2"/>
  <c r="F411" i="2"/>
  <c r="AB411" i="2"/>
  <c r="X411" i="2"/>
  <c r="T411" i="2"/>
  <c r="P411" i="2"/>
  <c r="L411" i="2"/>
  <c r="H411" i="2"/>
  <c r="D411" i="2"/>
  <c r="K411" i="2"/>
  <c r="S411" i="2"/>
  <c r="AA411" i="2"/>
  <c r="H413" i="2"/>
  <c r="P413" i="2"/>
  <c r="AB419" i="2"/>
  <c r="X419" i="2"/>
  <c r="T419" i="2"/>
  <c r="P419" i="2"/>
  <c r="L419" i="2"/>
  <c r="H419" i="2"/>
  <c r="D419" i="2"/>
  <c r="Z419" i="2"/>
  <c r="V419" i="2"/>
  <c r="R419" i="2"/>
  <c r="N419" i="2"/>
  <c r="J419" i="2"/>
  <c r="F419" i="2"/>
  <c r="K419" i="2"/>
  <c r="S419" i="2"/>
  <c r="AA419" i="2"/>
  <c r="H421" i="2"/>
  <c r="P421" i="2"/>
  <c r="Z427" i="2"/>
  <c r="V427" i="2"/>
  <c r="R427" i="2"/>
  <c r="N427" i="2"/>
  <c r="J427" i="2"/>
  <c r="F427" i="2"/>
  <c r="AB427" i="2"/>
  <c r="X427" i="2"/>
  <c r="T427" i="2"/>
  <c r="P427" i="2"/>
  <c r="L427" i="2"/>
  <c r="H427" i="2"/>
  <c r="D427" i="2"/>
  <c r="K427" i="2"/>
  <c r="S427" i="2"/>
  <c r="AA427" i="2"/>
  <c r="H429" i="2"/>
  <c r="P429" i="2"/>
  <c r="G437" i="2"/>
  <c r="O437" i="2"/>
  <c r="W437" i="2"/>
  <c r="F443" i="2"/>
  <c r="N443" i="2"/>
  <c r="V443" i="2"/>
  <c r="I445" i="2"/>
  <c r="Q445" i="2"/>
  <c r="F447" i="2"/>
  <c r="N447" i="2"/>
  <c r="V447" i="2"/>
  <c r="I449" i="2"/>
  <c r="Q449" i="2"/>
  <c r="G451" i="2"/>
  <c r="O451" i="2"/>
  <c r="G455" i="2"/>
  <c r="O455" i="2"/>
  <c r="G459" i="2"/>
  <c r="O459" i="2"/>
  <c r="G463" i="2"/>
  <c r="O463" i="2"/>
  <c r="AA525" i="2"/>
  <c r="W525" i="2"/>
  <c r="S525" i="2"/>
  <c r="O525" i="2"/>
  <c r="K525" i="2"/>
  <c r="G525" i="2"/>
  <c r="Z525" i="2"/>
  <c r="V525" i="2"/>
  <c r="R525" i="2"/>
  <c r="N525" i="2"/>
  <c r="J525" i="2"/>
  <c r="F525" i="2"/>
  <c r="Y525" i="2"/>
  <c r="U525" i="2"/>
  <c r="Q525" i="2"/>
  <c r="M525" i="2"/>
  <c r="I525" i="2"/>
  <c r="E525" i="2"/>
  <c r="P525" i="2"/>
  <c r="Z533" i="2"/>
  <c r="V533" i="2"/>
  <c r="R533" i="2"/>
  <c r="N533" i="2"/>
  <c r="J533" i="2"/>
  <c r="F533" i="2"/>
  <c r="Y533" i="2"/>
  <c r="U533" i="2"/>
  <c r="Q533" i="2"/>
  <c r="M533" i="2"/>
  <c r="I533" i="2"/>
  <c r="E533" i="2"/>
  <c r="AB533" i="2"/>
  <c r="X533" i="2"/>
  <c r="T533" i="2"/>
  <c r="P533" i="2"/>
  <c r="L533" i="2"/>
  <c r="H533" i="2"/>
  <c r="D533" i="2"/>
  <c r="S533" i="2"/>
  <c r="H541" i="2"/>
  <c r="AA551" i="2"/>
  <c r="W551" i="2"/>
  <c r="S551" i="2"/>
  <c r="O551" i="2"/>
  <c r="K551" i="2"/>
  <c r="G551" i="2"/>
  <c r="Z551" i="2"/>
  <c r="V551" i="2"/>
  <c r="R551" i="2"/>
  <c r="N551" i="2"/>
  <c r="J551" i="2"/>
  <c r="F551" i="2"/>
  <c r="Y551" i="2"/>
  <c r="U551" i="2"/>
  <c r="Q551" i="2"/>
  <c r="M551" i="2"/>
  <c r="I551" i="2"/>
  <c r="E551" i="2"/>
  <c r="P551" i="2"/>
  <c r="Y555" i="2"/>
  <c r="U555" i="2"/>
  <c r="Q555" i="2"/>
  <c r="M555" i="2"/>
  <c r="I555" i="2"/>
  <c r="E555" i="2"/>
  <c r="AB555" i="2"/>
  <c r="X555" i="2"/>
  <c r="T555" i="2"/>
  <c r="P555" i="2"/>
  <c r="L555" i="2"/>
  <c r="H555" i="2"/>
  <c r="D555" i="2"/>
  <c r="AA555" i="2"/>
  <c r="W555" i="2"/>
  <c r="S555" i="2"/>
  <c r="O555" i="2"/>
  <c r="K555" i="2"/>
  <c r="G555" i="2"/>
  <c r="R555" i="2"/>
  <c r="Z557" i="2"/>
  <c r="V557" i="2"/>
  <c r="R557" i="2"/>
  <c r="N557" i="2"/>
  <c r="J557" i="2"/>
  <c r="F557" i="2"/>
  <c r="Y557" i="2"/>
  <c r="U557" i="2"/>
  <c r="Q557" i="2"/>
  <c r="M557" i="2"/>
  <c r="I557" i="2"/>
  <c r="E557" i="2"/>
  <c r="AB557" i="2"/>
  <c r="X557" i="2"/>
  <c r="T557" i="2"/>
  <c r="P557" i="2"/>
  <c r="L557" i="2"/>
  <c r="H557" i="2"/>
  <c r="D557" i="2"/>
  <c r="S557" i="2"/>
  <c r="AA595" i="2"/>
  <c r="W595" i="2"/>
  <c r="S595" i="2"/>
  <c r="O595" i="2"/>
  <c r="K595" i="2"/>
  <c r="G595" i="2"/>
  <c r="Z595" i="2"/>
  <c r="V595" i="2"/>
  <c r="R595" i="2"/>
  <c r="N595" i="2"/>
  <c r="J595" i="2"/>
  <c r="F595" i="2"/>
  <c r="Y595" i="2"/>
  <c r="U595" i="2"/>
  <c r="Q595" i="2"/>
  <c r="M595" i="2"/>
  <c r="I595" i="2"/>
  <c r="E595" i="2"/>
  <c r="P595" i="2"/>
  <c r="AB599" i="2"/>
  <c r="X599" i="2"/>
  <c r="T599" i="2"/>
  <c r="P599" i="2"/>
  <c r="L599" i="2"/>
  <c r="H599" i="2"/>
  <c r="D599" i="2"/>
  <c r="Z599" i="2"/>
  <c r="V599" i="2"/>
  <c r="R599" i="2"/>
  <c r="N599" i="2"/>
  <c r="J599" i="2"/>
  <c r="F599" i="2"/>
  <c r="Y599" i="2"/>
  <c r="Q599" i="2"/>
  <c r="I599" i="2"/>
  <c r="W599" i="2"/>
  <c r="O599" i="2"/>
  <c r="G599" i="2"/>
  <c r="U599" i="2"/>
  <c r="M599" i="2"/>
  <c r="E599" i="2"/>
  <c r="AB615" i="2"/>
  <c r="X615" i="2"/>
  <c r="T615" i="2"/>
  <c r="P615" i="2"/>
  <c r="L615" i="2"/>
  <c r="H615" i="2"/>
  <c r="D615" i="2"/>
  <c r="Z615" i="2"/>
  <c r="V615" i="2"/>
  <c r="R615" i="2"/>
  <c r="N615" i="2"/>
  <c r="J615" i="2"/>
  <c r="F615" i="2"/>
  <c r="Y615" i="2"/>
  <c r="Q615" i="2"/>
  <c r="I615" i="2"/>
  <c r="W615" i="2"/>
  <c r="O615" i="2"/>
  <c r="G615" i="2"/>
  <c r="U615" i="2"/>
  <c r="M615" i="2"/>
  <c r="E615" i="2"/>
  <c r="Z657" i="2"/>
  <c r="V657" i="2"/>
  <c r="R657" i="2"/>
  <c r="N657" i="2"/>
  <c r="J657" i="2"/>
  <c r="F657" i="2"/>
  <c r="Y657" i="2"/>
  <c r="U657" i="2"/>
  <c r="Q657" i="2"/>
  <c r="M657" i="2"/>
  <c r="I657" i="2"/>
  <c r="E657" i="2"/>
  <c r="AB657" i="2"/>
  <c r="X657" i="2"/>
  <c r="T657" i="2"/>
  <c r="P657" i="2"/>
  <c r="L657" i="2"/>
  <c r="H657" i="2"/>
  <c r="D657" i="2"/>
  <c r="O657" i="2"/>
  <c r="AA657" i="2"/>
  <c r="K657" i="2"/>
  <c r="W657" i="2"/>
  <c r="G657" i="2"/>
  <c r="Z689" i="2"/>
  <c r="V689" i="2"/>
  <c r="R689" i="2"/>
  <c r="N689" i="2"/>
  <c r="J689" i="2"/>
  <c r="F689" i="2"/>
  <c r="Y689" i="2"/>
  <c r="U689" i="2"/>
  <c r="Q689" i="2"/>
  <c r="M689" i="2"/>
  <c r="I689" i="2"/>
  <c r="E689" i="2"/>
  <c r="AB689" i="2"/>
  <c r="X689" i="2"/>
  <c r="T689" i="2"/>
  <c r="P689" i="2"/>
  <c r="L689" i="2"/>
  <c r="H689" i="2"/>
  <c r="D689" i="2"/>
  <c r="O689" i="2"/>
  <c r="AA689" i="2"/>
  <c r="K689" i="2"/>
  <c r="W689" i="2"/>
  <c r="G689" i="2"/>
  <c r="G95" i="2"/>
  <c r="K95" i="2"/>
  <c r="O95" i="2"/>
  <c r="S95" i="2"/>
  <c r="W95" i="2"/>
  <c r="AA95" i="2"/>
  <c r="G99" i="2"/>
  <c r="K99" i="2"/>
  <c r="O99" i="2"/>
  <c r="S99" i="2"/>
  <c r="W99" i="2"/>
  <c r="AA99" i="2"/>
  <c r="G103" i="2"/>
  <c r="K103" i="2"/>
  <c r="O103" i="2"/>
  <c r="S103" i="2"/>
  <c r="W103" i="2"/>
  <c r="AA103" i="2"/>
  <c r="G107" i="2"/>
  <c r="K107" i="2"/>
  <c r="O107" i="2"/>
  <c r="S107" i="2"/>
  <c r="W107" i="2"/>
  <c r="AA107" i="2"/>
  <c r="G111" i="2"/>
  <c r="K111" i="2"/>
  <c r="O111" i="2"/>
  <c r="S111" i="2"/>
  <c r="W111" i="2"/>
  <c r="AA111" i="2"/>
  <c r="G115" i="2"/>
  <c r="K115" i="2"/>
  <c r="O115" i="2"/>
  <c r="S115" i="2"/>
  <c r="W115" i="2"/>
  <c r="AA115" i="2"/>
  <c r="G119" i="2"/>
  <c r="K119" i="2"/>
  <c r="O119" i="2"/>
  <c r="S119" i="2"/>
  <c r="W119" i="2"/>
  <c r="AA119" i="2"/>
  <c r="G125" i="2"/>
  <c r="K125" i="2"/>
  <c r="O125" i="2"/>
  <c r="S125" i="2"/>
  <c r="W125" i="2"/>
  <c r="AA125" i="2"/>
  <c r="N153" i="2"/>
  <c r="R153" i="2"/>
  <c r="V153" i="2"/>
  <c r="Z153" i="2"/>
  <c r="F157" i="2"/>
  <c r="J157" i="2"/>
  <c r="N157" i="2"/>
  <c r="R157" i="2"/>
  <c r="V157" i="2"/>
  <c r="Z157" i="2"/>
  <c r="F161" i="2"/>
  <c r="J161" i="2"/>
  <c r="N161" i="2"/>
  <c r="R161" i="2"/>
  <c r="V161" i="2"/>
  <c r="Z161" i="2"/>
  <c r="F177" i="2"/>
  <c r="J177" i="2"/>
  <c r="N177" i="2"/>
  <c r="R177" i="2"/>
  <c r="V177" i="2"/>
  <c r="Z177" i="2"/>
  <c r="F181" i="2"/>
  <c r="J181" i="2"/>
  <c r="N181" i="2"/>
  <c r="R181" i="2"/>
  <c r="V181" i="2"/>
  <c r="Z181" i="2"/>
  <c r="F185" i="2"/>
  <c r="J185" i="2"/>
  <c r="N185" i="2"/>
  <c r="R185" i="2"/>
  <c r="V185" i="2"/>
  <c r="Z185" i="2"/>
  <c r="F189" i="2"/>
  <c r="J189" i="2"/>
  <c r="N189" i="2"/>
  <c r="R189" i="2"/>
  <c r="V189" i="2"/>
  <c r="Z189" i="2"/>
  <c r="G191" i="2"/>
  <c r="K191" i="2"/>
  <c r="O191" i="2"/>
  <c r="S191" i="2"/>
  <c r="W191" i="2"/>
  <c r="F195" i="2"/>
  <c r="J195" i="2"/>
  <c r="N195" i="2"/>
  <c r="R195" i="2"/>
  <c r="V195" i="2"/>
  <c r="Z195" i="2"/>
  <c r="F249" i="2"/>
  <c r="J249" i="2"/>
  <c r="N249" i="2"/>
  <c r="R249" i="2"/>
  <c r="V249" i="2"/>
  <c r="G251" i="2"/>
  <c r="K251" i="2"/>
  <c r="O251" i="2"/>
  <c r="S251" i="2"/>
  <c r="W251" i="2"/>
  <c r="G257" i="2"/>
  <c r="K257" i="2"/>
  <c r="O257" i="2"/>
  <c r="S257" i="2"/>
  <c r="W257" i="2"/>
  <c r="F261" i="2"/>
  <c r="J261" i="2"/>
  <c r="N261" i="2"/>
  <c r="R261" i="2"/>
  <c r="V261" i="2"/>
  <c r="Z261" i="2"/>
  <c r="G263" i="2"/>
  <c r="K263" i="2"/>
  <c r="O263" i="2"/>
  <c r="S263" i="2"/>
  <c r="W263" i="2"/>
  <c r="F269" i="2"/>
  <c r="J269" i="2"/>
  <c r="N269" i="2"/>
  <c r="R269" i="2"/>
  <c r="V269" i="2"/>
  <c r="Z269" i="2"/>
  <c r="G271" i="2"/>
  <c r="K271" i="2"/>
  <c r="O271" i="2"/>
  <c r="S271" i="2"/>
  <c r="W271" i="2"/>
  <c r="G275" i="2"/>
  <c r="K275" i="2"/>
  <c r="O275" i="2"/>
  <c r="S275" i="2"/>
  <c r="W275" i="2"/>
  <c r="F279" i="2"/>
  <c r="J279" i="2"/>
  <c r="N279" i="2"/>
  <c r="R279" i="2"/>
  <c r="V279" i="2"/>
  <c r="Z279" i="2"/>
  <c r="G281" i="2"/>
  <c r="K281" i="2"/>
  <c r="O281" i="2"/>
  <c r="S281" i="2"/>
  <c r="W281" i="2"/>
  <c r="G285" i="2"/>
  <c r="K285" i="2"/>
  <c r="O285" i="2"/>
  <c r="S285" i="2"/>
  <c r="W285" i="2"/>
  <c r="G289" i="2"/>
  <c r="K289" i="2"/>
  <c r="O289" i="2"/>
  <c r="S289" i="2"/>
  <c r="W289" i="2"/>
  <c r="G293" i="2"/>
  <c r="K293" i="2"/>
  <c r="O293" i="2"/>
  <c r="S293" i="2"/>
  <c r="W293" i="2"/>
  <c r="G299" i="2"/>
  <c r="K299" i="2"/>
  <c r="O299" i="2"/>
  <c r="S299" i="2"/>
  <c r="W299" i="2"/>
  <c r="F303" i="2"/>
  <c r="J303" i="2"/>
  <c r="N303" i="2"/>
  <c r="R303" i="2"/>
  <c r="V303" i="2"/>
  <c r="Z303" i="2"/>
  <c r="G305" i="2"/>
  <c r="K305" i="2"/>
  <c r="O305" i="2"/>
  <c r="S305" i="2"/>
  <c r="W305" i="2"/>
  <c r="F309" i="2"/>
  <c r="J309" i="2"/>
  <c r="N309" i="2"/>
  <c r="R309" i="2"/>
  <c r="V309" i="2"/>
  <c r="Z309" i="2"/>
  <c r="G311" i="2"/>
  <c r="K311" i="2"/>
  <c r="O311" i="2"/>
  <c r="S311" i="2"/>
  <c r="W311" i="2"/>
  <c r="F317" i="2"/>
  <c r="J317" i="2"/>
  <c r="N317" i="2"/>
  <c r="R317" i="2"/>
  <c r="V317" i="2"/>
  <c r="Z317" i="2"/>
  <c r="G319" i="2"/>
  <c r="K319" i="2"/>
  <c r="O319" i="2"/>
  <c r="S319" i="2"/>
  <c r="W319" i="2"/>
  <c r="G323" i="2"/>
  <c r="K323" i="2"/>
  <c r="O323" i="2"/>
  <c r="S323" i="2"/>
  <c r="W323" i="2"/>
  <c r="F329" i="2"/>
  <c r="J329" i="2"/>
  <c r="N329" i="2"/>
  <c r="R329" i="2"/>
  <c r="V329" i="2"/>
  <c r="Z329" i="2"/>
  <c r="G331" i="2"/>
  <c r="K331" i="2"/>
  <c r="O331" i="2"/>
  <c r="S331" i="2"/>
  <c r="W331" i="2"/>
  <c r="F337" i="2"/>
  <c r="J337" i="2"/>
  <c r="N337" i="2"/>
  <c r="R337" i="2"/>
  <c r="V337" i="2"/>
  <c r="Z337" i="2"/>
  <c r="G339" i="2"/>
  <c r="K339" i="2"/>
  <c r="O339" i="2"/>
  <c r="S339" i="2"/>
  <c r="W339" i="2"/>
  <c r="F343" i="2"/>
  <c r="J343" i="2"/>
  <c r="N343" i="2"/>
  <c r="R343" i="2"/>
  <c r="V343" i="2"/>
  <c r="Z343" i="2"/>
  <c r="G345" i="2"/>
  <c r="K345" i="2"/>
  <c r="O345" i="2"/>
  <c r="S345" i="2"/>
  <c r="W345" i="2"/>
  <c r="F349" i="2"/>
  <c r="J349" i="2"/>
  <c r="N349" i="2"/>
  <c r="R349" i="2"/>
  <c r="V349" i="2"/>
  <c r="Z349" i="2"/>
  <c r="G351" i="2"/>
  <c r="K351" i="2"/>
  <c r="O351" i="2"/>
  <c r="S351" i="2"/>
  <c r="W351" i="2"/>
  <c r="F357" i="2"/>
  <c r="J357" i="2"/>
  <c r="N357" i="2"/>
  <c r="R357" i="2"/>
  <c r="V357" i="2"/>
  <c r="Z357" i="2"/>
  <c r="G359" i="2"/>
  <c r="K359" i="2"/>
  <c r="O359" i="2"/>
  <c r="S359" i="2"/>
  <c r="W359" i="2"/>
  <c r="F365" i="2"/>
  <c r="J365" i="2"/>
  <c r="N365" i="2"/>
  <c r="R365" i="2"/>
  <c r="V365" i="2"/>
  <c r="Z365" i="2"/>
  <c r="G367" i="2"/>
  <c r="K367" i="2"/>
  <c r="O367" i="2"/>
  <c r="S367" i="2"/>
  <c r="W367" i="2"/>
  <c r="I401" i="2"/>
  <c r="Q401" i="2"/>
  <c r="Y409" i="2"/>
  <c r="U409" i="2"/>
  <c r="Q409" i="2"/>
  <c r="M409" i="2"/>
  <c r="I409" i="2"/>
  <c r="E409" i="2"/>
  <c r="AA409" i="2"/>
  <c r="W409" i="2"/>
  <c r="S409" i="2"/>
  <c r="O409" i="2"/>
  <c r="K409" i="2"/>
  <c r="G409" i="2"/>
  <c r="J409" i="2"/>
  <c r="R409" i="2"/>
  <c r="Z409" i="2"/>
  <c r="AA413" i="2"/>
  <c r="W413" i="2"/>
  <c r="S413" i="2"/>
  <c r="O413" i="2"/>
  <c r="K413" i="2"/>
  <c r="G413" i="2"/>
  <c r="Y413" i="2"/>
  <c r="U413" i="2"/>
  <c r="Q413" i="2"/>
  <c r="M413" i="2"/>
  <c r="I413" i="2"/>
  <c r="E413" i="2"/>
  <c r="J413" i="2"/>
  <c r="R413" i="2"/>
  <c r="Z413" i="2"/>
  <c r="Y421" i="2"/>
  <c r="U421" i="2"/>
  <c r="Q421" i="2"/>
  <c r="M421" i="2"/>
  <c r="I421" i="2"/>
  <c r="E421" i="2"/>
  <c r="AA421" i="2"/>
  <c r="W421" i="2"/>
  <c r="S421" i="2"/>
  <c r="O421" i="2"/>
  <c r="K421" i="2"/>
  <c r="G421" i="2"/>
  <c r="J421" i="2"/>
  <c r="R421" i="2"/>
  <c r="Z421" i="2"/>
  <c r="AA429" i="2"/>
  <c r="W429" i="2"/>
  <c r="S429" i="2"/>
  <c r="O429" i="2"/>
  <c r="K429" i="2"/>
  <c r="G429" i="2"/>
  <c r="Y429" i="2"/>
  <c r="U429" i="2"/>
  <c r="Q429" i="2"/>
  <c r="M429" i="2"/>
  <c r="I429" i="2"/>
  <c r="E429" i="2"/>
  <c r="J429" i="2"/>
  <c r="R429" i="2"/>
  <c r="Z429" i="2"/>
  <c r="I437" i="2"/>
  <c r="Q437" i="2"/>
  <c r="H443" i="2"/>
  <c r="P443" i="2"/>
  <c r="AB445" i="2"/>
  <c r="X445" i="2"/>
  <c r="T445" i="2"/>
  <c r="P445" i="2"/>
  <c r="L445" i="2"/>
  <c r="H445" i="2"/>
  <c r="D445" i="2"/>
  <c r="Z445" i="2"/>
  <c r="V445" i="2"/>
  <c r="R445" i="2"/>
  <c r="N445" i="2"/>
  <c r="J445" i="2"/>
  <c r="F445" i="2"/>
  <c r="K445" i="2"/>
  <c r="S445" i="2"/>
  <c r="AA445" i="2"/>
  <c r="H447" i="2"/>
  <c r="P447" i="2"/>
  <c r="Z449" i="2"/>
  <c r="V449" i="2"/>
  <c r="R449" i="2"/>
  <c r="N449" i="2"/>
  <c r="J449" i="2"/>
  <c r="F449" i="2"/>
  <c r="AB449" i="2"/>
  <c r="X449" i="2"/>
  <c r="T449" i="2"/>
  <c r="P449" i="2"/>
  <c r="L449" i="2"/>
  <c r="H449" i="2"/>
  <c r="D449" i="2"/>
  <c r="K449" i="2"/>
  <c r="S449" i="2"/>
  <c r="AA449" i="2"/>
  <c r="Y469" i="2"/>
  <c r="U469" i="2"/>
  <c r="Q469" i="2"/>
  <c r="M469" i="2"/>
  <c r="I469" i="2"/>
  <c r="E469" i="2"/>
  <c r="AB469" i="2"/>
  <c r="X469" i="2"/>
  <c r="T469" i="2"/>
  <c r="P469" i="2"/>
  <c r="L469" i="2"/>
  <c r="H469" i="2"/>
  <c r="D469" i="2"/>
  <c r="AA469" i="2"/>
  <c r="W469" i="2"/>
  <c r="S469" i="2"/>
  <c r="O469" i="2"/>
  <c r="K469" i="2"/>
  <c r="G469" i="2"/>
  <c r="R469" i="2"/>
  <c r="Z471" i="2"/>
  <c r="V471" i="2"/>
  <c r="R471" i="2"/>
  <c r="N471" i="2"/>
  <c r="J471" i="2"/>
  <c r="F471" i="2"/>
  <c r="Y471" i="2"/>
  <c r="U471" i="2"/>
  <c r="Q471" i="2"/>
  <c r="M471" i="2"/>
  <c r="I471" i="2"/>
  <c r="E471" i="2"/>
  <c r="AB471" i="2"/>
  <c r="X471" i="2"/>
  <c r="T471" i="2"/>
  <c r="P471" i="2"/>
  <c r="L471" i="2"/>
  <c r="H471" i="2"/>
  <c r="D471" i="2"/>
  <c r="S471" i="2"/>
  <c r="Z523" i="2"/>
  <c r="V523" i="2"/>
  <c r="R523" i="2"/>
  <c r="N523" i="2"/>
  <c r="J523" i="2"/>
  <c r="F523" i="2"/>
  <c r="Y523" i="2"/>
  <c r="U523" i="2"/>
  <c r="Q523" i="2"/>
  <c r="M523" i="2"/>
  <c r="I523" i="2"/>
  <c r="E523" i="2"/>
  <c r="AB523" i="2"/>
  <c r="X523" i="2"/>
  <c r="T523" i="2"/>
  <c r="P523" i="2"/>
  <c r="L523" i="2"/>
  <c r="H523" i="2"/>
  <c r="D523" i="2"/>
  <c r="S523" i="2"/>
  <c r="Z549" i="2"/>
  <c r="V549" i="2"/>
  <c r="R549" i="2"/>
  <c r="N549" i="2"/>
  <c r="J549" i="2"/>
  <c r="F549" i="2"/>
  <c r="Y549" i="2"/>
  <c r="U549" i="2"/>
  <c r="Q549" i="2"/>
  <c r="M549" i="2"/>
  <c r="I549" i="2"/>
  <c r="E549" i="2"/>
  <c r="AB549" i="2"/>
  <c r="X549" i="2"/>
  <c r="T549" i="2"/>
  <c r="P549" i="2"/>
  <c r="L549" i="2"/>
  <c r="H549" i="2"/>
  <c r="D549" i="2"/>
  <c r="S549" i="2"/>
  <c r="Y591" i="2"/>
  <c r="U591" i="2"/>
  <c r="Q591" i="2"/>
  <c r="M591" i="2"/>
  <c r="I591" i="2"/>
  <c r="E591" i="2"/>
  <c r="AB591" i="2"/>
  <c r="X591" i="2"/>
  <c r="T591" i="2"/>
  <c r="P591" i="2"/>
  <c r="L591" i="2"/>
  <c r="H591" i="2"/>
  <c r="D591" i="2"/>
  <c r="AA591" i="2"/>
  <c r="W591" i="2"/>
  <c r="S591" i="2"/>
  <c r="O591" i="2"/>
  <c r="K591" i="2"/>
  <c r="G591" i="2"/>
  <c r="R591" i="2"/>
  <c r="Z593" i="2"/>
  <c r="V593" i="2"/>
  <c r="R593" i="2"/>
  <c r="N593" i="2"/>
  <c r="J593" i="2"/>
  <c r="F593" i="2"/>
  <c r="Y593" i="2"/>
  <c r="U593" i="2"/>
  <c r="Q593" i="2"/>
  <c r="M593" i="2"/>
  <c r="I593" i="2"/>
  <c r="E593" i="2"/>
  <c r="AB593" i="2"/>
  <c r="X593" i="2"/>
  <c r="T593" i="2"/>
  <c r="P593" i="2"/>
  <c r="L593" i="2"/>
  <c r="H593" i="2"/>
  <c r="D593" i="2"/>
  <c r="S593" i="2"/>
  <c r="Z603" i="2"/>
  <c r="V603" i="2"/>
  <c r="R603" i="2"/>
  <c r="N603" i="2"/>
  <c r="J603" i="2"/>
  <c r="F603" i="2"/>
  <c r="AB603" i="2"/>
  <c r="X603" i="2"/>
  <c r="T603" i="2"/>
  <c r="P603" i="2"/>
  <c r="L603" i="2"/>
  <c r="H603" i="2"/>
  <c r="D603" i="2"/>
  <c r="Y603" i="2"/>
  <c r="Q603" i="2"/>
  <c r="I603" i="2"/>
  <c r="W603" i="2"/>
  <c r="O603" i="2"/>
  <c r="G603" i="2"/>
  <c r="U603" i="2"/>
  <c r="M603" i="2"/>
  <c r="E603" i="2"/>
  <c r="Z649" i="2"/>
  <c r="V649" i="2"/>
  <c r="R649" i="2"/>
  <c r="N649" i="2"/>
  <c r="J649" i="2"/>
  <c r="F649" i="2"/>
  <c r="Y649" i="2"/>
  <c r="U649" i="2"/>
  <c r="Q649" i="2"/>
  <c r="M649" i="2"/>
  <c r="I649" i="2"/>
  <c r="E649" i="2"/>
  <c r="AB649" i="2"/>
  <c r="X649" i="2"/>
  <c r="T649" i="2"/>
  <c r="P649" i="2"/>
  <c r="L649" i="2"/>
  <c r="H649" i="2"/>
  <c r="D649" i="2"/>
  <c r="O649" i="2"/>
  <c r="AA649" i="2"/>
  <c r="K649" i="2"/>
  <c r="W649" i="2"/>
  <c r="G649" i="2"/>
  <c r="Z681" i="2"/>
  <c r="V681" i="2"/>
  <c r="R681" i="2"/>
  <c r="N681" i="2"/>
  <c r="J681" i="2"/>
  <c r="F681" i="2"/>
  <c r="Y681" i="2"/>
  <c r="U681" i="2"/>
  <c r="Q681" i="2"/>
  <c r="M681" i="2"/>
  <c r="I681" i="2"/>
  <c r="E681" i="2"/>
  <c r="AB681" i="2"/>
  <c r="X681" i="2"/>
  <c r="T681" i="2"/>
  <c r="P681" i="2"/>
  <c r="L681" i="2"/>
  <c r="H681" i="2"/>
  <c r="D681" i="2"/>
  <c r="O681" i="2"/>
  <c r="AA681" i="2"/>
  <c r="K681" i="2"/>
  <c r="W681" i="2"/>
  <c r="G681" i="2"/>
  <c r="G67" i="2"/>
  <c r="K67" i="2"/>
  <c r="O67" i="2"/>
  <c r="S67" i="2"/>
  <c r="W67" i="2"/>
  <c r="G71" i="2"/>
  <c r="K71" i="2"/>
  <c r="O71" i="2"/>
  <c r="S71" i="2"/>
  <c r="W71" i="2"/>
  <c r="G75" i="2"/>
  <c r="K75" i="2"/>
  <c r="O75" i="2"/>
  <c r="S75" i="2"/>
  <c r="W75" i="2"/>
  <c r="G79" i="2"/>
  <c r="K79" i="2"/>
  <c r="O79" i="2"/>
  <c r="S79" i="2"/>
  <c r="W79" i="2"/>
  <c r="D95" i="2"/>
  <c r="H95" i="2"/>
  <c r="L95" i="2"/>
  <c r="P95" i="2"/>
  <c r="T95" i="2"/>
  <c r="X95" i="2"/>
  <c r="D99" i="2"/>
  <c r="H99" i="2"/>
  <c r="L99" i="2"/>
  <c r="P99" i="2"/>
  <c r="T99" i="2"/>
  <c r="X99" i="2"/>
  <c r="D103" i="2"/>
  <c r="H103" i="2"/>
  <c r="L103" i="2"/>
  <c r="P103" i="2"/>
  <c r="T103" i="2"/>
  <c r="X103" i="2"/>
  <c r="D107" i="2"/>
  <c r="H107" i="2"/>
  <c r="L107" i="2"/>
  <c r="P107" i="2"/>
  <c r="T107" i="2"/>
  <c r="X107" i="2"/>
  <c r="D111" i="2"/>
  <c r="H111" i="2"/>
  <c r="L111" i="2"/>
  <c r="P111" i="2"/>
  <c r="T111" i="2"/>
  <c r="X111" i="2"/>
  <c r="D115" i="2"/>
  <c r="H115" i="2"/>
  <c r="L115" i="2"/>
  <c r="P115" i="2"/>
  <c r="T115" i="2"/>
  <c r="X115" i="2"/>
  <c r="D119" i="2"/>
  <c r="H119" i="2"/>
  <c r="L119" i="2"/>
  <c r="P119" i="2"/>
  <c r="T119" i="2"/>
  <c r="X119" i="2"/>
  <c r="D125" i="2"/>
  <c r="H125" i="2"/>
  <c r="L125" i="2"/>
  <c r="P125" i="2"/>
  <c r="T125" i="2"/>
  <c r="X125" i="2"/>
  <c r="G129" i="2"/>
  <c r="K129" i="2"/>
  <c r="O129" i="2"/>
  <c r="S129" i="2"/>
  <c r="W129" i="2"/>
  <c r="G133" i="2"/>
  <c r="K133" i="2"/>
  <c r="O133" i="2"/>
  <c r="S133" i="2"/>
  <c r="W133" i="2"/>
  <c r="G137" i="2"/>
  <c r="K137" i="2"/>
  <c r="O137" i="2"/>
  <c r="S137" i="2"/>
  <c r="W137" i="2"/>
  <c r="G141" i="2"/>
  <c r="K141" i="2"/>
  <c r="O141" i="2"/>
  <c r="S141" i="2"/>
  <c r="W141" i="2"/>
  <c r="G145" i="2"/>
  <c r="K145" i="2"/>
  <c r="O145" i="2"/>
  <c r="S145" i="2"/>
  <c r="W145" i="2"/>
  <c r="G149" i="2"/>
  <c r="K149" i="2"/>
  <c r="O149" i="2"/>
  <c r="S149" i="2"/>
  <c r="W149" i="2"/>
  <c r="G153" i="2"/>
  <c r="K153" i="2"/>
  <c r="O153" i="2"/>
  <c r="S153" i="2"/>
  <c r="W153" i="2"/>
  <c r="G157" i="2"/>
  <c r="K157" i="2"/>
  <c r="O157" i="2"/>
  <c r="S157" i="2"/>
  <c r="W157" i="2"/>
  <c r="G161" i="2"/>
  <c r="K161" i="2"/>
  <c r="O161" i="2"/>
  <c r="S161" i="2"/>
  <c r="W161" i="2"/>
  <c r="G177" i="2"/>
  <c r="K177" i="2"/>
  <c r="O177" i="2"/>
  <c r="S177" i="2"/>
  <c r="W177" i="2"/>
  <c r="G181" i="2"/>
  <c r="K181" i="2"/>
  <c r="O181" i="2"/>
  <c r="S181" i="2"/>
  <c r="W181" i="2"/>
  <c r="G185" i="2"/>
  <c r="K185" i="2"/>
  <c r="O185" i="2"/>
  <c r="S185" i="2"/>
  <c r="W185" i="2"/>
  <c r="G189" i="2"/>
  <c r="K189" i="2"/>
  <c r="O189" i="2"/>
  <c r="S189" i="2"/>
  <c r="W189" i="2"/>
  <c r="G195" i="2"/>
  <c r="K195" i="2"/>
  <c r="O195" i="2"/>
  <c r="S195" i="2"/>
  <c r="W195" i="2"/>
  <c r="L9" i="3"/>
  <c r="L10" i="3" s="1"/>
  <c r="L11" i="3" s="1"/>
  <c r="G249" i="2"/>
  <c r="K249" i="2"/>
  <c r="O249" i="2"/>
  <c r="S249" i="2"/>
  <c r="W249" i="2"/>
  <c r="AA249" i="2"/>
  <c r="G261" i="2"/>
  <c r="K261" i="2"/>
  <c r="O261" i="2"/>
  <c r="S261" i="2"/>
  <c r="W261" i="2"/>
  <c r="G269" i="2"/>
  <c r="K269" i="2"/>
  <c r="O269" i="2"/>
  <c r="S269" i="2"/>
  <c r="W269" i="2"/>
  <c r="G279" i="2"/>
  <c r="K279" i="2"/>
  <c r="O279" i="2"/>
  <c r="S279" i="2"/>
  <c r="W279" i="2"/>
  <c r="G303" i="2"/>
  <c r="K303" i="2"/>
  <c r="O303" i="2"/>
  <c r="S303" i="2"/>
  <c r="W303" i="2"/>
  <c r="G309" i="2"/>
  <c r="K309" i="2"/>
  <c r="O309" i="2"/>
  <c r="S309" i="2"/>
  <c r="W309" i="2"/>
  <c r="G317" i="2"/>
  <c r="K317" i="2"/>
  <c r="O317" i="2"/>
  <c r="S317" i="2"/>
  <c r="W317" i="2"/>
  <c r="G329" i="2"/>
  <c r="K329" i="2"/>
  <c r="O329" i="2"/>
  <c r="S329" i="2"/>
  <c r="W329" i="2"/>
  <c r="G337" i="2"/>
  <c r="K337" i="2"/>
  <c r="O337" i="2"/>
  <c r="S337" i="2"/>
  <c r="W337" i="2"/>
  <c r="G343" i="2"/>
  <c r="K343" i="2"/>
  <c r="O343" i="2"/>
  <c r="S343" i="2"/>
  <c r="W343" i="2"/>
  <c r="G349" i="2"/>
  <c r="K349" i="2"/>
  <c r="O349" i="2"/>
  <c r="S349" i="2"/>
  <c r="W349" i="2"/>
  <c r="G357" i="2"/>
  <c r="K357" i="2"/>
  <c r="O357" i="2"/>
  <c r="S357" i="2"/>
  <c r="W357" i="2"/>
  <c r="G365" i="2"/>
  <c r="K365" i="2"/>
  <c r="O365" i="2"/>
  <c r="S365" i="2"/>
  <c r="W365" i="2"/>
  <c r="AB401" i="2"/>
  <c r="X401" i="2"/>
  <c r="T401" i="2"/>
  <c r="P401" i="2"/>
  <c r="L401" i="2"/>
  <c r="H401" i="2"/>
  <c r="D401" i="2"/>
  <c r="Z401" i="2"/>
  <c r="V401" i="2"/>
  <c r="R401" i="2"/>
  <c r="N401" i="2"/>
  <c r="J401" i="2"/>
  <c r="F401" i="2"/>
  <c r="K401" i="2"/>
  <c r="S401" i="2"/>
  <c r="AA401" i="2"/>
  <c r="Z437" i="2"/>
  <c r="V437" i="2"/>
  <c r="R437" i="2"/>
  <c r="N437" i="2"/>
  <c r="J437" i="2"/>
  <c r="F437" i="2"/>
  <c r="AB437" i="2"/>
  <c r="X437" i="2"/>
  <c r="T437" i="2"/>
  <c r="P437" i="2"/>
  <c r="L437" i="2"/>
  <c r="H437" i="2"/>
  <c r="D437" i="2"/>
  <c r="K437" i="2"/>
  <c r="S437" i="2"/>
  <c r="AA437" i="2"/>
  <c r="AA443" i="2"/>
  <c r="W443" i="2"/>
  <c r="S443" i="2"/>
  <c r="O443" i="2"/>
  <c r="K443" i="2"/>
  <c r="G443" i="2"/>
  <c r="Y443" i="2"/>
  <c r="U443" i="2"/>
  <c r="Q443" i="2"/>
  <c r="M443" i="2"/>
  <c r="I443" i="2"/>
  <c r="E443" i="2"/>
  <c r="J443" i="2"/>
  <c r="R443" i="2"/>
  <c r="Z443" i="2"/>
  <c r="Y447" i="2"/>
  <c r="U447" i="2"/>
  <c r="Q447" i="2"/>
  <c r="M447" i="2"/>
  <c r="I447" i="2"/>
  <c r="E447" i="2"/>
  <c r="AA447" i="2"/>
  <c r="W447" i="2"/>
  <c r="S447" i="2"/>
  <c r="O447" i="2"/>
  <c r="K447" i="2"/>
  <c r="G447" i="2"/>
  <c r="J447" i="2"/>
  <c r="R447" i="2"/>
  <c r="Z447" i="2"/>
  <c r="M449" i="2"/>
  <c r="U449" i="2"/>
  <c r="AB451" i="2"/>
  <c r="X451" i="2"/>
  <c r="T451" i="2"/>
  <c r="P451" i="2"/>
  <c r="L451" i="2"/>
  <c r="H451" i="2"/>
  <c r="D451" i="2"/>
  <c r="Z451" i="2"/>
  <c r="V451" i="2"/>
  <c r="R451" i="2"/>
  <c r="N451" i="2"/>
  <c r="J451" i="2"/>
  <c r="F451" i="2"/>
  <c r="K451" i="2"/>
  <c r="S451" i="2"/>
  <c r="AA451" i="2"/>
  <c r="Z455" i="2"/>
  <c r="V455" i="2"/>
  <c r="R455" i="2"/>
  <c r="N455" i="2"/>
  <c r="J455" i="2"/>
  <c r="F455" i="2"/>
  <c r="AB455" i="2"/>
  <c r="X455" i="2"/>
  <c r="T455" i="2"/>
  <c r="P455" i="2"/>
  <c r="L455" i="2"/>
  <c r="H455" i="2"/>
  <c r="D455" i="2"/>
  <c r="K455" i="2"/>
  <c r="S455" i="2"/>
  <c r="AA455" i="2"/>
  <c r="AB459" i="2"/>
  <c r="X459" i="2"/>
  <c r="T459" i="2"/>
  <c r="P459" i="2"/>
  <c r="L459" i="2"/>
  <c r="H459" i="2"/>
  <c r="D459" i="2"/>
  <c r="Z459" i="2"/>
  <c r="V459" i="2"/>
  <c r="R459" i="2"/>
  <c r="N459" i="2"/>
  <c r="J459" i="2"/>
  <c r="F459" i="2"/>
  <c r="K459" i="2"/>
  <c r="S459" i="2"/>
  <c r="AA459" i="2"/>
  <c r="Z463" i="2"/>
  <c r="V463" i="2"/>
  <c r="R463" i="2"/>
  <c r="N463" i="2"/>
  <c r="J463" i="2"/>
  <c r="F463" i="2"/>
  <c r="AB463" i="2"/>
  <c r="X463" i="2"/>
  <c r="T463" i="2"/>
  <c r="P463" i="2"/>
  <c r="L463" i="2"/>
  <c r="H463" i="2"/>
  <c r="D463" i="2"/>
  <c r="K463" i="2"/>
  <c r="S463" i="2"/>
  <c r="AA463" i="2"/>
  <c r="F469" i="2"/>
  <c r="V469" i="2"/>
  <c r="G471" i="2"/>
  <c r="W471" i="2"/>
  <c r="G523" i="2"/>
  <c r="W523" i="2"/>
  <c r="H525" i="2"/>
  <c r="X525" i="2"/>
  <c r="AA533" i="2"/>
  <c r="AA541" i="2"/>
  <c r="W541" i="2"/>
  <c r="S541" i="2"/>
  <c r="O541" i="2"/>
  <c r="K541" i="2"/>
  <c r="G541" i="2"/>
  <c r="Z541" i="2"/>
  <c r="V541" i="2"/>
  <c r="R541" i="2"/>
  <c r="N541" i="2"/>
  <c r="J541" i="2"/>
  <c r="F541" i="2"/>
  <c r="Y541" i="2"/>
  <c r="U541" i="2"/>
  <c r="Q541" i="2"/>
  <c r="M541" i="2"/>
  <c r="I541" i="2"/>
  <c r="E541" i="2"/>
  <c r="P541" i="2"/>
  <c r="G549" i="2"/>
  <c r="W549" i="2"/>
  <c r="X551" i="2"/>
  <c r="J555" i="2"/>
  <c r="Z555" i="2"/>
  <c r="AA557" i="2"/>
  <c r="F591" i="2"/>
  <c r="V591" i="2"/>
  <c r="G593" i="2"/>
  <c r="W593" i="2"/>
  <c r="H595" i="2"/>
  <c r="X595" i="2"/>
  <c r="S599" i="2"/>
  <c r="K603" i="2"/>
  <c r="AB607" i="2"/>
  <c r="X607" i="2"/>
  <c r="T607" i="2"/>
  <c r="P607" i="2"/>
  <c r="L607" i="2"/>
  <c r="H607" i="2"/>
  <c r="D607" i="2"/>
  <c r="Z607" i="2"/>
  <c r="V607" i="2"/>
  <c r="R607" i="2"/>
  <c r="N607" i="2"/>
  <c r="J607" i="2"/>
  <c r="F607" i="2"/>
  <c r="Y607" i="2"/>
  <c r="Q607" i="2"/>
  <c r="I607" i="2"/>
  <c r="W607" i="2"/>
  <c r="O607" i="2"/>
  <c r="G607" i="2"/>
  <c r="U607" i="2"/>
  <c r="M607" i="2"/>
  <c r="E607" i="2"/>
  <c r="S615" i="2"/>
  <c r="S649" i="2"/>
  <c r="Z673" i="2"/>
  <c r="V673" i="2"/>
  <c r="R673" i="2"/>
  <c r="N673" i="2"/>
  <c r="J673" i="2"/>
  <c r="F673" i="2"/>
  <c r="Y673" i="2"/>
  <c r="U673" i="2"/>
  <c r="Q673" i="2"/>
  <c r="M673" i="2"/>
  <c r="I673" i="2"/>
  <c r="E673" i="2"/>
  <c r="AB673" i="2"/>
  <c r="X673" i="2"/>
  <c r="T673" i="2"/>
  <c r="P673" i="2"/>
  <c r="L673" i="2"/>
  <c r="H673" i="2"/>
  <c r="D673" i="2"/>
  <c r="O673" i="2"/>
  <c r="AA673" i="2"/>
  <c r="K673" i="2"/>
  <c r="W673" i="2"/>
  <c r="G673" i="2"/>
  <c r="S681" i="2"/>
  <c r="G371" i="2"/>
  <c r="K371" i="2"/>
  <c r="O371" i="2"/>
  <c r="S371" i="2"/>
  <c r="W371" i="2"/>
  <c r="AA371" i="2"/>
  <c r="E373" i="2"/>
  <c r="I373" i="2"/>
  <c r="M373" i="2"/>
  <c r="Q373" i="2"/>
  <c r="U373" i="2"/>
  <c r="Y373" i="2"/>
  <c r="I387" i="2"/>
  <c r="M387" i="2"/>
  <c r="Q387" i="2"/>
  <c r="U387" i="2"/>
  <c r="Y387" i="2"/>
  <c r="G389" i="2"/>
  <c r="K389" i="2"/>
  <c r="O389" i="2"/>
  <c r="S389" i="2"/>
  <c r="W389" i="2"/>
  <c r="AA389" i="2"/>
  <c r="E391" i="2"/>
  <c r="I391" i="2"/>
  <c r="M391" i="2"/>
  <c r="Q391" i="2"/>
  <c r="U391" i="2"/>
  <c r="Y391" i="2"/>
  <c r="G393" i="2"/>
  <c r="K393" i="2"/>
  <c r="O393" i="2"/>
  <c r="S393" i="2"/>
  <c r="W393" i="2"/>
  <c r="AA393" i="2"/>
  <c r="E395" i="2"/>
  <c r="I395" i="2"/>
  <c r="M395" i="2"/>
  <c r="Q395" i="2"/>
  <c r="U395" i="2"/>
  <c r="Y395" i="2"/>
  <c r="G397" i="2"/>
  <c r="K397" i="2"/>
  <c r="O397" i="2"/>
  <c r="S397" i="2"/>
  <c r="W397" i="2"/>
  <c r="AA397" i="2"/>
  <c r="E399" i="2"/>
  <c r="I399" i="2"/>
  <c r="M399" i="2"/>
  <c r="Q399" i="2"/>
  <c r="U399" i="2"/>
  <c r="Y399" i="2"/>
  <c r="E405" i="2"/>
  <c r="I405" i="2"/>
  <c r="M405" i="2"/>
  <c r="Q405" i="2"/>
  <c r="U405" i="2"/>
  <c r="Y405" i="2"/>
  <c r="G415" i="2"/>
  <c r="K415" i="2"/>
  <c r="O415" i="2"/>
  <c r="S415" i="2"/>
  <c r="W415" i="2"/>
  <c r="AA415" i="2"/>
  <c r="E417" i="2"/>
  <c r="I417" i="2"/>
  <c r="M417" i="2"/>
  <c r="Q417" i="2"/>
  <c r="U417" i="2"/>
  <c r="Y417" i="2"/>
  <c r="E423" i="2"/>
  <c r="I423" i="2"/>
  <c r="M423" i="2"/>
  <c r="Q423" i="2"/>
  <c r="U423" i="2"/>
  <c r="Y423" i="2"/>
  <c r="G425" i="2"/>
  <c r="K425" i="2"/>
  <c r="O425" i="2"/>
  <c r="S425" i="2"/>
  <c r="W425" i="2"/>
  <c r="AA425" i="2"/>
  <c r="G431" i="2"/>
  <c r="K431" i="2"/>
  <c r="O431" i="2"/>
  <c r="S431" i="2"/>
  <c r="W431" i="2"/>
  <c r="AA431" i="2"/>
  <c r="E433" i="2"/>
  <c r="I433" i="2"/>
  <c r="M433" i="2"/>
  <c r="Q433" i="2"/>
  <c r="U433" i="2"/>
  <c r="Y433" i="2"/>
  <c r="G435" i="2"/>
  <c r="K435" i="2"/>
  <c r="O435" i="2"/>
  <c r="S435" i="2"/>
  <c r="W435" i="2"/>
  <c r="AA435" i="2"/>
  <c r="F467" i="2"/>
  <c r="J467" i="2"/>
  <c r="N467" i="2"/>
  <c r="R467" i="2"/>
  <c r="V467" i="2"/>
  <c r="Z467" i="2"/>
  <c r="F473" i="2"/>
  <c r="J473" i="2"/>
  <c r="N473" i="2"/>
  <c r="R473" i="2"/>
  <c r="V473" i="2"/>
  <c r="Z473" i="2"/>
  <c r="E515" i="2"/>
  <c r="I515" i="2"/>
  <c r="M515" i="2"/>
  <c r="Q515" i="2"/>
  <c r="U515" i="2"/>
  <c r="G517" i="2"/>
  <c r="K517" i="2"/>
  <c r="O517" i="2"/>
  <c r="S517" i="2"/>
  <c r="W517" i="2"/>
  <c r="AA517" i="2"/>
  <c r="E519" i="2"/>
  <c r="I519" i="2"/>
  <c r="M519" i="2"/>
  <c r="Q519" i="2"/>
  <c r="U519" i="2"/>
  <c r="Y519" i="2"/>
  <c r="G521" i="2"/>
  <c r="K521" i="2"/>
  <c r="O521" i="2"/>
  <c r="S521" i="2"/>
  <c r="W521" i="2"/>
  <c r="AA521" i="2"/>
  <c r="G527" i="2"/>
  <c r="K527" i="2"/>
  <c r="O527" i="2"/>
  <c r="S527" i="2"/>
  <c r="W527" i="2"/>
  <c r="AA527" i="2"/>
  <c r="E529" i="2"/>
  <c r="I529" i="2"/>
  <c r="M529" i="2"/>
  <c r="Q529" i="2"/>
  <c r="U529" i="2"/>
  <c r="Y529" i="2"/>
  <c r="G531" i="2"/>
  <c r="K531" i="2"/>
  <c r="O531" i="2"/>
  <c r="S531" i="2"/>
  <c r="W531" i="2"/>
  <c r="AA531" i="2"/>
  <c r="G537" i="2"/>
  <c r="K537" i="2"/>
  <c r="O537" i="2"/>
  <c r="S537" i="2"/>
  <c r="W537" i="2"/>
  <c r="AA537" i="2"/>
  <c r="G543" i="2"/>
  <c r="K543" i="2"/>
  <c r="O543" i="2"/>
  <c r="S543" i="2"/>
  <c r="W543" i="2"/>
  <c r="AA543" i="2"/>
  <c r="E545" i="2"/>
  <c r="I545" i="2"/>
  <c r="M545" i="2"/>
  <c r="Q545" i="2"/>
  <c r="U545" i="2"/>
  <c r="Y545" i="2"/>
  <c r="G547" i="2"/>
  <c r="K547" i="2"/>
  <c r="O547" i="2"/>
  <c r="S547" i="2"/>
  <c r="W547" i="2"/>
  <c r="AA547" i="2"/>
  <c r="F553" i="2"/>
  <c r="J553" i="2"/>
  <c r="N553" i="2"/>
  <c r="R553" i="2"/>
  <c r="V553" i="2"/>
  <c r="Z553" i="2"/>
  <c r="G561" i="2"/>
  <c r="K561" i="2"/>
  <c r="O561" i="2"/>
  <c r="S561" i="2"/>
  <c r="W561" i="2"/>
  <c r="AA561" i="2"/>
  <c r="E563" i="2"/>
  <c r="I563" i="2"/>
  <c r="M563" i="2"/>
  <c r="Q563" i="2"/>
  <c r="U563" i="2"/>
  <c r="Y563" i="2"/>
  <c r="G565" i="2"/>
  <c r="K565" i="2"/>
  <c r="O565" i="2"/>
  <c r="S565" i="2"/>
  <c r="W565" i="2"/>
  <c r="AA565" i="2"/>
  <c r="E567" i="2"/>
  <c r="I567" i="2"/>
  <c r="M567" i="2"/>
  <c r="Q567" i="2"/>
  <c r="U567" i="2"/>
  <c r="Y567" i="2"/>
  <c r="G569" i="2"/>
  <c r="K569" i="2"/>
  <c r="O569" i="2"/>
  <c r="S569" i="2"/>
  <c r="W569" i="2"/>
  <c r="AA569" i="2"/>
  <c r="E571" i="2"/>
  <c r="I571" i="2"/>
  <c r="M571" i="2"/>
  <c r="Q571" i="2"/>
  <c r="U571" i="2"/>
  <c r="Y571" i="2"/>
  <c r="G573" i="2"/>
  <c r="K573" i="2"/>
  <c r="O573" i="2"/>
  <c r="S573" i="2"/>
  <c r="W573" i="2"/>
  <c r="AA573" i="2"/>
  <c r="E575" i="2"/>
  <c r="I575" i="2"/>
  <c r="M575" i="2"/>
  <c r="Q575" i="2"/>
  <c r="U575" i="2"/>
  <c r="Y575" i="2"/>
  <c r="G577" i="2"/>
  <c r="K577" i="2"/>
  <c r="O577" i="2"/>
  <c r="S577" i="2"/>
  <c r="W577" i="2"/>
  <c r="AA577" i="2"/>
  <c r="E579" i="2"/>
  <c r="I579" i="2"/>
  <c r="M579" i="2"/>
  <c r="Q579" i="2"/>
  <c r="U579" i="2"/>
  <c r="Y579" i="2"/>
  <c r="G581" i="2"/>
  <c r="K581" i="2"/>
  <c r="O581" i="2"/>
  <c r="S581" i="2"/>
  <c r="W581" i="2"/>
  <c r="AA581" i="2"/>
  <c r="E583" i="2"/>
  <c r="I583" i="2"/>
  <c r="M583" i="2"/>
  <c r="Q583" i="2"/>
  <c r="U583" i="2"/>
  <c r="Y583" i="2"/>
  <c r="G585" i="2"/>
  <c r="K585" i="2"/>
  <c r="O585" i="2"/>
  <c r="S585" i="2"/>
  <c r="W585" i="2"/>
  <c r="AA585" i="2"/>
  <c r="E587" i="2"/>
  <c r="I587" i="2"/>
  <c r="M587" i="2"/>
  <c r="Q587" i="2"/>
  <c r="U587" i="2"/>
  <c r="Y587" i="2"/>
  <c r="F589" i="2"/>
  <c r="J589" i="2"/>
  <c r="N589" i="2"/>
  <c r="R589" i="2"/>
  <c r="V589" i="2"/>
  <c r="Z589" i="2"/>
  <c r="F597" i="2"/>
  <c r="J597" i="2"/>
  <c r="N597" i="2"/>
  <c r="R597" i="2"/>
  <c r="Y601" i="2"/>
  <c r="U601" i="2"/>
  <c r="Q601" i="2"/>
  <c r="M601" i="2"/>
  <c r="I601" i="2"/>
  <c r="E601" i="2"/>
  <c r="AA601" i="2"/>
  <c r="W601" i="2"/>
  <c r="S601" i="2"/>
  <c r="O601" i="2"/>
  <c r="K601" i="2"/>
  <c r="G601" i="2"/>
  <c r="J601" i="2"/>
  <c r="R601" i="2"/>
  <c r="Z601" i="2"/>
  <c r="AA605" i="2"/>
  <c r="W605" i="2"/>
  <c r="S605" i="2"/>
  <c r="O605" i="2"/>
  <c r="K605" i="2"/>
  <c r="G605" i="2"/>
  <c r="Y605" i="2"/>
  <c r="U605" i="2"/>
  <c r="Q605" i="2"/>
  <c r="M605" i="2"/>
  <c r="I605" i="2"/>
  <c r="E605" i="2"/>
  <c r="J605" i="2"/>
  <c r="R605" i="2"/>
  <c r="Z605" i="2"/>
  <c r="Z609" i="2"/>
  <c r="V609" i="2"/>
  <c r="R609" i="2"/>
  <c r="N609" i="2"/>
  <c r="J609" i="2"/>
  <c r="F609" i="2"/>
  <c r="AB609" i="2"/>
  <c r="X609" i="2"/>
  <c r="T609" i="2"/>
  <c r="P609" i="2"/>
  <c r="L609" i="2"/>
  <c r="H609" i="2"/>
  <c r="D609" i="2"/>
  <c r="K609" i="2"/>
  <c r="S609" i="2"/>
  <c r="AA609" i="2"/>
  <c r="I611" i="2"/>
  <c r="Q611" i="2"/>
  <c r="G613" i="2"/>
  <c r="O613" i="2"/>
  <c r="Z617" i="2"/>
  <c r="V617" i="2"/>
  <c r="R617" i="2"/>
  <c r="N617" i="2"/>
  <c r="J617" i="2"/>
  <c r="F617" i="2"/>
  <c r="AB617" i="2"/>
  <c r="X617" i="2"/>
  <c r="T617" i="2"/>
  <c r="P617" i="2"/>
  <c r="L617" i="2"/>
  <c r="H617" i="2"/>
  <c r="D617" i="2"/>
  <c r="K617" i="2"/>
  <c r="S617" i="2"/>
  <c r="AA617" i="2"/>
  <c r="I619" i="2"/>
  <c r="Q619" i="2"/>
  <c r="F621" i="2"/>
  <c r="N621" i="2"/>
  <c r="I623" i="2"/>
  <c r="Q623" i="2"/>
  <c r="F625" i="2"/>
  <c r="N625" i="2"/>
  <c r="I627" i="2"/>
  <c r="Q627" i="2"/>
  <c r="F629" i="2"/>
  <c r="N629" i="2"/>
  <c r="I631" i="2"/>
  <c r="Q631" i="2"/>
  <c r="H633" i="2"/>
  <c r="K637" i="2"/>
  <c r="Y641" i="2"/>
  <c r="U641" i="2"/>
  <c r="Q641" i="2"/>
  <c r="M641" i="2"/>
  <c r="I641" i="2"/>
  <c r="E641" i="2"/>
  <c r="AB641" i="2"/>
  <c r="X641" i="2"/>
  <c r="T641" i="2"/>
  <c r="P641" i="2"/>
  <c r="L641" i="2"/>
  <c r="H641" i="2"/>
  <c r="D641" i="2"/>
  <c r="AA641" i="2"/>
  <c r="W641" i="2"/>
  <c r="S641" i="2"/>
  <c r="O641" i="2"/>
  <c r="K641" i="2"/>
  <c r="G641" i="2"/>
  <c r="R641" i="2"/>
  <c r="Z643" i="2"/>
  <c r="V643" i="2"/>
  <c r="R643" i="2"/>
  <c r="N643" i="2"/>
  <c r="J643" i="2"/>
  <c r="F643" i="2"/>
  <c r="Y643" i="2"/>
  <c r="U643" i="2"/>
  <c r="Q643" i="2"/>
  <c r="M643" i="2"/>
  <c r="I643" i="2"/>
  <c r="E643" i="2"/>
  <c r="AB643" i="2"/>
  <c r="X643" i="2"/>
  <c r="T643" i="2"/>
  <c r="P643" i="2"/>
  <c r="L643" i="2"/>
  <c r="H643" i="2"/>
  <c r="D643" i="2"/>
  <c r="S643" i="2"/>
  <c r="AB819" i="2"/>
  <c r="X819" i="2"/>
  <c r="T819" i="2"/>
  <c r="P819" i="2"/>
  <c r="L819" i="2"/>
  <c r="H819" i="2"/>
  <c r="D819" i="2"/>
  <c r="Z819" i="2"/>
  <c r="U819" i="2"/>
  <c r="O819" i="2"/>
  <c r="J819" i="2"/>
  <c r="E819" i="2"/>
  <c r="W819" i="2"/>
  <c r="R819" i="2"/>
  <c r="M819" i="2"/>
  <c r="G819" i="2"/>
  <c r="V819" i="2"/>
  <c r="K819" i="2"/>
  <c r="S819" i="2"/>
  <c r="I819" i="2"/>
  <c r="AA819" i="2"/>
  <c r="Q819" i="2"/>
  <c r="F819" i="2"/>
  <c r="G467" i="2"/>
  <c r="K467" i="2"/>
  <c r="O467" i="2"/>
  <c r="S467" i="2"/>
  <c r="W467" i="2"/>
  <c r="AA467" i="2"/>
  <c r="G473" i="2"/>
  <c r="K473" i="2"/>
  <c r="O473" i="2"/>
  <c r="S473" i="2"/>
  <c r="W473" i="2"/>
  <c r="AA473" i="2"/>
  <c r="G553" i="2"/>
  <c r="K553" i="2"/>
  <c r="O553" i="2"/>
  <c r="S553" i="2"/>
  <c r="W553" i="2"/>
  <c r="AA553" i="2"/>
  <c r="G589" i="2"/>
  <c r="K589" i="2"/>
  <c r="O589" i="2"/>
  <c r="S589" i="2"/>
  <c r="W589" i="2"/>
  <c r="AA589" i="2"/>
  <c r="AA597" i="2"/>
  <c r="S597" i="2"/>
  <c r="Y597" i="2"/>
  <c r="U597" i="2"/>
  <c r="G597" i="2"/>
  <c r="K597" i="2"/>
  <c r="O597" i="2"/>
  <c r="T597" i="2"/>
  <c r="AB597" i="2"/>
  <c r="AB611" i="2"/>
  <c r="X611" i="2"/>
  <c r="T611" i="2"/>
  <c r="P611" i="2"/>
  <c r="L611" i="2"/>
  <c r="H611" i="2"/>
  <c r="D611" i="2"/>
  <c r="Z611" i="2"/>
  <c r="V611" i="2"/>
  <c r="R611" i="2"/>
  <c r="N611" i="2"/>
  <c r="J611" i="2"/>
  <c r="F611" i="2"/>
  <c r="K611" i="2"/>
  <c r="S611" i="2"/>
  <c r="AA611" i="2"/>
  <c r="AB619" i="2"/>
  <c r="X619" i="2"/>
  <c r="T619" i="2"/>
  <c r="P619" i="2"/>
  <c r="L619" i="2"/>
  <c r="H619" i="2"/>
  <c r="D619" i="2"/>
  <c r="Z619" i="2"/>
  <c r="V619" i="2"/>
  <c r="R619" i="2"/>
  <c r="N619" i="2"/>
  <c r="J619" i="2"/>
  <c r="F619" i="2"/>
  <c r="K619" i="2"/>
  <c r="S619" i="2"/>
  <c r="AA619" i="2"/>
  <c r="Z623" i="2"/>
  <c r="V623" i="2"/>
  <c r="R623" i="2"/>
  <c r="N623" i="2"/>
  <c r="J623" i="2"/>
  <c r="F623" i="2"/>
  <c r="AB623" i="2"/>
  <c r="X623" i="2"/>
  <c r="T623" i="2"/>
  <c r="P623" i="2"/>
  <c r="L623" i="2"/>
  <c r="H623" i="2"/>
  <c r="D623" i="2"/>
  <c r="K623" i="2"/>
  <c r="S623" i="2"/>
  <c r="AA623" i="2"/>
  <c r="AB627" i="2"/>
  <c r="X627" i="2"/>
  <c r="T627" i="2"/>
  <c r="P627" i="2"/>
  <c r="L627" i="2"/>
  <c r="H627" i="2"/>
  <c r="D627" i="2"/>
  <c r="Z627" i="2"/>
  <c r="V627" i="2"/>
  <c r="R627" i="2"/>
  <c r="N627" i="2"/>
  <c r="J627" i="2"/>
  <c r="F627" i="2"/>
  <c r="K627" i="2"/>
  <c r="S627" i="2"/>
  <c r="AA627" i="2"/>
  <c r="Z631" i="2"/>
  <c r="V631" i="2"/>
  <c r="R631" i="2"/>
  <c r="N631" i="2"/>
  <c r="J631" i="2"/>
  <c r="F631" i="2"/>
  <c r="AB631" i="2"/>
  <c r="X631" i="2"/>
  <c r="T631" i="2"/>
  <c r="P631" i="2"/>
  <c r="L631" i="2"/>
  <c r="H631" i="2"/>
  <c r="D631" i="2"/>
  <c r="K631" i="2"/>
  <c r="S631" i="2"/>
  <c r="AA631" i="2"/>
  <c r="Z653" i="2"/>
  <c r="V653" i="2"/>
  <c r="R653" i="2"/>
  <c r="N653" i="2"/>
  <c r="J653" i="2"/>
  <c r="F653" i="2"/>
  <c r="Y653" i="2"/>
  <c r="U653" i="2"/>
  <c r="Q653" i="2"/>
  <c r="M653" i="2"/>
  <c r="I653" i="2"/>
  <c r="E653" i="2"/>
  <c r="AB653" i="2"/>
  <c r="X653" i="2"/>
  <c r="T653" i="2"/>
  <c r="P653" i="2"/>
  <c r="L653" i="2"/>
  <c r="H653" i="2"/>
  <c r="D653" i="2"/>
  <c r="S653" i="2"/>
  <c r="Z661" i="2"/>
  <c r="V661" i="2"/>
  <c r="R661" i="2"/>
  <c r="N661" i="2"/>
  <c r="J661" i="2"/>
  <c r="F661" i="2"/>
  <c r="Y661" i="2"/>
  <c r="U661" i="2"/>
  <c r="Q661" i="2"/>
  <c r="M661" i="2"/>
  <c r="I661" i="2"/>
  <c r="E661" i="2"/>
  <c r="AB661" i="2"/>
  <c r="X661" i="2"/>
  <c r="T661" i="2"/>
  <c r="P661" i="2"/>
  <c r="L661" i="2"/>
  <c r="H661" i="2"/>
  <c r="D661" i="2"/>
  <c r="S661" i="2"/>
  <c r="Z669" i="2"/>
  <c r="V669" i="2"/>
  <c r="R669" i="2"/>
  <c r="N669" i="2"/>
  <c r="J669" i="2"/>
  <c r="F669" i="2"/>
  <c r="Y669" i="2"/>
  <c r="U669" i="2"/>
  <c r="Q669" i="2"/>
  <c r="M669" i="2"/>
  <c r="I669" i="2"/>
  <c r="E669" i="2"/>
  <c r="AB669" i="2"/>
  <c r="X669" i="2"/>
  <c r="T669" i="2"/>
  <c r="P669" i="2"/>
  <c r="L669" i="2"/>
  <c r="H669" i="2"/>
  <c r="D669" i="2"/>
  <c r="S669" i="2"/>
  <c r="Z677" i="2"/>
  <c r="V677" i="2"/>
  <c r="R677" i="2"/>
  <c r="N677" i="2"/>
  <c r="J677" i="2"/>
  <c r="F677" i="2"/>
  <c r="Y677" i="2"/>
  <c r="U677" i="2"/>
  <c r="Q677" i="2"/>
  <c r="M677" i="2"/>
  <c r="I677" i="2"/>
  <c r="E677" i="2"/>
  <c r="AB677" i="2"/>
  <c r="X677" i="2"/>
  <c r="T677" i="2"/>
  <c r="P677" i="2"/>
  <c r="L677" i="2"/>
  <c r="H677" i="2"/>
  <c r="D677" i="2"/>
  <c r="S677" i="2"/>
  <c r="Z685" i="2"/>
  <c r="V685" i="2"/>
  <c r="R685" i="2"/>
  <c r="N685" i="2"/>
  <c r="J685" i="2"/>
  <c r="F685" i="2"/>
  <c r="Y685" i="2"/>
  <c r="U685" i="2"/>
  <c r="Q685" i="2"/>
  <c r="M685" i="2"/>
  <c r="I685" i="2"/>
  <c r="E685" i="2"/>
  <c r="AB685" i="2"/>
  <c r="X685" i="2"/>
  <c r="T685" i="2"/>
  <c r="P685" i="2"/>
  <c r="L685" i="2"/>
  <c r="H685" i="2"/>
  <c r="D685" i="2"/>
  <c r="S685" i="2"/>
  <c r="E371" i="2"/>
  <c r="I371" i="2"/>
  <c r="M371" i="2"/>
  <c r="Q371" i="2"/>
  <c r="U371" i="2"/>
  <c r="G373" i="2"/>
  <c r="K373" i="2"/>
  <c r="O373" i="2"/>
  <c r="S373" i="2"/>
  <c r="W373" i="2"/>
  <c r="G387" i="2"/>
  <c r="K387" i="2"/>
  <c r="O387" i="2"/>
  <c r="S387" i="2"/>
  <c r="W387" i="2"/>
  <c r="E389" i="2"/>
  <c r="I389" i="2"/>
  <c r="M389" i="2"/>
  <c r="Q389" i="2"/>
  <c r="U389" i="2"/>
  <c r="G391" i="2"/>
  <c r="K391" i="2"/>
  <c r="O391" i="2"/>
  <c r="S391" i="2"/>
  <c r="W391" i="2"/>
  <c r="E393" i="2"/>
  <c r="I393" i="2"/>
  <c r="M393" i="2"/>
  <c r="Q393" i="2"/>
  <c r="U393" i="2"/>
  <c r="G395" i="2"/>
  <c r="K395" i="2"/>
  <c r="O395" i="2"/>
  <c r="S395" i="2"/>
  <c r="W395" i="2"/>
  <c r="E397" i="2"/>
  <c r="I397" i="2"/>
  <c r="M397" i="2"/>
  <c r="Q397" i="2"/>
  <c r="U397" i="2"/>
  <c r="G399" i="2"/>
  <c r="K399" i="2"/>
  <c r="O399" i="2"/>
  <c r="S399" i="2"/>
  <c r="W399" i="2"/>
  <c r="G405" i="2"/>
  <c r="K405" i="2"/>
  <c r="O405" i="2"/>
  <c r="S405" i="2"/>
  <c r="W405" i="2"/>
  <c r="E415" i="2"/>
  <c r="I415" i="2"/>
  <c r="M415" i="2"/>
  <c r="Q415" i="2"/>
  <c r="U415" i="2"/>
  <c r="G417" i="2"/>
  <c r="K417" i="2"/>
  <c r="O417" i="2"/>
  <c r="S417" i="2"/>
  <c r="W417" i="2"/>
  <c r="G423" i="2"/>
  <c r="K423" i="2"/>
  <c r="O423" i="2"/>
  <c r="S423" i="2"/>
  <c r="W423" i="2"/>
  <c r="E425" i="2"/>
  <c r="I425" i="2"/>
  <c r="M425" i="2"/>
  <c r="Q425" i="2"/>
  <c r="U425" i="2"/>
  <c r="E431" i="2"/>
  <c r="I431" i="2"/>
  <c r="M431" i="2"/>
  <c r="Q431" i="2"/>
  <c r="U431" i="2"/>
  <c r="G433" i="2"/>
  <c r="K433" i="2"/>
  <c r="O433" i="2"/>
  <c r="S433" i="2"/>
  <c r="W433" i="2"/>
  <c r="E435" i="2"/>
  <c r="I435" i="2"/>
  <c r="M435" i="2"/>
  <c r="Q435" i="2"/>
  <c r="U435" i="2"/>
  <c r="D467" i="2"/>
  <c r="H467" i="2"/>
  <c r="L467" i="2"/>
  <c r="P467" i="2"/>
  <c r="T467" i="2"/>
  <c r="X467" i="2"/>
  <c r="D473" i="2"/>
  <c r="H473" i="2"/>
  <c r="L473" i="2"/>
  <c r="P473" i="2"/>
  <c r="T473" i="2"/>
  <c r="X473" i="2"/>
  <c r="T9" i="3"/>
  <c r="T10" i="3" s="1"/>
  <c r="T11" i="3" s="1"/>
  <c r="G515" i="2"/>
  <c r="K515" i="2"/>
  <c r="O515" i="2"/>
  <c r="S515" i="2"/>
  <c r="W515" i="2"/>
  <c r="AA515" i="2"/>
  <c r="E517" i="2"/>
  <c r="I517" i="2"/>
  <c r="M517" i="2"/>
  <c r="Q517" i="2"/>
  <c r="U517" i="2"/>
  <c r="G519" i="2"/>
  <c r="K519" i="2"/>
  <c r="O519" i="2"/>
  <c r="S519" i="2"/>
  <c r="W519" i="2"/>
  <c r="Q521" i="2"/>
  <c r="U521" i="2"/>
  <c r="I527" i="2"/>
  <c r="M527" i="2"/>
  <c r="Q527" i="2"/>
  <c r="U527" i="2"/>
  <c r="G529" i="2"/>
  <c r="K529" i="2"/>
  <c r="O529" i="2"/>
  <c r="S529" i="2"/>
  <c r="W529" i="2"/>
  <c r="E531" i="2"/>
  <c r="I531" i="2"/>
  <c r="M531" i="2"/>
  <c r="Q531" i="2"/>
  <c r="U531" i="2"/>
  <c r="I537" i="2"/>
  <c r="M537" i="2"/>
  <c r="Q537" i="2"/>
  <c r="U537" i="2"/>
  <c r="E543" i="2"/>
  <c r="I543" i="2"/>
  <c r="M543" i="2"/>
  <c r="Q543" i="2"/>
  <c r="U543" i="2"/>
  <c r="G545" i="2"/>
  <c r="K545" i="2"/>
  <c r="O545" i="2"/>
  <c r="S545" i="2"/>
  <c r="W545" i="2"/>
  <c r="E547" i="2"/>
  <c r="I547" i="2"/>
  <c r="M547" i="2"/>
  <c r="Q547" i="2"/>
  <c r="U547" i="2"/>
  <c r="D553" i="2"/>
  <c r="H553" i="2"/>
  <c r="L553" i="2"/>
  <c r="P553" i="2"/>
  <c r="T553" i="2"/>
  <c r="X553" i="2"/>
  <c r="E561" i="2"/>
  <c r="I561" i="2"/>
  <c r="M561" i="2"/>
  <c r="Q561" i="2"/>
  <c r="U561" i="2"/>
  <c r="G563" i="2"/>
  <c r="K563" i="2"/>
  <c r="O563" i="2"/>
  <c r="S563" i="2"/>
  <c r="W563" i="2"/>
  <c r="E565" i="2"/>
  <c r="I565" i="2"/>
  <c r="M565" i="2"/>
  <c r="Q565" i="2"/>
  <c r="U565" i="2"/>
  <c r="G567" i="2"/>
  <c r="K567" i="2"/>
  <c r="O567" i="2"/>
  <c r="S567" i="2"/>
  <c r="W567" i="2"/>
  <c r="E569" i="2"/>
  <c r="I569" i="2"/>
  <c r="M569" i="2"/>
  <c r="Q569" i="2"/>
  <c r="U569" i="2"/>
  <c r="G571" i="2"/>
  <c r="K571" i="2"/>
  <c r="O571" i="2"/>
  <c r="S571" i="2"/>
  <c r="W571" i="2"/>
  <c r="I573" i="2"/>
  <c r="M573" i="2"/>
  <c r="Q573" i="2"/>
  <c r="U573" i="2"/>
  <c r="G575" i="2"/>
  <c r="K575" i="2"/>
  <c r="O575" i="2"/>
  <c r="S575" i="2"/>
  <c r="W575" i="2"/>
  <c r="I577" i="2"/>
  <c r="M577" i="2"/>
  <c r="Q577" i="2"/>
  <c r="U577" i="2"/>
  <c r="G579" i="2"/>
  <c r="K579" i="2"/>
  <c r="O579" i="2"/>
  <c r="S579" i="2"/>
  <c r="W579" i="2"/>
  <c r="E581" i="2"/>
  <c r="I581" i="2"/>
  <c r="M581" i="2"/>
  <c r="Q581" i="2"/>
  <c r="U581" i="2"/>
  <c r="G583" i="2"/>
  <c r="K583" i="2"/>
  <c r="O583" i="2"/>
  <c r="S583" i="2"/>
  <c r="W583" i="2"/>
  <c r="E585" i="2"/>
  <c r="I585" i="2"/>
  <c r="M585" i="2"/>
  <c r="Q585" i="2"/>
  <c r="U585" i="2"/>
  <c r="G587" i="2"/>
  <c r="K587" i="2"/>
  <c r="O587" i="2"/>
  <c r="S587" i="2"/>
  <c r="W587" i="2"/>
  <c r="D589" i="2"/>
  <c r="H589" i="2"/>
  <c r="L589" i="2"/>
  <c r="P589" i="2"/>
  <c r="T589" i="2"/>
  <c r="X589" i="2"/>
  <c r="D597" i="2"/>
  <c r="H597" i="2"/>
  <c r="L597" i="2"/>
  <c r="P597" i="2"/>
  <c r="V597" i="2"/>
  <c r="F601" i="2"/>
  <c r="N601" i="2"/>
  <c r="V601" i="2"/>
  <c r="F605" i="2"/>
  <c r="N605" i="2"/>
  <c r="V605" i="2"/>
  <c r="G609" i="2"/>
  <c r="O609" i="2"/>
  <c r="W609" i="2"/>
  <c r="E611" i="2"/>
  <c r="M611" i="2"/>
  <c r="U611" i="2"/>
  <c r="Z613" i="2"/>
  <c r="V613" i="2"/>
  <c r="R613" i="2"/>
  <c r="N613" i="2"/>
  <c r="J613" i="2"/>
  <c r="F613" i="2"/>
  <c r="AB613" i="2"/>
  <c r="X613" i="2"/>
  <c r="T613" i="2"/>
  <c r="P613" i="2"/>
  <c r="L613" i="2"/>
  <c r="H613" i="2"/>
  <c r="D613" i="2"/>
  <c r="K613" i="2"/>
  <c r="S613" i="2"/>
  <c r="AA613" i="2"/>
  <c r="G617" i="2"/>
  <c r="O617" i="2"/>
  <c r="W617" i="2"/>
  <c r="E619" i="2"/>
  <c r="M619" i="2"/>
  <c r="U619" i="2"/>
  <c r="Y621" i="2"/>
  <c r="U621" i="2"/>
  <c r="Q621" i="2"/>
  <c r="M621" i="2"/>
  <c r="I621" i="2"/>
  <c r="E621" i="2"/>
  <c r="AA621" i="2"/>
  <c r="W621" i="2"/>
  <c r="S621" i="2"/>
  <c r="O621" i="2"/>
  <c r="K621" i="2"/>
  <c r="G621" i="2"/>
  <c r="J621" i="2"/>
  <c r="R621" i="2"/>
  <c r="Z621" i="2"/>
  <c r="E623" i="2"/>
  <c r="M623" i="2"/>
  <c r="U623" i="2"/>
  <c r="AA625" i="2"/>
  <c r="W625" i="2"/>
  <c r="S625" i="2"/>
  <c r="O625" i="2"/>
  <c r="K625" i="2"/>
  <c r="G625" i="2"/>
  <c r="Y625" i="2"/>
  <c r="U625" i="2"/>
  <c r="Q625" i="2"/>
  <c r="M625" i="2"/>
  <c r="I625" i="2"/>
  <c r="E625" i="2"/>
  <c r="J625" i="2"/>
  <c r="R625" i="2"/>
  <c r="Z625" i="2"/>
  <c r="E627" i="2"/>
  <c r="M627" i="2"/>
  <c r="U627" i="2"/>
  <c r="Y629" i="2"/>
  <c r="U629" i="2"/>
  <c r="Q629" i="2"/>
  <c r="M629" i="2"/>
  <c r="I629" i="2"/>
  <c r="E629" i="2"/>
  <c r="AA629" i="2"/>
  <c r="W629" i="2"/>
  <c r="S629" i="2"/>
  <c r="O629" i="2"/>
  <c r="K629" i="2"/>
  <c r="G629" i="2"/>
  <c r="J629" i="2"/>
  <c r="R629" i="2"/>
  <c r="Z629" i="2"/>
  <c r="E631" i="2"/>
  <c r="M631" i="2"/>
  <c r="U631" i="2"/>
  <c r="AA633" i="2"/>
  <c r="W633" i="2"/>
  <c r="S633" i="2"/>
  <c r="O633" i="2"/>
  <c r="K633" i="2"/>
  <c r="G633" i="2"/>
  <c r="Z633" i="2"/>
  <c r="V633" i="2"/>
  <c r="R633" i="2"/>
  <c r="N633" i="2"/>
  <c r="J633" i="2"/>
  <c r="F633" i="2"/>
  <c r="Y633" i="2"/>
  <c r="U633" i="2"/>
  <c r="Q633" i="2"/>
  <c r="M633" i="2"/>
  <c r="I633" i="2"/>
  <c r="E633" i="2"/>
  <c r="P633" i="2"/>
  <c r="Z637" i="2"/>
  <c r="V637" i="2"/>
  <c r="R637" i="2"/>
  <c r="N637" i="2"/>
  <c r="J637" i="2"/>
  <c r="F637" i="2"/>
  <c r="Y637" i="2"/>
  <c r="U637" i="2"/>
  <c r="Q637" i="2"/>
  <c r="M637" i="2"/>
  <c r="I637" i="2"/>
  <c r="E637" i="2"/>
  <c r="AB637" i="2"/>
  <c r="X637" i="2"/>
  <c r="T637" i="2"/>
  <c r="P637" i="2"/>
  <c r="L637" i="2"/>
  <c r="H637" i="2"/>
  <c r="D637" i="2"/>
  <c r="S637" i="2"/>
  <c r="J641" i="2"/>
  <c r="Z641" i="2"/>
  <c r="K643" i="2"/>
  <c r="AA643" i="2"/>
  <c r="G653" i="2"/>
  <c r="W653" i="2"/>
  <c r="G661" i="2"/>
  <c r="W661" i="2"/>
  <c r="G669" i="2"/>
  <c r="W669" i="2"/>
  <c r="G677" i="2"/>
  <c r="W677" i="2"/>
  <c r="G685" i="2"/>
  <c r="W685" i="2"/>
  <c r="AB809" i="2"/>
  <c r="X809" i="2"/>
  <c r="T809" i="2"/>
  <c r="P809" i="2"/>
  <c r="L809" i="2"/>
  <c r="H809" i="2"/>
  <c r="Z809" i="2"/>
  <c r="U809" i="2"/>
  <c r="O809" i="2"/>
  <c r="J809" i="2"/>
  <c r="E809" i="2"/>
  <c r="W809" i="2"/>
  <c r="R809" i="2"/>
  <c r="M809" i="2"/>
  <c r="G809" i="2"/>
  <c r="V809" i="2"/>
  <c r="K809" i="2"/>
  <c r="S809" i="2"/>
  <c r="I809" i="2"/>
  <c r="AA809" i="2"/>
  <c r="Q809" i="2"/>
  <c r="F809" i="2"/>
  <c r="Y819" i="2"/>
  <c r="AB1123" i="2"/>
  <c r="X1123" i="2"/>
  <c r="T1123" i="2"/>
  <c r="P1123" i="2"/>
  <c r="L1123" i="2"/>
  <c r="H1123" i="2"/>
  <c r="D1123" i="2"/>
  <c r="W1123" i="2"/>
  <c r="R1123" i="2"/>
  <c r="M1123" i="2"/>
  <c r="G1123" i="2"/>
  <c r="AA1123" i="2"/>
  <c r="V1123" i="2"/>
  <c r="Q1123" i="2"/>
  <c r="K1123" i="2"/>
  <c r="F1123" i="2"/>
  <c r="U1123" i="2"/>
  <c r="J1123" i="2"/>
  <c r="S1123" i="2"/>
  <c r="I1123" i="2"/>
  <c r="O1123" i="2"/>
  <c r="N1123" i="2"/>
  <c r="Z1123" i="2"/>
  <c r="E1123" i="2"/>
  <c r="Y1123" i="2"/>
  <c r="F635" i="2"/>
  <c r="J635" i="2"/>
  <c r="N635" i="2"/>
  <c r="R635" i="2"/>
  <c r="V635" i="2"/>
  <c r="Z635" i="2"/>
  <c r="F639" i="2"/>
  <c r="J639" i="2"/>
  <c r="N639" i="2"/>
  <c r="R639" i="2"/>
  <c r="V639" i="2"/>
  <c r="Z639" i="2"/>
  <c r="F647" i="2"/>
  <c r="J647" i="2"/>
  <c r="N647" i="2"/>
  <c r="R647" i="2"/>
  <c r="V647" i="2"/>
  <c r="Z647" i="2"/>
  <c r="F651" i="2"/>
  <c r="J651" i="2"/>
  <c r="N651" i="2"/>
  <c r="R651" i="2"/>
  <c r="V651" i="2"/>
  <c r="Z651" i="2"/>
  <c r="F655" i="2"/>
  <c r="J655" i="2"/>
  <c r="N655" i="2"/>
  <c r="R655" i="2"/>
  <c r="V655" i="2"/>
  <c r="Z655" i="2"/>
  <c r="F659" i="2"/>
  <c r="J659" i="2"/>
  <c r="N659" i="2"/>
  <c r="R659" i="2"/>
  <c r="V659" i="2"/>
  <c r="Z659" i="2"/>
  <c r="F663" i="2"/>
  <c r="J663" i="2"/>
  <c r="N663" i="2"/>
  <c r="R663" i="2"/>
  <c r="V663" i="2"/>
  <c r="Z663" i="2"/>
  <c r="F667" i="2"/>
  <c r="J667" i="2"/>
  <c r="N667" i="2"/>
  <c r="R667" i="2"/>
  <c r="V667" i="2"/>
  <c r="Z667" i="2"/>
  <c r="F671" i="2"/>
  <c r="J671" i="2"/>
  <c r="N671" i="2"/>
  <c r="R671" i="2"/>
  <c r="V671" i="2"/>
  <c r="Z671" i="2"/>
  <c r="F675" i="2"/>
  <c r="J675" i="2"/>
  <c r="N675" i="2"/>
  <c r="R675" i="2"/>
  <c r="V675" i="2"/>
  <c r="Z675" i="2"/>
  <c r="F679" i="2"/>
  <c r="J679" i="2"/>
  <c r="N679" i="2"/>
  <c r="R679" i="2"/>
  <c r="V679" i="2"/>
  <c r="Z679" i="2"/>
  <c r="F683" i="2"/>
  <c r="J683" i="2"/>
  <c r="N683" i="2"/>
  <c r="R683" i="2"/>
  <c r="V683" i="2"/>
  <c r="Z683" i="2"/>
  <c r="F687" i="2"/>
  <c r="J687" i="2"/>
  <c r="N687" i="2"/>
  <c r="R687" i="2"/>
  <c r="V687" i="2"/>
  <c r="Z687" i="2"/>
  <c r="F691" i="2"/>
  <c r="J691" i="2"/>
  <c r="N691" i="2"/>
  <c r="S691" i="2"/>
  <c r="I693" i="2"/>
  <c r="Q693" i="2"/>
  <c r="I801" i="2"/>
  <c r="K803" i="2"/>
  <c r="H811" i="2"/>
  <c r="K817" i="2"/>
  <c r="AA823" i="2"/>
  <c r="W823" i="2"/>
  <c r="S823" i="2"/>
  <c r="O823" i="2"/>
  <c r="K823" i="2"/>
  <c r="G823" i="2"/>
  <c r="Z823" i="2"/>
  <c r="U823" i="2"/>
  <c r="P823" i="2"/>
  <c r="J823" i="2"/>
  <c r="E823" i="2"/>
  <c r="V823" i="2"/>
  <c r="N823" i="2"/>
  <c r="H823" i="2"/>
  <c r="Y823" i="2"/>
  <c r="R823" i="2"/>
  <c r="L823" i="2"/>
  <c r="D823" i="2"/>
  <c r="Q823" i="2"/>
  <c r="Y827" i="2"/>
  <c r="U827" i="2"/>
  <c r="Q827" i="2"/>
  <c r="M827" i="2"/>
  <c r="I827" i="2"/>
  <c r="E827" i="2"/>
  <c r="Z827" i="2"/>
  <c r="T827" i="2"/>
  <c r="O827" i="2"/>
  <c r="J827" i="2"/>
  <c r="D827" i="2"/>
  <c r="X827" i="2"/>
  <c r="R827" i="2"/>
  <c r="K827" i="2"/>
  <c r="AB827" i="2"/>
  <c r="V827" i="2"/>
  <c r="N827" i="2"/>
  <c r="G827" i="2"/>
  <c r="P827" i="2"/>
  <c r="AB1105" i="2"/>
  <c r="X1105" i="2"/>
  <c r="T1105" i="2"/>
  <c r="P1105" i="2"/>
  <c r="L1105" i="2"/>
  <c r="H1105" i="2"/>
  <c r="D1105" i="2"/>
  <c r="Z1105" i="2"/>
  <c r="U1105" i="2"/>
  <c r="O1105" i="2"/>
  <c r="J1105" i="2"/>
  <c r="E1105" i="2"/>
  <c r="Y1105" i="2"/>
  <c r="S1105" i="2"/>
  <c r="N1105" i="2"/>
  <c r="I1105" i="2"/>
  <c r="R1105" i="2"/>
  <c r="G1105" i="2"/>
  <c r="AA1105" i="2"/>
  <c r="Q1105" i="2"/>
  <c r="F1105" i="2"/>
  <c r="V1105" i="2"/>
  <c r="M1105" i="2"/>
  <c r="K1105" i="2"/>
  <c r="G635" i="2"/>
  <c r="K635" i="2"/>
  <c r="O635" i="2"/>
  <c r="S635" i="2"/>
  <c r="W635" i="2"/>
  <c r="AA635" i="2"/>
  <c r="G639" i="2"/>
  <c r="K639" i="2"/>
  <c r="O639" i="2"/>
  <c r="S639" i="2"/>
  <c r="W639" i="2"/>
  <c r="AA639" i="2"/>
  <c r="G647" i="2"/>
  <c r="K647" i="2"/>
  <c r="O647" i="2"/>
  <c r="S647" i="2"/>
  <c r="W647" i="2"/>
  <c r="AA647" i="2"/>
  <c r="G651" i="2"/>
  <c r="K651" i="2"/>
  <c r="O651" i="2"/>
  <c r="S651" i="2"/>
  <c r="W651" i="2"/>
  <c r="AA651" i="2"/>
  <c r="G655" i="2"/>
  <c r="K655" i="2"/>
  <c r="O655" i="2"/>
  <c r="S655" i="2"/>
  <c r="W655" i="2"/>
  <c r="AA655" i="2"/>
  <c r="G659" i="2"/>
  <c r="K659" i="2"/>
  <c r="O659" i="2"/>
  <c r="S659" i="2"/>
  <c r="W659" i="2"/>
  <c r="AA659" i="2"/>
  <c r="G663" i="2"/>
  <c r="K663" i="2"/>
  <c r="O663" i="2"/>
  <c r="S663" i="2"/>
  <c r="W663" i="2"/>
  <c r="AA663" i="2"/>
  <c r="G667" i="2"/>
  <c r="K667" i="2"/>
  <c r="O667" i="2"/>
  <c r="S667" i="2"/>
  <c r="W667" i="2"/>
  <c r="AA667" i="2"/>
  <c r="G671" i="2"/>
  <c r="K671" i="2"/>
  <c r="O671" i="2"/>
  <c r="S671" i="2"/>
  <c r="W671" i="2"/>
  <c r="AA671" i="2"/>
  <c r="G675" i="2"/>
  <c r="K675" i="2"/>
  <c r="O675" i="2"/>
  <c r="S675" i="2"/>
  <c r="W675" i="2"/>
  <c r="AA675" i="2"/>
  <c r="G679" i="2"/>
  <c r="K679" i="2"/>
  <c r="O679" i="2"/>
  <c r="S679" i="2"/>
  <c r="W679" i="2"/>
  <c r="AA679" i="2"/>
  <c r="G683" i="2"/>
  <c r="K683" i="2"/>
  <c r="O683" i="2"/>
  <c r="S683" i="2"/>
  <c r="W683" i="2"/>
  <c r="AA683" i="2"/>
  <c r="G687" i="2"/>
  <c r="K687" i="2"/>
  <c r="O687" i="2"/>
  <c r="S687" i="2"/>
  <c r="W687" i="2"/>
  <c r="AA687" i="2"/>
  <c r="Z691" i="2"/>
  <c r="V691" i="2"/>
  <c r="R691" i="2"/>
  <c r="AB691" i="2"/>
  <c r="X691" i="2"/>
  <c r="T691" i="2"/>
  <c r="G691" i="2"/>
  <c r="K691" i="2"/>
  <c r="O691" i="2"/>
  <c r="U691" i="2"/>
  <c r="Y693" i="2"/>
  <c r="X693" i="2"/>
  <c r="T693" i="2"/>
  <c r="P693" i="2"/>
  <c r="L693" i="2"/>
  <c r="H693" i="2"/>
  <c r="D693" i="2"/>
  <c r="AA693" i="2"/>
  <c r="V693" i="2"/>
  <c r="R693" i="2"/>
  <c r="N693" i="2"/>
  <c r="J693" i="2"/>
  <c r="F693" i="2"/>
  <c r="K693" i="2"/>
  <c r="S693" i="2"/>
  <c r="AB693" i="2"/>
  <c r="Y803" i="2"/>
  <c r="U803" i="2"/>
  <c r="Q803" i="2"/>
  <c r="M803" i="2"/>
  <c r="I803" i="2"/>
  <c r="E803" i="2"/>
  <c r="AB803" i="2"/>
  <c r="W803" i="2"/>
  <c r="R803" i="2"/>
  <c r="L803" i="2"/>
  <c r="G803" i="2"/>
  <c r="Z803" i="2"/>
  <c r="T803" i="2"/>
  <c r="O803" i="2"/>
  <c r="J803" i="2"/>
  <c r="D803" i="2"/>
  <c r="N803" i="2"/>
  <c r="X803" i="2"/>
  <c r="Z817" i="2"/>
  <c r="V817" i="2"/>
  <c r="R817" i="2"/>
  <c r="N817" i="2"/>
  <c r="J817" i="2"/>
  <c r="F817" i="2"/>
  <c r="Y817" i="2"/>
  <c r="T817" i="2"/>
  <c r="O817" i="2"/>
  <c r="I817" i="2"/>
  <c r="D817" i="2"/>
  <c r="AB817" i="2"/>
  <c r="W817" i="2"/>
  <c r="Q817" i="2"/>
  <c r="L817" i="2"/>
  <c r="G817" i="2"/>
  <c r="M817" i="2"/>
  <c r="X817" i="2"/>
  <c r="AB825" i="2"/>
  <c r="X825" i="2"/>
  <c r="T825" i="2"/>
  <c r="P825" i="2"/>
  <c r="L825" i="2"/>
  <c r="H825" i="2"/>
  <c r="D825" i="2"/>
  <c r="Z825" i="2"/>
  <c r="U825" i="2"/>
  <c r="O825" i="2"/>
  <c r="J825" i="2"/>
  <c r="E825" i="2"/>
  <c r="W825" i="2"/>
  <c r="Q825" i="2"/>
  <c r="I825" i="2"/>
  <c r="AA825" i="2"/>
  <c r="S825" i="2"/>
  <c r="M825" i="2"/>
  <c r="F825" i="2"/>
  <c r="R825" i="2"/>
  <c r="Y835" i="2"/>
  <c r="U835" i="2"/>
  <c r="Q835" i="2"/>
  <c r="M835" i="2"/>
  <c r="I835" i="2"/>
  <c r="E835" i="2"/>
  <c r="AB835" i="2"/>
  <c r="W835" i="2"/>
  <c r="R835" i="2"/>
  <c r="L835" i="2"/>
  <c r="G835" i="2"/>
  <c r="V835" i="2"/>
  <c r="O835" i="2"/>
  <c r="H835" i="2"/>
  <c r="AA835" i="2"/>
  <c r="T835" i="2"/>
  <c r="N835" i="2"/>
  <c r="F835" i="2"/>
  <c r="Z835" i="2"/>
  <c r="S835" i="2"/>
  <c r="K835" i="2"/>
  <c r="D835" i="2"/>
  <c r="Y942" i="2"/>
  <c r="U942" i="2"/>
  <c r="Q942" i="2"/>
  <c r="M942" i="2"/>
  <c r="I942" i="2"/>
  <c r="E942" i="2"/>
  <c r="AB942" i="2"/>
  <c r="X942" i="2"/>
  <c r="T942" i="2"/>
  <c r="P942" i="2"/>
  <c r="L942" i="2"/>
  <c r="H942" i="2"/>
  <c r="D942" i="2"/>
  <c r="Z942" i="2"/>
  <c r="R942" i="2"/>
  <c r="J942" i="2"/>
  <c r="W942" i="2"/>
  <c r="O942" i="2"/>
  <c r="G942" i="2"/>
  <c r="N942" i="2"/>
  <c r="AA942" i="2"/>
  <c r="K942" i="2"/>
  <c r="V942" i="2"/>
  <c r="F942" i="2"/>
  <c r="Y1045" i="2"/>
  <c r="U1045" i="2"/>
  <c r="Q1045" i="2"/>
  <c r="M1045" i="2"/>
  <c r="I1045" i="2"/>
  <c r="E1045" i="2"/>
  <c r="X1045" i="2"/>
  <c r="S1045" i="2"/>
  <c r="N1045" i="2"/>
  <c r="H1045" i="2"/>
  <c r="AB1045" i="2"/>
  <c r="W1045" i="2"/>
  <c r="R1045" i="2"/>
  <c r="L1045" i="2"/>
  <c r="G1045" i="2"/>
  <c r="AA1045" i="2"/>
  <c r="P1045" i="2"/>
  <c r="F1045" i="2"/>
  <c r="Z1045" i="2"/>
  <c r="O1045" i="2"/>
  <c r="T1045" i="2"/>
  <c r="K1045" i="2"/>
  <c r="J1045" i="2"/>
  <c r="D635" i="2"/>
  <c r="H635" i="2"/>
  <c r="L635" i="2"/>
  <c r="P635" i="2"/>
  <c r="T635" i="2"/>
  <c r="X635" i="2"/>
  <c r="D639" i="2"/>
  <c r="H639" i="2"/>
  <c r="L639" i="2"/>
  <c r="P639" i="2"/>
  <c r="T639" i="2"/>
  <c r="X639" i="2"/>
  <c r="D647" i="2"/>
  <c r="H647" i="2"/>
  <c r="L647" i="2"/>
  <c r="P647" i="2"/>
  <c r="T647" i="2"/>
  <c r="X647" i="2"/>
  <c r="D651" i="2"/>
  <c r="H651" i="2"/>
  <c r="L651" i="2"/>
  <c r="P651" i="2"/>
  <c r="T651" i="2"/>
  <c r="X651" i="2"/>
  <c r="D655" i="2"/>
  <c r="H655" i="2"/>
  <c r="L655" i="2"/>
  <c r="P655" i="2"/>
  <c r="T655" i="2"/>
  <c r="X655" i="2"/>
  <c r="D659" i="2"/>
  <c r="H659" i="2"/>
  <c r="L659" i="2"/>
  <c r="P659" i="2"/>
  <c r="T659" i="2"/>
  <c r="X659" i="2"/>
  <c r="D663" i="2"/>
  <c r="H663" i="2"/>
  <c r="L663" i="2"/>
  <c r="P663" i="2"/>
  <c r="T663" i="2"/>
  <c r="X663" i="2"/>
  <c r="D667" i="2"/>
  <c r="H667" i="2"/>
  <c r="L667" i="2"/>
  <c r="P667" i="2"/>
  <c r="T667" i="2"/>
  <c r="X667" i="2"/>
  <c r="D671" i="2"/>
  <c r="H671" i="2"/>
  <c r="L671" i="2"/>
  <c r="P671" i="2"/>
  <c r="T671" i="2"/>
  <c r="X671" i="2"/>
  <c r="D675" i="2"/>
  <c r="H675" i="2"/>
  <c r="L675" i="2"/>
  <c r="P675" i="2"/>
  <c r="T675" i="2"/>
  <c r="X675" i="2"/>
  <c r="D679" i="2"/>
  <c r="H679" i="2"/>
  <c r="L679" i="2"/>
  <c r="P679" i="2"/>
  <c r="T679" i="2"/>
  <c r="X679" i="2"/>
  <c r="D683" i="2"/>
  <c r="H683" i="2"/>
  <c r="L683" i="2"/>
  <c r="P683" i="2"/>
  <c r="T683" i="2"/>
  <c r="X683" i="2"/>
  <c r="D687" i="2"/>
  <c r="H687" i="2"/>
  <c r="L687" i="2"/>
  <c r="P687" i="2"/>
  <c r="T687" i="2"/>
  <c r="X687" i="2"/>
  <c r="D691" i="2"/>
  <c r="H691" i="2"/>
  <c r="L691" i="2"/>
  <c r="P691" i="2"/>
  <c r="W691" i="2"/>
  <c r="E693" i="2"/>
  <c r="M693" i="2"/>
  <c r="U693" i="2"/>
  <c r="AB801" i="2"/>
  <c r="X801" i="2"/>
  <c r="T801" i="2"/>
  <c r="P801" i="2"/>
  <c r="L801" i="2"/>
  <c r="H801" i="2"/>
  <c r="D801" i="2"/>
  <c r="W801" i="2"/>
  <c r="R801" i="2"/>
  <c r="M801" i="2"/>
  <c r="G801" i="2"/>
  <c r="Z801" i="2"/>
  <c r="U801" i="2"/>
  <c r="O801" i="2"/>
  <c r="J801" i="2"/>
  <c r="E801" i="2"/>
  <c r="N801" i="2"/>
  <c r="Y801" i="2"/>
  <c r="F803" i="2"/>
  <c r="P803" i="2"/>
  <c r="AA803" i="2"/>
  <c r="Y811" i="2"/>
  <c r="U811" i="2"/>
  <c r="Q811" i="2"/>
  <c r="M811" i="2"/>
  <c r="I811" i="2"/>
  <c r="E811" i="2"/>
  <c r="Z811" i="2"/>
  <c r="T811" i="2"/>
  <c r="O811" i="2"/>
  <c r="J811" i="2"/>
  <c r="D811" i="2"/>
  <c r="AB811" i="2"/>
  <c r="W811" i="2"/>
  <c r="R811" i="2"/>
  <c r="L811" i="2"/>
  <c r="G811" i="2"/>
  <c r="N811" i="2"/>
  <c r="X811" i="2"/>
  <c r="E817" i="2"/>
  <c r="P817" i="2"/>
  <c r="AA817" i="2"/>
  <c r="G825" i="2"/>
  <c r="V825" i="2"/>
  <c r="AB833" i="2"/>
  <c r="X833" i="2"/>
  <c r="T833" i="2"/>
  <c r="P833" i="2"/>
  <c r="L833" i="2"/>
  <c r="H833" i="2"/>
  <c r="D833" i="2"/>
  <c r="W833" i="2"/>
  <c r="R833" i="2"/>
  <c r="M833" i="2"/>
  <c r="G833" i="2"/>
  <c r="V833" i="2"/>
  <c r="O833" i="2"/>
  <c r="I833" i="2"/>
  <c r="AA833" i="2"/>
  <c r="U833" i="2"/>
  <c r="Z833" i="2"/>
  <c r="S833" i="2"/>
  <c r="K833" i="2"/>
  <c r="E833" i="2"/>
  <c r="Q833" i="2"/>
  <c r="J835" i="2"/>
  <c r="Z837" i="2"/>
  <c r="V837" i="2"/>
  <c r="R837" i="2"/>
  <c r="N837" i="2"/>
  <c r="J837" i="2"/>
  <c r="F837" i="2"/>
  <c r="AA837" i="2"/>
  <c r="U837" i="2"/>
  <c r="P837" i="2"/>
  <c r="K837" i="2"/>
  <c r="E837" i="2"/>
  <c r="W837" i="2"/>
  <c r="O837" i="2"/>
  <c r="H837" i="2"/>
  <c r="AB837" i="2"/>
  <c r="T837" i="2"/>
  <c r="M837" i="2"/>
  <c r="G837" i="2"/>
  <c r="Y837" i="2"/>
  <c r="S837" i="2"/>
  <c r="L837" i="2"/>
  <c r="D837" i="2"/>
  <c r="Y930" i="2"/>
  <c r="U930" i="2"/>
  <c r="Q930" i="2"/>
  <c r="M930" i="2"/>
  <c r="I930" i="2"/>
  <c r="E930" i="2"/>
  <c r="AB930" i="2"/>
  <c r="X930" i="2"/>
  <c r="T930" i="2"/>
  <c r="P930" i="2"/>
  <c r="L930" i="2"/>
  <c r="H930" i="2"/>
  <c r="D930" i="2"/>
  <c r="W930" i="2"/>
  <c r="O930" i="2"/>
  <c r="G930" i="2"/>
  <c r="V930" i="2"/>
  <c r="N930" i="2"/>
  <c r="F930" i="2"/>
  <c r="R930" i="2"/>
  <c r="AA930" i="2"/>
  <c r="K930" i="2"/>
  <c r="Z930" i="2"/>
  <c r="J930" i="2"/>
  <c r="S942" i="2"/>
  <c r="V1045" i="2"/>
  <c r="Y1069" i="2"/>
  <c r="U1069" i="2"/>
  <c r="Q1069" i="2"/>
  <c r="M1069" i="2"/>
  <c r="I1069" i="2"/>
  <c r="E1069" i="2"/>
  <c r="AA1069" i="2"/>
  <c r="V1069" i="2"/>
  <c r="P1069" i="2"/>
  <c r="K1069" i="2"/>
  <c r="F1069" i="2"/>
  <c r="Z1069" i="2"/>
  <c r="T1069" i="2"/>
  <c r="O1069" i="2"/>
  <c r="J1069" i="2"/>
  <c r="D1069" i="2"/>
  <c r="S1069" i="2"/>
  <c r="H1069" i="2"/>
  <c r="AB1069" i="2"/>
  <c r="R1069" i="2"/>
  <c r="G1069" i="2"/>
  <c r="W1069" i="2"/>
  <c r="K9" i="3"/>
  <c r="K10" i="3" s="1"/>
  <c r="K11" i="3" s="1"/>
  <c r="N1069" i="2"/>
  <c r="L1069" i="2"/>
  <c r="F697" i="2"/>
  <c r="K697" i="2"/>
  <c r="P697" i="2"/>
  <c r="V697" i="2"/>
  <c r="F701" i="2"/>
  <c r="K701" i="2"/>
  <c r="P701" i="2"/>
  <c r="V701" i="2"/>
  <c r="E799" i="2"/>
  <c r="J799" i="2"/>
  <c r="P799" i="2"/>
  <c r="U799" i="2"/>
  <c r="Z805" i="2"/>
  <c r="V805" i="2"/>
  <c r="R805" i="2"/>
  <c r="N805" i="2"/>
  <c r="J805" i="2"/>
  <c r="F805" i="2"/>
  <c r="H805" i="2"/>
  <c r="M805" i="2"/>
  <c r="S805" i="2"/>
  <c r="X805" i="2"/>
  <c r="AA807" i="2"/>
  <c r="W807" i="2"/>
  <c r="S807" i="2"/>
  <c r="O807" i="2"/>
  <c r="K807" i="2"/>
  <c r="G807" i="2"/>
  <c r="H807" i="2"/>
  <c r="M807" i="2"/>
  <c r="R807" i="2"/>
  <c r="X807" i="2"/>
  <c r="U813" i="2"/>
  <c r="F815" i="2"/>
  <c r="K815" i="2"/>
  <c r="Q815" i="2"/>
  <c r="V815" i="2"/>
  <c r="Z821" i="2"/>
  <c r="AA821" i="2"/>
  <c r="V821" i="2"/>
  <c r="R821" i="2"/>
  <c r="N821" i="2"/>
  <c r="J821" i="2"/>
  <c r="F821" i="2"/>
  <c r="H821" i="2"/>
  <c r="M821" i="2"/>
  <c r="S821" i="2"/>
  <c r="X821" i="2"/>
  <c r="N839" i="2"/>
  <c r="Y854" i="2"/>
  <c r="U854" i="2"/>
  <c r="Q854" i="2"/>
  <c r="M854" i="2"/>
  <c r="I854" i="2"/>
  <c r="E854" i="2"/>
  <c r="AB854" i="2"/>
  <c r="W854" i="2"/>
  <c r="R854" i="2"/>
  <c r="L854" i="2"/>
  <c r="G854" i="2"/>
  <c r="AA854" i="2"/>
  <c r="V854" i="2"/>
  <c r="P854" i="2"/>
  <c r="K854" i="2"/>
  <c r="F854" i="2"/>
  <c r="N854" i="2"/>
  <c r="X854" i="2"/>
  <c r="H858" i="2"/>
  <c r="Y862" i="2"/>
  <c r="U862" i="2"/>
  <c r="Q862" i="2"/>
  <c r="M862" i="2"/>
  <c r="I862" i="2"/>
  <c r="E862" i="2"/>
  <c r="AB862" i="2"/>
  <c r="W862" i="2"/>
  <c r="R862" i="2"/>
  <c r="L862" i="2"/>
  <c r="G862" i="2"/>
  <c r="AA862" i="2"/>
  <c r="V862" i="2"/>
  <c r="P862" i="2"/>
  <c r="K862" i="2"/>
  <c r="F862" i="2"/>
  <c r="N862" i="2"/>
  <c r="X862" i="2"/>
  <c r="H866" i="2"/>
  <c r="Y870" i="2"/>
  <c r="U870" i="2"/>
  <c r="Q870" i="2"/>
  <c r="M870" i="2"/>
  <c r="I870" i="2"/>
  <c r="E870" i="2"/>
  <c r="AB870" i="2"/>
  <c r="W870" i="2"/>
  <c r="R870" i="2"/>
  <c r="L870" i="2"/>
  <c r="G870" i="2"/>
  <c r="AA870" i="2"/>
  <c r="V870" i="2"/>
  <c r="P870" i="2"/>
  <c r="K870" i="2"/>
  <c r="F870" i="2"/>
  <c r="N870" i="2"/>
  <c r="X870" i="2"/>
  <c r="H874" i="2"/>
  <c r="Y878" i="2"/>
  <c r="U878" i="2"/>
  <c r="Q878" i="2"/>
  <c r="M878" i="2"/>
  <c r="I878" i="2"/>
  <c r="E878" i="2"/>
  <c r="AB878" i="2"/>
  <c r="W878" i="2"/>
  <c r="R878" i="2"/>
  <c r="L878" i="2"/>
  <c r="G878" i="2"/>
  <c r="AA878" i="2"/>
  <c r="V878" i="2"/>
  <c r="P878" i="2"/>
  <c r="K878" i="2"/>
  <c r="F878" i="2"/>
  <c r="N878" i="2"/>
  <c r="X878" i="2"/>
  <c r="H882" i="2"/>
  <c r="Y886" i="2"/>
  <c r="U886" i="2"/>
  <c r="Q886" i="2"/>
  <c r="M886" i="2"/>
  <c r="I886" i="2"/>
  <c r="E886" i="2"/>
  <c r="AB886" i="2"/>
  <c r="W886" i="2"/>
  <c r="R886" i="2"/>
  <c r="L886" i="2"/>
  <c r="G886" i="2"/>
  <c r="AA886" i="2"/>
  <c r="V886" i="2"/>
  <c r="P886" i="2"/>
  <c r="K886" i="2"/>
  <c r="F886" i="2"/>
  <c r="N886" i="2"/>
  <c r="X886" i="2"/>
  <c r="H890" i="2"/>
  <c r="Y894" i="2"/>
  <c r="U894" i="2"/>
  <c r="Q894" i="2"/>
  <c r="M894" i="2"/>
  <c r="I894" i="2"/>
  <c r="E894" i="2"/>
  <c r="AB894" i="2"/>
  <c r="W894" i="2"/>
  <c r="R894" i="2"/>
  <c r="L894" i="2"/>
  <c r="G894" i="2"/>
  <c r="AA894" i="2"/>
  <c r="V894" i="2"/>
  <c r="P894" i="2"/>
  <c r="K894" i="2"/>
  <c r="F894" i="2"/>
  <c r="N894" i="2"/>
  <c r="X894" i="2"/>
  <c r="H898" i="2"/>
  <c r="Y902" i="2"/>
  <c r="U902" i="2"/>
  <c r="Q902" i="2"/>
  <c r="M902" i="2"/>
  <c r="I902" i="2"/>
  <c r="E902" i="2"/>
  <c r="AB902" i="2"/>
  <c r="W902" i="2"/>
  <c r="R902" i="2"/>
  <c r="L902" i="2"/>
  <c r="G902" i="2"/>
  <c r="AA902" i="2"/>
  <c r="V902" i="2"/>
  <c r="P902" i="2"/>
  <c r="K902" i="2"/>
  <c r="F902" i="2"/>
  <c r="N902" i="2"/>
  <c r="X902" i="2"/>
  <c r="Y914" i="2"/>
  <c r="U914" i="2"/>
  <c r="Q914" i="2"/>
  <c r="M914" i="2"/>
  <c r="I914" i="2"/>
  <c r="E914" i="2"/>
  <c r="AB914" i="2"/>
  <c r="X914" i="2"/>
  <c r="T914" i="2"/>
  <c r="P914" i="2"/>
  <c r="L914" i="2"/>
  <c r="H914" i="2"/>
  <c r="D914" i="2"/>
  <c r="W914" i="2"/>
  <c r="O914" i="2"/>
  <c r="G914" i="2"/>
  <c r="V914" i="2"/>
  <c r="N914" i="2"/>
  <c r="F914" i="2"/>
  <c r="S914" i="2"/>
  <c r="Y926" i="2"/>
  <c r="U926" i="2"/>
  <c r="Q926" i="2"/>
  <c r="M926" i="2"/>
  <c r="I926" i="2"/>
  <c r="E926" i="2"/>
  <c r="AB926" i="2"/>
  <c r="X926" i="2"/>
  <c r="T926" i="2"/>
  <c r="P926" i="2"/>
  <c r="L926" i="2"/>
  <c r="H926" i="2"/>
  <c r="D926" i="2"/>
  <c r="Z926" i="2"/>
  <c r="R926" i="2"/>
  <c r="J926" i="2"/>
  <c r="W926" i="2"/>
  <c r="O926" i="2"/>
  <c r="G926" i="2"/>
  <c r="S926" i="2"/>
  <c r="K946" i="2"/>
  <c r="K958" i="2"/>
  <c r="Z1059" i="2"/>
  <c r="V1059" i="2"/>
  <c r="R1059" i="2"/>
  <c r="N1059" i="2"/>
  <c r="J1059" i="2"/>
  <c r="F1059" i="2"/>
  <c r="AA1059" i="2"/>
  <c r="U1059" i="2"/>
  <c r="P1059" i="2"/>
  <c r="K1059" i="2"/>
  <c r="E1059" i="2"/>
  <c r="Y1059" i="2"/>
  <c r="T1059" i="2"/>
  <c r="O1059" i="2"/>
  <c r="I1059" i="2"/>
  <c r="D1059" i="2"/>
  <c r="S1059" i="2"/>
  <c r="H1059" i="2"/>
  <c r="AB1059" i="2"/>
  <c r="Q1059" i="2"/>
  <c r="G1059" i="2"/>
  <c r="X1059" i="2"/>
  <c r="Y1077" i="2"/>
  <c r="U1077" i="2"/>
  <c r="Q1077" i="2"/>
  <c r="M1077" i="2"/>
  <c r="I1077" i="2"/>
  <c r="E1077" i="2"/>
  <c r="X1077" i="2"/>
  <c r="S1077" i="2"/>
  <c r="N1077" i="2"/>
  <c r="H1077" i="2"/>
  <c r="AB1077" i="2"/>
  <c r="W1077" i="2"/>
  <c r="R1077" i="2"/>
  <c r="L1077" i="2"/>
  <c r="G1077" i="2"/>
  <c r="AA1077" i="2"/>
  <c r="P1077" i="2"/>
  <c r="F1077" i="2"/>
  <c r="Z1077" i="2"/>
  <c r="O1077" i="2"/>
  <c r="D1077" i="2"/>
  <c r="V1077" i="2"/>
  <c r="Z1101" i="2"/>
  <c r="V1101" i="2"/>
  <c r="R1101" i="2"/>
  <c r="N1101" i="2"/>
  <c r="J1101" i="2"/>
  <c r="F1101" i="2"/>
  <c r="AA1101" i="2"/>
  <c r="U1101" i="2"/>
  <c r="P1101" i="2"/>
  <c r="K1101" i="2"/>
  <c r="E1101" i="2"/>
  <c r="Y1101" i="2"/>
  <c r="T1101" i="2"/>
  <c r="O1101" i="2"/>
  <c r="I1101" i="2"/>
  <c r="D1101" i="2"/>
  <c r="S1101" i="2"/>
  <c r="H1101" i="2"/>
  <c r="AB1101" i="2"/>
  <c r="Q1101" i="2"/>
  <c r="G1101" i="2"/>
  <c r="X1101" i="2"/>
  <c r="AB1223" i="2"/>
  <c r="X1223" i="2"/>
  <c r="T1223" i="2"/>
  <c r="P1223" i="2"/>
  <c r="L1223" i="2"/>
  <c r="H1223" i="2"/>
  <c r="D1223" i="2"/>
  <c r="W1223" i="2"/>
  <c r="R1223" i="2"/>
  <c r="M1223" i="2"/>
  <c r="G1223" i="2"/>
  <c r="AA1223" i="2"/>
  <c r="V1223" i="2"/>
  <c r="Q1223" i="2"/>
  <c r="K1223" i="2"/>
  <c r="F1223" i="2"/>
  <c r="Z1223" i="2"/>
  <c r="U1223" i="2"/>
  <c r="O1223" i="2"/>
  <c r="J1223" i="2"/>
  <c r="E1223" i="2"/>
  <c r="N1223" i="2"/>
  <c r="I1223" i="2"/>
  <c r="Y1223" i="2"/>
  <c r="S1223" i="2"/>
  <c r="Y910" i="2"/>
  <c r="U910" i="2"/>
  <c r="Q910" i="2"/>
  <c r="M910" i="2"/>
  <c r="I910" i="2"/>
  <c r="E910" i="2"/>
  <c r="AB910" i="2"/>
  <c r="X910" i="2"/>
  <c r="T910" i="2"/>
  <c r="P910" i="2"/>
  <c r="L910" i="2"/>
  <c r="H910" i="2"/>
  <c r="D910" i="2"/>
  <c r="Z910" i="2"/>
  <c r="R910" i="2"/>
  <c r="J910" i="2"/>
  <c r="W910" i="2"/>
  <c r="O910" i="2"/>
  <c r="G910" i="2"/>
  <c r="S910" i="2"/>
  <c r="Z1047" i="2"/>
  <c r="V1047" i="2"/>
  <c r="R1047" i="2"/>
  <c r="N1047" i="2"/>
  <c r="J1047" i="2"/>
  <c r="F1047" i="2"/>
  <c r="AB1047" i="2"/>
  <c r="W1047" i="2"/>
  <c r="Q1047" i="2"/>
  <c r="L1047" i="2"/>
  <c r="G1047" i="2"/>
  <c r="AA1047" i="2"/>
  <c r="U1047" i="2"/>
  <c r="P1047" i="2"/>
  <c r="K1047" i="2"/>
  <c r="E1047" i="2"/>
  <c r="S1047" i="2"/>
  <c r="H1047" i="2"/>
  <c r="Y1047" i="2"/>
  <c r="O1047" i="2"/>
  <c r="D1047" i="2"/>
  <c r="X1047" i="2"/>
  <c r="J1163" i="2"/>
  <c r="E1163" i="2"/>
  <c r="I1163" i="2"/>
  <c r="G9" i="3"/>
  <c r="G10" i="3" s="1"/>
  <c r="G11" i="3" s="1"/>
  <c r="G1163" i="2"/>
  <c r="L1163" i="2"/>
  <c r="F1163" i="2"/>
  <c r="Y697" i="2"/>
  <c r="U697" i="2"/>
  <c r="Q697" i="2"/>
  <c r="M697" i="2"/>
  <c r="I697" i="2"/>
  <c r="E697" i="2"/>
  <c r="H697" i="2"/>
  <c r="N697" i="2"/>
  <c r="S697" i="2"/>
  <c r="X697" i="2"/>
  <c r="Y701" i="2"/>
  <c r="U701" i="2"/>
  <c r="Q701" i="2"/>
  <c r="M701" i="2"/>
  <c r="I701" i="2"/>
  <c r="E701" i="2"/>
  <c r="H701" i="2"/>
  <c r="N701" i="2"/>
  <c r="S701" i="2"/>
  <c r="X701" i="2"/>
  <c r="AA799" i="2"/>
  <c r="W799" i="2"/>
  <c r="S799" i="2"/>
  <c r="O799" i="2"/>
  <c r="K799" i="2"/>
  <c r="G799" i="2"/>
  <c r="H799" i="2"/>
  <c r="M799" i="2"/>
  <c r="R799" i="2"/>
  <c r="X799" i="2"/>
  <c r="U805" i="2"/>
  <c r="AA805" i="2"/>
  <c r="J807" i="2"/>
  <c r="P807" i="2"/>
  <c r="U807" i="2"/>
  <c r="Z807" i="2"/>
  <c r="Z813" i="2"/>
  <c r="V813" i="2"/>
  <c r="R813" i="2"/>
  <c r="N813" i="2"/>
  <c r="J813" i="2"/>
  <c r="F813" i="2"/>
  <c r="H813" i="2"/>
  <c r="M813" i="2"/>
  <c r="S813" i="2"/>
  <c r="X813" i="2"/>
  <c r="AB815" i="2"/>
  <c r="X815" i="2"/>
  <c r="T815" i="2"/>
  <c r="P815" i="2"/>
  <c r="L815" i="2"/>
  <c r="H815" i="2"/>
  <c r="D815" i="2"/>
  <c r="I815" i="2"/>
  <c r="N815" i="2"/>
  <c r="S815" i="2"/>
  <c r="Y815" i="2"/>
  <c r="K821" i="2"/>
  <c r="P821" i="2"/>
  <c r="U821" i="2"/>
  <c r="AB821" i="2"/>
  <c r="AB839" i="2"/>
  <c r="X839" i="2"/>
  <c r="T839" i="2"/>
  <c r="P839" i="2"/>
  <c r="L839" i="2"/>
  <c r="H839" i="2"/>
  <c r="D839" i="2"/>
  <c r="AA839" i="2"/>
  <c r="V839" i="2"/>
  <c r="Q839" i="2"/>
  <c r="K839" i="2"/>
  <c r="F839" i="2"/>
  <c r="J839" i="2"/>
  <c r="R839" i="2"/>
  <c r="Y839" i="2"/>
  <c r="Y858" i="2"/>
  <c r="U858" i="2"/>
  <c r="Q858" i="2"/>
  <c r="M858" i="2"/>
  <c r="I858" i="2"/>
  <c r="E858" i="2"/>
  <c r="AB858" i="2"/>
  <c r="W858" i="2"/>
  <c r="R858" i="2"/>
  <c r="L858" i="2"/>
  <c r="G858" i="2"/>
  <c r="AA858" i="2"/>
  <c r="V858" i="2"/>
  <c r="P858" i="2"/>
  <c r="K858" i="2"/>
  <c r="F858" i="2"/>
  <c r="N858" i="2"/>
  <c r="X858" i="2"/>
  <c r="Y866" i="2"/>
  <c r="U866" i="2"/>
  <c r="Q866" i="2"/>
  <c r="M866" i="2"/>
  <c r="I866" i="2"/>
  <c r="E866" i="2"/>
  <c r="AB866" i="2"/>
  <c r="W866" i="2"/>
  <c r="R866" i="2"/>
  <c r="L866" i="2"/>
  <c r="G866" i="2"/>
  <c r="AA866" i="2"/>
  <c r="V866" i="2"/>
  <c r="P866" i="2"/>
  <c r="K866" i="2"/>
  <c r="F866" i="2"/>
  <c r="N866" i="2"/>
  <c r="X866" i="2"/>
  <c r="Y874" i="2"/>
  <c r="U874" i="2"/>
  <c r="Q874" i="2"/>
  <c r="M874" i="2"/>
  <c r="I874" i="2"/>
  <c r="E874" i="2"/>
  <c r="AB874" i="2"/>
  <c r="W874" i="2"/>
  <c r="R874" i="2"/>
  <c r="L874" i="2"/>
  <c r="G874" i="2"/>
  <c r="AA874" i="2"/>
  <c r="V874" i="2"/>
  <c r="P874" i="2"/>
  <c r="K874" i="2"/>
  <c r="F874" i="2"/>
  <c r="N874" i="2"/>
  <c r="X874" i="2"/>
  <c r="Y882" i="2"/>
  <c r="U882" i="2"/>
  <c r="Q882" i="2"/>
  <c r="M882" i="2"/>
  <c r="I882" i="2"/>
  <c r="E882" i="2"/>
  <c r="AB882" i="2"/>
  <c r="W882" i="2"/>
  <c r="R882" i="2"/>
  <c r="L882" i="2"/>
  <c r="G882" i="2"/>
  <c r="AA882" i="2"/>
  <c r="V882" i="2"/>
  <c r="P882" i="2"/>
  <c r="K882" i="2"/>
  <c r="F882" i="2"/>
  <c r="N882" i="2"/>
  <c r="X882" i="2"/>
  <c r="Y890" i="2"/>
  <c r="U890" i="2"/>
  <c r="Q890" i="2"/>
  <c r="M890" i="2"/>
  <c r="I890" i="2"/>
  <c r="E890" i="2"/>
  <c r="AB890" i="2"/>
  <c r="W890" i="2"/>
  <c r="R890" i="2"/>
  <c r="L890" i="2"/>
  <c r="G890" i="2"/>
  <c r="AA890" i="2"/>
  <c r="V890" i="2"/>
  <c r="P890" i="2"/>
  <c r="K890" i="2"/>
  <c r="F890" i="2"/>
  <c r="N890" i="2"/>
  <c r="X890" i="2"/>
  <c r="Y898" i="2"/>
  <c r="U898" i="2"/>
  <c r="Q898" i="2"/>
  <c r="M898" i="2"/>
  <c r="I898" i="2"/>
  <c r="E898" i="2"/>
  <c r="AB898" i="2"/>
  <c r="W898" i="2"/>
  <c r="R898" i="2"/>
  <c r="L898" i="2"/>
  <c r="G898" i="2"/>
  <c r="AA898" i="2"/>
  <c r="V898" i="2"/>
  <c r="P898" i="2"/>
  <c r="K898" i="2"/>
  <c r="F898" i="2"/>
  <c r="N898" i="2"/>
  <c r="X898" i="2"/>
  <c r="F910" i="2"/>
  <c r="V910" i="2"/>
  <c r="Y946" i="2"/>
  <c r="U946" i="2"/>
  <c r="Q946" i="2"/>
  <c r="M946" i="2"/>
  <c r="I946" i="2"/>
  <c r="E946" i="2"/>
  <c r="AB946" i="2"/>
  <c r="X946" i="2"/>
  <c r="T946" i="2"/>
  <c r="P946" i="2"/>
  <c r="L946" i="2"/>
  <c r="H946" i="2"/>
  <c r="D946" i="2"/>
  <c r="W946" i="2"/>
  <c r="O946" i="2"/>
  <c r="G946" i="2"/>
  <c r="V946" i="2"/>
  <c r="N946" i="2"/>
  <c r="F946" i="2"/>
  <c r="S946" i="2"/>
  <c r="Y958" i="2"/>
  <c r="U958" i="2"/>
  <c r="Q958" i="2"/>
  <c r="M958" i="2"/>
  <c r="I958" i="2"/>
  <c r="E958" i="2"/>
  <c r="AB958" i="2"/>
  <c r="X958" i="2"/>
  <c r="T958" i="2"/>
  <c r="P958" i="2"/>
  <c r="L958" i="2"/>
  <c r="H958" i="2"/>
  <c r="D958" i="2"/>
  <c r="Z958" i="2"/>
  <c r="R958" i="2"/>
  <c r="J958" i="2"/>
  <c r="W958" i="2"/>
  <c r="O958" i="2"/>
  <c r="G958" i="2"/>
  <c r="S958" i="2"/>
  <c r="B11" i="3"/>
  <c r="AB1039" i="2"/>
  <c r="X1039" i="2"/>
  <c r="T1039" i="2"/>
  <c r="P1039" i="2"/>
  <c r="L1039" i="2"/>
  <c r="H1039" i="2"/>
  <c r="D1039" i="2"/>
  <c r="W1039" i="2"/>
  <c r="R1039" i="2"/>
  <c r="M1039" i="2"/>
  <c r="G1039" i="2"/>
  <c r="AA1039" i="2"/>
  <c r="V1039" i="2"/>
  <c r="Q1039" i="2"/>
  <c r="K1039" i="2"/>
  <c r="F1039" i="2"/>
  <c r="U1039" i="2"/>
  <c r="J1039" i="2"/>
  <c r="S1039" i="2"/>
  <c r="I1039" i="2"/>
  <c r="Y1039" i="2"/>
  <c r="I1047" i="2"/>
  <c r="AB1119" i="2"/>
  <c r="X1119" i="2"/>
  <c r="T1119" i="2"/>
  <c r="P1119" i="2"/>
  <c r="L1119" i="2"/>
  <c r="H1119" i="2"/>
  <c r="D1119" i="2"/>
  <c r="AA1119" i="2"/>
  <c r="V1119" i="2"/>
  <c r="Q1119" i="2"/>
  <c r="K1119" i="2"/>
  <c r="F1119" i="2"/>
  <c r="Z1119" i="2"/>
  <c r="U1119" i="2"/>
  <c r="O1119" i="2"/>
  <c r="J1119" i="2"/>
  <c r="E1119" i="2"/>
  <c r="S1119" i="2"/>
  <c r="I1119" i="2"/>
  <c r="R1119" i="2"/>
  <c r="G1119" i="2"/>
  <c r="Y1119" i="2"/>
  <c r="N1163" i="2"/>
  <c r="Z1335" i="2"/>
  <c r="V1335" i="2"/>
  <c r="R1335" i="2"/>
  <c r="N1335" i="2"/>
  <c r="J1335" i="2"/>
  <c r="F1335" i="2"/>
  <c r="Y1335" i="2"/>
  <c r="U1335" i="2"/>
  <c r="Q1335" i="2"/>
  <c r="M1335" i="2"/>
  <c r="I1335" i="2"/>
  <c r="E1335" i="2"/>
  <c r="W1335" i="2"/>
  <c r="O1335" i="2"/>
  <c r="G1335" i="2"/>
  <c r="AB1335" i="2"/>
  <c r="T1335" i="2"/>
  <c r="L1335" i="2"/>
  <c r="D1335" i="2"/>
  <c r="P1335" i="2"/>
  <c r="AA1335" i="2"/>
  <c r="K1335" i="2"/>
  <c r="X1335" i="2"/>
  <c r="H1335" i="2"/>
  <c r="S1335" i="2"/>
  <c r="G695" i="2"/>
  <c r="K695" i="2"/>
  <c r="O695" i="2"/>
  <c r="S695" i="2"/>
  <c r="W695" i="2"/>
  <c r="G699" i="2"/>
  <c r="K699" i="2"/>
  <c r="O699" i="2"/>
  <c r="S699" i="2"/>
  <c r="W699" i="2"/>
  <c r="Z829" i="2"/>
  <c r="V829" i="2"/>
  <c r="R829" i="2"/>
  <c r="N829" i="2"/>
  <c r="J829" i="2"/>
  <c r="F829" i="2"/>
  <c r="H829" i="2"/>
  <c r="M829" i="2"/>
  <c r="S829" i="2"/>
  <c r="X829" i="2"/>
  <c r="AA831" i="2"/>
  <c r="W831" i="2"/>
  <c r="S831" i="2"/>
  <c r="O831" i="2"/>
  <c r="K831" i="2"/>
  <c r="G831" i="2"/>
  <c r="H831" i="2"/>
  <c r="M831" i="2"/>
  <c r="R831" i="2"/>
  <c r="X831" i="2"/>
  <c r="J906" i="2"/>
  <c r="R906" i="2"/>
  <c r="Y918" i="2"/>
  <c r="U918" i="2"/>
  <c r="Q918" i="2"/>
  <c r="M918" i="2"/>
  <c r="I918" i="2"/>
  <c r="E918" i="2"/>
  <c r="AB918" i="2"/>
  <c r="X918" i="2"/>
  <c r="T918" i="2"/>
  <c r="P918" i="2"/>
  <c r="L918" i="2"/>
  <c r="H918" i="2"/>
  <c r="D918" i="2"/>
  <c r="K918" i="2"/>
  <c r="S918" i="2"/>
  <c r="AA918" i="2"/>
  <c r="J922" i="2"/>
  <c r="R922" i="2"/>
  <c r="Y934" i="2"/>
  <c r="U934" i="2"/>
  <c r="Q934" i="2"/>
  <c r="M934" i="2"/>
  <c r="I934" i="2"/>
  <c r="E934" i="2"/>
  <c r="AB934" i="2"/>
  <c r="X934" i="2"/>
  <c r="T934" i="2"/>
  <c r="P934" i="2"/>
  <c r="L934" i="2"/>
  <c r="H934" i="2"/>
  <c r="D934" i="2"/>
  <c r="K934" i="2"/>
  <c r="S934" i="2"/>
  <c r="AA934" i="2"/>
  <c r="J938" i="2"/>
  <c r="R938" i="2"/>
  <c r="Y950" i="2"/>
  <c r="U950" i="2"/>
  <c r="Q950" i="2"/>
  <c r="M950" i="2"/>
  <c r="I950" i="2"/>
  <c r="E950" i="2"/>
  <c r="AB950" i="2"/>
  <c r="X950" i="2"/>
  <c r="T950" i="2"/>
  <c r="P950" i="2"/>
  <c r="L950" i="2"/>
  <c r="H950" i="2"/>
  <c r="D950" i="2"/>
  <c r="K950" i="2"/>
  <c r="S950" i="2"/>
  <c r="AA950" i="2"/>
  <c r="J954" i="2"/>
  <c r="R954" i="2"/>
  <c r="J1049" i="2"/>
  <c r="AB1075" i="2"/>
  <c r="X1075" i="2"/>
  <c r="T1075" i="2"/>
  <c r="P1075" i="2"/>
  <c r="L1075" i="2"/>
  <c r="H1075" i="2"/>
  <c r="D1075" i="2"/>
  <c r="Y1075" i="2"/>
  <c r="S1075" i="2"/>
  <c r="N1075" i="2"/>
  <c r="I1075" i="2"/>
  <c r="W1075" i="2"/>
  <c r="R1075" i="2"/>
  <c r="M1075" i="2"/>
  <c r="G1075" i="2"/>
  <c r="K1075" i="2"/>
  <c r="V1075" i="2"/>
  <c r="R9" i="3"/>
  <c r="R10" i="3" s="1"/>
  <c r="R11" i="3" s="1"/>
  <c r="J1097" i="2"/>
  <c r="Y1099" i="2"/>
  <c r="U1099" i="2"/>
  <c r="Q1099" i="2"/>
  <c r="M1099" i="2"/>
  <c r="I1099" i="2"/>
  <c r="E1099" i="2"/>
  <c r="AB1099" i="2"/>
  <c r="W1099" i="2"/>
  <c r="R1099" i="2"/>
  <c r="L1099" i="2"/>
  <c r="G1099" i="2"/>
  <c r="AA1099" i="2"/>
  <c r="V1099" i="2"/>
  <c r="P1099" i="2"/>
  <c r="K1099" i="2"/>
  <c r="F1099" i="2"/>
  <c r="N1099" i="2"/>
  <c r="X1099" i="2"/>
  <c r="L1103" i="2"/>
  <c r="K1107" i="2"/>
  <c r="L1117" i="2"/>
  <c r="Z1121" i="2"/>
  <c r="V1121" i="2"/>
  <c r="R1121" i="2"/>
  <c r="N1121" i="2"/>
  <c r="J1121" i="2"/>
  <c r="F1121" i="2"/>
  <c r="AB1121" i="2"/>
  <c r="W1121" i="2"/>
  <c r="Q1121" i="2"/>
  <c r="L1121" i="2"/>
  <c r="G1121" i="2"/>
  <c r="AA1121" i="2"/>
  <c r="U1121" i="2"/>
  <c r="P1121" i="2"/>
  <c r="K1121" i="2"/>
  <c r="E1121" i="2"/>
  <c r="M1121" i="2"/>
  <c r="X1121" i="2"/>
  <c r="Z1221" i="2"/>
  <c r="V1221" i="2"/>
  <c r="R1221" i="2"/>
  <c r="N1221" i="2"/>
  <c r="J1221" i="2"/>
  <c r="F1221" i="2"/>
  <c r="AB1221" i="2"/>
  <c r="W1221" i="2"/>
  <c r="Q1221" i="2"/>
  <c r="L1221" i="2"/>
  <c r="G1221" i="2"/>
  <c r="AA1221" i="2"/>
  <c r="U1221" i="2"/>
  <c r="P1221" i="2"/>
  <c r="K1221" i="2"/>
  <c r="E1221" i="2"/>
  <c r="Y1221" i="2"/>
  <c r="T1221" i="2"/>
  <c r="O1221" i="2"/>
  <c r="I1221" i="2"/>
  <c r="D1221" i="2"/>
  <c r="S1221" i="2"/>
  <c r="M1221" i="2"/>
  <c r="Y1267" i="2"/>
  <c r="U1267" i="2"/>
  <c r="Q1267" i="2"/>
  <c r="M1267" i="2"/>
  <c r="I1267" i="2"/>
  <c r="E1267" i="2"/>
  <c r="AB1267" i="2"/>
  <c r="X1267" i="2"/>
  <c r="T1267" i="2"/>
  <c r="P1267" i="2"/>
  <c r="L1267" i="2"/>
  <c r="H1267" i="2"/>
  <c r="D1267" i="2"/>
  <c r="Z1267" i="2"/>
  <c r="R1267" i="2"/>
  <c r="J1267" i="2"/>
  <c r="W1267" i="2"/>
  <c r="O1267" i="2"/>
  <c r="G1267" i="2"/>
  <c r="V1267" i="2"/>
  <c r="N1267" i="2"/>
  <c r="F1267" i="2"/>
  <c r="AA1267" i="2"/>
  <c r="S1267" i="2"/>
  <c r="C1372" i="2"/>
  <c r="Z1371" i="2"/>
  <c r="Z1372" i="2" s="1"/>
  <c r="V1371" i="2"/>
  <c r="V1372" i="2" s="1"/>
  <c r="R1371" i="2"/>
  <c r="R1372" i="2" s="1"/>
  <c r="N1371" i="2"/>
  <c r="N1372" i="2" s="1"/>
  <c r="J1371" i="2"/>
  <c r="J1372" i="2" s="1"/>
  <c r="F1371" i="2"/>
  <c r="F1372" i="2" s="1"/>
  <c r="AB1371" i="2"/>
  <c r="AB1372" i="2" s="1"/>
  <c r="W1371" i="2"/>
  <c r="W1372" i="2" s="1"/>
  <c r="Q1371" i="2"/>
  <c r="Q1372" i="2" s="1"/>
  <c r="L1371" i="2"/>
  <c r="L1372" i="2" s="1"/>
  <c r="G1371" i="2"/>
  <c r="G1372" i="2" s="1"/>
  <c r="AA1371" i="2"/>
  <c r="AA1372" i="2" s="1"/>
  <c r="U1371" i="2"/>
  <c r="U1372" i="2" s="1"/>
  <c r="P1371" i="2"/>
  <c r="P1372" i="2" s="1"/>
  <c r="K1371" i="2"/>
  <c r="K1372" i="2" s="1"/>
  <c r="E1371" i="2"/>
  <c r="E1372" i="2" s="1"/>
  <c r="S1371" i="2"/>
  <c r="S1372" i="2" s="1"/>
  <c r="H1371" i="2"/>
  <c r="H1372" i="2" s="1"/>
  <c r="Y1371" i="2"/>
  <c r="Y1372" i="2" s="1"/>
  <c r="O1371" i="2"/>
  <c r="O1372" i="2" s="1"/>
  <c r="D1371" i="2"/>
  <c r="D1372" i="2" s="1"/>
  <c r="T1371" i="2"/>
  <c r="T1372" i="2" s="1"/>
  <c r="M1371" i="2"/>
  <c r="M1372" i="2" s="1"/>
  <c r="I1371" i="2"/>
  <c r="I1372" i="2" s="1"/>
  <c r="Y906" i="2"/>
  <c r="U906" i="2"/>
  <c r="Q906" i="2"/>
  <c r="M906" i="2"/>
  <c r="I906" i="2"/>
  <c r="E906" i="2"/>
  <c r="AB906" i="2"/>
  <c r="X906" i="2"/>
  <c r="T906" i="2"/>
  <c r="P906" i="2"/>
  <c r="L906" i="2"/>
  <c r="H906" i="2"/>
  <c r="D906" i="2"/>
  <c r="K906" i="2"/>
  <c r="S906" i="2"/>
  <c r="AA906" i="2"/>
  <c r="Y922" i="2"/>
  <c r="U922" i="2"/>
  <c r="Q922" i="2"/>
  <c r="M922" i="2"/>
  <c r="I922" i="2"/>
  <c r="E922" i="2"/>
  <c r="AB922" i="2"/>
  <c r="X922" i="2"/>
  <c r="T922" i="2"/>
  <c r="P922" i="2"/>
  <c r="L922" i="2"/>
  <c r="H922" i="2"/>
  <c r="D922" i="2"/>
  <c r="K922" i="2"/>
  <c r="S922" i="2"/>
  <c r="AA922" i="2"/>
  <c r="Y938" i="2"/>
  <c r="U938" i="2"/>
  <c r="Q938" i="2"/>
  <c r="M938" i="2"/>
  <c r="I938" i="2"/>
  <c r="E938" i="2"/>
  <c r="AB938" i="2"/>
  <c r="X938" i="2"/>
  <c r="T938" i="2"/>
  <c r="P938" i="2"/>
  <c r="L938" i="2"/>
  <c r="H938" i="2"/>
  <c r="D938" i="2"/>
  <c r="K938" i="2"/>
  <c r="S938" i="2"/>
  <c r="AA938" i="2"/>
  <c r="Y954" i="2"/>
  <c r="U954" i="2"/>
  <c r="Q954" i="2"/>
  <c r="M954" i="2"/>
  <c r="I954" i="2"/>
  <c r="E954" i="2"/>
  <c r="AB954" i="2"/>
  <c r="X954" i="2"/>
  <c r="T954" i="2"/>
  <c r="P954" i="2"/>
  <c r="L954" i="2"/>
  <c r="H954" i="2"/>
  <c r="D954" i="2"/>
  <c r="K954" i="2"/>
  <c r="S954" i="2"/>
  <c r="AA954" i="2"/>
  <c r="AB1049" i="2"/>
  <c r="X1049" i="2"/>
  <c r="T1049" i="2"/>
  <c r="P1049" i="2"/>
  <c r="L1049" i="2"/>
  <c r="H1049" i="2"/>
  <c r="D1049" i="2"/>
  <c r="W1049" i="2"/>
  <c r="R1049" i="2"/>
  <c r="M1049" i="2"/>
  <c r="G1049" i="2"/>
  <c r="AA1049" i="2"/>
  <c r="V1049" i="2"/>
  <c r="Q1049" i="2"/>
  <c r="K1049" i="2"/>
  <c r="F1049" i="2"/>
  <c r="N1049" i="2"/>
  <c r="Y1049" i="2"/>
  <c r="AB1097" i="2"/>
  <c r="X1097" i="2"/>
  <c r="T1097" i="2"/>
  <c r="P1097" i="2"/>
  <c r="L1097" i="2"/>
  <c r="H1097" i="2"/>
  <c r="D1097" i="2"/>
  <c r="W1097" i="2"/>
  <c r="R1097" i="2"/>
  <c r="M1097" i="2"/>
  <c r="G1097" i="2"/>
  <c r="AA1097" i="2"/>
  <c r="V1097" i="2"/>
  <c r="Q1097" i="2"/>
  <c r="K1097" i="2"/>
  <c r="F1097" i="2"/>
  <c r="N1097" i="2"/>
  <c r="Y1097" i="2"/>
  <c r="AA1103" i="2"/>
  <c r="W1103" i="2"/>
  <c r="S1103" i="2"/>
  <c r="O1103" i="2"/>
  <c r="K1103" i="2"/>
  <c r="G1103" i="2"/>
  <c r="Z1103" i="2"/>
  <c r="U1103" i="2"/>
  <c r="P1103" i="2"/>
  <c r="J1103" i="2"/>
  <c r="E1103" i="2"/>
  <c r="Y1103" i="2"/>
  <c r="T1103" i="2"/>
  <c r="N1103" i="2"/>
  <c r="I1103" i="2"/>
  <c r="D1103" i="2"/>
  <c r="M1103" i="2"/>
  <c r="X1103" i="2"/>
  <c r="Y1107" i="2"/>
  <c r="U1107" i="2"/>
  <c r="Q1107" i="2"/>
  <c r="M1107" i="2"/>
  <c r="I1107" i="2"/>
  <c r="E1107" i="2"/>
  <c r="Z1107" i="2"/>
  <c r="T1107" i="2"/>
  <c r="O1107" i="2"/>
  <c r="J1107" i="2"/>
  <c r="D1107" i="2"/>
  <c r="X1107" i="2"/>
  <c r="S1107" i="2"/>
  <c r="N1107" i="2"/>
  <c r="H1107" i="2"/>
  <c r="L1107" i="2"/>
  <c r="W1107" i="2"/>
  <c r="Z1117" i="2"/>
  <c r="V1117" i="2"/>
  <c r="R1117" i="2"/>
  <c r="N1117" i="2"/>
  <c r="J1117" i="2"/>
  <c r="F1117" i="2"/>
  <c r="AA1117" i="2"/>
  <c r="U1117" i="2"/>
  <c r="P1117" i="2"/>
  <c r="K1117" i="2"/>
  <c r="E1117" i="2"/>
  <c r="Y1117" i="2"/>
  <c r="T1117" i="2"/>
  <c r="O1117" i="2"/>
  <c r="I1117" i="2"/>
  <c r="D1117" i="2"/>
  <c r="M1117" i="2"/>
  <c r="X1117" i="2"/>
  <c r="Y1199" i="2"/>
  <c r="U1199" i="2"/>
  <c r="Q1199" i="2"/>
  <c r="M1199" i="2"/>
  <c r="I1199" i="2"/>
  <c r="E1199" i="2"/>
  <c r="AB1199" i="2"/>
  <c r="X1199" i="2"/>
  <c r="T1199" i="2"/>
  <c r="P1199" i="2"/>
  <c r="L1199" i="2"/>
  <c r="H1199" i="2"/>
  <c r="D1199" i="2"/>
  <c r="W1199" i="2"/>
  <c r="O1199" i="2"/>
  <c r="G1199" i="2"/>
  <c r="V1199" i="2"/>
  <c r="N1199" i="2"/>
  <c r="F1199" i="2"/>
  <c r="S1199" i="2"/>
  <c r="Z1209" i="2"/>
  <c r="V1209" i="2"/>
  <c r="R1209" i="2"/>
  <c r="N1209" i="2"/>
  <c r="J1209" i="2"/>
  <c r="F1209" i="2"/>
  <c r="Y1209" i="2"/>
  <c r="U1209" i="2"/>
  <c r="Q1209" i="2"/>
  <c r="M1209" i="2"/>
  <c r="I1209" i="2"/>
  <c r="E1209" i="2"/>
  <c r="AB1209" i="2"/>
  <c r="X1209" i="2"/>
  <c r="T1209" i="2"/>
  <c r="P1209" i="2"/>
  <c r="L1209" i="2"/>
  <c r="H1209" i="2"/>
  <c r="W1209" i="2"/>
  <c r="G1209" i="2"/>
  <c r="S1209" i="2"/>
  <c r="D1209" i="2"/>
  <c r="Z1245" i="2"/>
  <c r="V1245" i="2"/>
  <c r="R1245" i="2"/>
  <c r="N1245" i="2"/>
  <c r="J1245" i="2"/>
  <c r="F1245" i="2"/>
  <c r="Y1245" i="2"/>
  <c r="U1245" i="2"/>
  <c r="Q1245" i="2"/>
  <c r="M1245" i="2"/>
  <c r="I1245" i="2"/>
  <c r="E1245" i="2"/>
  <c r="X1245" i="2"/>
  <c r="P1245" i="2"/>
  <c r="H1245" i="2"/>
  <c r="W1245" i="2"/>
  <c r="O1245" i="2"/>
  <c r="G1245" i="2"/>
  <c r="AB1245" i="2"/>
  <c r="T1245" i="2"/>
  <c r="L1245" i="2"/>
  <c r="D1245" i="2"/>
  <c r="S1245" i="2"/>
  <c r="K1245" i="2"/>
  <c r="Y1307" i="2"/>
  <c r="Z1307" i="2"/>
  <c r="U1307" i="2"/>
  <c r="Q1307" i="2"/>
  <c r="M1307" i="2"/>
  <c r="I1307" i="2"/>
  <c r="E1307" i="2"/>
  <c r="X1307" i="2"/>
  <c r="T1307" i="2"/>
  <c r="P1307" i="2"/>
  <c r="L1307" i="2"/>
  <c r="H1307" i="2"/>
  <c r="D1307" i="2"/>
  <c r="AA1307" i="2"/>
  <c r="R1307" i="2"/>
  <c r="J1307" i="2"/>
  <c r="W1307" i="2"/>
  <c r="O1307" i="2"/>
  <c r="G1307" i="2"/>
  <c r="V1307" i="2"/>
  <c r="N1307" i="2"/>
  <c r="F1307" i="2"/>
  <c r="AB1307" i="2"/>
  <c r="S1307" i="2"/>
  <c r="X1371" i="2"/>
  <c r="X1372" i="2" s="1"/>
  <c r="Z1055" i="2"/>
  <c r="V1055" i="2"/>
  <c r="R1055" i="2"/>
  <c r="N1055" i="2"/>
  <c r="J1055" i="2"/>
  <c r="F1055" i="2"/>
  <c r="H1055" i="2"/>
  <c r="M1055" i="2"/>
  <c r="S1055" i="2"/>
  <c r="X1055" i="2"/>
  <c r="AB1057" i="2"/>
  <c r="X1057" i="2"/>
  <c r="T1057" i="2"/>
  <c r="P1057" i="2"/>
  <c r="L1057" i="2"/>
  <c r="H1057" i="2"/>
  <c r="D1057" i="2"/>
  <c r="I1057" i="2"/>
  <c r="N1057" i="2"/>
  <c r="S1057" i="2"/>
  <c r="Y1057" i="2"/>
  <c r="Z1071" i="2"/>
  <c r="V1071" i="2"/>
  <c r="R1071" i="2"/>
  <c r="N1071" i="2"/>
  <c r="J1071" i="2"/>
  <c r="F1071" i="2"/>
  <c r="H1071" i="2"/>
  <c r="M1071" i="2"/>
  <c r="S1071" i="2"/>
  <c r="X1071" i="2"/>
  <c r="AA1073" i="2"/>
  <c r="W1073" i="2"/>
  <c r="S1073" i="2"/>
  <c r="O1073" i="2"/>
  <c r="K1073" i="2"/>
  <c r="G1073" i="2"/>
  <c r="H1073" i="2"/>
  <c r="M1073" i="2"/>
  <c r="R1073" i="2"/>
  <c r="X1073" i="2"/>
  <c r="Z1113" i="2"/>
  <c r="V1113" i="2"/>
  <c r="R1113" i="2"/>
  <c r="N1113" i="2"/>
  <c r="J1113" i="2"/>
  <c r="F1113" i="2"/>
  <c r="H1113" i="2"/>
  <c r="M1113" i="2"/>
  <c r="S1113" i="2"/>
  <c r="X1113" i="2"/>
  <c r="AB1115" i="2"/>
  <c r="X1115" i="2"/>
  <c r="T1115" i="2"/>
  <c r="P1115" i="2"/>
  <c r="L1115" i="2"/>
  <c r="H1115" i="2"/>
  <c r="D1115" i="2"/>
  <c r="I1115" i="2"/>
  <c r="N1115" i="2"/>
  <c r="S1115" i="2"/>
  <c r="Y1115" i="2"/>
  <c r="Z1129" i="2"/>
  <c r="V1129" i="2"/>
  <c r="R1129" i="2"/>
  <c r="N1129" i="2"/>
  <c r="J1129" i="2"/>
  <c r="F1129" i="2"/>
  <c r="H1129" i="2"/>
  <c r="M1129" i="2"/>
  <c r="S1129" i="2"/>
  <c r="X1129" i="2"/>
  <c r="AB1131" i="2"/>
  <c r="X1131" i="2"/>
  <c r="T1131" i="2"/>
  <c r="P1131" i="2"/>
  <c r="L1131" i="2"/>
  <c r="H1131" i="2"/>
  <c r="D1131" i="2"/>
  <c r="I1131" i="2"/>
  <c r="N1131" i="2"/>
  <c r="S1131" i="2"/>
  <c r="Y1131" i="2"/>
  <c r="Y1143" i="2"/>
  <c r="U1143" i="2"/>
  <c r="Q1143" i="2"/>
  <c r="Q1152" i="2" s="1"/>
  <c r="M1143" i="2"/>
  <c r="I1143" i="2"/>
  <c r="E1143" i="2"/>
  <c r="H1143" i="2"/>
  <c r="N1143" i="2"/>
  <c r="S1143" i="2"/>
  <c r="X1143" i="2"/>
  <c r="AB1165" i="2"/>
  <c r="AB1170" i="2" s="1"/>
  <c r="X1165" i="2"/>
  <c r="X1170" i="2" s="1"/>
  <c r="T1165" i="2"/>
  <c r="T1170" i="2" s="1"/>
  <c r="P1165" i="2"/>
  <c r="P1170" i="2" s="1"/>
  <c r="L1165" i="2"/>
  <c r="H1165" i="2"/>
  <c r="H1170" i="2" s="1"/>
  <c r="D1165" i="2"/>
  <c r="D1170" i="2" s="1"/>
  <c r="I1165" i="2"/>
  <c r="N1165" i="2"/>
  <c r="S1165" i="2"/>
  <c r="S1170" i="2" s="1"/>
  <c r="Y1165" i="2"/>
  <c r="Y1170" i="2" s="1"/>
  <c r="Y1181" i="2"/>
  <c r="U1181" i="2"/>
  <c r="Q1181" i="2"/>
  <c r="M1181" i="2"/>
  <c r="I1181" i="2"/>
  <c r="E1181" i="2"/>
  <c r="H1181" i="2"/>
  <c r="N1181" i="2"/>
  <c r="S1181" i="2"/>
  <c r="X1181" i="2"/>
  <c r="Y1185" i="2"/>
  <c r="U1185" i="2"/>
  <c r="Q1185" i="2"/>
  <c r="M1185" i="2"/>
  <c r="I1185" i="2"/>
  <c r="E1185" i="2"/>
  <c r="H1185" i="2"/>
  <c r="N1185" i="2"/>
  <c r="S1185" i="2"/>
  <c r="X1185" i="2"/>
  <c r="Z1205" i="2"/>
  <c r="V1205" i="2"/>
  <c r="R1205" i="2"/>
  <c r="N1205" i="2"/>
  <c r="J1205" i="2"/>
  <c r="F1205" i="2"/>
  <c r="Y1205" i="2"/>
  <c r="U1205" i="2"/>
  <c r="Q1205" i="2"/>
  <c r="M1205" i="2"/>
  <c r="I1205" i="2"/>
  <c r="E1205" i="2"/>
  <c r="K1205" i="2"/>
  <c r="S1205" i="2"/>
  <c r="AA1205" i="2"/>
  <c r="Y1279" i="2"/>
  <c r="U1279" i="2"/>
  <c r="Q1279" i="2"/>
  <c r="M1279" i="2"/>
  <c r="I1279" i="2"/>
  <c r="E1279" i="2"/>
  <c r="AB1279" i="2"/>
  <c r="X1279" i="2"/>
  <c r="T1279" i="2"/>
  <c r="P1279" i="2"/>
  <c r="L1279" i="2"/>
  <c r="H1279" i="2"/>
  <c r="D1279" i="2"/>
  <c r="W1279" i="2"/>
  <c r="O1279" i="2"/>
  <c r="G1279" i="2"/>
  <c r="V1279" i="2"/>
  <c r="N1279" i="2"/>
  <c r="F1279" i="2"/>
  <c r="AA1279" i="2"/>
  <c r="S1279" i="2"/>
  <c r="K1279" i="2"/>
  <c r="G852" i="2"/>
  <c r="K852" i="2"/>
  <c r="O852" i="2"/>
  <c r="S852" i="2"/>
  <c r="W852" i="2"/>
  <c r="G856" i="2"/>
  <c r="K856" i="2"/>
  <c r="O856" i="2"/>
  <c r="S856" i="2"/>
  <c r="W856" i="2"/>
  <c r="G860" i="2"/>
  <c r="K860" i="2"/>
  <c r="O860" i="2"/>
  <c r="S860" i="2"/>
  <c r="W860" i="2"/>
  <c r="G864" i="2"/>
  <c r="K864" i="2"/>
  <c r="O864" i="2"/>
  <c r="S864" i="2"/>
  <c r="W864" i="2"/>
  <c r="G868" i="2"/>
  <c r="K868" i="2"/>
  <c r="O868" i="2"/>
  <c r="S868" i="2"/>
  <c r="W868" i="2"/>
  <c r="G872" i="2"/>
  <c r="K872" i="2"/>
  <c r="O872" i="2"/>
  <c r="S872" i="2"/>
  <c r="W872" i="2"/>
  <c r="G876" i="2"/>
  <c r="K876" i="2"/>
  <c r="O876" i="2"/>
  <c r="S876" i="2"/>
  <c r="W876" i="2"/>
  <c r="G880" i="2"/>
  <c r="K880" i="2"/>
  <c r="O880" i="2"/>
  <c r="S880" i="2"/>
  <c r="W880" i="2"/>
  <c r="G884" i="2"/>
  <c r="K884" i="2"/>
  <c r="O884" i="2"/>
  <c r="S884" i="2"/>
  <c r="W884" i="2"/>
  <c r="G888" i="2"/>
  <c r="K888" i="2"/>
  <c r="O888" i="2"/>
  <c r="S888" i="2"/>
  <c r="W888" i="2"/>
  <c r="G892" i="2"/>
  <c r="K892" i="2"/>
  <c r="O892" i="2"/>
  <c r="S892" i="2"/>
  <c r="W892" i="2"/>
  <c r="G896" i="2"/>
  <c r="K896" i="2"/>
  <c r="O896" i="2"/>
  <c r="S896" i="2"/>
  <c r="W896" i="2"/>
  <c r="G900" i="2"/>
  <c r="K900" i="2"/>
  <c r="O900" i="2"/>
  <c r="S900" i="2"/>
  <c r="W900" i="2"/>
  <c r="G904" i="2"/>
  <c r="K904" i="2"/>
  <c r="O904" i="2"/>
  <c r="S904" i="2"/>
  <c r="W904" i="2"/>
  <c r="G908" i="2"/>
  <c r="K908" i="2"/>
  <c r="O908" i="2"/>
  <c r="S908" i="2"/>
  <c r="W908" i="2"/>
  <c r="G912" i="2"/>
  <c r="K912" i="2"/>
  <c r="O912" i="2"/>
  <c r="S912" i="2"/>
  <c r="W912" i="2"/>
  <c r="G916" i="2"/>
  <c r="K916" i="2"/>
  <c r="O916" i="2"/>
  <c r="S916" i="2"/>
  <c r="W916" i="2"/>
  <c r="G920" i="2"/>
  <c r="K920" i="2"/>
  <c r="O920" i="2"/>
  <c r="S920" i="2"/>
  <c r="W920" i="2"/>
  <c r="G924" i="2"/>
  <c r="K924" i="2"/>
  <c r="O924" i="2"/>
  <c r="S924" i="2"/>
  <c r="W924" i="2"/>
  <c r="G928" i="2"/>
  <c r="K928" i="2"/>
  <c r="O928" i="2"/>
  <c r="S928" i="2"/>
  <c r="W928" i="2"/>
  <c r="G932" i="2"/>
  <c r="K932" i="2"/>
  <c r="O932" i="2"/>
  <c r="S932" i="2"/>
  <c r="W932" i="2"/>
  <c r="G936" i="2"/>
  <c r="K936" i="2"/>
  <c r="O936" i="2"/>
  <c r="S936" i="2"/>
  <c r="W936" i="2"/>
  <c r="G940" i="2"/>
  <c r="K940" i="2"/>
  <c r="O940" i="2"/>
  <c r="S940" i="2"/>
  <c r="W940" i="2"/>
  <c r="G944" i="2"/>
  <c r="K944" i="2"/>
  <c r="O944" i="2"/>
  <c r="S944" i="2"/>
  <c r="W944" i="2"/>
  <c r="G948" i="2"/>
  <c r="K948" i="2"/>
  <c r="O948" i="2"/>
  <c r="S948" i="2"/>
  <c r="W948" i="2"/>
  <c r="G952" i="2"/>
  <c r="K952" i="2"/>
  <c r="O952" i="2"/>
  <c r="S952" i="2"/>
  <c r="W952" i="2"/>
  <c r="G956" i="2"/>
  <c r="K956" i="2"/>
  <c r="O956" i="2"/>
  <c r="S956" i="2"/>
  <c r="W956" i="2"/>
  <c r="Y960" i="2"/>
  <c r="U960" i="2"/>
  <c r="Q960" i="2"/>
  <c r="M960" i="2"/>
  <c r="I960" i="2"/>
  <c r="E960" i="2"/>
  <c r="H960" i="2"/>
  <c r="N960" i="2"/>
  <c r="S960" i="2"/>
  <c r="X960" i="2"/>
  <c r="Y964" i="2"/>
  <c r="U964" i="2"/>
  <c r="Q964" i="2"/>
  <c r="M964" i="2"/>
  <c r="I964" i="2"/>
  <c r="E964" i="2"/>
  <c r="H964" i="2"/>
  <c r="N964" i="2"/>
  <c r="S964" i="2"/>
  <c r="X964" i="2"/>
  <c r="Y968" i="2"/>
  <c r="U968" i="2"/>
  <c r="Q968" i="2"/>
  <c r="M968" i="2"/>
  <c r="I968" i="2"/>
  <c r="E968" i="2"/>
  <c r="H968" i="2"/>
  <c r="N968" i="2"/>
  <c r="S968" i="2"/>
  <c r="X968" i="2"/>
  <c r="Y972" i="2"/>
  <c r="U972" i="2"/>
  <c r="Q972" i="2"/>
  <c r="M972" i="2"/>
  <c r="I972" i="2"/>
  <c r="E972" i="2"/>
  <c r="H972" i="2"/>
  <c r="N972" i="2"/>
  <c r="S972" i="2"/>
  <c r="X972" i="2"/>
  <c r="Y976" i="2"/>
  <c r="U976" i="2"/>
  <c r="Q976" i="2"/>
  <c r="M976" i="2"/>
  <c r="I976" i="2"/>
  <c r="E976" i="2"/>
  <c r="H976" i="2"/>
  <c r="N976" i="2"/>
  <c r="S976" i="2"/>
  <c r="X976" i="2"/>
  <c r="Y980" i="2"/>
  <c r="U980" i="2"/>
  <c r="Q980" i="2"/>
  <c r="M980" i="2"/>
  <c r="I980" i="2"/>
  <c r="E980" i="2"/>
  <c r="H980" i="2"/>
  <c r="N980" i="2"/>
  <c r="S980" i="2"/>
  <c r="X980" i="2"/>
  <c r="Y984" i="2"/>
  <c r="U984" i="2"/>
  <c r="Q984" i="2"/>
  <c r="M984" i="2"/>
  <c r="I984" i="2"/>
  <c r="E984" i="2"/>
  <c r="H984" i="2"/>
  <c r="N984" i="2"/>
  <c r="S984" i="2"/>
  <c r="X984" i="2"/>
  <c r="Y988" i="2"/>
  <c r="U988" i="2"/>
  <c r="Q988" i="2"/>
  <c r="M988" i="2"/>
  <c r="I988" i="2"/>
  <c r="E988" i="2"/>
  <c r="H988" i="2"/>
  <c r="N988" i="2"/>
  <c r="S988" i="2"/>
  <c r="X988" i="2"/>
  <c r="Y992" i="2"/>
  <c r="U992" i="2"/>
  <c r="Q992" i="2"/>
  <c r="M992" i="2"/>
  <c r="I992" i="2"/>
  <c r="E992" i="2"/>
  <c r="H992" i="2"/>
  <c r="N992" i="2"/>
  <c r="S992" i="2"/>
  <c r="X992" i="2"/>
  <c r="Z1041" i="2"/>
  <c r="V1041" i="2"/>
  <c r="R1041" i="2"/>
  <c r="N1041" i="2"/>
  <c r="J1041" i="2"/>
  <c r="F1041" i="2"/>
  <c r="H1041" i="2"/>
  <c r="M1041" i="2"/>
  <c r="S1041" i="2"/>
  <c r="X1041" i="2"/>
  <c r="AB1043" i="2"/>
  <c r="X1043" i="2"/>
  <c r="T1043" i="2"/>
  <c r="P1043" i="2"/>
  <c r="L1043" i="2"/>
  <c r="H1043" i="2"/>
  <c r="D1043" i="2"/>
  <c r="I1043" i="2"/>
  <c r="N1043" i="2"/>
  <c r="S1043" i="2"/>
  <c r="Y1043" i="2"/>
  <c r="Z1051" i="2"/>
  <c r="V1051" i="2"/>
  <c r="R1051" i="2"/>
  <c r="N1051" i="2"/>
  <c r="J1051" i="2"/>
  <c r="F1051" i="2"/>
  <c r="H1051" i="2"/>
  <c r="M1051" i="2"/>
  <c r="S1051" i="2"/>
  <c r="X1051" i="2"/>
  <c r="AB1053" i="2"/>
  <c r="X1053" i="2"/>
  <c r="T1053" i="2"/>
  <c r="P1053" i="2"/>
  <c r="L1053" i="2"/>
  <c r="H1053" i="2"/>
  <c r="D1053" i="2"/>
  <c r="I1053" i="2"/>
  <c r="N1053" i="2"/>
  <c r="S1053" i="2"/>
  <c r="Y1053" i="2"/>
  <c r="D1055" i="2"/>
  <c r="I1055" i="2"/>
  <c r="O1055" i="2"/>
  <c r="T1055" i="2"/>
  <c r="Y1055" i="2"/>
  <c r="E1057" i="2"/>
  <c r="J1057" i="2"/>
  <c r="O1057" i="2"/>
  <c r="U1057" i="2"/>
  <c r="Z1057" i="2"/>
  <c r="D1071" i="2"/>
  <c r="I1071" i="2"/>
  <c r="O1071" i="2"/>
  <c r="T1071" i="2"/>
  <c r="Y1071" i="2"/>
  <c r="D1073" i="2"/>
  <c r="I1073" i="2"/>
  <c r="N1073" i="2"/>
  <c r="T1073" i="2"/>
  <c r="Y1073" i="2"/>
  <c r="Y1081" i="2"/>
  <c r="U1081" i="2"/>
  <c r="Q1081" i="2"/>
  <c r="M1081" i="2"/>
  <c r="I1081" i="2"/>
  <c r="E1081" i="2"/>
  <c r="H1081" i="2"/>
  <c r="N1081" i="2"/>
  <c r="S1081" i="2"/>
  <c r="X1081" i="2"/>
  <c r="Z1093" i="2"/>
  <c r="V1093" i="2"/>
  <c r="R1093" i="2"/>
  <c r="N1093" i="2"/>
  <c r="J1093" i="2"/>
  <c r="F1093" i="2"/>
  <c r="H1093" i="2"/>
  <c r="M1093" i="2"/>
  <c r="S1093" i="2"/>
  <c r="X1093" i="2"/>
  <c r="AA1095" i="2"/>
  <c r="W1095" i="2"/>
  <c r="S1095" i="2"/>
  <c r="O1095" i="2"/>
  <c r="K1095" i="2"/>
  <c r="G1095" i="2"/>
  <c r="H1095" i="2"/>
  <c r="M1095" i="2"/>
  <c r="R1095" i="2"/>
  <c r="X1095" i="2"/>
  <c r="Z1109" i="2"/>
  <c r="V1109" i="2"/>
  <c r="R1109" i="2"/>
  <c r="N1109" i="2"/>
  <c r="J1109" i="2"/>
  <c r="F1109" i="2"/>
  <c r="H1109" i="2"/>
  <c r="M1109" i="2"/>
  <c r="S1109" i="2"/>
  <c r="X1109" i="2"/>
  <c r="AB1111" i="2"/>
  <c r="X1111" i="2"/>
  <c r="T1111" i="2"/>
  <c r="P1111" i="2"/>
  <c r="L1111" i="2"/>
  <c r="H1111" i="2"/>
  <c r="D1111" i="2"/>
  <c r="I1111" i="2"/>
  <c r="N1111" i="2"/>
  <c r="S1111" i="2"/>
  <c r="Y1111" i="2"/>
  <c r="D1113" i="2"/>
  <c r="I1113" i="2"/>
  <c r="O1113" i="2"/>
  <c r="T1113" i="2"/>
  <c r="Y1113" i="2"/>
  <c r="E1115" i="2"/>
  <c r="J1115" i="2"/>
  <c r="O1115" i="2"/>
  <c r="U1115" i="2"/>
  <c r="Z1115" i="2"/>
  <c r="Z1125" i="2"/>
  <c r="V1125" i="2"/>
  <c r="R1125" i="2"/>
  <c r="N1125" i="2"/>
  <c r="J1125" i="2"/>
  <c r="F1125" i="2"/>
  <c r="H1125" i="2"/>
  <c r="M1125" i="2"/>
  <c r="S1125" i="2"/>
  <c r="X1125" i="2"/>
  <c r="AB1127" i="2"/>
  <c r="X1127" i="2"/>
  <c r="T1127" i="2"/>
  <c r="P1127" i="2"/>
  <c r="L1127" i="2"/>
  <c r="H1127" i="2"/>
  <c r="D1127" i="2"/>
  <c r="I1127" i="2"/>
  <c r="N1127" i="2"/>
  <c r="S1127" i="2"/>
  <c r="Y1127" i="2"/>
  <c r="D1129" i="2"/>
  <c r="I1129" i="2"/>
  <c r="O1129" i="2"/>
  <c r="T1129" i="2"/>
  <c r="Y1129" i="2"/>
  <c r="E1131" i="2"/>
  <c r="J1131" i="2"/>
  <c r="O1131" i="2"/>
  <c r="U1131" i="2"/>
  <c r="Z1131" i="2"/>
  <c r="D1143" i="2"/>
  <c r="J1143" i="2"/>
  <c r="O1143" i="2"/>
  <c r="T1143" i="2"/>
  <c r="Z1143" i="2"/>
  <c r="J9" i="3"/>
  <c r="J10" i="3" s="1"/>
  <c r="J11" i="3" s="1"/>
  <c r="E1165" i="2"/>
  <c r="J1165" i="2"/>
  <c r="O1165" i="2"/>
  <c r="O1170" i="2" s="1"/>
  <c r="U1165" i="2"/>
  <c r="U1170" i="2" s="1"/>
  <c r="Z1165" i="2"/>
  <c r="Z1170" i="2" s="1"/>
  <c r="D1181" i="2"/>
  <c r="J1181" i="2"/>
  <c r="O1181" i="2"/>
  <c r="T1181" i="2"/>
  <c r="Z1181" i="2"/>
  <c r="D1185" i="2"/>
  <c r="J1185" i="2"/>
  <c r="O1185" i="2"/>
  <c r="T1185" i="2"/>
  <c r="Z1185" i="2"/>
  <c r="Z1201" i="2"/>
  <c r="V1201" i="2"/>
  <c r="R1201" i="2"/>
  <c r="N1201" i="2"/>
  <c r="J1201" i="2"/>
  <c r="F1201" i="2"/>
  <c r="Y1201" i="2"/>
  <c r="U1201" i="2"/>
  <c r="Q1201" i="2"/>
  <c r="M1201" i="2"/>
  <c r="I1201" i="2"/>
  <c r="E1201" i="2"/>
  <c r="K1201" i="2"/>
  <c r="S1201" i="2"/>
  <c r="AA1201" i="2"/>
  <c r="D1205" i="2"/>
  <c r="L1205" i="2"/>
  <c r="T1205" i="2"/>
  <c r="AB1205" i="2"/>
  <c r="Z1229" i="2"/>
  <c r="V1229" i="2"/>
  <c r="R1229" i="2"/>
  <c r="N1229" i="2"/>
  <c r="J1229" i="2"/>
  <c r="F1229" i="2"/>
  <c r="Y1229" i="2"/>
  <c r="U1229" i="2"/>
  <c r="Q1229" i="2"/>
  <c r="M1229" i="2"/>
  <c r="I1229" i="2"/>
  <c r="E1229" i="2"/>
  <c r="X1229" i="2"/>
  <c r="P1229" i="2"/>
  <c r="H1229" i="2"/>
  <c r="W1229" i="2"/>
  <c r="O1229" i="2"/>
  <c r="G1229" i="2"/>
  <c r="AB1229" i="2"/>
  <c r="T1229" i="2"/>
  <c r="L1229" i="2"/>
  <c r="D1229" i="2"/>
  <c r="J1279" i="2"/>
  <c r="Y1291" i="2"/>
  <c r="U1291" i="2"/>
  <c r="Q1291" i="2"/>
  <c r="M1291" i="2"/>
  <c r="I1291" i="2"/>
  <c r="E1291" i="2"/>
  <c r="AB1291" i="2"/>
  <c r="X1291" i="2"/>
  <c r="T1291" i="2"/>
  <c r="P1291" i="2"/>
  <c r="L1291" i="2"/>
  <c r="H1291" i="2"/>
  <c r="D1291" i="2"/>
  <c r="Z1291" i="2"/>
  <c r="R1291" i="2"/>
  <c r="J1291" i="2"/>
  <c r="W1291" i="2"/>
  <c r="O1291" i="2"/>
  <c r="G1291" i="2"/>
  <c r="V1291" i="2"/>
  <c r="N1291" i="2"/>
  <c r="F1291" i="2"/>
  <c r="AB1315" i="2"/>
  <c r="X1315" i="2"/>
  <c r="T1315" i="2"/>
  <c r="P1315" i="2"/>
  <c r="L1315" i="2"/>
  <c r="H1315" i="2"/>
  <c r="D1315" i="2"/>
  <c r="Y1315" i="2"/>
  <c r="S1315" i="2"/>
  <c r="N1315" i="2"/>
  <c r="I1315" i="2"/>
  <c r="W1315" i="2"/>
  <c r="R1315" i="2"/>
  <c r="M1315" i="2"/>
  <c r="G1315" i="2"/>
  <c r="U1315" i="2"/>
  <c r="J1315" i="2"/>
  <c r="AA1315" i="2"/>
  <c r="Q1315" i="2"/>
  <c r="F1315" i="2"/>
  <c r="Z1315" i="2"/>
  <c r="O1315" i="2"/>
  <c r="E1315" i="2"/>
  <c r="Z1452" i="2"/>
  <c r="V1452" i="2"/>
  <c r="R1452" i="2"/>
  <c r="N1452" i="2"/>
  <c r="J1452" i="2"/>
  <c r="F1452" i="2"/>
  <c r="Y1452" i="2"/>
  <c r="U1452" i="2"/>
  <c r="Q1452" i="2"/>
  <c r="M1452" i="2"/>
  <c r="I1452" i="2"/>
  <c r="E1452" i="2"/>
  <c r="X1452" i="2"/>
  <c r="P1452" i="2"/>
  <c r="H1452" i="2"/>
  <c r="W1452" i="2"/>
  <c r="O1452" i="2"/>
  <c r="G1452" i="2"/>
  <c r="AA1452" i="2"/>
  <c r="K1452" i="2"/>
  <c r="T1452" i="2"/>
  <c r="D1452" i="2"/>
  <c r="AB1452" i="2"/>
  <c r="S1452" i="2"/>
  <c r="L1452" i="2"/>
  <c r="Z1217" i="2"/>
  <c r="V1217" i="2"/>
  <c r="R1217" i="2"/>
  <c r="N1217" i="2"/>
  <c r="J1217" i="2"/>
  <c r="F1217" i="2"/>
  <c r="H1217" i="2"/>
  <c r="M1217" i="2"/>
  <c r="S1217" i="2"/>
  <c r="X1217" i="2"/>
  <c r="AB1219" i="2"/>
  <c r="X1219" i="2"/>
  <c r="T1219" i="2"/>
  <c r="P1219" i="2"/>
  <c r="L1219" i="2"/>
  <c r="H1219" i="2"/>
  <c r="D1219" i="2"/>
  <c r="I1219" i="2"/>
  <c r="N1219" i="2"/>
  <c r="S1219" i="2"/>
  <c r="Y1219" i="2"/>
  <c r="Z1241" i="2"/>
  <c r="V1241" i="2"/>
  <c r="R1241" i="2"/>
  <c r="N1241" i="2"/>
  <c r="J1241" i="2"/>
  <c r="F1241" i="2"/>
  <c r="Y1241" i="2"/>
  <c r="U1241" i="2"/>
  <c r="Q1241" i="2"/>
  <c r="M1241" i="2"/>
  <c r="I1241" i="2"/>
  <c r="E1241" i="2"/>
  <c r="K1241" i="2"/>
  <c r="S1241" i="2"/>
  <c r="AA1241" i="2"/>
  <c r="Y1271" i="2"/>
  <c r="U1271" i="2"/>
  <c r="Q1271" i="2"/>
  <c r="M1271" i="2"/>
  <c r="I1271" i="2"/>
  <c r="E1271" i="2"/>
  <c r="AB1271" i="2"/>
  <c r="X1271" i="2"/>
  <c r="T1271" i="2"/>
  <c r="P1271" i="2"/>
  <c r="L1271" i="2"/>
  <c r="H1271" i="2"/>
  <c r="D1271" i="2"/>
  <c r="K1271" i="2"/>
  <c r="S1271" i="2"/>
  <c r="AA1271" i="2"/>
  <c r="AA1275" i="2"/>
  <c r="W1275" i="2"/>
  <c r="S1275" i="2"/>
  <c r="O1275" i="2"/>
  <c r="K1275" i="2"/>
  <c r="G1275" i="2"/>
  <c r="Z1275" i="2"/>
  <c r="V1275" i="2"/>
  <c r="R1275" i="2"/>
  <c r="N1275" i="2"/>
  <c r="J1275" i="2"/>
  <c r="F1275" i="2"/>
  <c r="I1275" i="2"/>
  <c r="Q1275" i="2"/>
  <c r="Y1275" i="2"/>
  <c r="Y1295" i="2"/>
  <c r="U1295" i="2"/>
  <c r="Q1295" i="2"/>
  <c r="M1295" i="2"/>
  <c r="I1295" i="2"/>
  <c r="E1295" i="2"/>
  <c r="AB1295" i="2"/>
  <c r="X1295" i="2"/>
  <c r="T1295" i="2"/>
  <c r="P1295" i="2"/>
  <c r="L1295" i="2"/>
  <c r="H1295" i="2"/>
  <c r="D1295" i="2"/>
  <c r="K1295" i="2"/>
  <c r="S1295" i="2"/>
  <c r="AA1295" i="2"/>
  <c r="AA1325" i="2"/>
  <c r="W1325" i="2"/>
  <c r="S1325" i="2"/>
  <c r="O1325" i="2"/>
  <c r="K1325" i="2"/>
  <c r="G1325" i="2"/>
  <c r="AB1325" i="2"/>
  <c r="V1325" i="2"/>
  <c r="Q1325" i="2"/>
  <c r="L1325" i="2"/>
  <c r="F1325" i="2"/>
  <c r="Z1325" i="2"/>
  <c r="U1325" i="2"/>
  <c r="P1325" i="2"/>
  <c r="J1325" i="2"/>
  <c r="E1325" i="2"/>
  <c r="M1325" i="2"/>
  <c r="X1325" i="2"/>
  <c r="Z1343" i="2"/>
  <c r="V1343" i="2"/>
  <c r="R1343" i="2"/>
  <c r="N1343" i="2"/>
  <c r="J1343" i="2"/>
  <c r="F1343" i="2"/>
  <c r="AA1343" i="2"/>
  <c r="U1343" i="2"/>
  <c r="P1343" i="2"/>
  <c r="K1343" i="2"/>
  <c r="E1343" i="2"/>
  <c r="Y1343" i="2"/>
  <c r="T1343" i="2"/>
  <c r="O1343" i="2"/>
  <c r="I1343" i="2"/>
  <c r="D1343" i="2"/>
  <c r="S1343" i="2"/>
  <c r="H1343" i="2"/>
  <c r="AB1343" i="2"/>
  <c r="Q1343" i="2"/>
  <c r="G1343" i="2"/>
  <c r="X1343" i="2"/>
  <c r="Z1347" i="2"/>
  <c r="V1347" i="2"/>
  <c r="R1347" i="2"/>
  <c r="N1347" i="2"/>
  <c r="J1347" i="2"/>
  <c r="F1347" i="2"/>
  <c r="AB1347" i="2"/>
  <c r="W1347" i="2"/>
  <c r="Q1347" i="2"/>
  <c r="L1347" i="2"/>
  <c r="G1347" i="2"/>
  <c r="AA1347" i="2"/>
  <c r="U1347" i="2"/>
  <c r="P1347" i="2"/>
  <c r="K1347" i="2"/>
  <c r="E1347" i="2"/>
  <c r="T1347" i="2"/>
  <c r="I1347" i="2"/>
  <c r="S1347" i="2"/>
  <c r="H1347" i="2"/>
  <c r="X1347" i="2"/>
  <c r="G1197" i="2"/>
  <c r="K1197" i="2"/>
  <c r="O1197" i="2"/>
  <c r="S1197" i="2"/>
  <c r="W1197" i="2"/>
  <c r="AA1197" i="2"/>
  <c r="G1203" i="2"/>
  <c r="K1203" i="2"/>
  <c r="O1203" i="2"/>
  <c r="S1203" i="2"/>
  <c r="W1203" i="2"/>
  <c r="AA1203" i="2"/>
  <c r="G1207" i="2"/>
  <c r="K1207" i="2"/>
  <c r="O1207" i="2"/>
  <c r="S1207" i="2"/>
  <c r="W1207" i="2"/>
  <c r="AA1207" i="2"/>
  <c r="AB1211" i="2"/>
  <c r="X1211" i="2"/>
  <c r="T1211" i="2"/>
  <c r="P1211" i="2"/>
  <c r="L1211" i="2"/>
  <c r="H1211" i="2"/>
  <c r="G1211" i="2"/>
  <c r="M1211" i="2"/>
  <c r="R1211" i="2"/>
  <c r="W1211" i="2"/>
  <c r="Z1213" i="2"/>
  <c r="V1213" i="2"/>
  <c r="R1213" i="2"/>
  <c r="N1213" i="2"/>
  <c r="J1213" i="2"/>
  <c r="F1213" i="2"/>
  <c r="H1213" i="2"/>
  <c r="M1213" i="2"/>
  <c r="S1213" i="2"/>
  <c r="X1213" i="2"/>
  <c r="AB1215" i="2"/>
  <c r="X1215" i="2"/>
  <c r="T1215" i="2"/>
  <c r="P1215" i="2"/>
  <c r="L1215" i="2"/>
  <c r="H1215" i="2"/>
  <c r="D1215" i="2"/>
  <c r="I1215" i="2"/>
  <c r="N1215" i="2"/>
  <c r="S1215" i="2"/>
  <c r="Y1215" i="2"/>
  <c r="D1217" i="2"/>
  <c r="I1217" i="2"/>
  <c r="O1217" i="2"/>
  <c r="T1217" i="2"/>
  <c r="Y1217" i="2"/>
  <c r="E1219" i="2"/>
  <c r="J1219" i="2"/>
  <c r="O1219" i="2"/>
  <c r="U1219" i="2"/>
  <c r="Z1219" i="2"/>
  <c r="Z1237" i="2"/>
  <c r="V1237" i="2"/>
  <c r="R1237" i="2"/>
  <c r="N1237" i="2"/>
  <c r="J1237" i="2"/>
  <c r="F1237" i="2"/>
  <c r="Y1237" i="2"/>
  <c r="U1237" i="2"/>
  <c r="Q1237" i="2"/>
  <c r="M1237" i="2"/>
  <c r="I1237" i="2"/>
  <c r="E1237" i="2"/>
  <c r="K1237" i="2"/>
  <c r="S1237" i="2"/>
  <c r="AA1237" i="2"/>
  <c r="D1241" i="2"/>
  <c r="L1241" i="2"/>
  <c r="T1241" i="2"/>
  <c r="AB1241" i="2"/>
  <c r="AB1265" i="2"/>
  <c r="X1265" i="2"/>
  <c r="T1265" i="2"/>
  <c r="P1265" i="2"/>
  <c r="L1265" i="2"/>
  <c r="H1265" i="2"/>
  <c r="D1265" i="2"/>
  <c r="AA1265" i="2"/>
  <c r="W1265" i="2"/>
  <c r="S1265" i="2"/>
  <c r="O1265" i="2"/>
  <c r="K1265" i="2"/>
  <c r="G1265" i="2"/>
  <c r="J1265" i="2"/>
  <c r="R1265" i="2"/>
  <c r="Z1265" i="2"/>
  <c r="F1271" i="2"/>
  <c r="N1271" i="2"/>
  <c r="V1271" i="2"/>
  <c r="D1275" i="2"/>
  <c r="L1275" i="2"/>
  <c r="T1275" i="2"/>
  <c r="AB1275" i="2"/>
  <c r="Y1283" i="2"/>
  <c r="U1283" i="2"/>
  <c r="Q1283" i="2"/>
  <c r="M1283" i="2"/>
  <c r="I1283" i="2"/>
  <c r="E1283" i="2"/>
  <c r="AB1283" i="2"/>
  <c r="X1283" i="2"/>
  <c r="T1283" i="2"/>
  <c r="P1283" i="2"/>
  <c r="L1283" i="2"/>
  <c r="H1283" i="2"/>
  <c r="D1283" i="2"/>
  <c r="K1283" i="2"/>
  <c r="S1283" i="2"/>
  <c r="AA1283" i="2"/>
  <c r="F1295" i="2"/>
  <c r="N1295" i="2"/>
  <c r="V1295" i="2"/>
  <c r="Y1299" i="2"/>
  <c r="U1299" i="2"/>
  <c r="Q1299" i="2"/>
  <c r="M1299" i="2"/>
  <c r="I1299" i="2"/>
  <c r="E1299" i="2"/>
  <c r="AB1299" i="2"/>
  <c r="X1299" i="2"/>
  <c r="T1299" i="2"/>
  <c r="P1299" i="2"/>
  <c r="L1299" i="2"/>
  <c r="H1299" i="2"/>
  <c r="D1299" i="2"/>
  <c r="K1299" i="2"/>
  <c r="S1299" i="2"/>
  <c r="AA1299" i="2"/>
  <c r="D1325" i="2"/>
  <c r="N1325" i="2"/>
  <c r="Y1325" i="2"/>
  <c r="L1343" i="2"/>
  <c r="D1347" i="2"/>
  <c r="Y1347" i="2"/>
  <c r="G962" i="2"/>
  <c r="K962" i="2"/>
  <c r="O962" i="2"/>
  <c r="S962" i="2"/>
  <c r="W962" i="2"/>
  <c r="G966" i="2"/>
  <c r="K966" i="2"/>
  <c r="O966" i="2"/>
  <c r="S966" i="2"/>
  <c r="W966" i="2"/>
  <c r="G970" i="2"/>
  <c r="K970" i="2"/>
  <c r="O970" i="2"/>
  <c r="S970" i="2"/>
  <c r="W970" i="2"/>
  <c r="G974" i="2"/>
  <c r="K974" i="2"/>
  <c r="O974" i="2"/>
  <c r="S974" i="2"/>
  <c r="W974" i="2"/>
  <c r="G978" i="2"/>
  <c r="K978" i="2"/>
  <c r="O978" i="2"/>
  <c r="S978" i="2"/>
  <c r="W978" i="2"/>
  <c r="G982" i="2"/>
  <c r="K982" i="2"/>
  <c r="O982" i="2"/>
  <c r="S982" i="2"/>
  <c r="W982" i="2"/>
  <c r="G986" i="2"/>
  <c r="K986" i="2"/>
  <c r="O986" i="2"/>
  <c r="S986" i="2"/>
  <c r="W986" i="2"/>
  <c r="G990" i="2"/>
  <c r="K990" i="2"/>
  <c r="O990" i="2"/>
  <c r="S990" i="2"/>
  <c r="W990" i="2"/>
  <c r="G1079" i="2"/>
  <c r="K1079" i="2"/>
  <c r="O1079" i="2"/>
  <c r="S1079" i="2"/>
  <c r="W1079" i="2"/>
  <c r="G1083" i="2"/>
  <c r="K1083" i="2"/>
  <c r="O1083" i="2"/>
  <c r="S1083" i="2"/>
  <c r="W1083" i="2"/>
  <c r="G1141" i="2"/>
  <c r="G1152" i="2" s="1"/>
  <c r="K1141" i="2"/>
  <c r="K1152" i="2" s="1"/>
  <c r="O1141" i="2"/>
  <c r="S1141" i="2"/>
  <c r="W1141" i="2"/>
  <c r="G1179" i="2"/>
  <c r="K1179" i="2"/>
  <c r="O1179" i="2"/>
  <c r="S1179" i="2"/>
  <c r="W1179" i="2"/>
  <c r="G1183" i="2"/>
  <c r="K1183" i="2"/>
  <c r="O1183" i="2"/>
  <c r="S1183" i="2"/>
  <c r="W1183" i="2"/>
  <c r="D1197" i="2"/>
  <c r="H1197" i="2"/>
  <c r="L1197" i="2"/>
  <c r="P1197" i="2"/>
  <c r="T1197" i="2"/>
  <c r="X1197" i="2"/>
  <c r="AB1197" i="2"/>
  <c r="D1203" i="2"/>
  <c r="H1203" i="2"/>
  <c r="L1203" i="2"/>
  <c r="P1203" i="2"/>
  <c r="T1203" i="2"/>
  <c r="X1203" i="2"/>
  <c r="D1207" i="2"/>
  <c r="H1207" i="2"/>
  <c r="L1207" i="2"/>
  <c r="P1207" i="2"/>
  <c r="T1207" i="2"/>
  <c r="X1207" i="2"/>
  <c r="D1211" i="2"/>
  <c r="I1211" i="2"/>
  <c r="N1211" i="2"/>
  <c r="S1211" i="2"/>
  <c r="Y1211" i="2"/>
  <c r="D1213" i="2"/>
  <c r="I1213" i="2"/>
  <c r="O1213" i="2"/>
  <c r="T1213" i="2"/>
  <c r="Y1213" i="2"/>
  <c r="E1215" i="2"/>
  <c r="J1215" i="2"/>
  <c r="O1215" i="2"/>
  <c r="U1215" i="2"/>
  <c r="Z1215" i="2"/>
  <c r="E1217" i="2"/>
  <c r="K1217" i="2"/>
  <c r="P1217" i="2"/>
  <c r="U1217" i="2"/>
  <c r="AA1217" i="2"/>
  <c r="F1219" i="2"/>
  <c r="K1219" i="2"/>
  <c r="Q1219" i="2"/>
  <c r="V1219" i="2"/>
  <c r="AA1219" i="2"/>
  <c r="Z1225" i="2"/>
  <c r="V1225" i="2"/>
  <c r="R1225" i="2"/>
  <c r="N1225" i="2"/>
  <c r="J1225" i="2"/>
  <c r="F1225" i="2"/>
  <c r="H1225" i="2"/>
  <c r="M1225" i="2"/>
  <c r="S1225" i="2"/>
  <c r="X1225" i="2"/>
  <c r="Z1233" i="2"/>
  <c r="V1233" i="2"/>
  <c r="R1233" i="2"/>
  <c r="N1233" i="2"/>
  <c r="J1233" i="2"/>
  <c r="F1233" i="2"/>
  <c r="Y1233" i="2"/>
  <c r="U1233" i="2"/>
  <c r="Q1233" i="2"/>
  <c r="M1233" i="2"/>
  <c r="I1233" i="2"/>
  <c r="E1233" i="2"/>
  <c r="K1233" i="2"/>
  <c r="S1233" i="2"/>
  <c r="AA1233" i="2"/>
  <c r="D1237" i="2"/>
  <c r="L1237" i="2"/>
  <c r="T1237" i="2"/>
  <c r="AB1237" i="2"/>
  <c r="G1241" i="2"/>
  <c r="O1241" i="2"/>
  <c r="W1241" i="2"/>
  <c r="Z1249" i="2"/>
  <c r="V1249" i="2"/>
  <c r="R1249" i="2"/>
  <c r="N1249" i="2"/>
  <c r="J1249" i="2"/>
  <c r="F1249" i="2"/>
  <c r="Y1249" i="2"/>
  <c r="U1249" i="2"/>
  <c r="Q1249" i="2"/>
  <c r="M1249" i="2"/>
  <c r="I1249" i="2"/>
  <c r="E1249" i="2"/>
  <c r="K1249" i="2"/>
  <c r="S1249" i="2"/>
  <c r="AA1249" i="2"/>
  <c r="E1265" i="2"/>
  <c r="M1265" i="2"/>
  <c r="U1265" i="2"/>
  <c r="G1271" i="2"/>
  <c r="O1271" i="2"/>
  <c r="W1271" i="2"/>
  <c r="Z1273" i="2"/>
  <c r="V1273" i="2"/>
  <c r="R1273" i="2"/>
  <c r="N1273" i="2"/>
  <c r="J1273" i="2"/>
  <c r="F1273" i="2"/>
  <c r="Y1273" i="2"/>
  <c r="U1273" i="2"/>
  <c r="Q1273" i="2"/>
  <c r="M1273" i="2"/>
  <c r="I1273" i="2"/>
  <c r="E1273" i="2"/>
  <c r="K1273" i="2"/>
  <c r="S1273" i="2"/>
  <c r="AA1273" i="2"/>
  <c r="E1275" i="2"/>
  <c r="M1275" i="2"/>
  <c r="U1275" i="2"/>
  <c r="AB1277" i="2"/>
  <c r="X1277" i="2"/>
  <c r="T1277" i="2"/>
  <c r="P1277" i="2"/>
  <c r="L1277" i="2"/>
  <c r="H1277" i="2"/>
  <c r="D1277" i="2"/>
  <c r="AA1277" i="2"/>
  <c r="W1277" i="2"/>
  <c r="S1277" i="2"/>
  <c r="O1277" i="2"/>
  <c r="K1277" i="2"/>
  <c r="G1277" i="2"/>
  <c r="J1277" i="2"/>
  <c r="R1277" i="2"/>
  <c r="Z1277" i="2"/>
  <c r="F1283" i="2"/>
  <c r="N1283" i="2"/>
  <c r="V1283" i="2"/>
  <c r="Y1287" i="2"/>
  <c r="U1287" i="2"/>
  <c r="Q1287" i="2"/>
  <c r="M1287" i="2"/>
  <c r="I1287" i="2"/>
  <c r="E1287" i="2"/>
  <c r="AB1287" i="2"/>
  <c r="X1287" i="2"/>
  <c r="T1287" i="2"/>
  <c r="P1287" i="2"/>
  <c r="L1287" i="2"/>
  <c r="H1287" i="2"/>
  <c r="D1287" i="2"/>
  <c r="K1287" i="2"/>
  <c r="S1287" i="2"/>
  <c r="AA1287" i="2"/>
  <c r="G1295" i="2"/>
  <c r="O1295" i="2"/>
  <c r="W1295" i="2"/>
  <c r="F1299" i="2"/>
  <c r="N1299" i="2"/>
  <c r="V1299" i="2"/>
  <c r="Y1303" i="2"/>
  <c r="U1303" i="2"/>
  <c r="Q1303" i="2"/>
  <c r="M1303" i="2"/>
  <c r="I1303" i="2"/>
  <c r="E1303" i="2"/>
  <c r="AB1303" i="2"/>
  <c r="X1303" i="2"/>
  <c r="T1303" i="2"/>
  <c r="P1303" i="2"/>
  <c r="L1303" i="2"/>
  <c r="H1303" i="2"/>
  <c r="D1303" i="2"/>
  <c r="K1303" i="2"/>
  <c r="S1303" i="2"/>
  <c r="AA1303" i="2"/>
  <c r="Y1317" i="2"/>
  <c r="U1317" i="2"/>
  <c r="Q1317" i="2"/>
  <c r="M1317" i="2"/>
  <c r="I1317" i="2"/>
  <c r="E1317" i="2"/>
  <c r="X1317" i="2"/>
  <c r="S1317" i="2"/>
  <c r="N1317" i="2"/>
  <c r="H1317" i="2"/>
  <c r="AB1317" i="2"/>
  <c r="W1317" i="2"/>
  <c r="R1317" i="2"/>
  <c r="L1317" i="2"/>
  <c r="G1317" i="2"/>
  <c r="K1317" i="2"/>
  <c r="V1317" i="2"/>
  <c r="Z1323" i="2"/>
  <c r="V1323" i="2"/>
  <c r="R1323" i="2"/>
  <c r="N1323" i="2"/>
  <c r="J1323" i="2"/>
  <c r="F1323" i="2"/>
  <c r="AB1323" i="2"/>
  <c r="W1323" i="2"/>
  <c r="Q1323" i="2"/>
  <c r="L1323" i="2"/>
  <c r="G1323" i="2"/>
  <c r="AA1323" i="2"/>
  <c r="U1323" i="2"/>
  <c r="P1323" i="2"/>
  <c r="K1323" i="2"/>
  <c r="E1323" i="2"/>
  <c r="M1323" i="2"/>
  <c r="X1323" i="2"/>
  <c r="H1325" i="2"/>
  <c r="R1325" i="2"/>
  <c r="M1343" i="2"/>
  <c r="M1347" i="2"/>
  <c r="Y1381" i="2"/>
  <c r="Y1391" i="2" s="1"/>
  <c r="U1381" i="2"/>
  <c r="U1391" i="2" s="1"/>
  <c r="Q1381" i="2"/>
  <c r="Q1391" i="2" s="1"/>
  <c r="M1381" i="2"/>
  <c r="M1391" i="2" s="1"/>
  <c r="I1381" i="2"/>
  <c r="I1391" i="2" s="1"/>
  <c r="E1381" i="2"/>
  <c r="E1391" i="2" s="1"/>
  <c r="AB1381" i="2"/>
  <c r="AB1391" i="2" s="1"/>
  <c r="W1381" i="2"/>
  <c r="W1391" i="2" s="1"/>
  <c r="R1381" i="2"/>
  <c r="R1391" i="2" s="1"/>
  <c r="L1381" i="2"/>
  <c r="L1391" i="2" s="1"/>
  <c r="G1381" i="2"/>
  <c r="G1391" i="2" s="1"/>
  <c r="AA1381" i="2"/>
  <c r="AA1391" i="2" s="1"/>
  <c r="V1381" i="2"/>
  <c r="V1391" i="2" s="1"/>
  <c r="P1381" i="2"/>
  <c r="P1391" i="2" s="1"/>
  <c r="K1381" i="2"/>
  <c r="K1391" i="2" s="1"/>
  <c r="F1381" i="2"/>
  <c r="F1391" i="2" s="1"/>
  <c r="S1381" i="2"/>
  <c r="S1391" i="2" s="1"/>
  <c r="H1381" i="2"/>
  <c r="H1391" i="2" s="1"/>
  <c r="Z1381" i="2"/>
  <c r="Z1391" i="2" s="1"/>
  <c r="O1381" i="2"/>
  <c r="O1391" i="2" s="1"/>
  <c r="D1381" i="2"/>
  <c r="D1391" i="2" s="1"/>
  <c r="X1381" i="2"/>
  <c r="X1391" i="2" s="1"/>
  <c r="Y1416" i="2"/>
  <c r="U1416" i="2"/>
  <c r="Q1416" i="2"/>
  <c r="M1416" i="2"/>
  <c r="I1416" i="2"/>
  <c r="E1416" i="2"/>
  <c r="AB1416" i="2"/>
  <c r="X1416" i="2"/>
  <c r="T1416" i="2"/>
  <c r="P1416" i="2"/>
  <c r="L1416" i="2"/>
  <c r="H1416" i="2"/>
  <c r="D1416" i="2"/>
  <c r="Z1416" i="2"/>
  <c r="R1416" i="2"/>
  <c r="J1416" i="2"/>
  <c r="W1416" i="2"/>
  <c r="O1416" i="2"/>
  <c r="G1416" i="2"/>
  <c r="AA1416" i="2"/>
  <c r="K1416" i="2"/>
  <c r="V1416" i="2"/>
  <c r="F1416" i="2"/>
  <c r="AA1466" i="2"/>
  <c r="W1466" i="2"/>
  <c r="S1466" i="2"/>
  <c r="O1466" i="2"/>
  <c r="K1466" i="2"/>
  <c r="G1466" i="2"/>
  <c r="Z1466" i="2"/>
  <c r="V1466" i="2"/>
  <c r="R1466" i="2"/>
  <c r="N1466" i="2"/>
  <c r="J1466" i="2"/>
  <c r="F1466" i="2"/>
  <c r="Y1466" i="2"/>
  <c r="U1466" i="2"/>
  <c r="Q1466" i="2"/>
  <c r="M1466" i="2"/>
  <c r="I1466" i="2"/>
  <c r="E1466" i="2"/>
  <c r="AB1466" i="2"/>
  <c r="L1466" i="2"/>
  <c r="X1466" i="2"/>
  <c r="H1466" i="2"/>
  <c r="P1466" i="2"/>
  <c r="D1466" i="2"/>
  <c r="G1227" i="2"/>
  <c r="K1227" i="2"/>
  <c r="O1227" i="2"/>
  <c r="S1227" i="2"/>
  <c r="W1227" i="2"/>
  <c r="AA1227" i="2"/>
  <c r="G1231" i="2"/>
  <c r="K1231" i="2"/>
  <c r="O1231" i="2"/>
  <c r="S1231" i="2"/>
  <c r="W1231" i="2"/>
  <c r="AA1231" i="2"/>
  <c r="G1235" i="2"/>
  <c r="K1235" i="2"/>
  <c r="O1235" i="2"/>
  <c r="S1235" i="2"/>
  <c r="W1235" i="2"/>
  <c r="AA1235" i="2"/>
  <c r="G1239" i="2"/>
  <c r="K1239" i="2"/>
  <c r="O1239" i="2"/>
  <c r="S1239" i="2"/>
  <c r="W1239" i="2"/>
  <c r="AA1239" i="2"/>
  <c r="G1243" i="2"/>
  <c r="K1243" i="2"/>
  <c r="O1243" i="2"/>
  <c r="S1243" i="2"/>
  <c r="W1243" i="2"/>
  <c r="AA1243" i="2"/>
  <c r="G1247" i="2"/>
  <c r="K1247" i="2"/>
  <c r="O1247" i="2"/>
  <c r="S1247" i="2"/>
  <c r="W1247" i="2"/>
  <c r="AA1247" i="2"/>
  <c r="Y1311" i="2"/>
  <c r="U1311" i="2"/>
  <c r="Q1311" i="2"/>
  <c r="M1311" i="2"/>
  <c r="I1311" i="2"/>
  <c r="E1311" i="2"/>
  <c r="H1311" i="2"/>
  <c r="N1311" i="2"/>
  <c r="S1311" i="2"/>
  <c r="X1311" i="2"/>
  <c r="AB1349" i="2"/>
  <c r="X1349" i="2"/>
  <c r="T1349" i="2"/>
  <c r="P1349" i="2"/>
  <c r="L1349" i="2"/>
  <c r="H1349" i="2"/>
  <c r="D1349" i="2"/>
  <c r="W1349" i="2"/>
  <c r="R1349" i="2"/>
  <c r="M1349" i="2"/>
  <c r="G1349" i="2"/>
  <c r="AA1349" i="2"/>
  <c r="V1349" i="2"/>
  <c r="Q1349" i="2"/>
  <c r="K1349" i="2"/>
  <c r="F1349" i="2"/>
  <c r="N1349" i="2"/>
  <c r="Y1349" i="2"/>
  <c r="AB1400" i="2"/>
  <c r="AB1401" i="2" s="1"/>
  <c r="X1400" i="2"/>
  <c r="X1401" i="2" s="1"/>
  <c r="T1400" i="2"/>
  <c r="T1401" i="2" s="1"/>
  <c r="P1400" i="2"/>
  <c r="P1401" i="2" s="1"/>
  <c r="L1400" i="2"/>
  <c r="L1401" i="2" s="1"/>
  <c r="H1400" i="2"/>
  <c r="H1401" i="2" s="1"/>
  <c r="D1400" i="2"/>
  <c r="D1401" i="2" s="1"/>
  <c r="AA1400" i="2"/>
  <c r="AA1401" i="2" s="1"/>
  <c r="V1400" i="2"/>
  <c r="V1401" i="2" s="1"/>
  <c r="Q1400" i="2"/>
  <c r="Q1401" i="2" s="1"/>
  <c r="K1400" i="2"/>
  <c r="K1401" i="2" s="1"/>
  <c r="F1400" i="2"/>
  <c r="F1401" i="2" s="1"/>
  <c r="Z1400" i="2"/>
  <c r="Z1401" i="2" s="1"/>
  <c r="U1400" i="2"/>
  <c r="U1401" i="2" s="1"/>
  <c r="O1400" i="2"/>
  <c r="O1401" i="2" s="1"/>
  <c r="J1400" i="2"/>
  <c r="J1401" i="2" s="1"/>
  <c r="E1400" i="2"/>
  <c r="E1401" i="2" s="1"/>
  <c r="N1400" i="2"/>
  <c r="N1401" i="2" s="1"/>
  <c r="Y1400" i="2"/>
  <c r="Y1401" i="2" s="1"/>
  <c r="AB1468" i="2"/>
  <c r="X1468" i="2"/>
  <c r="T1468" i="2"/>
  <c r="P1468" i="2"/>
  <c r="L1468" i="2"/>
  <c r="H1468" i="2"/>
  <c r="D1468" i="2"/>
  <c r="AA1468" i="2"/>
  <c r="W1468" i="2"/>
  <c r="S1468" i="2"/>
  <c r="O1468" i="2"/>
  <c r="K1468" i="2"/>
  <c r="G1468" i="2"/>
  <c r="Z1468" i="2"/>
  <c r="V1468" i="2"/>
  <c r="R1468" i="2"/>
  <c r="N1468" i="2"/>
  <c r="J1468" i="2"/>
  <c r="F1468" i="2"/>
  <c r="M1468" i="2"/>
  <c r="Y1468" i="2"/>
  <c r="I1468" i="2"/>
  <c r="Q1468" i="2"/>
  <c r="E1468" i="2"/>
  <c r="D1227" i="2"/>
  <c r="H1227" i="2"/>
  <c r="L1227" i="2"/>
  <c r="P1227" i="2"/>
  <c r="T1227" i="2"/>
  <c r="X1227" i="2"/>
  <c r="D1231" i="2"/>
  <c r="H1231" i="2"/>
  <c r="L1231" i="2"/>
  <c r="P1231" i="2"/>
  <c r="T1231" i="2"/>
  <c r="X1231" i="2"/>
  <c r="D1235" i="2"/>
  <c r="H1235" i="2"/>
  <c r="L1235" i="2"/>
  <c r="P1235" i="2"/>
  <c r="T1235" i="2"/>
  <c r="X1235" i="2"/>
  <c r="D1239" i="2"/>
  <c r="H1239" i="2"/>
  <c r="L1239" i="2"/>
  <c r="P1239" i="2"/>
  <c r="T1239" i="2"/>
  <c r="X1239" i="2"/>
  <c r="D1243" i="2"/>
  <c r="H1243" i="2"/>
  <c r="L1243" i="2"/>
  <c r="P1243" i="2"/>
  <c r="T1243" i="2"/>
  <c r="X1243" i="2"/>
  <c r="D1247" i="2"/>
  <c r="H1247" i="2"/>
  <c r="L1247" i="2"/>
  <c r="P1247" i="2"/>
  <c r="T1247" i="2"/>
  <c r="X1247" i="2"/>
  <c r="G1269" i="2"/>
  <c r="K1269" i="2"/>
  <c r="O1269" i="2"/>
  <c r="S1269" i="2"/>
  <c r="W1269" i="2"/>
  <c r="G1281" i="2"/>
  <c r="K1281" i="2"/>
  <c r="O1281" i="2"/>
  <c r="S1281" i="2"/>
  <c r="W1281" i="2"/>
  <c r="G1285" i="2"/>
  <c r="K1285" i="2"/>
  <c r="O1285" i="2"/>
  <c r="S1285" i="2"/>
  <c r="W1285" i="2"/>
  <c r="G1289" i="2"/>
  <c r="K1289" i="2"/>
  <c r="O1289" i="2"/>
  <c r="S1289" i="2"/>
  <c r="W1289" i="2"/>
  <c r="G1293" i="2"/>
  <c r="K1293" i="2"/>
  <c r="O1293" i="2"/>
  <c r="S1293" i="2"/>
  <c r="W1293" i="2"/>
  <c r="G1297" i="2"/>
  <c r="K1297" i="2"/>
  <c r="O1297" i="2"/>
  <c r="S1297" i="2"/>
  <c r="W1297" i="2"/>
  <c r="G1301" i="2"/>
  <c r="K1301" i="2"/>
  <c r="O1301" i="2"/>
  <c r="S1301" i="2"/>
  <c r="W1301" i="2"/>
  <c r="G1305" i="2"/>
  <c r="K1305" i="2"/>
  <c r="O1305" i="2"/>
  <c r="S1305" i="2"/>
  <c r="W1305" i="2"/>
  <c r="D1311" i="2"/>
  <c r="J1311" i="2"/>
  <c r="O1311" i="2"/>
  <c r="T1311" i="2"/>
  <c r="Z1311" i="2"/>
  <c r="Y1321" i="2"/>
  <c r="U1321" i="2"/>
  <c r="Q1321" i="2"/>
  <c r="M1321" i="2"/>
  <c r="I1321" i="2"/>
  <c r="E1321" i="2"/>
  <c r="H1321" i="2"/>
  <c r="N1321" i="2"/>
  <c r="S1321" i="2"/>
  <c r="X1321" i="2"/>
  <c r="AB1345" i="2"/>
  <c r="X1345" i="2"/>
  <c r="T1345" i="2"/>
  <c r="P1345" i="2"/>
  <c r="L1345" i="2"/>
  <c r="H1345" i="2"/>
  <c r="D1345" i="2"/>
  <c r="AA1345" i="2"/>
  <c r="V1345" i="2"/>
  <c r="Q1345" i="2"/>
  <c r="K1345" i="2"/>
  <c r="F1345" i="2"/>
  <c r="Z1345" i="2"/>
  <c r="U1345" i="2"/>
  <c r="O1345" i="2"/>
  <c r="J1345" i="2"/>
  <c r="E1345" i="2"/>
  <c r="N1345" i="2"/>
  <c r="Y1345" i="2"/>
  <c r="E1349" i="2"/>
  <c r="O1349" i="2"/>
  <c r="Z1349" i="2"/>
  <c r="G1400" i="2"/>
  <c r="G1401" i="2" s="1"/>
  <c r="R1400" i="2"/>
  <c r="R1401" i="2" s="1"/>
  <c r="Z1458" i="2"/>
  <c r="V1458" i="2"/>
  <c r="R1458" i="2"/>
  <c r="N1458" i="2"/>
  <c r="J1458" i="2"/>
  <c r="F1458" i="2"/>
  <c r="Y1458" i="2"/>
  <c r="U1458" i="2"/>
  <c r="Q1458" i="2"/>
  <c r="M1458" i="2"/>
  <c r="I1458" i="2"/>
  <c r="E1458" i="2"/>
  <c r="AB1458" i="2"/>
  <c r="X1458" i="2"/>
  <c r="T1458" i="2"/>
  <c r="AA1458" i="2"/>
  <c r="O1458" i="2"/>
  <c r="G1458" i="2"/>
  <c r="W1458" i="2"/>
  <c r="L1458" i="2"/>
  <c r="D1458" i="2"/>
  <c r="P1458" i="2"/>
  <c r="K1458" i="2"/>
  <c r="U1468" i="2"/>
  <c r="AB1337" i="2"/>
  <c r="X1337" i="2"/>
  <c r="G1337" i="2"/>
  <c r="K1337" i="2"/>
  <c r="O1337" i="2"/>
  <c r="S1337" i="2"/>
  <c r="W1337" i="2"/>
  <c r="Z1339" i="2"/>
  <c r="V1339" i="2"/>
  <c r="R1339" i="2"/>
  <c r="N1339" i="2"/>
  <c r="J1339" i="2"/>
  <c r="F1339" i="2"/>
  <c r="H1339" i="2"/>
  <c r="M1339" i="2"/>
  <c r="S1339" i="2"/>
  <c r="X1339" i="2"/>
  <c r="AB1341" i="2"/>
  <c r="X1341" i="2"/>
  <c r="T1341" i="2"/>
  <c r="P1341" i="2"/>
  <c r="L1341" i="2"/>
  <c r="H1341" i="2"/>
  <c r="D1341" i="2"/>
  <c r="I1341" i="2"/>
  <c r="N1341" i="2"/>
  <c r="S1341" i="2"/>
  <c r="Y1341" i="2"/>
  <c r="Z1454" i="2"/>
  <c r="V1454" i="2"/>
  <c r="R1454" i="2"/>
  <c r="N1454" i="2"/>
  <c r="J1454" i="2"/>
  <c r="F1454" i="2"/>
  <c r="Y1454" i="2"/>
  <c r="U1454" i="2"/>
  <c r="Q1454" i="2"/>
  <c r="AB1454" i="2"/>
  <c r="T1454" i="2"/>
  <c r="M1454" i="2"/>
  <c r="H1454" i="2"/>
  <c r="AA1454" i="2"/>
  <c r="S1454" i="2"/>
  <c r="L1454" i="2"/>
  <c r="G1454" i="2"/>
  <c r="K1454" i="2"/>
  <c r="X1454" i="2"/>
  <c r="Y1462" i="2"/>
  <c r="U1462" i="2"/>
  <c r="Q1462" i="2"/>
  <c r="M1462" i="2"/>
  <c r="I1462" i="2"/>
  <c r="E1462" i="2"/>
  <c r="AB1462" i="2"/>
  <c r="X1462" i="2"/>
  <c r="T1462" i="2"/>
  <c r="P1462" i="2"/>
  <c r="L1462" i="2"/>
  <c r="H1462" i="2"/>
  <c r="D1462" i="2"/>
  <c r="AA1462" i="2"/>
  <c r="W1462" i="2"/>
  <c r="S1462" i="2"/>
  <c r="O1462" i="2"/>
  <c r="K1462" i="2"/>
  <c r="G1462" i="2"/>
  <c r="Z1462" i="2"/>
  <c r="J1462" i="2"/>
  <c r="V1462" i="2"/>
  <c r="F1462" i="2"/>
  <c r="Z1464" i="2"/>
  <c r="V1464" i="2"/>
  <c r="R1464" i="2"/>
  <c r="N1464" i="2"/>
  <c r="J1464" i="2"/>
  <c r="F1464" i="2"/>
  <c r="Y1464" i="2"/>
  <c r="U1464" i="2"/>
  <c r="Q1464" i="2"/>
  <c r="M1464" i="2"/>
  <c r="I1464" i="2"/>
  <c r="E1464" i="2"/>
  <c r="AB1464" i="2"/>
  <c r="X1464" i="2"/>
  <c r="T1464" i="2"/>
  <c r="P1464" i="2"/>
  <c r="L1464" i="2"/>
  <c r="H1464" i="2"/>
  <c r="D1464" i="2"/>
  <c r="AA1464" i="2"/>
  <c r="K1464" i="2"/>
  <c r="W1464" i="2"/>
  <c r="G1464" i="2"/>
  <c r="G1309" i="2"/>
  <c r="K1309" i="2"/>
  <c r="O1309" i="2"/>
  <c r="S1309" i="2"/>
  <c r="W1309" i="2"/>
  <c r="G1313" i="2"/>
  <c r="K1313" i="2"/>
  <c r="O1313" i="2"/>
  <c r="S1313" i="2"/>
  <c r="W1313" i="2"/>
  <c r="G1319" i="2"/>
  <c r="K1319" i="2"/>
  <c r="O1319" i="2"/>
  <c r="S1319" i="2"/>
  <c r="W1319" i="2"/>
  <c r="D1337" i="2"/>
  <c r="H1337" i="2"/>
  <c r="L1337" i="2"/>
  <c r="P1337" i="2"/>
  <c r="T1337" i="2"/>
  <c r="Y1337" i="2"/>
  <c r="D1339" i="2"/>
  <c r="I1339" i="2"/>
  <c r="O1339" i="2"/>
  <c r="T1339" i="2"/>
  <c r="Y1339" i="2"/>
  <c r="E1341" i="2"/>
  <c r="J1341" i="2"/>
  <c r="O1341" i="2"/>
  <c r="U1341" i="2"/>
  <c r="Z1341" i="2"/>
  <c r="Y1412" i="2"/>
  <c r="U1412" i="2"/>
  <c r="Q1412" i="2"/>
  <c r="M1412" i="2"/>
  <c r="I1412" i="2"/>
  <c r="E1412" i="2"/>
  <c r="AB1412" i="2"/>
  <c r="X1412" i="2"/>
  <c r="T1412" i="2"/>
  <c r="P1412" i="2"/>
  <c r="L1412" i="2"/>
  <c r="H1412" i="2"/>
  <c r="D1412" i="2"/>
  <c r="K1412" i="2"/>
  <c r="S1412" i="2"/>
  <c r="AA1412" i="2"/>
  <c r="D1454" i="2"/>
  <c r="O1454" i="2"/>
  <c r="N1462" i="2"/>
  <c r="O1464" i="2"/>
  <c r="K1441" i="2"/>
  <c r="K1442" i="2" s="1"/>
  <c r="O1441" i="2"/>
  <c r="O1442" i="2" s="1"/>
  <c r="S1441" i="2"/>
  <c r="S1442" i="2" s="1"/>
  <c r="W1441" i="2"/>
  <c r="W1442" i="2" s="1"/>
  <c r="AA1441" i="2"/>
  <c r="AA1442" i="2" s="1"/>
  <c r="AA1472" i="2"/>
  <c r="W1472" i="2"/>
  <c r="S1472" i="2"/>
  <c r="O1472" i="2"/>
  <c r="K1472" i="2"/>
  <c r="G1472" i="2"/>
  <c r="Z1472" i="2"/>
  <c r="V1472" i="2"/>
  <c r="R1472" i="2"/>
  <c r="N1472" i="2"/>
  <c r="J1472" i="2"/>
  <c r="F1472" i="2"/>
  <c r="Y1472" i="2"/>
  <c r="U1472" i="2"/>
  <c r="Q1472" i="2"/>
  <c r="M1472" i="2"/>
  <c r="I1472" i="2"/>
  <c r="E1472" i="2"/>
  <c r="P1472" i="2"/>
  <c r="AA1474" i="2"/>
  <c r="X1474" i="2"/>
  <c r="T1474" i="2"/>
  <c r="P1474" i="2"/>
  <c r="L1474" i="2"/>
  <c r="H1474" i="2"/>
  <c r="D1474" i="2"/>
  <c r="AB1474" i="2"/>
  <c r="W1474" i="2"/>
  <c r="S1474" i="2"/>
  <c r="O1474" i="2"/>
  <c r="K1474" i="2"/>
  <c r="G1474" i="2"/>
  <c r="Z1474" i="2"/>
  <c r="V1474" i="2"/>
  <c r="R1474" i="2"/>
  <c r="N1474" i="2"/>
  <c r="J1474" i="2"/>
  <c r="F1474" i="2"/>
  <c r="Q1474" i="2"/>
  <c r="G1361" i="2"/>
  <c r="G1362" i="2" s="1"/>
  <c r="K1361" i="2"/>
  <c r="K1362" i="2" s="1"/>
  <c r="O1361" i="2"/>
  <c r="O1362" i="2" s="1"/>
  <c r="S1361" i="2"/>
  <c r="S1362" i="2" s="1"/>
  <c r="W1361" i="2"/>
  <c r="W1362" i="2" s="1"/>
  <c r="G1410" i="2"/>
  <c r="K1410" i="2"/>
  <c r="O1410" i="2"/>
  <c r="S1410" i="2"/>
  <c r="W1410" i="2"/>
  <c r="G1414" i="2"/>
  <c r="K1414" i="2"/>
  <c r="O1414" i="2"/>
  <c r="S1414" i="2"/>
  <c r="W1414" i="2"/>
  <c r="D1441" i="2"/>
  <c r="D1442" i="2" s="1"/>
  <c r="H1441" i="2"/>
  <c r="H1442" i="2" s="1"/>
  <c r="L1441" i="2"/>
  <c r="L1442" i="2" s="1"/>
  <c r="P1441" i="2"/>
  <c r="P1442" i="2" s="1"/>
  <c r="T1441" i="2"/>
  <c r="T1442" i="2" s="1"/>
  <c r="X1441" i="2"/>
  <c r="X1442" i="2" s="1"/>
  <c r="Z1470" i="2"/>
  <c r="V1470" i="2"/>
  <c r="R1470" i="2"/>
  <c r="N1470" i="2"/>
  <c r="J1470" i="2"/>
  <c r="F1470" i="2"/>
  <c r="Y1470" i="2"/>
  <c r="U1470" i="2"/>
  <c r="Q1470" i="2"/>
  <c r="M1470" i="2"/>
  <c r="I1470" i="2"/>
  <c r="E1470" i="2"/>
  <c r="AB1470" i="2"/>
  <c r="X1470" i="2"/>
  <c r="T1470" i="2"/>
  <c r="P1470" i="2"/>
  <c r="L1470" i="2"/>
  <c r="H1470" i="2"/>
  <c r="D1470" i="2"/>
  <c r="S1470" i="2"/>
  <c r="D1472" i="2"/>
  <c r="T1472" i="2"/>
  <c r="E1474" i="2"/>
  <c r="U1474" i="2"/>
  <c r="G1456" i="2"/>
  <c r="K1456" i="2"/>
  <c r="O1456" i="2"/>
  <c r="S1456" i="2"/>
  <c r="W1456" i="2"/>
  <c r="AA1456" i="2"/>
  <c r="G1460" i="2"/>
  <c r="K1460" i="2"/>
  <c r="O1460" i="2"/>
  <c r="S1460" i="2"/>
  <c r="W1460" i="2"/>
  <c r="AA1460" i="2"/>
  <c r="D1456" i="2"/>
  <c r="H1456" i="2"/>
  <c r="L1456" i="2"/>
  <c r="P1456" i="2"/>
  <c r="T1456" i="2"/>
  <c r="X1456" i="2"/>
  <c r="D1460" i="2"/>
  <c r="H1460" i="2"/>
  <c r="L1460" i="2"/>
  <c r="P1460" i="2"/>
  <c r="T1460" i="2"/>
  <c r="X1460" i="2"/>
  <c r="Z1476" i="2"/>
  <c r="V1476" i="2"/>
  <c r="R1476" i="2"/>
  <c r="N1476" i="2"/>
  <c r="J1476" i="2"/>
  <c r="Y1476" i="2"/>
  <c r="U1476" i="2"/>
  <c r="Q1476" i="2"/>
  <c r="M1476" i="2"/>
  <c r="I1476" i="2"/>
  <c r="E1476" i="2"/>
  <c r="H1476" i="2"/>
  <c r="P1476" i="2"/>
  <c r="X1476" i="2"/>
  <c r="L1170" i="2" l="1"/>
  <c r="I1170" i="2"/>
  <c r="N1170" i="2"/>
  <c r="E1170" i="2"/>
  <c r="F1170" i="2"/>
  <c r="G1170" i="2"/>
  <c r="J1170" i="2"/>
  <c r="H1029" i="2"/>
  <c r="J1029" i="2"/>
  <c r="I1029" i="2"/>
  <c r="W1029" i="2"/>
  <c r="L1029" i="2"/>
  <c r="AA1029" i="2"/>
  <c r="E1029" i="2"/>
  <c r="V1029" i="2"/>
  <c r="Y1029" i="2"/>
  <c r="U1029" i="2"/>
  <c r="Q1029" i="2"/>
  <c r="M1029" i="2"/>
  <c r="AB1029" i="2"/>
  <c r="R1029" i="2"/>
  <c r="G1029" i="2"/>
  <c r="P1029" i="2"/>
  <c r="K1029" i="2"/>
  <c r="F1029" i="2"/>
  <c r="N1029" i="2"/>
  <c r="X1029" i="2"/>
  <c r="S1029" i="2"/>
  <c r="D1029" i="2"/>
  <c r="Z1029" i="2"/>
  <c r="O1029" i="2"/>
  <c r="T1029" i="2"/>
  <c r="Z504" i="2"/>
  <c r="AB504" i="2"/>
  <c r="AA504" i="2"/>
  <c r="L504" i="2"/>
  <c r="W504" i="2"/>
  <c r="X504" i="2"/>
  <c r="E504" i="2"/>
  <c r="S504" i="2"/>
  <c r="H504" i="2"/>
  <c r="O504" i="2"/>
  <c r="T504" i="2"/>
  <c r="K504" i="2"/>
  <c r="D504" i="2"/>
  <c r="N504" i="2"/>
  <c r="M504" i="2"/>
  <c r="F504" i="2"/>
  <c r="G504" i="2"/>
  <c r="P504" i="2"/>
  <c r="Y504" i="2"/>
  <c r="J504" i="2"/>
  <c r="V504" i="2"/>
  <c r="U504" i="2"/>
  <c r="I504" i="2"/>
  <c r="R504" i="2"/>
  <c r="Q504" i="2"/>
  <c r="L1188" i="2"/>
  <c r="W1152" i="2"/>
  <c r="D790" i="2"/>
  <c r="AA1188" i="2"/>
  <c r="G1188" i="2"/>
  <c r="W1188" i="2"/>
  <c r="R1188" i="2"/>
  <c r="F1188" i="2"/>
  <c r="M1188" i="2"/>
  <c r="V1188" i="2"/>
  <c r="S1188" i="2"/>
  <c r="O1188" i="2"/>
  <c r="H1188" i="2"/>
  <c r="Q1188" i="2"/>
  <c r="K1188" i="2"/>
  <c r="Z1188" i="2"/>
  <c r="U1188" i="2"/>
  <c r="P1188" i="2"/>
  <c r="J1188" i="2"/>
  <c r="E1188" i="2"/>
  <c r="Y1188" i="2"/>
  <c r="T1188" i="2"/>
  <c r="N1188" i="2"/>
  <c r="I1188" i="2"/>
  <c r="D1188" i="2"/>
  <c r="X1188" i="2"/>
  <c r="AB1188" i="2"/>
  <c r="T790" i="2"/>
  <c r="AB790" i="2"/>
  <c r="F790" i="2"/>
  <c r="H790" i="2"/>
  <c r="Y790" i="2"/>
  <c r="P790" i="2"/>
  <c r="W790" i="2"/>
  <c r="I790" i="2"/>
  <c r="S790" i="2"/>
  <c r="E790" i="2"/>
  <c r="Z790" i="2"/>
  <c r="O790" i="2"/>
  <c r="R790" i="2"/>
  <c r="K790" i="2"/>
  <c r="J790" i="2"/>
  <c r="G790" i="2"/>
  <c r="X790" i="2"/>
  <c r="N790" i="2"/>
  <c r="U790" i="2"/>
  <c r="L790" i="2"/>
  <c r="Q790" i="2"/>
  <c r="V790" i="2"/>
  <c r="AA790" i="2"/>
  <c r="M790" i="2"/>
  <c r="L1477" i="2"/>
  <c r="P1152" i="2"/>
  <c r="D1477" i="2"/>
  <c r="AB1477" i="2"/>
  <c r="I1477" i="2"/>
  <c r="S1477" i="2"/>
  <c r="M1477" i="2"/>
  <c r="E1477" i="2"/>
  <c r="T1477" i="2"/>
  <c r="Q1477" i="2"/>
  <c r="Z1477" i="2"/>
  <c r="AA1477" i="2"/>
  <c r="P1477" i="2"/>
  <c r="D842" i="2"/>
  <c r="D1256" i="2"/>
  <c r="K1477" i="2"/>
  <c r="U1477" i="2"/>
  <c r="G1477" i="2"/>
  <c r="X1477" i="2"/>
  <c r="Y1477" i="2"/>
  <c r="F1477" i="2"/>
  <c r="O1477" i="2"/>
  <c r="J1477" i="2"/>
  <c r="W1477" i="2"/>
  <c r="N1477" i="2"/>
  <c r="H1477" i="2"/>
  <c r="R1477" i="2"/>
  <c r="V1477" i="2"/>
  <c r="Z842" i="2"/>
  <c r="W842" i="2"/>
  <c r="U842" i="2"/>
  <c r="Q842" i="2"/>
  <c r="V842" i="2"/>
  <c r="J842" i="2"/>
  <c r="E842" i="2"/>
  <c r="X842" i="2"/>
  <c r="R842" i="2"/>
  <c r="T842" i="2"/>
  <c r="M842" i="2"/>
  <c r="L1419" i="2"/>
  <c r="I842" i="2"/>
  <c r="H842" i="2"/>
  <c r="F1419" i="2"/>
  <c r="Y842" i="2"/>
  <c r="G842" i="2"/>
  <c r="N842" i="2"/>
  <c r="AA1419" i="2"/>
  <c r="K842" i="2"/>
  <c r="AA842" i="2"/>
  <c r="O842" i="2"/>
  <c r="L842" i="2"/>
  <c r="F842" i="2"/>
  <c r="P842" i="2"/>
  <c r="S842" i="2"/>
  <c r="AB842" i="2"/>
  <c r="V1419" i="2"/>
  <c r="I1419" i="2"/>
  <c r="Z1419" i="2"/>
  <c r="J1419" i="2"/>
  <c r="M1419" i="2"/>
  <c r="S1419" i="2"/>
  <c r="O1419" i="2"/>
  <c r="R1419" i="2"/>
  <c r="K1419" i="2"/>
  <c r="D1419" i="2"/>
  <c r="G1419" i="2"/>
  <c r="X1419" i="2"/>
  <c r="H1419" i="2"/>
  <c r="U1419" i="2"/>
  <c r="P1419" i="2"/>
  <c r="W1419" i="2"/>
  <c r="E1419" i="2"/>
  <c r="AB1419" i="2"/>
  <c r="Y1419" i="2"/>
  <c r="T1419" i="2"/>
  <c r="Q1419" i="2"/>
  <c r="N1419" i="2"/>
  <c r="D1084" i="2"/>
  <c r="D1060" i="2"/>
  <c r="F21" i="2"/>
  <c r="W1352" i="2"/>
  <c r="E1256" i="2"/>
  <c r="H1352" i="2"/>
  <c r="F1352" i="2"/>
  <c r="X1352" i="2"/>
  <c r="S1352" i="2"/>
  <c r="Z1352" i="2"/>
  <c r="E1352" i="2"/>
  <c r="I1352" i="2"/>
  <c r="K1352" i="2"/>
  <c r="M1352" i="2"/>
  <c r="AA1352" i="2"/>
  <c r="Q1352" i="2"/>
  <c r="P1352" i="2"/>
  <c r="U1352" i="2"/>
  <c r="D1352" i="2"/>
  <c r="Y1352" i="2"/>
  <c r="T1352" i="2"/>
  <c r="J1352" i="2"/>
  <c r="L1352" i="2"/>
  <c r="AB1352" i="2"/>
  <c r="N1352" i="2"/>
  <c r="G1352" i="2"/>
  <c r="R1352" i="2"/>
  <c r="O1352" i="2"/>
  <c r="V1352" i="2"/>
  <c r="D1152" i="2"/>
  <c r="AB1256" i="2"/>
  <c r="M1256" i="2"/>
  <c r="O1152" i="2"/>
  <c r="Z1256" i="2"/>
  <c r="S21" i="2"/>
  <c r="M21" i="2"/>
  <c r="G21" i="2"/>
  <c r="H21" i="2"/>
  <c r="W21" i="2"/>
  <c r="R21" i="2"/>
  <c r="E1152" i="2"/>
  <c r="L1256" i="2"/>
  <c r="K1256" i="2"/>
  <c r="P1256" i="2"/>
  <c r="O1256" i="2"/>
  <c r="I1256" i="2"/>
  <c r="N1256" i="2"/>
  <c r="L21" i="2"/>
  <c r="Q21" i="2"/>
  <c r="T21" i="2"/>
  <c r="D21" i="2"/>
  <c r="N21" i="2"/>
  <c r="K21" i="2"/>
  <c r="AA21" i="2"/>
  <c r="J1152" i="2"/>
  <c r="N1152" i="2"/>
  <c r="R1256" i="2"/>
  <c r="F1256" i="2"/>
  <c r="AA1256" i="2"/>
  <c r="X1256" i="2"/>
  <c r="G1256" i="2"/>
  <c r="E21" i="2"/>
  <c r="U21" i="2"/>
  <c r="AB21" i="2"/>
  <c r="P21" i="2"/>
  <c r="V21" i="2"/>
  <c r="O21" i="2"/>
  <c r="J1256" i="2"/>
  <c r="Y1256" i="2"/>
  <c r="U1256" i="2"/>
  <c r="H1256" i="2"/>
  <c r="W1256" i="2"/>
  <c r="T1256" i="2"/>
  <c r="S1256" i="2"/>
  <c r="I21" i="2"/>
  <c r="Y21" i="2"/>
  <c r="J21" i="2"/>
  <c r="X21" i="2"/>
  <c r="Z21" i="2"/>
  <c r="Q1256" i="2"/>
  <c r="V1256" i="2"/>
  <c r="Z1152" i="2"/>
  <c r="I1152" i="2"/>
  <c r="M1152" i="2"/>
  <c r="S1152" i="2"/>
  <c r="U1152" i="2"/>
  <c r="Y1152" i="2"/>
  <c r="H1152" i="2"/>
  <c r="T1152" i="2"/>
  <c r="X1152" i="2"/>
  <c r="X1084" i="2"/>
  <c r="Q1326" i="2"/>
  <c r="F1326" i="2"/>
  <c r="Y1326" i="2"/>
  <c r="I1326" i="2"/>
  <c r="V1326" i="2"/>
  <c r="M1326" i="2"/>
  <c r="D1132" i="2"/>
  <c r="I1132" i="2"/>
  <c r="Y1132" i="2"/>
  <c r="E1132" i="2"/>
  <c r="T1132" i="2"/>
  <c r="K1132" i="2"/>
  <c r="O1132" i="2"/>
  <c r="Q1132" i="2"/>
  <c r="AA1132" i="2"/>
  <c r="U1132" i="2"/>
  <c r="P1132" i="2"/>
  <c r="L1084" i="2"/>
  <c r="AA1084" i="2"/>
  <c r="S1084" i="2"/>
  <c r="J1084" i="2"/>
  <c r="Z1060" i="2"/>
  <c r="O1060" i="2"/>
  <c r="N1060" i="2"/>
  <c r="E1060" i="2"/>
  <c r="U1060" i="2"/>
  <c r="Y1060" i="2"/>
  <c r="V1060" i="2"/>
  <c r="D1326" i="2"/>
  <c r="R1132" i="2"/>
  <c r="L1060" i="2"/>
  <c r="I1084" i="2"/>
  <c r="E1326" i="2"/>
  <c r="J1326" i="2"/>
  <c r="S1326" i="2"/>
  <c r="H1326" i="2"/>
  <c r="X1326" i="2"/>
  <c r="X1132" i="2"/>
  <c r="F1132" i="2"/>
  <c r="V1132" i="2"/>
  <c r="I1060" i="2"/>
  <c r="F1060" i="2"/>
  <c r="AA1060" i="2"/>
  <c r="W1060" i="2"/>
  <c r="P1060" i="2"/>
  <c r="N1084" i="2"/>
  <c r="R1084" i="2"/>
  <c r="Z1084" i="2"/>
  <c r="V1084" i="2"/>
  <c r="M1084" i="2"/>
  <c r="Y193" i="2"/>
  <c r="Y240" i="2" s="1"/>
  <c r="U193" i="2"/>
  <c r="U240" i="2" s="1"/>
  <c r="Q193" i="2"/>
  <c r="Q240" i="2" s="1"/>
  <c r="M193" i="2"/>
  <c r="M240" i="2" s="1"/>
  <c r="I193" i="2"/>
  <c r="I240" i="2" s="1"/>
  <c r="E193" i="2"/>
  <c r="E240" i="2" s="1"/>
  <c r="AB193" i="2"/>
  <c r="AB240" i="2" s="1"/>
  <c r="X193" i="2"/>
  <c r="X240" i="2" s="1"/>
  <c r="T193" i="2"/>
  <c r="T240" i="2" s="1"/>
  <c r="P193" i="2"/>
  <c r="P240" i="2" s="1"/>
  <c r="L193" i="2"/>
  <c r="L240" i="2" s="1"/>
  <c r="H193" i="2"/>
  <c r="H240" i="2" s="1"/>
  <c r="D193" i="2"/>
  <c r="D240" i="2" s="1"/>
  <c r="AA193" i="2"/>
  <c r="AA240" i="2" s="1"/>
  <c r="W193" i="2"/>
  <c r="W240" i="2" s="1"/>
  <c r="S193" i="2"/>
  <c r="S240" i="2" s="1"/>
  <c r="O193" i="2"/>
  <c r="O240" i="2" s="1"/>
  <c r="K193" i="2"/>
  <c r="K240" i="2" s="1"/>
  <c r="G193" i="2"/>
  <c r="G240" i="2" s="1"/>
  <c r="Z193" i="2"/>
  <c r="Z240" i="2" s="1"/>
  <c r="J193" i="2"/>
  <c r="J240" i="2" s="1"/>
  <c r="F9" i="3"/>
  <c r="F10" i="3" s="1"/>
  <c r="F11" i="3" s="1"/>
  <c r="N193" i="2"/>
  <c r="N240" i="2" s="1"/>
  <c r="V193" i="2"/>
  <c r="V240" i="2" s="1"/>
  <c r="F193" i="2"/>
  <c r="F240" i="2" s="1"/>
  <c r="R193" i="2"/>
  <c r="R240" i="2" s="1"/>
  <c r="AB31" i="2"/>
  <c r="X31" i="2"/>
  <c r="T31" i="2"/>
  <c r="P31" i="2"/>
  <c r="L31" i="2"/>
  <c r="H31" i="2"/>
  <c r="D31" i="2"/>
  <c r="W31" i="2"/>
  <c r="O31" i="2"/>
  <c r="G31" i="2"/>
  <c r="Y31" i="2"/>
  <c r="Q31" i="2"/>
  <c r="M31" i="2"/>
  <c r="I31" i="2"/>
  <c r="E31" i="2"/>
  <c r="AA31" i="2"/>
  <c r="S31" i="2"/>
  <c r="K31" i="2"/>
  <c r="U31" i="2"/>
  <c r="Z31" i="2"/>
  <c r="V31" i="2"/>
  <c r="R31" i="2"/>
  <c r="N31" i="2"/>
  <c r="J31" i="2"/>
  <c r="F31" i="2"/>
  <c r="T1326" i="2"/>
  <c r="R1060" i="2"/>
  <c r="G1084" i="2"/>
  <c r="P1084" i="2"/>
  <c r="G1326" i="2"/>
  <c r="AB1326" i="2"/>
  <c r="J1132" i="2"/>
  <c r="L1132" i="2"/>
  <c r="AB1132" i="2"/>
  <c r="N1326" i="2"/>
  <c r="S1060" i="2"/>
  <c r="K1060" i="2"/>
  <c r="G1060" i="2"/>
  <c r="T1060" i="2"/>
  <c r="AB1084" i="2"/>
  <c r="F1084" i="2"/>
  <c r="Q1084" i="2"/>
  <c r="AB23" i="2"/>
  <c r="X23" i="2"/>
  <c r="T23" i="2"/>
  <c r="P23" i="2"/>
  <c r="L23" i="2"/>
  <c r="H23" i="2"/>
  <c r="D23" i="2"/>
  <c r="W23" i="2"/>
  <c r="O23" i="2"/>
  <c r="G23" i="2"/>
  <c r="U23" i="2"/>
  <c r="M23" i="2"/>
  <c r="E23" i="2"/>
  <c r="AA23" i="2"/>
  <c r="S23" i="2"/>
  <c r="K23" i="2"/>
  <c r="Y23" i="2"/>
  <c r="Q23" i="2"/>
  <c r="I23" i="2"/>
  <c r="Z23" i="2"/>
  <c r="V23" i="2"/>
  <c r="R23" i="2"/>
  <c r="N23" i="2"/>
  <c r="J23" i="2"/>
  <c r="F23" i="2"/>
  <c r="R1326" i="2"/>
  <c r="O1326" i="2"/>
  <c r="H1132" i="2"/>
  <c r="AB1060" i="2"/>
  <c r="T1084" i="2"/>
  <c r="Y1084" i="2"/>
  <c r="W1326" i="2"/>
  <c r="L1326" i="2"/>
  <c r="S1132" i="2"/>
  <c r="Z1132" i="2"/>
  <c r="U1326" i="2"/>
  <c r="Z1326" i="2"/>
  <c r="K1326" i="2"/>
  <c r="AA1326" i="2"/>
  <c r="P1326" i="2"/>
  <c r="G1132" i="2"/>
  <c r="W1132" i="2"/>
  <c r="M1132" i="2"/>
  <c r="N1132" i="2"/>
  <c r="J1060" i="2"/>
  <c r="Q1060" i="2"/>
  <c r="M1060" i="2"/>
  <c r="H1060" i="2"/>
  <c r="X1060" i="2"/>
  <c r="W1084" i="2"/>
  <c r="H1084" i="2"/>
  <c r="O1084" i="2"/>
  <c r="K1084" i="2"/>
  <c r="E1084" i="2"/>
  <c r="U1084" i="2"/>
  <c r="X168" i="2" l="1"/>
  <c r="L168" i="2"/>
  <c r="Z168" i="2"/>
  <c r="P168" i="2"/>
  <c r="AB168" i="2"/>
  <c r="F168" i="2"/>
  <c r="T168" i="2"/>
  <c r="V168" i="2"/>
  <c r="J168" i="2"/>
  <c r="R168" i="2"/>
  <c r="N168" i="2"/>
  <c r="L4" i="3" s="1"/>
  <c r="E168" i="2"/>
  <c r="AA168" i="2"/>
  <c r="H168" i="2"/>
  <c r="D168" i="2"/>
  <c r="I168" i="2"/>
  <c r="G4" i="3" s="1"/>
  <c r="Y168" i="2"/>
  <c r="M168" i="2"/>
  <c r="Q168" i="2"/>
  <c r="U168" i="2"/>
  <c r="G168" i="2"/>
  <c r="K168" i="2"/>
  <c r="O168" i="2"/>
  <c r="S168" i="2"/>
  <c r="W168" i="2"/>
  <c r="T4" i="3" l="1"/>
  <c r="J4" i="3"/>
  <c r="F4" i="3"/>
  <c r="P4" i="3"/>
  <c r="D4" i="3"/>
  <c r="H4" i="3"/>
  <c r="O4" i="3"/>
  <c r="K4" i="3"/>
  <c r="R4" i="3"/>
  <c r="M4" i="3"/>
  <c r="C4" i="3"/>
  <c r="Q4" i="3"/>
  <c r="B4" i="3"/>
  <c r="B5" i="3" s="1"/>
  <c r="B6" i="3" s="1"/>
  <c r="N4" i="3"/>
  <c r="V4" i="3"/>
  <c r="S4" i="3"/>
  <c r="I4" i="3"/>
  <c r="E4" i="3"/>
  <c r="U4" i="3"/>
  <c r="T5" i="3" l="1"/>
  <c r="T6" i="3" s="1"/>
  <c r="J5" i="3"/>
  <c r="J6" i="3" s="1"/>
  <c r="F5" i="3"/>
  <c r="F6" i="3" s="1"/>
  <c r="P5" i="3"/>
  <c r="P6" i="3" s="1"/>
  <c r="M5" i="3"/>
  <c r="M6" i="3" s="1"/>
  <c r="D5" i="3"/>
  <c r="D6" i="3" s="1"/>
  <c r="H5" i="3"/>
  <c r="H6" i="3" s="1"/>
  <c r="L5" i="3"/>
  <c r="L6" i="3" s="1"/>
  <c r="Q5" i="3"/>
  <c r="Q6" i="3" s="1"/>
  <c r="K5" i="3"/>
  <c r="K6" i="3" s="1"/>
  <c r="O5" i="3"/>
  <c r="O6" i="3" s="1"/>
  <c r="R5" i="3"/>
  <c r="R6" i="3" s="1"/>
  <c r="C5" i="3"/>
  <c r="C6" i="3" s="1"/>
  <c r="N5" i="3"/>
  <c r="N6" i="3" s="1"/>
  <c r="S5" i="3"/>
  <c r="S6" i="3" s="1"/>
  <c r="V5" i="3"/>
  <c r="V6" i="3" s="1"/>
  <c r="I5" i="3"/>
  <c r="I6" i="3" s="1"/>
  <c r="G5" i="3"/>
  <c r="G6" i="3" s="1"/>
  <c r="E5" i="3"/>
  <c r="E6" i="3" s="1"/>
  <c r="U5" i="3"/>
  <c r="U6" i="3" s="1"/>
</calcChain>
</file>

<file path=xl/sharedStrings.xml><?xml version="1.0" encoding="utf-8"?>
<sst xmlns="http://schemas.openxmlformats.org/spreadsheetml/2006/main" count="1879" uniqueCount="782">
  <si>
    <t>Required Transmission Enhancements owned by:  Trans-Allegheny Interstate Line Company (TrAILCo)</t>
  </si>
  <si>
    <t>PJM</t>
  </si>
  <si>
    <t>Annual</t>
  </si>
  <si>
    <t>Monthly</t>
  </si>
  <si>
    <t>Responsible Customers'/Zones' allocation shares of monthly charges</t>
  </si>
  <si>
    <t>Upgrade</t>
  </si>
  <si>
    <t>Revenue</t>
  </si>
  <si>
    <t>East Coast</t>
  </si>
  <si>
    <t>ID</t>
  </si>
  <si>
    <t>Requirement</t>
  </si>
  <si>
    <t>AE</t>
  </si>
  <si>
    <t>AEP</t>
  </si>
  <si>
    <t>APS</t>
  </si>
  <si>
    <t>ATSI</t>
  </si>
  <si>
    <t>BGE</t>
  </si>
  <si>
    <t>ComEd</t>
  </si>
  <si>
    <t>Dayton</t>
  </si>
  <si>
    <t>Duke Energy OH/KY</t>
  </si>
  <si>
    <t>Duquesne</t>
  </si>
  <si>
    <t>Delmarva</t>
  </si>
  <si>
    <t>Dominion</t>
  </si>
  <si>
    <t>HTP</t>
  </si>
  <si>
    <t>JCPL</t>
  </si>
  <si>
    <t>MetEd</t>
  </si>
  <si>
    <t>Neptune</t>
  </si>
  <si>
    <t>PECO</t>
  </si>
  <si>
    <t>Penelec</t>
  </si>
  <si>
    <t>PEPCO</t>
  </si>
  <si>
    <t>PPL</t>
  </si>
  <si>
    <t>PSEG</t>
  </si>
  <si>
    <t>Rockland</t>
  </si>
  <si>
    <t>Power</t>
  </si>
  <si>
    <t>b0216</t>
  </si>
  <si>
    <t>b0218</t>
  </si>
  <si>
    <t>b0328.1</t>
  </si>
  <si>
    <t>b0328.2</t>
  </si>
  <si>
    <t>b0347.1</t>
  </si>
  <si>
    <t>b0347.2</t>
  </si>
  <si>
    <t>b0347.3</t>
  </si>
  <si>
    <t>b0347.4</t>
  </si>
  <si>
    <t>b0323</t>
  </si>
  <si>
    <t>b0230</t>
  </si>
  <si>
    <t>b0559</t>
  </si>
  <si>
    <t>b0229</t>
  </si>
  <si>
    <t>b0495</t>
  </si>
  <si>
    <t>b0343</t>
  </si>
  <si>
    <t>b0344</t>
  </si>
  <si>
    <t>b0345</t>
  </si>
  <si>
    <t>b0704</t>
  </si>
  <si>
    <t>b1243</t>
  </si>
  <si>
    <t>TOTAL</t>
  </si>
  <si>
    <t>Required Transmission Enhancements owned by:  Baltimore Gas and Electric Company's Network Customers</t>
  </si>
  <si>
    <t>b0298</t>
  </si>
  <si>
    <t>b0244</t>
  </si>
  <si>
    <t>b0477</t>
  </si>
  <si>
    <t>b0217</t>
  </si>
  <si>
    <t>b0222</t>
  </si>
  <si>
    <t>b0226</t>
  </si>
  <si>
    <t>b0403</t>
  </si>
  <si>
    <t>b0328.3</t>
  </si>
  <si>
    <t>b0328.4</t>
  </si>
  <si>
    <t>b0768</t>
  </si>
  <si>
    <t>b0337</t>
  </si>
  <si>
    <t>b0311</t>
  </si>
  <si>
    <t>b0231</t>
  </si>
  <si>
    <t>b0456</t>
  </si>
  <si>
    <t>b0227</t>
  </si>
  <si>
    <t>b0455</t>
  </si>
  <si>
    <t>b0453.1</t>
  </si>
  <si>
    <t>b0453.2</t>
  </si>
  <si>
    <t>b0453.3</t>
  </si>
  <si>
    <t>b0837</t>
  </si>
  <si>
    <t>b0327</t>
  </si>
  <si>
    <t>b0329.2A</t>
  </si>
  <si>
    <t>b0329.2B</t>
  </si>
  <si>
    <t>b0467.2</t>
  </si>
  <si>
    <t>b1507</t>
  </si>
  <si>
    <t>b0457</t>
  </si>
  <si>
    <t>b0784</t>
  </si>
  <si>
    <t>b1224</t>
  </si>
  <si>
    <t>b1508.3</t>
  </si>
  <si>
    <t>b1647</t>
  </si>
  <si>
    <t>b1648</t>
  </si>
  <si>
    <t>b1649</t>
  </si>
  <si>
    <t>b1650</t>
  </si>
  <si>
    <t>w/out incentives</t>
  </si>
  <si>
    <t>Required Transmission Enhancements owned by:  PSE&amp;G's Network Customers</t>
  </si>
  <si>
    <t>b0130</t>
  </si>
  <si>
    <t>b0134</t>
  </si>
  <si>
    <t>b0145</t>
  </si>
  <si>
    <t>b0411</t>
  </si>
  <si>
    <t>b0498</t>
  </si>
  <si>
    <t>b0161</t>
  </si>
  <si>
    <t>b0169</t>
  </si>
  <si>
    <t>b0170</t>
  </si>
  <si>
    <t>b0489</t>
  </si>
  <si>
    <t>b0489.4</t>
  </si>
  <si>
    <t>b0172.2</t>
  </si>
  <si>
    <t>b0813</t>
  </si>
  <si>
    <t>b1017</t>
  </si>
  <si>
    <t>b1018</t>
  </si>
  <si>
    <t>b0489.5-9</t>
  </si>
  <si>
    <t>b1410-1415</t>
  </si>
  <si>
    <t>b0290</t>
  </si>
  <si>
    <t>b0472</t>
  </si>
  <si>
    <t>b0668</t>
  </si>
  <si>
    <t>b0814</t>
  </si>
  <si>
    <t>b1156</t>
  </si>
  <si>
    <t>b1154</t>
  </si>
  <si>
    <t>b1228</t>
  </si>
  <si>
    <t>b1304.1-4</t>
  </si>
  <si>
    <t>Required Transmission Enhancements owned by:  PPL Electric Utilities Corp. dba PPL Utilities</t>
  </si>
  <si>
    <t>b0487</t>
  </si>
  <si>
    <t>b0171.2</t>
  </si>
  <si>
    <t>b0172.1</t>
  </si>
  <si>
    <t>b0284.2</t>
  </si>
  <si>
    <t>b0487.1</t>
  </si>
  <si>
    <t>b0791</t>
  </si>
  <si>
    <t>b0468</t>
  </si>
  <si>
    <t>b0504</t>
  </si>
  <si>
    <t>b0318</t>
  </si>
  <si>
    <t>b0839</t>
  </si>
  <si>
    <t>b1231</t>
  </si>
  <si>
    <t>b0570</t>
  </si>
  <si>
    <t>b1465.2</t>
  </si>
  <si>
    <t>b1465.4</t>
  </si>
  <si>
    <t>Required Transmission Enhancements owned by:  Atlantic Electric's Network Customers</t>
  </si>
  <si>
    <t>b0265</t>
  </si>
  <si>
    <t>b0276</t>
  </si>
  <si>
    <t>b0211</t>
  </si>
  <si>
    <t>b0210.A</t>
  </si>
  <si>
    <t>b0210.B</t>
  </si>
  <si>
    <t>Required Transmission Enhancements owned by:  Delmarva's Network Customers</t>
  </si>
  <si>
    <t>b0241.3</t>
  </si>
  <si>
    <t>b0272.1</t>
  </si>
  <si>
    <t>b0751</t>
  </si>
  <si>
    <t>Required Transmission Enhancements owned by:  PEPCO's Network Customers</t>
  </si>
  <si>
    <t>b0367.1-2</t>
  </si>
  <si>
    <t>b0512.7</t>
  </si>
  <si>
    <t>b0512.8</t>
  </si>
  <si>
    <t>b0512.9</t>
  </si>
  <si>
    <t>b0512.12</t>
  </si>
  <si>
    <t>b0478</t>
  </si>
  <si>
    <t>b0499</t>
  </si>
  <si>
    <t>b0526</t>
  </si>
  <si>
    <t>b0701.1</t>
  </si>
  <si>
    <t>b1022.2</t>
  </si>
  <si>
    <t>b0733</t>
  </si>
  <si>
    <t>b0496</t>
  </si>
  <si>
    <t>b0563</t>
  </si>
  <si>
    <t>b0564</t>
  </si>
  <si>
    <t>b1770</t>
  </si>
  <si>
    <t>b1990</t>
  </si>
  <si>
    <t>b1965</t>
  </si>
  <si>
    <t>b1839</t>
  </si>
  <si>
    <t>b1998</t>
  </si>
  <si>
    <t>b0556</t>
  </si>
  <si>
    <t>b1153</t>
  </si>
  <si>
    <t>b1023.1</t>
  </si>
  <si>
    <t xml:space="preserve"> </t>
  </si>
  <si>
    <t>b1034.1</t>
  </si>
  <si>
    <t>b1034.6</t>
  </si>
  <si>
    <t>b1465.3</t>
  </si>
  <si>
    <t>b1712.2</t>
  </si>
  <si>
    <t>b1864.1</t>
  </si>
  <si>
    <t>b1864.2</t>
  </si>
  <si>
    <t>b2048</t>
  </si>
  <si>
    <t>b1034.8</t>
  </si>
  <si>
    <t>b1870</t>
  </si>
  <si>
    <t>EKPC</t>
  </si>
  <si>
    <t>b1155</t>
  </si>
  <si>
    <t>b1399</t>
  </si>
  <si>
    <t>b1188.6</t>
  </si>
  <si>
    <t>b1188</t>
  </si>
  <si>
    <t>b1321</t>
  </si>
  <si>
    <t>b0756.1</t>
  </si>
  <si>
    <t>b1797</t>
  </si>
  <si>
    <t>b1799</t>
  </si>
  <si>
    <t>b1798</t>
  </si>
  <si>
    <t>b1805</t>
  </si>
  <si>
    <t xml:space="preserve">b1398 </t>
  </si>
  <si>
    <t>b1125</t>
  </si>
  <si>
    <t>b0288</t>
  </si>
  <si>
    <t>b1941</t>
  </si>
  <si>
    <t>b1803</t>
  </si>
  <si>
    <t>b1800</t>
  </si>
  <si>
    <t>b2433.1-b.2433.3</t>
  </si>
  <si>
    <t>b1967</t>
  </si>
  <si>
    <t>b1609</t>
  </si>
  <si>
    <t>b1769</t>
  </si>
  <si>
    <t>b1945</t>
  </si>
  <si>
    <t>b1610</t>
  </si>
  <si>
    <t>b1801</t>
  </si>
  <si>
    <t>b1964</t>
  </si>
  <si>
    <t>b2342</t>
  </si>
  <si>
    <t>b1672</t>
  </si>
  <si>
    <t xml:space="preserve">b1032.2 </t>
  </si>
  <si>
    <t>b1034.2</t>
  </si>
  <si>
    <t>b1034.3</t>
  </si>
  <si>
    <t>b2020</t>
  </si>
  <si>
    <t>b2021</t>
  </si>
  <si>
    <t>b1659.14</t>
  </si>
  <si>
    <t>b2032</t>
  </si>
  <si>
    <t>b1034.7</t>
  </si>
  <si>
    <t>b2018</t>
  </si>
  <si>
    <t>b1661</t>
  </si>
  <si>
    <t>b1255</t>
  </si>
  <si>
    <t>b1588</t>
  </si>
  <si>
    <t>b2436.21</t>
  </si>
  <si>
    <t>b2436.22</t>
  </si>
  <si>
    <t>b2436.81</t>
  </si>
  <si>
    <t>b2436.83</t>
  </si>
  <si>
    <t>b2436.90</t>
  </si>
  <si>
    <t>b2437.10</t>
  </si>
  <si>
    <t>b2437.20</t>
  </si>
  <si>
    <t>b2437.21</t>
  </si>
  <si>
    <t>b2437.30</t>
  </si>
  <si>
    <t>b2436.21_dfax</t>
  </si>
  <si>
    <t>b2436.22_dfax</t>
  </si>
  <si>
    <t>b2436.81_dfax</t>
  </si>
  <si>
    <t>b2436.83_dfax</t>
  </si>
  <si>
    <t>b2436.90_dfax</t>
  </si>
  <si>
    <t>b1508.1</t>
  </si>
  <si>
    <t>b1508.2</t>
  </si>
  <si>
    <t>b2053</t>
  </si>
  <si>
    <t>b1906.1</t>
  </si>
  <si>
    <t>b1908</t>
  </si>
  <si>
    <t>b1905.2</t>
  </si>
  <si>
    <t>b1328</t>
  </si>
  <si>
    <t>numbers in black</t>
  </si>
  <si>
    <t>numbers in red</t>
  </si>
  <si>
    <t>No change for project from previous posting</t>
  </si>
  <si>
    <t>Value changed for project from previous posting</t>
  </si>
  <si>
    <t>b2139</t>
  </si>
  <si>
    <t>b1247</t>
  </si>
  <si>
    <t>b1398.5</t>
  </si>
  <si>
    <t>b2008</t>
  </si>
  <si>
    <t>b2343</t>
  </si>
  <si>
    <t>b1840</t>
  </si>
  <si>
    <t>b2235</t>
  </si>
  <si>
    <t>b2260</t>
  </si>
  <si>
    <t>b1802</t>
  </si>
  <si>
    <t>b0555</t>
  </si>
  <si>
    <t>b1943</t>
  </si>
  <si>
    <t>b0376</t>
  </si>
  <si>
    <t>b2364-b2364.1</t>
  </si>
  <si>
    <t>b2362</t>
  </si>
  <si>
    <t>b2156</t>
  </si>
  <si>
    <t>b2546</t>
  </si>
  <si>
    <t>b2017</t>
  </si>
  <si>
    <t>b1818</t>
  </si>
  <si>
    <t>b1819</t>
  </si>
  <si>
    <t>b1032.4</t>
  </si>
  <si>
    <t>b1666</t>
  </si>
  <si>
    <t>b1957</t>
  </si>
  <si>
    <t>b1962</t>
  </si>
  <si>
    <t>b2019</t>
  </si>
  <si>
    <t>b1032.1</t>
  </si>
  <si>
    <t>b1948</t>
  </si>
  <si>
    <t>b2022</t>
  </si>
  <si>
    <t>b1590</t>
  </si>
  <si>
    <t>b1787</t>
  </si>
  <si>
    <t>b1698</t>
  </si>
  <si>
    <t>b1907</t>
  </si>
  <si>
    <t>b1909</t>
  </si>
  <si>
    <t>b1912</t>
  </si>
  <si>
    <t>b1701</t>
  </si>
  <si>
    <t>b1694</t>
  </si>
  <si>
    <t>b1911</t>
  </si>
  <si>
    <t>b2471</t>
  </si>
  <si>
    <t>b2471_dfax</t>
  </si>
  <si>
    <t>Required Transmission Enhancements owned by:  Commonwealth Edison Company's Network Customers</t>
  </si>
  <si>
    <t>b2141</t>
  </si>
  <si>
    <t>b1791</t>
  </si>
  <si>
    <t>b2609.4</t>
  </si>
  <si>
    <t>b2436.10</t>
  </si>
  <si>
    <t>b2436.84</t>
  </si>
  <si>
    <t>b2436.85</t>
  </si>
  <si>
    <t>b2436.10_dfax</t>
  </si>
  <si>
    <t>b2436.84_dfax</t>
  </si>
  <si>
    <t>b2436.85_dfax</t>
  </si>
  <si>
    <t>b1600</t>
  </si>
  <si>
    <t>b2545</t>
  </si>
  <si>
    <t>b2547.1</t>
  </si>
  <si>
    <t>b2475</t>
  </si>
  <si>
    <t>b1991</t>
  </si>
  <si>
    <t>b2441</t>
  </si>
  <si>
    <t>b1398.3.1</t>
  </si>
  <si>
    <t>b1660</t>
  </si>
  <si>
    <t>b1660.1</t>
  </si>
  <si>
    <t>b1663.2</t>
  </si>
  <si>
    <t>b1875</t>
  </si>
  <si>
    <t>b1797.1</t>
  </si>
  <si>
    <t>b1659</t>
  </si>
  <si>
    <t>b1659.13</t>
  </si>
  <si>
    <t>b1495</t>
  </si>
  <si>
    <t>b1660.1_dfax</t>
  </si>
  <si>
    <t>b1797.1_dfax</t>
  </si>
  <si>
    <t>b1023.3</t>
  </si>
  <si>
    <t>b1905.1</t>
  </si>
  <si>
    <t>b1905.5</t>
  </si>
  <si>
    <t>b1696</t>
  </si>
  <si>
    <t>b2373</t>
  </si>
  <si>
    <t>b1712.1</t>
  </si>
  <si>
    <t>b1465.1</t>
  </si>
  <si>
    <t>b2230</t>
  </si>
  <si>
    <t>b2423</t>
  </si>
  <si>
    <t>b2230_dfax</t>
  </si>
  <si>
    <t>b2423_dfax</t>
  </si>
  <si>
    <t>b0497</t>
  </si>
  <si>
    <t>b1016</t>
  </si>
  <si>
    <t>b1251</t>
  </si>
  <si>
    <t>b1804</t>
  </si>
  <si>
    <t>b2261</t>
  </si>
  <si>
    <t>b2494</t>
  </si>
  <si>
    <t>s1041</t>
  </si>
  <si>
    <t>Required Transmission Enhancements owned by:  Jersey Central Power &amp; Light (Transmission)</t>
  </si>
  <si>
    <t>b0174</t>
  </si>
  <si>
    <t>b0268</t>
  </si>
  <si>
    <t>b0726</t>
  </si>
  <si>
    <t>b2015</t>
  </si>
  <si>
    <t>b1608</t>
  </si>
  <si>
    <t>b0674</t>
  </si>
  <si>
    <t>b0674.1</t>
  </si>
  <si>
    <t>Required Transmission Enhancements owned by: Mid-Atlantic Interstate Transmission, LLC</t>
  </si>
  <si>
    <t>b0215</t>
  </si>
  <si>
    <t>b0549</t>
  </si>
  <si>
    <t>b0551</t>
  </si>
  <si>
    <t>b0552</t>
  </si>
  <si>
    <t>b0553</t>
  </si>
  <si>
    <t>b0557</t>
  </si>
  <si>
    <t>b1993</t>
  </si>
  <si>
    <t>b1994</t>
  </si>
  <si>
    <t>b2006.1.1</t>
  </si>
  <si>
    <t>b2006.1.1_dfax</t>
  </si>
  <si>
    <t>b2452</t>
  </si>
  <si>
    <t>b2452.1</t>
  </si>
  <si>
    <t>Required Transmission Enhancements owned by: PECO Energy Company</t>
  </si>
  <si>
    <t>b0269</t>
  </si>
  <si>
    <t>b0269.10</t>
  </si>
  <si>
    <t>b1591</t>
  </si>
  <si>
    <t>b0269.6</t>
  </si>
  <si>
    <t>b0171.1</t>
  </si>
  <si>
    <t>b1900</t>
  </si>
  <si>
    <t>b0727</t>
  </si>
  <si>
    <t>b2140</t>
  </si>
  <si>
    <t>b1182</t>
  </si>
  <si>
    <t>b1717</t>
  </si>
  <si>
    <t>b1178</t>
  </si>
  <si>
    <t>b0790</t>
  </si>
  <si>
    <t>b0506</t>
  </si>
  <si>
    <t>b0505</t>
  </si>
  <si>
    <t>b0789</t>
  </si>
  <si>
    <t>b0206</t>
  </si>
  <si>
    <t>b0207</t>
  </si>
  <si>
    <t>b0209</t>
  </si>
  <si>
    <t>b0264</t>
  </si>
  <si>
    <t>b0357</t>
  </si>
  <si>
    <t>b1590.1-b1590.2</t>
  </si>
  <si>
    <t>Required Transmission Enhancements owned by: American Transmission Systems, Inc.</t>
  </si>
  <si>
    <t>b1587</t>
  </si>
  <si>
    <t>b1920</t>
  </si>
  <si>
    <t>b1977</t>
  </si>
  <si>
    <t>b1959</t>
  </si>
  <si>
    <t>b1589</t>
  </si>
  <si>
    <t>b2146</t>
  </si>
  <si>
    <t>b2702</t>
  </si>
  <si>
    <t>b2743.5</t>
  </si>
  <si>
    <t>b2743.1.</t>
  </si>
  <si>
    <t>b2752.5</t>
  </si>
  <si>
    <t>b2752.1</t>
  </si>
  <si>
    <t>b2687.1</t>
  </si>
  <si>
    <t>b2702_dfax</t>
  </si>
  <si>
    <t>b2687.2</t>
  </si>
  <si>
    <t>b2687.1_dfax</t>
  </si>
  <si>
    <t>b2687.2_dfax</t>
  </si>
  <si>
    <t>b1905.3</t>
  </si>
  <si>
    <t>b1905.4</t>
  </si>
  <si>
    <t>b2744</t>
  </si>
  <si>
    <t>b2744_dfax</t>
  </si>
  <si>
    <t>highlighted rows</t>
  </si>
  <si>
    <t>b2587</t>
  </si>
  <si>
    <t>b1251.1</t>
  </si>
  <si>
    <t>b2006</t>
  </si>
  <si>
    <t>b2006.1</t>
  </si>
  <si>
    <t>b2237</t>
  </si>
  <si>
    <t>b2728</t>
  </si>
  <si>
    <t>b1398.8</t>
  </si>
  <si>
    <t>b0287</t>
  </si>
  <si>
    <t>b0208</t>
  </si>
  <si>
    <t>b2237_dfax</t>
  </si>
  <si>
    <t>b0216_dfax</t>
  </si>
  <si>
    <t>b0328.1_dfax</t>
  </si>
  <si>
    <t>b0328.2_dfax</t>
  </si>
  <si>
    <t>b0347.1_dfax</t>
  </si>
  <si>
    <t>b0347.2_dfax</t>
  </si>
  <si>
    <t>b0347.3_dfax</t>
  </si>
  <si>
    <t>b0347.4_dfax</t>
  </si>
  <si>
    <t>b0559_dfax</t>
  </si>
  <si>
    <t>b0495_dfax</t>
  </si>
  <si>
    <t>b1803_dfax</t>
  </si>
  <si>
    <t>b1804_dfax</t>
  </si>
  <si>
    <t>b0217_dfax</t>
  </si>
  <si>
    <t>b0222_dfax</t>
  </si>
  <si>
    <t>b0328.3_dfax</t>
  </si>
  <si>
    <t>b0328.4_dfax</t>
  </si>
  <si>
    <t>b0231_dfax</t>
  </si>
  <si>
    <t>b0837_dfax</t>
  </si>
  <si>
    <t>b0329.2B_dfax</t>
  </si>
  <si>
    <t>b1507_dfax</t>
  </si>
  <si>
    <t>b0457_dfax</t>
  </si>
  <si>
    <t>b0784_dfax</t>
  </si>
  <si>
    <t>b1647_dfax</t>
  </si>
  <si>
    <t>b1648_dfax</t>
  </si>
  <si>
    <t>b1649_dfax</t>
  </si>
  <si>
    <t>b1650_dfax</t>
  </si>
  <si>
    <t>b1188_dfax</t>
  </si>
  <si>
    <t>b0756.1_dfax</t>
  </si>
  <si>
    <t>b1797_dfax</t>
  </si>
  <si>
    <t>b1799_dfax</t>
  </si>
  <si>
    <t>b1798_dfax</t>
  </si>
  <si>
    <t>b1805_dfax</t>
  </si>
  <si>
    <t>b1906.1_dfax</t>
  </si>
  <si>
    <t>b1908_dfax</t>
  </si>
  <si>
    <t>b1905.2_dfax</t>
  </si>
  <si>
    <t>b1694_dfax</t>
  </si>
  <si>
    <t>b1905.1_dfax</t>
  </si>
  <si>
    <t>b0498_dfax</t>
  </si>
  <si>
    <t>b0489_dfax</t>
  </si>
  <si>
    <t>b0172.2_dfax</t>
  </si>
  <si>
    <t>b0489.5-9_dfax</t>
  </si>
  <si>
    <t>b1410-1415_dfax</t>
  </si>
  <si>
    <t>b0290_dfax</t>
  </si>
  <si>
    <t>b0487_dfax</t>
  </si>
  <si>
    <t>b0171.2_dfax</t>
  </si>
  <si>
    <t>b0172.1_dfax</t>
  </si>
  <si>
    <t>b0284.2_dfax</t>
  </si>
  <si>
    <t>b2006.1_dfax</t>
  </si>
  <si>
    <t>b0504_dfax</t>
  </si>
  <si>
    <t>b1465.2_dfax</t>
  </si>
  <si>
    <t>b1465.4_dfax</t>
  </si>
  <si>
    <t>b1465.3_dfax</t>
  </si>
  <si>
    <t>b1659.14_dfax</t>
  </si>
  <si>
    <t>b1661_dfax</t>
  </si>
  <si>
    <t>b1962_dfax</t>
  </si>
  <si>
    <t>b1663.2_dfax</t>
  </si>
  <si>
    <t>b1659.13_dfax</t>
  </si>
  <si>
    <t>b0210.A_dfax</t>
  </si>
  <si>
    <t>b0272.1_dfax</t>
  </si>
  <si>
    <t>b0751_dfax</t>
  </si>
  <si>
    <t>b0512.7_dfax</t>
  </si>
  <si>
    <t>b0512.8_dfax</t>
  </si>
  <si>
    <t>b0512.9_dfax</t>
  </si>
  <si>
    <t>b0512.12_dfax</t>
  </si>
  <si>
    <t>b0549_dfax</t>
  </si>
  <si>
    <t>b0269_dfax</t>
  </si>
  <si>
    <t>b0269.6_dfax</t>
  </si>
  <si>
    <t>b0171.1_dfax</t>
  </si>
  <si>
    <t>b0287_dfax</t>
  </si>
  <si>
    <t>b1800_dfax</t>
  </si>
  <si>
    <t>b1660_dfax</t>
  </si>
  <si>
    <t>b2373_dfax</t>
  </si>
  <si>
    <t>b1465.5</t>
  </si>
  <si>
    <t>b1465.5_dfax</t>
  </si>
  <si>
    <t>b2831.1</t>
  </si>
  <si>
    <t>b2833</t>
  </si>
  <si>
    <t>b2972</t>
  </si>
  <si>
    <t>MISO</t>
  </si>
  <si>
    <t>b1905.6</t>
  </si>
  <si>
    <t>b1905.7</t>
  </si>
  <si>
    <t>b1905.9</t>
  </si>
  <si>
    <t>b2582</t>
  </si>
  <si>
    <t>b2665</t>
  </si>
  <si>
    <t>b2758</t>
  </si>
  <si>
    <t>$/MW (per year)</t>
  </si>
  <si>
    <t>Total Monthly Network Customer Credits</t>
  </si>
  <si>
    <t>Total Monthly Charges</t>
  </si>
  <si>
    <t>Zone</t>
  </si>
  <si>
    <t>$/MW (per month)*</t>
  </si>
  <si>
    <t>*The monthly rate applies to an LSE’s monthly MW total in a zone divided by the number of days in a month</t>
  </si>
  <si>
    <t>b2694</t>
  </si>
  <si>
    <t>b2824</t>
  </si>
  <si>
    <t>b2716</t>
  </si>
  <si>
    <t>b2716_dfax</t>
  </si>
  <si>
    <t>OVEC</t>
  </si>
  <si>
    <t>b2743.2</t>
  </si>
  <si>
    <t>b2743.3</t>
  </si>
  <si>
    <t>b2743.4</t>
  </si>
  <si>
    <t>b0132.3</t>
  </si>
  <si>
    <t>b1364</t>
  </si>
  <si>
    <t>b1362</t>
  </si>
  <si>
    <t>b1816.4</t>
  </si>
  <si>
    <t>b2688.1</t>
  </si>
  <si>
    <t>b2124.4</t>
  </si>
  <si>
    <t>b2124.1</t>
  </si>
  <si>
    <t>b2124.2</t>
  </si>
  <si>
    <t>b2729</t>
  </si>
  <si>
    <t>b2955</t>
  </si>
  <si>
    <t>Required Transmission Enhancements owned by:  Transource West Virginia, LLC</t>
  </si>
  <si>
    <t>Required Transmission Enhancements owned by:  Transource Maryland, LLC</t>
  </si>
  <si>
    <t>Required Transmission Enhancements owned by:  Transource Pennsylvania, LLC</t>
  </si>
  <si>
    <t>New project</t>
  </si>
  <si>
    <t>Required Transmission Enhancements owned by:  Silver Run Electric, Inc.</t>
  </si>
  <si>
    <t>b2633.4</t>
  </si>
  <si>
    <t>b2633.4_dfax</t>
  </si>
  <si>
    <t>b2633.5</t>
  </si>
  <si>
    <t>b2633.1-b2633.2</t>
  </si>
  <si>
    <t>Required Transmission Enhancements owned by:  Duquesne Light Company's Network Customers</t>
  </si>
  <si>
    <t>Required Transmission Enhancements owned by:  Northern Indiana Public Service Company (NIPSCO) in Midcontinent Independent System Operator, Inc. (MISO)</t>
  </si>
  <si>
    <t>b2824_dfax</t>
  </si>
  <si>
    <t>b1570</t>
  </si>
  <si>
    <t>Required Transmission Enhancements owned by:  The Dayton Power &amp; Light Company</t>
  </si>
  <si>
    <t>b2552.2</t>
  </si>
  <si>
    <t>b2944</t>
  </si>
  <si>
    <t>b0210.1</t>
  </si>
  <si>
    <t>b0212</t>
  </si>
  <si>
    <t>b2633.10</t>
  </si>
  <si>
    <t>b0467.1</t>
  </si>
  <si>
    <t>b1126</t>
  </si>
  <si>
    <t>b1596</t>
  </si>
  <si>
    <t>b2692.1-b2692.2</t>
  </si>
  <si>
    <t>b2766.2</t>
  </si>
  <si>
    <t>b2766.2_dfax</t>
  </si>
  <si>
    <t>b2835.1</t>
  </si>
  <si>
    <t>b2835.2</t>
  </si>
  <si>
    <t>b2835.3</t>
  </si>
  <si>
    <t>b2836.2</t>
  </si>
  <si>
    <t>b2836.3</t>
  </si>
  <si>
    <t>b2836.4</t>
  </si>
  <si>
    <t>b2837.1</t>
  </si>
  <si>
    <t>b2837.2</t>
  </si>
  <si>
    <t>b2837.3</t>
  </si>
  <si>
    <t>b2837.4</t>
  </si>
  <si>
    <t>b2837.5</t>
  </si>
  <si>
    <t>b2837.6</t>
  </si>
  <si>
    <t>b2837.7</t>
  </si>
  <si>
    <t>b2837.8</t>
  </si>
  <si>
    <t>b2837.9</t>
  </si>
  <si>
    <t>b2837.10</t>
  </si>
  <si>
    <t>b2837.11</t>
  </si>
  <si>
    <t>b0274</t>
  </si>
  <si>
    <t>b2582_dfax</t>
  </si>
  <si>
    <t>b2665_dfax</t>
  </si>
  <si>
    <t>b2758_dfax</t>
  </si>
  <si>
    <t xml:space="preserve">b2928   </t>
  </si>
  <si>
    <t>b2928_dfax</t>
  </si>
  <si>
    <t>b2960.1</t>
  </si>
  <si>
    <t>b2960.1_dfax</t>
  </si>
  <si>
    <t>b2960.2</t>
  </si>
  <si>
    <t>b2960.2_dfax</t>
  </si>
  <si>
    <t>b0284.3</t>
  </si>
  <si>
    <t>b0369</t>
  </si>
  <si>
    <t>b0284.3_dfax</t>
  </si>
  <si>
    <t>b0369_dfax</t>
  </si>
  <si>
    <t>b2436.33</t>
  </si>
  <si>
    <t>b2436.34</t>
  </si>
  <si>
    <t>b2436.60</t>
  </si>
  <si>
    <t>b2986.12</t>
  </si>
  <si>
    <t>b2986.21</t>
  </si>
  <si>
    <t>Required Transmission Enhancements owned by:  South FirstEnergy Operating Companies</t>
  </si>
  <si>
    <t>b0577</t>
  </si>
  <si>
    <t>b0238</t>
  </si>
  <si>
    <t>b0373</t>
  </si>
  <si>
    <t>b1507.2</t>
  </si>
  <si>
    <t>b1507.3</t>
  </si>
  <si>
    <t>b2688.3</t>
  </si>
  <si>
    <t>b1835</t>
  </si>
  <si>
    <t>b0577_dfax</t>
  </si>
  <si>
    <t>b1507.2_dfax</t>
  </si>
  <si>
    <t>b1507.3_dfax</t>
  </si>
  <si>
    <t>b0347.17-32_dfax</t>
  </si>
  <si>
    <t>b0347.17-32</t>
  </si>
  <si>
    <t>b3027.1</t>
  </si>
  <si>
    <t>b2978</t>
  </si>
  <si>
    <t>b2759</t>
  </si>
  <si>
    <t>b2978_dfax</t>
  </si>
  <si>
    <t>b2759_dfax</t>
  </si>
  <si>
    <t>b0501-b0503</t>
  </si>
  <si>
    <t>b2443</t>
  </si>
  <si>
    <t>b2766.1</t>
  </si>
  <si>
    <t>b2992.3</t>
  </si>
  <si>
    <t>b2992.4</t>
  </si>
  <si>
    <t>b2766.1_dfax</t>
  </si>
  <si>
    <t>b2118</t>
  </si>
  <si>
    <t>b2996-b2996.2</t>
  </si>
  <si>
    <t>b2552.1</t>
  </si>
  <si>
    <t>b3311</t>
  </si>
  <si>
    <t>b2986.22</t>
  </si>
  <si>
    <t>b2836.1</t>
  </si>
  <si>
    <t>b3019</t>
  </si>
  <si>
    <t>b3019_dfax</t>
  </si>
  <si>
    <t>b2992.1</t>
  </si>
  <si>
    <t>b2992.2</t>
  </si>
  <si>
    <t>b3015.2</t>
  </si>
  <si>
    <t>b3012.2</t>
  </si>
  <si>
    <t>b1969</t>
  </si>
  <si>
    <t>b2689.1-2</t>
  </si>
  <si>
    <t>b3145</t>
  </si>
  <si>
    <t>b2752.4</t>
  </si>
  <si>
    <t>b2006.2.1</t>
  </si>
  <si>
    <t>b2986.23</t>
  </si>
  <si>
    <t>b2986.24</t>
  </si>
  <si>
    <t>b2777</t>
  </si>
  <si>
    <t>b3021</t>
  </si>
  <si>
    <t>b3020</t>
  </si>
  <si>
    <t>b3702</t>
  </si>
  <si>
    <t>b3021_dfax</t>
  </si>
  <si>
    <t>b3020_dfax</t>
  </si>
  <si>
    <t xml:space="preserve">incentives </t>
  </si>
  <si>
    <t>b3737.47</t>
  </si>
  <si>
    <t>b2435</t>
  </si>
  <si>
    <t>b0376_dfax</t>
  </si>
  <si>
    <t>b0664-0665</t>
  </si>
  <si>
    <t>b2276</t>
  </si>
  <si>
    <t>b2276.1</t>
  </si>
  <si>
    <t>b2276.2</t>
  </si>
  <si>
    <t>b2436.50</t>
  </si>
  <si>
    <t>b2436.70</t>
  </si>
  <si>
    <t>b2437.11</t>
  </si>
  <si>
    <t>b2437.33</t>
  </si>
  <si>
    <t>b2755</t>
  </si>
  <si>
    <t>b2810.2</t>
  </si>
  <si>
    <t>b2811</t>
  </si>
  <si>
    <t>b2812</t>
  </si>
  <si>
    <t>b2933.1</t>
  </si>
  <si>
    <t>b2933.2</t>
  </si>
  <si>
    <t>b2933.31</t>
  </si>
  <si>
    <t>b2933.32</t>
  </si>
  <si>
    <t>b2934</t>
  </si>
  <si>
    <t>b2935</t>
  </si>
  <si>
    <t>b2935.1</t>
  </si>
  <si>
    <t>b2935.2</t>
  </si>
  <si>
    <t>b2935.3</t>
  </si>
  <si>
    <t>b2956</t>
  </si>
  <si>
    <t>b2982.1</t>
  </si>
  <si>
    <t>b2982.2</t>
  </si>
  <si>
    <t>b2983</t>
  </si>
  <si>
    <t>b2983.1</t>
  </si>
  <si>
    <t>b2983.2</t>
  </si>
  <si>
    <t>b2986.11</t>
  </si>
  <si>
    <t>b3003.1</t>
  </si>
  <si>
    <t>b3003.2</t>
  </si>
  <si>
    <t>b3003.3</t>
  </si>
  <si>
    <t>b3003.4</t>
  </si>
  <si>
    <t>b3003.5</t>
  </si>
  <si>
    <t>b3004</t>
  </si>
  <si>
    <t>b3004.1</t>
  </si>
  <si>
    <t>b3004.2</t>
  </si>
  <si>
    <t>b3004.3</t>
  </si>
  <si>
    <t>b3004.4</t>
  </si>
  <si>
    <t>b3025.1</t>
  </si>
  <si>
    <t>b3025.2</t>
  </si>
  <si>
    <t>b3025.3</t>
  </si>
  <si>
    <t>b2668</t>
  </si>
  <si>
    <t>b2776</t>
  </si>
  <si>
    <t>b1034.4</t>
  </si>
  <si>
    <t>b1034.5</t>
  </si>
  <si>
    <t>b3775.10_rel</t>
  </si>
  <si>
    <t>b3775.10_mkt</t>
  </si>
  <si>
    <t>b3775.6_rel</t>
  </si>
  <si>
    <t>b3775.6_mkt</t>
  </si>
  <si>
    <t>b3775.7_rel</t>
  </si>
  <si>
    <t>b3775.7_mkt</t>
  </si>
  <si>
    <t>b3718.3</t>
  </si>
  <si>
    <t>b3718.3_dfax</t>
  </si>
  <si>
    <t>Required Transmission Enhancements owned by:  Transmission Owners in Midcontinent Independent System Operator, Inc. (MISO)</t>
  </si>
  <si>
    <t>b3698</t>
  </si>
  <si>
    <t>b3705</t>
  </si>
  <si>
    <t>Required Transmission Enhancements owned by:  Keystone Appalachian Transmission Company</t>
  </si>
  <si>
    <t>b3214</t>
  </si>
  <si>
    <t>b3717.1</t>
  </si>
  <si>
    <t>b3800.121</t>
  </si>
  <si>
    <t>b3800.121_dfax</t>
  </si>
  <si>
    <t>b3737.47_dfax</t>
  </si>
  <si>
    <t>b3737.47_pub</t>
  </si>
  <si>
    <t>Required Transmission Enhancements owned by:  AEP East Operating Companies and AEP Transmission Companies</t>
  </si>
  <si>
    <t>Required Transmission Enhancements owned by:  Dominion Virginia Power's Network Customers</t>
  </si>
  <si>
    <t>b1022.11</t>
  </si>
  <si>
    <t>b1022.5</t>
  </si>
  <si>
    <t>b3006</t>
  </si>
  <si>
    <t>b3011.2</t>
  </si>
  <si>
    <t>b3011.5</t>
  </si>
  <si>
    <t>b2965</t>
  </si>
  <si>
    <t>Required Transmission Enhancements owned by: NextEra Energy Transmission MidAtlantic, Inc.</t>
  </si>
  <si>
    <t>s2509/s2631</t>
  </si>
  <si>
    <t>b3775.2_rel</t>
  </si>
  <si>
    <t>b3775.2_mkt</t>
  </si>
  <si>
    <t>b3800.102</t>
  </si>
  <si>
    <t>b3800.102_dfax</t>
  </si>
  <si>
    <t>b3800.106</t>
  </si>
  <si>
    <t>b3800.106_dfax</t>
  </si>
  <si>
    <t>Required Transmission Enhancements owned by: Duke Energy Ohio, Inc. &amp; Duke Energy Kentucky, Inc.'s Network Customers</t>
  </si>
  <si>
    <t>b2831.2</t>
  </si>
  <si>
    <r>
      <t>Transmission Enhancement Charges (PJM OATT Schedule 12) Settlement Worksheet</t>
    </r>
    <r>
      <rPr>
        <b/>
        <i/>
        <sz val="8"/>
        <rFont val="Arial"/>
        <family val="2"/>
      </rPr>
      <t/>
    </r>
  </si>
  <si>
    <t>b2609.5</t>
  </si>
  <si>
    <t>Zonal Peak (MW) for 2026</t>
  </si>
  <si>
    <t>(Jan - Dec 2026)</t>
  </si>
  <si>
    <t>b3704</t>
  </si>
  <si>
    <t>(Jan-Dec 2026)</t>
  </si>
  <si>
    <t>b3737.1_pub</t>
  </si>
  <si>
    <t>b3919.1</t>
  </si>
  <si>
    <t>b3847.2</t>
  </si>
  <si>
    <t>b3847.2_dfax</t>
  </si>
  <si>
    <t>b3693</t>
  </si>
  <si>
    <t>b3693_dfax</t>
  </si>
  <si>
    <t>b3800.200</t>
  </si>
  <si>
    <t>b3800.200_dfax</t>
  </si>
  <si>
    <t>b3850.1</t>
  </si>
  <si>
    <t>b3850.1_dfax</t>
  </si>
  <si>
    <t>Required Transmission Enhancements owned by:  Valley Link Transmission Maryland, LLC</t>
  </si>
  <si>
    <t>b4000.8</t>
  </si>
  <si>
    <t>b4000.8_dfax</t>
  </si>
  <si>
    <t>b4000.9</t>
  </si>
  <si>
    <t>b4000.9_dfax</t>
  </si>
  <si>
    <t>b4000.10</t>
  </si>
  <si>
    <t>b4000.10_dfax</t>
  </si>
  <si>
    <t>Required Transmission Enhancements owned by:  Valley Link Transmission Virginia, LLC</t>
  </si>
  <si>
    <t>b4000.6</t>
  </si>
  <si>
    <t>b4000.6_dfax</t>
  </si>
  <si>
    <t>b4000.7</t>
  </si>
  <si>
    <t>b4000.7_dfax</t>
  </si>
  <si>
    <t>b4000.346</t>
  </si>
  <si>
    <t>b4000.346_dfax</t>
  </si>
  <si>
    <t>b4000.348</t>
  </si>
  <si>
    <t>b4000.355</t>
  </si>
  <si>
    <t>b4000.355_dfax</t>
  </si>
  <si>
    <t>b4000.356</t>
  </si>
  <si>
    <t>b4000.356_dfax</t>
  </si>
  <si>
    <t>b4000.357</t>
  </si>
  <si>
    <t>b4000.357_dfax</t>
  </si>
  <si>
    <t>b4000.358</t>
  </si>
  <si>
    <t>Required Transmission Enhancements owned by:  Valley Link Transmission West Virginia, LLC</t>
  </si>
  <si>
    <t>b4000.2</t>
  </si>
  <si>
    <t>b4000.2_dfax</t>
  </si>
  <si>
    <t>b4000.3</t>
  </si>
  <si>
    <t>b4000.3_dfax</t>
  </si>
  <si>
    <t>b4000.4</t>
  </si>
  <si>
    <t>b4000.4_dfax</t>
  </si>
  <si>
    <t>b4000.5</t>
  </si>
  <si>
    <t>b4000.5_dfax</t>
  </si>
  <si>
    <t>b4000.15</t>
  </si>
  <si>
    <t>b4000.15_dfax</t>
  </si>
  <si>
    <t>b3800.100</t>
  </si>
  <si>
    <t>b3800.100_dfax</t>
  </si>
  <si>
    <t>(Mar - Dec 2026)</t>
  </si>
  <si>
    <t>b3053</t>
  </si>
  <si>
    <t>(June 2026-May 2027)</t>
  </si>
  <si>
    <t>b3800.110</t>
  </si>
  <si>
    <t>b3800.113</t>
  </si>
  <si>
    <t>b3800.113_dfax</t>
  </si>
  <si>
    <t>b3775.5_rel</t>
  </si>
  <si>
    <t>b3775.5_mkt</t>
  </si>
  <si>
    <t>b3800.4</t>
  </si>
  <si>
    <t>b3800.27</t>
  </si>
  <si>
    <t>b3800.28</t>
  </si>
  <si>
    <t>b3800.29</t>
  </si>
  <si>
    <t>b3800.30</t>
  </si>
  <si>
    <t>b3800.32</t>
  </si>
  <si>
    <t>b3800.34</t>
  </si>
  <si>
    <t>b3800.36</t>
  </si>
  <si>
    <t>b3800.37</t>
  </si>
  <si>
    <t>b3800.41</t>
  </si>
  <si>
    <t>b3800.4_dfax</t>
  </si>
  <si>
    <t>b3800.27_dfax</t>
  </si>
  <si>
    <t>b3800.28_dfax</t>
  </si>
  <si>
    <t>b3800.29_dfax</t>
  </si>
  <si>
    <t>b3800.32_dfax</t>
  </si>
  <si>
    <t>b3800.34_dfax</t>
  </si>
  <si>
    <t>b3800.36_dfax</t>
  </si>
  <si>
    <t>b3800.37_dfax</t>
  </si>
  <si>
    <t>b3800.41_dfax</t>
  </si>
  <si>
    <t>b3765</t>
  </si>
  <si>
    <t>b3715.3</t>
  </si>
  <si>
    <t>b3781</t>
  </si>
  <si>
    <t>b2971</t>
  </si>
  <si>
    <t>b2973</t>
  </si>
  <si>
    <t>b2974</t>
  </si>
  <si>
    <t>b3142</t>
  </si>
  <si>
    <t>b2975</t>
  </si>
  <si>
    <t xml:space="preserve">*Annual revenue requirements updated effective June 1, 2026-December 31, 2026 pursuant to re-settlement under MISO Docket No. EL14-12 </t>
  </si>
  <si>
    <t>(July-Dec 2026)</t>
  </si>
  <si>
    <t>Requirement*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</si>
</sst>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000"/>
    <numFmt numFmtId="166" formatCode="0.0%"/>
    <numFmt numFmtId="167" formatCode="&quot;$&quot;#,##0"/>
    <numFmt numFmtId="168" formatCode="&quot;$&quot;#,##0.00"/>
    <numFmt numFmtId="169" formatCode="&quot;$&quot;#,##0.0"/>
    <numFmt numFmtId="170" formatCode="#,##0.0_);\(#,##0.0\)"/>
    <numFmt numFmtId="171" formatCode="&quot;$&quot;#,##0.000_);\(&quot;$&quot;#,##0.000\)"/>
    <numFmt numFmtId="172" formatCode="&quot;$&quot;#,##0.0_);\(&quot;$&quot;#,##0.0\)"/>
    <numFmt numFmtId="173" formatCode="#,##0.000_);\(#,##0.000\)"/>
    <numFmt numFmtId="174" formatCode="_(* #,##0.0\¢_m;[Red]_(* \-#,##0.0\¢_m;[Green]_(* 0.0\¢_m;_(@_)_%"/>
    <numFmt numFmtId="175" formatCode="_(* #,##0.00\¢_m;[Red]_(* \-#,##0.00\¢_m;[Green]_(* 0.00\¢_m;_(@_)_%"/>
    <numFmt numFmtId="176" formatCode="_(* #,##0.000\¢_m;[Red]_(* \-#,##0.000\¢_m;[Green]_(* 0.000\¢_m;_(@_)_%"/>
    <numFmt numFmtId="177" formatCode="_(_(\£* #,##0_)_%;[Red]_(\(\£* #,##0\)_%;[Green]_(_(\£* #,##0_)_%;_(@_)_%"/>
    <numFmt numFmtId="178" formatCode="_(_(\£* #,##0.0_)_%;[Red]_(\(\£* #,##0.0\)_%;[Green]_(_(\£* #,##0.0_)_%;_(@_)_%"/>
    <numFmt numFmtId="179" formatCode="_(_(\£* #,##0.00_)_%;[Red]_(\(\£* #,##0.00\)_%;[Green]_(_(\£* #,##0.00_)_%;_(@_)_%"/>
    <numFmt numFmtId="180" formatCode="0.0%_);\(0.0%\)"/>
    <numFmt numFmtId="181" formatCode="\•\ \ @"/>
    <numFmt numFmtId="182" formatCode="_(_(\•_ #0_)_%;[Red]_(_(\•_ \-#0\)_%;[Green]_(_(\•_ #0_)_%;_(_(\•_ @_)_%"/>
    <numFmt numFmtId="183" formatCode="_(_(_•_ \•_ #0_)_%;[Red]_(_(_•_ \•_ \-#0\)_%;[Green]_(_(_•_ \•_ #0_)_%;_(_(_•_ \•_ @_)_%"/>
    <numFmt numFmtId="184" formatCode="_(_(_•_ _•_ \•_ #0_)_%;[Red]_(_(_•_ _•_ \•_ \-#0\)_%;[Green]_(_(_•_ _•_ \•_ #0_)_%;_(_(_•_ \•_ @_)_%"/>
    <numFmt numFmtId="185" formatCode="#,##0,_);\(#,##0,\)"/>
    <numFmt numFmtId="186" formatCode="0.0,_);\(0.0,\)"/>
    <numFmt numFmtId="187" formatCode="0.00,_);\(0.00,\)"/>
    <numFmt numFmtId="188" formatCode="_(_(_$* #,##0.0_)_%;[Red]_(\(_$* #,##0.0\)_%;[Green]_(_(_$* #,##0.0_)_%;_(@_)_%"/>
    <numFmt numFmtId="189" formatCode="_(_(_$* #,##0.00_)_%;[Red]_(\(_$* #,##0.00\)_%;[Green]_(_(_$* #,##0.00_)_%;_(@_)_%"/>
    <numFmt numFmtId="190" formatCode="_(_(_$* #,##0.000_)_%;[Red]_(\(_$* #,##0.000\)_%;[Green]_(_(_$* #,##0.000_)_%;_(@_)_%"/>
    <numFmt numFmtId="191" formatCode="_._.* #,##0.0_)_%;_._.* \(#,##0.0\)_%;_._.* \ ?_)_%"/>
    <numFmt numFmtId="192" formatCode="_._.* #,##0.00_)_%;_._.* \(#,##0.00\)_%;_._.* \ ?_)_%"/>
    <numFmt numFmtId="193" formatCode="_._.* #,##0.000_)_%;_._.* \(#,##0.000\)_%;_._.* \ ?_)_%"/>
    <numFmt numFmtId="194" formatCode="_._.* #,##0.0000_)_%;_._.* \(#,##0.0000\)_%;_._.* \ ?_)_%"/>
    <numFmt numFmtId="195" formatCode="_(_(&quot;$&quot;* #,##0.0_)_%;[Red]_(\(&quot;$&quot;* #,##0.0\)_%;[Green]_(_(&quot;$&quot;* #,##0.0_)_%;_(@_)_%"/>
    <numFmt numFmtId="196" formatCode="_(_(&quot;$&quot;* #,##0.00_)_%;[Red]_(\(&quot;$&quot;* #,##0.00\)_%;[Green]_(_(&quot;$&quot;* #,##0.00_)_%;_(@_)_%"/>
    <numFmt numFmtId="197" formatCode="_(_(&quot;$&quot;* #,##0.000_)_%;[Red]_(\(&quot;$&quot;* #,##0.000\)_%;[Green]_(_(&quot;$&quot;* #,##0.000_)_%;_(@_)_%"/>
    <numFmt numFmtId="198" formatCode="_._.&quot;$&quot;* #,##0.0_)_%;_._.&quot;$&quot;* \(#,##0.0\)_%;_._.&quot;$&quot;* \ ?_)_%"/>
    <numFmt numFmtId="199" formatCode="_._.&quot;$&quot;* #,##0.00_)_%;_._.&quot;$&quot;* \(#,##0.00\)_%;_._.&quot;$&quot;* \ ?_)_%"/>
    <numFmt numFmtId="200" formatCode="_._.&quot;$&quot;* #,##0.000_)_%;_._.&quot;$&quot;* \(#,##0.000\)_%;_._.&quot;$&quot;* \ ?_)_%"/>
    <numFmt numFmtId="201" formatCode="_._.&quot;$&quot;* #,##0.0000_)_%;_._.&quot;$&quot;* \(#,##0.0000\)_%;_._.&quot;$&quot;* \ ?_)_%"/>
    <numFmt numFmtId="202" formatCode="&quot;$&quot;#,##0,_);\(&quot;$&quot;#,##0,\)"/>
    <numFmt numFmtId="203" formatCode="&quot;$&quot;0.0,_);\(&quot;$&quot;0.0,\)"/>
    <numFmt numFmtId="204" formatCode="&quot;$&quot;0.00,_);\(&quot;$&quot;0.00,\)"/>
    <numFmt numFmtId="205" formatCode="_(* dd\-mmm\-yy_)_%"/>
    <numFmt numFmtId="206" formatCode="_(* dd\ mmmm\ yyyy_)_%"/>
    <numFmt numFmtId="207" formatCode="_(* mmmm\ dd\,\ yyyy_)_%"/>
    <numFmt numFmtId="208" formatCode="_(* dd\.mm\.yyyy_)_%"/>
    <numFmt numFmtId="209" formatCode="_(* mm/dd/yyyy_)_%"/>
    <numFmt numFmtId="210" formatCode="m/d/yy;@"/>
    <numFmt numFmtId="211" formatCode="#,##0.0\x_);\(#,##0.0\x\)"/>
    <numFmt numFmtId="212" formatCode="#,##0.00\x_);\(#,##0.00\x\)"/>
    <numFmt numFmtId="213" formatCode="[$€-2]\ #,##0_);\([$€-2]\ #,##0\)"/>
    <numFmt numFmtId="214" formatCode="[$€-2]\ #,##0.0_);\([$€-2]\ #,##0.0\)"/>
    <numFmt numFmtId="215" formatCode="_([$€-2]* #,##0.00_);_([$€-2]* \(#,##0.00\);_([$€-2]* &quot;-&quot;??_)"/>
    <numFmt numFmtId="216" formatCode="General_)_%"/>
    <numFmt numFmtId="217" formatCode="_(_(#0_)_%;[Red]_(_(\-#0\)_%;[Green]_(_(#0_)_%;_(_(@_)_%"/>
    <numFmt numFmtId="218" formatCode="_(_(_•_ #0_)_%;[Red]_(_(_•_ \-#0\)_%;[Green]_(_(_•_ #0_)_%;_(_(_•_ @_)_%"/>
    <numFmt numFmtId="219" formatCode="_(_(_•_ _•_ #0_)_%;[Red]_(_(_•_ _•_ \-#0\)_%;[Green]_(_(_•_ _•_ #0_)_%;_(_(_•_ _•_ @_)_%"/>
    <numFmt numFmtId="220" formatCode="_(_(_•_ _•_ _•_ #0_)_%;[Red]_(_(_•_ _•_ _•_ \-#0\)_%;[Green]_(_(_•_ _•_ _•_ #0_)_%;_(_(_•_ _•_ _•_ @_)_%"/>
    <numFmt numFmtId="221" formatCode="#,##0\x;\(#,##0\x\)"/>
    <numFmt numFmtId="222" formatCode="0.0\x;\(0.0\x\)"/>
    <numFmt numFmtId="223" formatCode="#,##0.00\x;\(#,##0.00\x\)"/>
    <numFmt numFmtId="224" formatCode="#,##0.000\x;\(#,##0.000\x\)"/>
    <numFmt numFmtId="225" formatCode="0.0_);\(0.0\)"/>
    <numFmt numFmtId="226" formatCode="0%;\(0%\)"/>
    <numFmt numFmtId="227" formatCode="0.00\ \x_);\(0.00\ \x\)"/>
    <numFmt numFmtId="228" formatCode="_(* #,##0_);_(* \(#,##0\);_(* &quot;-&quot;????_);_(@_)"/>
    <numFmt numFmtId="229" formatCode="0__"/>
    <numFmt numFmtId="230" formatCode="h:mmAM/PM"/>
    <numFmt numFmtId="231" formatCode="0&quot; E&quot;"/>
    <numFmt numFmtId="232" formatCode="yyyy"/>
    <numFmt numFmtId="233" formatCode="0.0%;\(0.0%\)"/>
    <numFmt numFmtId="234" formatCode="0.00%_);\(0.00%\)"/>
    <numFmt numFmtId="235" formatCode="0.000%_);\(0.000%\)"/>
    <numFmt numFmtId="236" formatCode="_(0_)%;\(0\)%;\ \ ?_)%"/>
    <numFmt numFmtId="237" formatCode="_._._(* 0_)%;_._.* \(0\)%;_._._(* \ ?_)%"/>
    <numFmt numFmtId="238" formatCode="0%_);\(0%\)"/>
    <numFmt numFmtId="239" formatCode="_(* #,##0_)_%;[Red]_(* \(#,##0\)_%;[Green]_(* 0_)_%;_(@_)_%"/>
    <numFmt numFmtId="240" formatCode="_(* #,##0.0%_);[Red]_(* \-#,##0.0%_);[Green]_(* 0.0%_);_(@_)_%"/>
    <numFmt numFmtId="241" formatCode="_(* #,##0.00%_);[Red]_(* \-#,##0.00%_);[Green]_(* 0.00%_);_(@_)_%"/>
    <numFmt numFmtId="242" formatCode="_(* #,##0.000%_);[Red]_(* \-#,##0.000%_);[Green]_(* 0.000%_);_(@_)_%"/>
    <numFmt numFmtId="243" formatCode="_(0.0_)%;\(0.0\)%;\ \ ?_)%"/>
    <numFmt numFmtId="244" formatCode="_._._(* 0.0_)%;_._.* \(0.0\)%;_._._(* \ ?_)%"/>
    <numFmt numFmtId="245" formatCode="_(0.00_)%;\(0.00\)%;\ \ ?_)%"/>
    <numFmt numFmtId="246" formatCode="_._._(* 0.00_)%;_._.* \(0.00\)%;_._._(* \ ?_)%"/>
    <numFmt numFmtId="247" formatCode="_(0.000_)%;\(0.000\)%;\ \ ?_)%"/>
    <numFmt numFmtId="248" formatCode="_._._(* 0.000_)%;_._.* \(0.000\)%;_._._(* \ ?_)%"/>
    <numFmt numFmtId="249" formatCode="_(0.0000_)%;\(0.0000\)%;\ \ ?_)%"/>
    <numFmt numFmtId="250" formatCode="_._._(* 0.0000_)%;_._.* \(0.0000\)%;_._._(* \ ?_)%"/>
    <numFmt numFmtId="251" formatCode="mmmm\ dd\,\ yy"/>
    <numFmt numFmtId="252" formatCode="0.0\x"/>
    <numFmt numFmtId="253" formatCode="_(* #,##0_);_(* \(#,##0\);_(* \ ?_)"/>
    <numFmt numFmtId="254" formatCode="_(* #,##0.0_);_(* \(#,##0.0\);_(* \ ?_)"/>
    <numFmt numFmtId="255" formatCode="_(* #,##0.00_);_(* \(#,##0.00\);_(* \ ?_)"/>
    <numFmt numFmtId="256" formatCode="_(* #,##0.000_);_(* \(#,##0.000\);_(* \ ?_)"/>
    <numFmt numFmtId="257" formatCode="_(&quot;$&quot;* #,##0_);_(&quot;$&quot;* \(#,##0\);_(&quot;$&quot;* \ ?_)"/>
    <numFmt numFmtId="258" formatCode="_(&quot;$&quot;* #,##0.0_);_(&quot;$&quot;* \(#,##0.0\);_(&quot;$&quot;* \ ?_)"/>
    <numFmt numFmtId="259" formatCode="_(&quot;$&quot;* #,##0.00_);_(&quot;$&quot;* \(#,##0.00\);_(&quot;$&quot;* \ ?_)"/>
    <numFmt numFmtId="260" formatCode="_(&quot;$&quot;* #,##0.000_);_(&quot;$&quot;* \(#,##0.000\);_(&quot;$&quot;* \ ?_)"/>
    <numFmt numFmtId="261" formatCode="0000&quot;A&quot;"/>
    <numFmt numFmtId="262" formatCode="0&quot;E&quot;"/>
    <numFmt numFmtId="263" formatCode="0000&quot;E&quot;"/>
    <numFmt numFmtId="264" formatCode="_(* #,##0_);_(* \(#,##0\);_(* &quot;-&quot;??_);_(@_)"/>
    <numFmt numFmtId="265" formatCode="0.0"/>
    <numFmt numFmtId="266" formatCode="mmmm\ d\,\ yyyy"/>
    <numFmt numFmtId="267" formatCode="mm/dd/yy"/>
    <numFmt numFmtId="268" formatCode="0.00_)"/>
    <numFmt numFmtId="269" formatCode="0.000000%;[Red]\-0.000000%"/>
    <numFmt numFmtId="270" formatCode="&quot;$&quot;#,##0\ ;\(&quot;$&quot;#,##0\)"/>
    <numFmt numFmtId="271" formatCode="#,###,##0;\(#,###,##0\)"/>
    <numFmt numFmtId="272" formatCode="[$-409]m/d/yy\ h:mm\ AM/PM;@"/>
  </numFmts>
  <fonts count="17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2"/>
      <name val="Arial MT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4"/>
      <name val="Book Antiqua"/>
      <family val="1"/>
    </font>
    <font>
      <i/>
      <sz val="10"/>
      <name val="Book Antiqua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name val="Times New Roman"/>
      <family val="1"/>
    </font>
    <font>
      <b/>
      <i/>
      <sz val="12"/>
      <name val="Times New Roman"/>
      <family val="1"/>
    </font>
    <font>
      <sz val="10"/>
      <name val="C Helvetica Condensed"/>
      <family val="2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9"/>
      <color indexed="12"/>
      <name val="Arial"/>
      <family val="2"/>
    </font>
    <font>
      <sz val="9"/>
      <name val="Times New Roman"/>
      <family val="1"/>
    </font>
    <font>
      <sz val="12"/>
      <name val="Helv"/>
      <family val="2"/>
    </font>
    <font>
      <u val="singleAccounting"/>
      <sz val="11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i/>
      <sz val="8"/>
      <name val="Arial"/>
      <family val="2"/>
    </font>
    <font>
      <sz val="8"/>
      <color indexed="22"/>
      <name val="Arial"/>
      <family val="2"/>
    </font>
    <font>
      <sz val="10"/>
      <name val="Book Antiqua"/>
      <family val="1"/>
    </font>
    <font>
      <b/>
      <i/>
      <sz val="14"/>
      <name val="Tms Rmn"/>
      <family val="2"/>
    </font>
    <font>
      <sz val="10"/>
      <color indexed="42"/>
      <name val="Arial"/>
      <family val="2"/>
    </font>
    <font>
      <sz val="10"/>
      <color indexed="46"/>
      <name val="Arial"/>
      <family val="2"/>
    </font>
    <font>
      <b/>
      <sz val="10"/>
      <color indexed="22"/>
      <name val="Arial"/>
      <family val="2"/>
    </font>
    <font>
      <sz val="10"/>
      <color indexed="12"/>
      <name val="Book Antiqua"/>
      <family val="1"/>
    </font>
    <font>
      <i/>
      <sz val="16"/>
      <name val="Times New Roman"/>
      <family val="1"/>
    </font>
    <font>
      <sz val="7"/>
      <name val="Small Fonts"/>
      <family val="2"/>
    </font>
    <font>
      <u/>
      <sz val="10"/>
      <name val="Times New Roman"/>
      <family val="1"/>
    </font>
    <font>
      <sz val="10"/>
      <color indexed="40"/>
      <name val="Arial"/>
      <family val="2"/>
    </font>
    <font>
      <sz val="10"/>
      <color indexed="8"/>
      <name val="Times New Roman"/>
      <family val="1"/>
    </font>
    <font>
      <sz val="10"/>
      <name val="Futura UBS Bk"/>
      <family val="2"/>
    </font>
    <font>
      <sz val="10"/>
      <color indexed="8"/>
      <name val="MS Sans Serif"/>
      <family val="2"/>
    </font>
    <font>
      <b/>
      <sz val="9"/>
      <name val="Times New Roman"/>
      <family val="1"/>
    </font>
    <font>
      <i/>
      <sz val="8"/>
      <name val="Times New Roman"/>
      <family val="1"/>
    </font>
    <font>
      <sz val="10"/>
      <color indexed="21"/>
      <name val="Arial"/>
      <family val="2"/>
    </font>
    <font>
      <sz val="9"/>
      <name val="Helv"/>
      <family val="2"/>
    </font>
    <font>
      <b/>
      <sz val="18"/>
      <color indexed="56"/>
      <name val="Cambria"/>
      <family val="2"/>
    </font>
    <font>
      <sz val="11"/>
      <color indexed="8"/>
      <name val="Arial Narrow"/>
      <family val="2"/>
    </font>
    <font>
      <sz val="11"/>
      <color indexed="9"/>
      <name val="Arial Narrow"/>
      <family val="2"/>
    </font>
    <font>
      <sz val="11"/>
      <color indexed="20"/>
      <name val="Arial Narrow"/>
      <family val="2"/>
    </font>
    <font>
      <b/>
      <sz val="11"/>
      <color indexed="52"/>
      <name val="Arial Narrow"/>
      <family val="2"/>
    </font>
    <font>
      <b/>
      <sz val="11"/>
      <color indexed="9"/>
      <name val="Arial Narrow"/>
      <family val="2"/>
    </font>
    <font>
      <i/>
      <sz val="11"/>
      <color indexed="23"/>
      <name val="Arial Narrow"/>
      <family val="2"/>
    </font>
    <font>
      <sz val="11"/>
      <color indexed="17"/>
      <name val="Arial Narrow"/>
      <family val="2"/>
    </font>
    <font>
      <b/>
      <sz val="11"/>
      <color indexed="56"/>
      <name val="Arial Narrow"/>
      <family val="2"/>
    </font>
    <font>
      <sz val="11"/>
      <color indexed="62"/>
      <name val="Arial Narrow"/>
      <family val="2"/>
    </font>
    <font>
      <sz val="11"/>
      <color indexed="52"/>
      <name val="Arial Narrow"/>
      <family val="2"/>
    </font>
    <font>
      <sz val="11"/>
      <color indexed="60"/>
      <name val="Arial Narrow"/>
      <family val="2"/>
    </font>
    <font>
      <b/>
      <sz val="11"/>
      <color indexed="63"/>
      <name val="Arial Narrow"/>
      <family val="2"/>
    </font>
    <font>
      <sz val="11"/>
      <color indexed="10"/>
      <name val="Arial Narrow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10"/>
      <name val="Courier"/>
      <family val="3"/>
    </font>
    <font>
      <sz val="11"/>
      <color theme="1"/>
      <name val="Arial"/>
      <family val="2"/>
    </font>
    <font>
      <b/>
      <sz val="12"/>
      <name val="Times New Roman"/>
      <family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b/>
      <sz val="11"/>
      <color indexed="52"/>
      <name val="Calibri"/>
      <family val="2"/>
    </font>
    <font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  <family val="2"/>
    </font>
    <font>
      <sz val="10"/>
      <name val="Tms Rmn"/>
      <family val="2"/>
    </font>
    <font>
      <sz val="12"/>
      <color indexed="8"/>
      <name val="Arial"/>
      <family val="2"/>
    </font>
    <font>
      <b/>
      <sz val="10"/>
      <name val="Garamond"/>
      <family val="1"/>
    </font>
    <font>
      <sz val="8.25"/>
      <name val="Arial"/>
      <family val="2"/>
    </font>
    <font>
      <sz val="10"/>
      <color indexed="22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b/>
      <i/>
      <sz val="8"/>
      <name val="Arial"/>
      <family val="2"/>
    </font>
    <font>
      <sz val="12"/>
      <name val="Arial"/>
      <family val="2"/>
    </font>
    <font>
      <sz val="10"/>
      <color indexed="0"/>
      <name val="Arial"/>
      <family val="2"/>
    </font>
    <font>
      <b/>
      <i/>
      <sz val="8"/>
      <color rgb="FFFF0000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Arial MT"/>
    </font>
    <font>
      <sz val="10"/>
      <name val="C Helvetica Condensed"/>
    </font>
    <font>
      <sz val="12"/>
      <name val="Helv"/>
    </font>
    <font>
      <b/>
      <i/>
      <sz val="14"/>
      <name val="Tms Rmn"/>
    </font>
    <font>
      <sz val="9"/>
      <name val="Helv"/>
    </font>
    <font>
      <sz val="10"/>
      <color indexed="10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</fonts>
  <fills count="14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22"/>
        <bgColor indexed="35"/>
      </patternFill>
    </fill>
  </fills>
  <borders count="7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2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418">
    <xf numFmtId="0" fontId="0" fillId="0" borderId="0"/>
    <xf numFmtId="9" fontId="159" fillId="0" borderId="0" applyFont="0" applyFill="0" applyBorder="0" applyAlignment="0" applyProtection="0"/>
    <xf numFmtId="44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63" fillId="0" borderId="0" applyFont="0" applyFill="0" applyBorder="0" applyAlignment="0" applyProtection="0"/>
    <xf numFmtId="175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177" fontId="63" fillId="0" borderId="0" applyFont="0" applyFill="0" applyBorder="0" applyAlignment="0" applyProtection="0"/>
    <xf numFmtId="178" fontId="63" fillId="0" borderId="0" applyFont="0" applyFill="0" applyBorder="0" applyAlignment="0" applyProtection="0"/>
    <xf numFmtId="179" fontId="63" fillId="0" borderId="0" applyFont="0" applyFill="0" applyBorder="0" applyAlignment="0" applyProtection="0"/>
    <xf numFmtId="0" fontId="10" fillId="0" borderId="0"/>
    <xf numFmtId="0" fontId="14" fillId="2" borderId="0" applyNumberFormat="0" applyBorder="0" applyAlignment="0" applyProtection="0"/>
    <xf numFmtId="0" fontId="93" fillId="3" borderId="0" applyNumberFormat="0" applyBorder="0" applyAlignment="0" applyProtection="0"/>
    <xf numFmtId="0" fontId="14" fillId="4" borderId="0" applyNumberFormat="0" applyBorder="0" applyAlignment="0" applyProtection="0"/>
    <xf numFmtId="0" fontId="93" fillId="5" borderId="0" applyNumberFormat="0" applyBorder="0" applyAlignment="0" applyProtection="0"/>
    <xf numFmtId="0" fontId="14" fillId="6" borderId="0" applyNumberFormat="0" applyBorder="0" applyAlignment="0" applyProtection="0"/>
    <xf numFmtId="0" fontId="93" fillId="7" borderId="0" applyNumberFormat="0" applyBorder="0" applyAlignment="0" applyProtection="0"/>
    <xf numFmtId="0" fontId="14" fillId="8" borderId="0" applyNumberFormat="0" applyBorder="0" applyAlignment="0" applyProtection="0"/>
    <xf numFmtId="0" fontId="93" fillId="9" borderId="0" applyNumberFormat="0" applyBorder="0" applyAlignment="0" applyProtection="0"/>
    <xf numFmtId="0" fontId="14" fillId="10" borderId="0" applyNumberFormat="0" applyBorder="0" applyAlignment="0" applyProtection="0"/>
    <xf numFmtId="0" fontId="93" fillId="10" borderId="0" applyNumberFormat="0" applyBorder="0" applyAlignment="0" applyProtection="0"/>
    <xf numFmtId="0" fontId="14" fillId="6" borderId="0" applyNumberFormat="0" applyBorder="0" applyAlignment="0" applyProtection="0"/>
    <xf numFmtId="0" fontId="93" fillId="8" borderId="0" applyNumberFormat="0" applyBorder="0" applyAlignment="0" applyProtection="0"/>
    <xf numFmtId="0" fontId="14" fillId="10" borderId="0" applyNumberFormat="0" applyBorder="0" applyAlignment="0" applyProtection="0"/>
    <xf numFmtId="0" fontId="93" fillId="2" borderId="0" applyNumberFormat="0" applyBorder="0" applyAlignment="0" applyProtection="0"/>
    <xf numFmtId="0" fontId="14" fillId="4" borderId="0" applyNumberFormat="0" applyBorder="0" applyAlignment="0" applyProtection="0"/>
    <xf numFmtId="0" fontId="93" fillId="4" borderId="0" applyNumberFormat="0" applyBorder="0" applyAlignment="0" applyProtection="0"/>
    <xf numFmtId="0" fontId="14" fillId="11" borderId="0" applyNumberFormat="0" applyBorder="0" applyAlignment="0" applyProtection="0"/>
    <xf numFmtId="0" fontId="93" fillId="12" borderId="0" applyNumberFormat="0" applyBorder="0" applyAlignment="0" applyProtection="0"/>
    <xf numFmtId="0" fontId="14" fillId="5" borderId="0" applyNumberFormat="0" applyBorder="0" applyAlignment="0" applyProtection="0"/>
    <xf numFmtId="0" fontId="93" fillId="9" borderId="0" applyNumberFormat="0" applyBorder="0" applyAlignment="0" applyProtection="0"/>
    <xf numFmtId="0" fontId="14" fillId="10" borderId="0" applyNumberFormat="0" applyBorder="0" applyAlignment="0" applyProtection="0"/>
    <xf numFmtId="0" fontId="93" fillId="2" borderId="0" applyNumberFormat="0" applyBorder="0" applyAlignment="0" applyProtection="0"/>
    <xf numFmtId="0" fontId="14" fillId="6" borderId="0" applyNumberFormat="0" applyBorder="0" applyAlignment="0" applyProtection="0"/>
    <xf numFmtId="0" fontId="93" fillId="13" borderId="0" applyNumberFormat="0" applyBorder="0" applyAlignment="0" applyProtection="0"/>
    <xf numFmtId="0" fontId="42" fillId="10" borderId="0" applyNumberFormat="0" applyBorder="0" applyAlignment="0" applyProtection="0"/>
    <xf numFmtId="0" fontId="94" fillId="14" borderId="0" applyNumberFormat="0" applyBorder="0" applyAlignment="0" applyProtection="0"/>
    <xf numFmtId="0" fontId="42" fillId="15" borderId="0" applyNumberFormat="0" applyBorder="0" applyAlignment="0" applyProtection="0"/>
    <xf numFmtId="0" fontId="94" fillId="4" borderId="0" applyNumberFormat="0" applyBorder="0" applyAlignment="0" applyProtection="0"/>
    <xf numFmtId="0" fontId="42" fillId="13" borderId="0" applyNumberFormat="0" applyBorder="0" applyAlignment="0" applyProtection="0"/>
    <xf numFmtId="0" fontId="94" fillId="12" borderId="0" applyNumberFormat="0" applyBorder="0" applyAlignment="0" applyProtection="0"/>
    <xf numFmtId="0" fontId="42" fillId="5" borderId="0" applyNumberFormat="0" applyBorder="0" applyAlignment="0" applyProtection="0"/>
    <xf numFmtId="0" fontId="94" fillId="16" borderId="0" applyNumberFormat="0" applyBorder="0" applyAlignment="0" applyProtection="0"/>
    <xf numFmtId="0" fontId="42" fillId="10" borderId="0" applyNumberFormat="0" applyBorder="0" applyAlignment="0" applyProtection="0"/>
    <xf numFmtId="0" fontId="94" fillId="17" borderId="0" applyNumberFormat="0" applyBorder="0" applyAlignment="0" applyProtection="0"/>
    <xf numFmtId="0" fontId="42" fillId="4" borderId="0" applyNumberFormat="0" applyBorder="0" applyAlignment="0" applyProtection="0"/>
    <xf numFmtId="0" fontId="94" fillId="18" borderId="0" applyNumberFormat="0" applyBorder="0" applyAlignment="0" applyProtection="0"/>
    <xf numFmtId="0" fontId="10" fillId="0" borderId="0"/>
    <xf numFmtId="0" fontId="42" fillId="19" borderId="0" applyNumberFormat="0" applyBorder="0" applyAlignment="0" applyProtection="0"/>
    <xf numFmtId="0" fontId="94" fillId="20" borderId="0" applyNumberFormat="0" applyBorder="0" applyAlignment="0" applyProtection="0"/>
    <xf numFmtId="0" fontId="42" fillId="15" borderId="0" applyNumberFormat="0" applyBorder="0" applyAlignment="0" applyProtection="0"/>
    <xf numFmtId="0" fontId="94" fillId="21" borderId="0" applyNumberFormat="0" applyBorder="0" applyAlignment="0" applyProtection="0"/>
    <xf numFmtId="0" fontId="42" fillId="13" borderId="0" applyNumberFormat="0" applyBorder="0" applyAlignment="0" applyProtection="0"/>
    <xf numFmtId="0" fontId="94" fillId="22" borderId="0" applyNumberFormat="0" applyBorder="0" applyAlignment="0" applyProtection="0"/>
    <xf numFmtId="0" fontId="42" fillId="23" borderId="0" applyNumberFormat="0" applyBorder="0" applyAlignment="0" applyProtection="0"/>
    <xf numFmtId="0" fontId="94" fillId="16" borderId="0" applyNumberFormat="0" applyBorder="0" applyAlignment="0" applyProtection="0"/>
    <xf numFmtId="0" fontId="42" fillId="17" borderId="0" applyNumberFormat="0" applyBorder="0" applyAlignment="0" applyProtection="0"/>
    <xf numFmtId="0" fontId="94" fillId="17" borderId="0" applyNumberFormat="0" applyBorder="0" applyAlignment="0" applyProtection="0"/>
    <xf numFmtId="0" fontId="42" fillId="21" borderId="0" applyNumberFormat="0" applyBorder="0" applyAlignment="0" applyProtection="0"/>
    <xf numFmtId="0" fontId="94" fillId="15" borderId="0" applyNumberFormat="0" applyBorder="0" applyAlignment="0" applyProtection="0"/>
    <xf numFmtId="0" fontId="43" fillId="9" borderId="0" applyNumberFormat="0" applyBorder="0" applyAlignment="0" applyProtection="0"/>
    <xf numFmtId="0" fontId="95" fillId="5" borderId="0" applyNumberFormat="0" applyBorder="0" applyAlignment="0" applyProtection="0"/>
    <xf numFmtId="0" fontId="24" fillId="0" borderId="0"/>
    <xf numFmtId="0" fontId="10" fillId="15" borderId="0" applyNumberFormat="0" applyFill="0" applyBorder="0" applyProtection="0"/>
    <xf numFmtId="0" fontId="59" fillId="0" borderId="0" applyNumberFormat="0" applyFill="0" applyBorder="0" applyAlignment="0" applyProtection="0"/>
    <xf numFmtId="0" fontId="10" fillId="0" borderId="1" applyNumberFormat="0" applyFont="0" applyFill="0" applyAlignment="0" applyProtection="0"/>
    <xf numFmtId="181" fontId="57" fillId="0" borderId="0" applyFont="0" applyFill="0" applyBorder="0" applyAlignment="0" applyProtection="0"/>
    <xf numFmtId="182" fontId="63" fillId="0" borderId="0" applyFont="0" applyFill="0" applyBorder="0" applyProtection="0">
      <alignment horizontal="left"/>
    </xf>
    <xf numFmtId="183" fontId="63" fillId="0" borderId="0" applyFont="0" applyFill="0" applyBorder="0" applyProtection="0">
      <alignment horizontal="left"/>
    </xf>
    <xf numFmtId="184" fontId="63" fillId="0" borderId="0" applyFont="0" applyFill="0" applyBorder="0" applyProtection="0">
      <alignment horizontal="left"/>
    </xf>
    <xf numFmtId="37" fontId="64" fillId="0" borderId="0" applyFont="0" applyFill="0" applyBorder="0">
      <protection locked="0"/>
    </xf>
    <xf numFmtId="185" fontId="65" fillId="0" borderId="0" applyFont="0" applyFill="0" applyBorder="0" applyAlignment="0" applyProtection="0"/>
    <xf numFmtId="0" fontId="66" fillId="0" borderId="0"/>
    <xf numFmtId="0" fontId="66" fillId="0" borderId="0"/>
    <xf numFmtId="168" fontId="12" fillId="0" borderId="0" applyFill="0"/>
    <xf numFmtId="168" fontId="12" fillId="0" borderId="0">
      <alignment horizontal="center"/>
    </xf>
    <xf numFmtId="0" fontId="12" fillId="0" borderId="0" applyFill="0">
      <alignment horizontal="center"/>
    </xf>
    <xf numFmtId="168" fontId="16" fillId="0" borderId="2" applyFill="0"/>
    <xf numFmtId="0" fontId="10" fillId="0" borderId="0" applyFont="0" applyAlignment="0"/>
    <xf numFmtId="0" fontId="17" fillId="0" borderId="0" applyFill="0">
      <alignment vertical="top"/>
    </xf>
    <xf numFmtId="0" fontId="16" fillId="0" borderId="0" applyFill="0">
      <alignment horizontal="left" vertical="top"/>
    </xf>
    <xf numFmtId="168" fontId="18" fillId="0" borderId="3" applyFill="0"/>
    <xf numFmtId="168" fontId="18" fillId="0" borderId="3" applyFill="0"/>
    <xf numFmtId="0" fontId="10" fillId="0" borderId="0" applyNumberFormat="0" applyFont="0" applyAlignment="0"/>
    <xf numFmtId="0" fontId="17" fillId="0" borderId="0" applyFill="0">
      <alignment wrapText="1"/>
    </xf>
    <xf numFmtId="0" fontId="16" fillId="0" borderId="0" applyFill="0">
      <alignment horizontal="left" vertical="top" wrapText="1"/>
    </xf>
    <xf numFmtId="168" fontId="19" fillId="0" borderId="0" applyFill="0"/>
    <xf numFmtId="0" fontId="20" fillId="0" borderId="0" applyNumberFormat="0" applyFont="0"/>
    <xf numFmtId="0" fontId="21" fillId="0" borderId="0" applyFill="0">
      <alignment vertical="top" wrapText="1"/>
    </xf>
    <xf numFmtId="0" fontId="18" fillId="0" borderId="0" applyFill="0">
      <alignment horizontal="left" vertical="top" wrapText="1"/>
    </xf>
    <xf numFmtId="168" fontId="10" fillId="0" borderId="0" applyFill="0"/>
    <xf numFmtId="0" fontId="20" fillId="0" borderId="0" applyNumberFormat="0" applyFont="0"/>
    <xf numFmtId="0" fontId="22" fillId="0" borderId="0" applyFill="0">
      <alignment vertical="center" wrapText="1"/>
    </xf>
    <xf numFmtId="0" fontId="23" fillId="0" borderId="0">
      <alignment horizontal="left" vertical="center" wrapText="1"/>
    </xf>
    <xf numFmtId="168" fontId="24" fillId="0" borderId="0" applyFill="0"/>
    <xf numFmtId="0" fontId="20" fillId="0" borderId="0" applyNumberFormat="0" applyFont="0"/>
    <xf numFmtId="0" fontId="25" fillId="0" borderId="0" applyFill="0">
      <alignment horizontal="center" vertical="center" wrapText="1"/>
    </xf>
    <xf numFmtId="0" fontId="10" fillId="0" borderId="0" applyFill="0">
      <alignment horizontal="center" vertical="center" wrapText="1"/>
    </xf>
    <xf numFmtId="0" fontId="10" fillId="0" borderId="0" applyFill="0">
      <alignment horizontal="center" vertical="center" wrapText="1"/>
    </xf>
    <xf numFmtId="168" fontId="26" fillId="0" borderId="0" applyFill="0"/>
    <xf numFmtId="0" fontId="20" fillId="0" borderId="0" applyNumberFormat="0" applyFont="0"/>
    <xf numFmtId="0" fontId="27" fillId="0" borderId="0" applyFill="0">
      <alignment horizontal="center" vertical="center" wrapText="1"/>
    </xf>
    <xf numFmtId="0" fontId="28" fillId="0" borderId="0" applyFill="0">
      <alignment horizontal="center" vertical="center" wrapText="1"/>
    </xf>
    <xf numFmtId="168" fontId="29" fillId="0" borderId="0" applyFill="0"/>
    <xf numFmtId="0" fontId="20" fillId="0" borderId="0" applyNumberFormat="0" applyFont="0"/>
    <xf numFmtId="0" fontId="30" fillId="0" borderId="0">
      <alignment horizontal="center" wrapText="1"/>
    </xf>
    <xf numFmtId="0" fontId="26" fillId="0" borderId="0" applyFill="0">
      <alignment horizontal="center" wrapText="1"/>
    </xf>
    <xf numFmtId="170" fontId="67" fillId="0" borderId="0" applyFont="0" applyFill="0" applyBorder="0" applyAlignment="0">
      <protection locked="0"/>
    </xf>
    <xf numFmtId="186" fontId="67" fillId="0" borderId="0" applyFont="0" applyFill="0" applyBorder="0" applyAlignment="0">
      <protection locked="0"/>
    </xf>
    <xf numFmtId="39" fontId="10" fillId="0" borderId="0" applyFont="0" applyFill="0" applyBorder="0" applyAlignment="0" applyProtection="0"/>
    <xf numFmtId="187" fontId="68" fillId="0" borderId="0" applyFont="0" applyFill="0" applyBorder="0" applyAlignment="0" applyProtection="0"/>
    <xf numFmtId="173" fontId="65" fillId="0" borderId="0" applyFont="0" applyFill="0" applyBorder="0" applyAlignment="0" applyProtection="0"/>
    <xf numFmtId="0" fontId="44" fillId="24" borderId="4" applyNumberFormat="0" applyAlignment="0" applyProtection="0"/>
    <xf numFmtId="0" fontId="96" fillId="25" borderId="4" applyNumberFormat="0" applyAlignment="0" applyProtection="0"/>
    <xf numFmtId="0" fontId="10" fillId="0" borderId="1" applyNumberFormat="0" applyFont="0" applyFill="0" applyBorder="0" applyProtection="0">
      <alignment horizontal="centerContinuous" vertical="center"/>
    </xf>
    <xf numFmtId="0" fontId="37" fillId="0" borderId="0" applyFill="0" applyBorder="0">
      <alignment horizontal="center"/>
      <protection locked="0"/>
    </xf>
    <xf numFmtId="0" fontId="45" fillId="26" borderId="5" applyNumberFormat="0" applyAlignment="0" applyProtection="0"/>
    <xf numFmtId="0" fontId="97" fillId="26" borderId="5" applyNumberFormat="0" applyAlignment="0" applyProtection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41" fontId="10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188" fontId="63" fillId="0" borderId="0" applyFont="0" applyFill="0" applyBorder="0" applyAlignment="0" applyProtection="0"/>
    <xf numFmtId="189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191" fontId="61" fillId="0" borderId="0" applyFont="0" applyFill="0" applyBorder="0" applyAlignment="0" applyProtection="0"/>
    <xf numFmtId="192" fontId="70" fillId="0" borderId="0" applyFont="0" applyFill="0" applyBorder="0" applyAlignment="0" applyProtection="0"/>
    <xf numFmtId="193" fontId="70" fillId="0" borderId="0" applyFont="0" applyFill="0" applyBorder="0" applyAlignment="0" applyProtection="0"/>
    <xf numFmtId="194" fontId="19" fillId="0" borderId="0" applyFont="0" applyFill="0" applyBorder="0" applyAlignment="0">
      <protection locked="0"/>
    </xf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37" fontId="71" fillId="0" borderId="0" applyFill="0" applyBorder="0" applyAlignment="0" applyProtection="0"/>
    <xf numFmtId="3" fontId="10" fillId="0" borderId="0" applyFont="0" applyFill="0" applyBorder="0" applyAlignment="0" applyProtection="0"/>
    <xf numFmtId="0" fontId="16" fillId="0" borderId="0" applyFill="0" applyBorder="0" applyAlignment="0">
      <protection locked="0"/>
    </xf>
    <xf numFmtId="0" fontId="10" fillId="0" borderId="6"/>
    <xf numFmtId="195" fontId="63" fillId="0" borderId="0" applyFont="0" applyFill="0" applyBorder="0" applyAlignment="0" applyProtection="0"/>
    <xf numFmtId="196" fontId="63" fillId="0" borderId="0" applyFont="0" applyFill="0" applyBorder="0" applyAlignment="0" applyProtection="0"/>
    <xf numFmtId="197" fontId="63" fillId="0" borderId="0" applyFont="0" applyFill="0" applyBorder="0" applyAlignment="0" applyProtection="0"/>
    <xf numFmtId="198" fontId="70" fillId="0" borderId="0" applyFont="0" applyFill="0" applyBorder="0" applyAlignment="0" applyProtection="0"/>
    <xf numFmtId="199" fontId="70" fillId="0" borderId="0" applyFont="0" applyFill="0" applyBorder="0" applyAlignment="0" applyProtection="0"/>
    <xf numFmtId="200" fontId="70" fillId="0" borderId="0" applyFont="0" applyFill="0" applyBorder="0" applyAlignment="0" applyProtection="0"/>
    <xf numFmtId="201" fontId="19" fillId="0" borderId="0" applyFont="0" applyFill="0" applyBorder="0" applyAlignment="0">
      <protection locked="0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71" fillId="0" borderId="0" applyFill="0" applyBorder="0" applyAlignment="0" applyProtection="0"/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202" fontId="65" fillId="0" borderId="0" applyFont="0" applyFill="0" applyBorder="0" applyAlignment="0" applyProtection="0"/>
    <xf numFmtId="172" fontId="10" fillId="0" borderId="0" applyFont="0" applyFill="0" applyBorder="0" applyAlignment="0" applyProtection="0"/>
    <xf numFmtId="203" fontId="67" fillId="0" borderId="0" applyFont="0" applyFill="0" applyBorder="0" applyAlignment="0">
      <protection locked="0"/>
    </xf>
    <xf numFmtId="7" fontId="12" fillId="0" borderId="0" applyFont="0" applyFill="0" applyBorder="0" applyAlignment="0" applyProtection="0"/>
    <xf numFmtId="204" fontId="68" fillId="0" borderId="0" applyFont="0" applyFill="0" applyBorder="0" applyAlignment="0" applyProtection="0"/>
    <xf numFmtId="171" fontId="72" fillId="0" borderId="0" applyFont="0" applyFill="0" applyBorder="0" applyAlignment="0" applyProtection="0"/>
    <xf numFmtId="0" fontId="73" fillId="27" borderId="7" applyNumberFormat="0" applyFont="0" applyFill="0" applyProtection="0"/>
    <xf numFmtId="14" fontId="10" fillId="0" borderId="0" applyFont="0" applyFill="0" applyBorder="0" applyAlignment="0" applyProtection="0"/>
    <xf numFmtId="205" fontId="63" fillId="0" borderId="0" applyFont="0" applyFill="0" applyBorder="0" applyProtection="0"/>
    <xf numFmtId="206" fontId="63" fillId="0" borderId="0" applyFont="0" applyFill="0" applyBorder="0" applyProtection="0"/>
    <xf numFmtId="207" fontId="63" fillId="0" borderId="0" applyFont="0" applyFill="0" applyBorder="0" applyAlignment="0" applyProtection="0"/>
    <xf numFmtId="208" fontId="63" fillId="0" borderId="0" applyFont="0" applyFill="0" applyBorder="0" applyAlignment="0" applyProtection="0"/>
    <xf numFmtId="209" fontId="63" fillId="0" borderId="0" applyFont="0" applyFill="0" applyBorder="0" applyAlignment="0" applyProtection="0"/>
    <xf numFmtId="210" fontId="74" fillId="0" borderId="0" applyFont="0" applyFill="0" applyBorder="0" applyAlignment="0" applyProtection="0"/>
    <xf numFmtId="5" fontId="75" fillId="0" borderId="0" applyBorder="0"/>
    <xf numFmtId="172" fontId="75" fillId="0" borderId="0" applyBorder="0"/>
    <xf numFmtId="7" fontId="75" fillId="0" borderId="0" applyBorder="0"/>
    <xf numFmtId="37" fontId="75" fillId="0" borderId="0" applyBorder="0"/>
    <xf numFmtId="170" fontId="75" fillId="0" borderId="0" applyBorder="0"/>
    <xf numFmtId="211" fontId="75" fillId="0" borderId="0" applyBorder="0"/>
    <xf numFmtId="39" fontId="75" fillId="0" borderId="0" applyBorder="0"/>
    <xf numFmtId="212" fontId="75" fillId="0" borderId="0" applyBorder="0"/>
    <xf numFmtId="7" fontId="10" fillId="0" borderId="0" applyFont="0" applyFill="0" applyBorder="0" applyAlignment="0" applyProtection="0"/>
    <xf numFmtId="213" fontId="65" fillId="0" borderId="0" applyFont="0" applyFill="0" applyBorder="0" applyAlignment="0" applyProtection="0"/>
    <xf numFmtId="214" fontId="65" fillId="0" borderId="0" applyFont="0" applyFill="0" applyAlignment="0" applyProtection="0"/>
    <xf numFmtId="213" fontId="65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76" fillId="0" borderId="0"/>
    <xf numFmtId="0" fontId="77" fillId="0" borderId="0" applyNumberFormat="0" applyFill="0" applyBorder="0" applyAlignment="0" applyProtection="0"/>
    <xf numFmtId="0" fontId="12" fillId="0" borderId="0" applyFont="0" applyFill="0" applyBorder="0" applyAlignment="0" applyProtection="0"/>
    <xf numFmtId="0" fontId="63" fillId="0" borderId="0" applyFont="0" applyFill="0" applyBorder="0" applyProtection="0">
      <alignment horizontal="center" wrapText="1"/>
    </xf>
    <xf numFmtId="216" fontId="63" fillId="0" borderId="0" applyFont="0" applyFill="0" applyBorder="0" applyProtection="0">
      <alignment horizontal="right"/>
    </xf>
    <xf numFmtId="0" fontId="47" fillId="10" borderId="0" applyNumberFormat="0" applyBorder="0" applyAlignment="0" applyProtection="0"/>
    <xf numFmtId="0" fontId="99" fillId="7" borderId="0" applyNumberFormat="0" applyBorder="0" applyAlignment="0" applyProtection="0"/>
    <xf numFmtId="0" fontId="77" fillId="0" borderId="0" applyNumberFormat="0" applyFill="0" applyBorder="0" applyAlignment="0" applyProtection="0"/>
    <xf numFmtId="0" fontId="78" fillId="9" borderId="0" applyNumberFormat="0" applyFill="0" applyBorder="0" applyAlignment="0" applyProtection="0"/>
    <xf numFmtId="0" fontId="18" fillId="0" borderId="8" applyNumberFormat="0" applyProtection="0"/>
    <xf numFmtId="0" fontId="18" fillId="0" borderId="9">
      <alignment horizontal="left" vertical="center"/>
    </xf>
    <xf numFmtId="14" fontId="13" fillId="10" borderId="10">
      <alignment horizontal="center" vertical="center" wrapText="1"/>
    </xf>
    <xf numFmtId="0" fontId="3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8" fillId="0" borderId="11" applyNumberFormat="0" applyFill="0" applyAlignment="0" applyProtection="0"/>
    <xf numFmtId="0" fontId="100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7" fillId="0" borderId="0" applyFill="0" applyAlignment="0">
      <protection locked="0"/>
    </xf>
    <xf numFmtId="0" fontId="37" fillId="0" borderId="1" applyFill="0" applyAlignment="0">
      <protection locked="0"/>
    </xf>
    <xf numFmtId="0" fontId="32" fillId="0" borderId="10"/>
    <xf numFmtId="0" fontId="33" fillId="0" borderId="0"/>
    <xf numFmtId="0" fontId="79" fillId="0" borderId="1" applyNumberFormat="0" applyFill="0" applyAlignment="0" applyProtection="0"/>
    <xf numFmtId="0" fontId="74" fillId="28" borderId="0" applyNumberFormat="0" applyFont="0" applyBorder="0" applyAlignment="0" applyProtection="0"/>
    <xf numFmtId="0" fontId="55" fillId="0" borderId="0" applyNumberFormat="0" applyFill="0" applyBorder="0">
      <protection locked="0"/>
    </xf>
    <xf numFmtId="0" fontId="60" fillId="29" borderId="13" applyNumberFormat="0" applyAlignment="0" applyProtection="0"/>
    <xf numFmtId="217" fontId="63" fillId="0" borderId="0" applyFont="0" applyFill="0" applyBorder="0" applyProtection="0">
      <alignment horizontal="left"/>
    </xf>
    <xf numFmtId="218" fontId="63" fillId="0" borderId="0" applyFont="0" applyFill="0" applyBorder="0" applyProtection="0">
      <alignment horizontal="left"/>
    </xf>
    <xf numFmtId="219" fontId="63" fillId="0" borderId="0" applyFont="0" applyFill="0" applyBorder="0" applyProtection="0">
      <alignment horizontal="left"/>
    </xf>
    <xf numFmtId="220" fontId="63" fillId="0" borderId="0" applyFont="0" applyFill="0" applyBorder="0" applyProtection="0">
      <alignment horizontal="left"/>
    </xf>
    <xf numFmtId="0" fontId="12" fillId="6" borderId="13" applyNumberFormat="0" applyBorder="0" applyAlignment="0" applyProtection="0"/>
    <xf numFmtId="0" fontId="49" fillId="11" borderId="4" applyNumberFormat="0" applyAlignment="0" applyProtection="0"/>
    <xf numFmtId="0" fontId="101" fillId="8" borderId="4" applyNumberFormat="0" applyAlignment="0" applyProtection="0"/>
    <xf numFmtId="0" fontId="101" fillId="8" borderId="4" applyNumberFormat="0" applyAlignment="0" applyProtection="0"/>
    <xf numFmtId="0" fontId="101" fillId="8" borderId="4" applyNumberFormat="0" applyAlignment="0" applyProtection="0"/>
    <xf numFmtId="0" fontId="49" fillId="11" borderId="4" applyNumberFormat="0" applyAlignment="0" applyProtection="0"/>
    <xf numFmtId="5" fontId="80" fillId="0" borderId="0" applyBorder="0"/>
    <xf numFmtId="172" fontId="80" fillId="0" borderId="0" applyBorder="0"/>
    <xf numFmtId="7" fontId="80" fillId="0" borderId="0" applyBorder="0"/>
    <xf numFmtId="37" fontId="80" fillId="0" borderId="0" applyBorder="0"/>
    <xf numFmtId="170" fontId="80" fillId="0" borderId="0" applyBorder="0"/>
    <xf numFmtId="211" fontId="80" fillId="0" borderId="0" applyBorder="0"/>
    <xf numFmtId="39" fontId="80" fillId="0" borderId="0" applyBorder="0"/>
    <xf numFmtId="212" fontId="80" fillId="0" borderId="0" applyBorder="0"/>
    <xf numFmtId="0" fontId="74" fillId="0" borderId="14" applyNumberFormat="0" applyFont="0" applyFill="0" applyAlignment="0" applyProtection="0"/>
    <xf numFmtId="0" fontId="81" fillId="0" borderId="0"/>
    <xf numFmtId="0" fontId="12" fillId="25" borderId="0"/>
    <xf numFmtId="0" fontId="50" fillId="0" borderId="15" applyNumberFormat="0" applyFill="0" applyAlignment="0" applyProtection="0"/>
    <xf numFmtId="0" fontId="102" fillId="0" borderId="16" applyNumberFormat="0" applyFill="0" applyAlignment="0" applyProtection="0"/>
    <xf numFmtId="221" fontId="10" fillId="0" borderId="0" applyFont="0" applyFill="0" applyBorder="0" applyAlignment="0" applyProtection="0"/>
    <xf numFmtId="222" fontId="10" fillId="0" borderId="0" applyFont="0" applyFill="0" applyBorder="0" applyAlignment="0" applyProtection="0"/>
    <xf numFmtId="223" fontId="10" fillId="0" borderId="0" applyFont="0" applyFill="0" applyBorder="0" applyAlignment="0" applyProtection="0"/>
    <xf numFmtId="224" fontId="10" fillId="0" borderId="0" applyFont="0" applyFill="0" applyBorder="0" applyAlignment="0" applyProtection="0"/>
    <xf numFmtId="0" fontId="10" fillId="0" borderId="0" applyFont="0" applyFill="0" applyBorder="0" applyProtection="0"/>
    <xf numFmtId="225" fontId="10" fillId="0" borderId="0" applyFont="0" applyFill="0" applyBorder="0" applyAlignment="0" applyProtection="0"/>
    <xf numFmtId="0" fontId="51" fillId="11" borderId="0" applyNumberFormat="0" applyBorder="0" applyAlignment="0" applyProtection="0"/>
    <xf numFmtId="0" fontId="103" fillId="11" borderId="0" applyNumberFormat="0" applyBorder="0" applyAlignment="0" applyProtection="0"/>
    <xf numFmtId="37" fontId="82" fillId="0" borderId="0"/>
    <xf numFmtId="0" fontId="6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7" fontId="9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68" fontId="15" fillId="0" borderId="0" applyProtection="0"/>
    <xf numFmtId="0" fontId="10" fillId="0" borderId="0"/>
    <xf numFmtId="168" fontId="15" fillId="0" borderId="0" applyProtection="0"/>
    <xf numFmtId="0" fontId="10" fillId="0" borderId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68" fontId="15" fillId="0" borderId="0" applyProtection="0"/>
    <xf numFmtId="0" fontId="10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10" fillId="0" borderId="0"/>
    <xf numFmtId="0" fontId="10" fillId="0" borderId="0"/>
    <xf numFmtId="0" fontId="6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4" fillId="0" borderId="0">
      <alignment vertical="top"/>
    </xf>
    <xf numFmtId="0" fontId="10" fillId="0" borderId="0"/>
    <xf numFmtId="0" fontId="54" fillId="0" borderId="0">
      <alignment vertical="top"/>
    </xf>
    <xf numFmtId="0" fontId="10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8" fontId="15" fillId="0" borderId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34" fillId="0" borderId="0"/>
    <xf numFmtId="168" fontId="15" fillId="0" borderId="0" applyProtection="0"/>
    <xf numFmtId="0" fontId="10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168" fontId="15" fillId="0" borderId="0" applyProtection="0"/>
    <xf numFmtId="168" fontId="15" fillId="0" borderId="0" applyProtection="0"/>
    <xf numFmtId="0" fontId="8" fillId="0" borderId="0"/>
    <xf numFmtId="0" fontId="8" fillId="0" borderId="0"/>
    <xf numFmtId="0" fontId="159" fillId="0" borderId="0"/>
    <xf numFmtId="0" fontId="10" fillId="0" borderId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7" fillId="0" borderId="0"/>
    <xf numFmtId="0" fontId="106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8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07" fillId="0" borderId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6" borderId="17" applyNumberFormat="0" applyFont="0" applyAlignment="0" applyProtection="0"/>
    <xf numFmtId="0" fontId="52" fillId="24" borderId="18" applyNumberFormat="0" applyAlignment="0" applyProtection="0"/>
    <xf numFmtId="0" fontId="104" fillId="25" borderId="18" applyNumberFormat="0" applyAlignment="0" applyProtection="0"/>
    <xf numFmtId="0" fontId="57" fillId="30" borderId="0" applyNumberFormat="0" applyFont="0" applyBorder="0" applyAlignment="0"/>
    <xf numFmtId="226" fontId="10" fillId="0" borderId="0" applyFont="0" applyFill="0" applyBorder="0" applyAlignment="0" applyProtection="0"/>
    <xf numFmtId="227" fontId="83" fillId="0" borderId="0"/>
    <xf numFmtId="226" fontId="10" fillId="0" borderId="0" applyFont="0" applyFill="0" applyBorder="0" applyAlignment="0" applyProtection="0"/>
    <xf numFmtId="226" fontId="10" fillId="0" borderId="0" applyFont="0" applyFill="0" applyBorder="0" applyAlignment="0" applyProtection="0"/>
    <xf numFmtId="226" fontId="10" fillId="0" borderId="0" applyFont="0" applyFill="0" applyBorder="0" applyAlignment="0" applyProtection="0"/>
    <xf numFmtId="228" fontId="10" fillId="0" borderId="0"/>
    <xf numFmtId="229" fontId="65" fillId="0" borderId="0"/>
    <xf numFmtId="229" fontId="65" fillId="0" borderId="0"/>
    <xf numFmtId="227" fontId="83" fillId="0" borderId="0"/>
    <xf numFmtId="0" fontId="65" fillId="0" borderId="0"/>
    <xf numFmtId="227" fontId="71" fillId="0" borderId="0"/>
    <xf numFmtId="228" fontId="10" fillId="0" borderId="0"/>
    <xf numFmtId="229" fontId="65" fillId="0" borderId="0"/>
    <xf numFmtId="229" fontId="65" fillId="0" borderId="0"/>
    <xf numFmtId="0" fontId="65" fillId="0" borderId="0"/>
    <xf numFmtId="0" fontId="65" fillId="0" borderId="0"/>
    <xf numFmtId="230" fontId="65" fillId="0" borderId="0"/>
    <xf numFmtId="167" fontId="65" fillId="0" borderId="0"/>
    <xf numFmtId="231" fontId="65" fillId="0" borderId="0"/>
    <xf numFmtId="230" fontId="65" fillId="0" borderId="0"/>
    <xf numFmtId="167" fontId="65" fillId="0" borderId="0"/>
    <xf numFmtId="232" fontId="65" fillId="0" borderId="0"/>
    <xf numFmtId="232" fontId="65" fillId="0" borderId="0"/>
    <xf numFmtId="169" fontId="65" fillId="0" borderId="0"/>
    <xf numFmtId="231" fontId="65" fillId="0" borderId="0"/>
    <xf numFmtId="165" fontId="65" fillId="0" borderId="0"/>
    <xf numFmtId="169" fontId="65" fillId="0" borderId="0"/>
    <xf numFmtId="169" fontId="65" fillId="0" borderId="0"/>
    <xf numFmtId="0" fontId="65" fillId="0" borderId="0"/>
    <xf numFmtId="226" fontId="10" fillId="0" borderId="0" applyFont="0" applyFill="0" applyBorder="0" applyAlignment="0" applyProtection="0"/>
    <xf numFmtId="226" fontId="10" fillId="0" borderId="0" applyFont="0" applyFill="0" applyBorder="0" applyAlignment="0" applyProtection="0"/>
    <xf numFmtId="226" fontId="10" fillId="0" borderId="0" applyFont="0" applyFill="0" applyBorder="0" applyAlignment="0" applyProtection="0"/>
    <xf numFmtId="227" fontId="83" fillId="0" borderId="0"/>
    <xf numFmtId="227" fontId="83" fillId="0" borderId="0"/>
    <xf numFmtId="226" fontId="10" fillId="0" borderId="0" applyFont="0" applyFill="0" applyBorder="0" applyAlignment="0" applyProtection="0"/>
    <xf numFmtId="227" fontId="83" fillId="0" borderId="0"/>
    <xf numFmtId="227" fontId="83" fillId="0" borderId="0"/>
    <xf numFmtId="230" fontId="65" fillId="0" borderId="0"/>
    <xf numFmtId="167" fontId="65" fillId="0" borderId="0"/>
    <xf numFmtId="231" fontId="65" fillId="0" borderId="0"/>
    <xf numFmtId="230" fontId="65" fillId="0" borderId="0"/>
    <xf numFmtId="167" fontId="65" fillId="0" borderId="0"/>
    <xf numFmtId="232" fontId="65" fillId="0" borderId="0"/>
    <xf numFmtId="232" fontId="65" fillId="0" borderId="0"/>
    <xf numFmtId="169" fontId="65" fillId="0" borderId="0"/>
    <xf numFmtId="231" fontId="65" fillId="0" borderId="0"/>
    <xf numFmtId="165" fontId="65" fillId="0" borderId="0"/>
    <xf numFmtId="169" fontId="65" fillId="0" borderId="0"/>
    <xf numFmtId="169" fontId="65" fillId="0" borderId="0"/>
    <xf numFmtId="233" fontId="24" fillId="24" borderId="0" applyFont="0" applyFill="0" applyBorder="0" applyAlignment="0" applyProtection="0"/>
    <xf numFmtId="234" fontId="24" fillId="24" borderId="0" applyFont="0" applyFill="0" applyBorder="0" applyAlignment="0" applyProtection="0"/>
    <xf numFmtId="235" fontId="10" fillId="0" borderId="0" applyFont="0" applyFill="0" applyBorder="0" applyAlignment="0" applyProtection="0"/>
    <xf numFmtId="236" fontId="70" fillId="0" borderId="0" applyFont="0" applyFill="0" applyBorder="0" applyAlignment="0" applyProtection="0"/>
    <xf numFmtId="237" fontId="61" fillId="0" borderId="0" applyFont="0" applyFill="0" applyBorder="0" applyAlignment="0" applyProtection="0"/>
    <xf numFmtId="238" fontId="10" fillId="0" borderId="0" applyFont="0" applyFill="0" applyBorder="0" applyAlignment="0" applyProtection="0"/>
    <xf numFmtId="239" fontId="63" fillId="0" borderId="0" applyFont="0" applyFill="0" applyBorder="0" applyAlignment="0" applyProtection="0"/>
    <xf numFmtId="240" fontId="63" fillId="0" borderId="0" applyFont="0" applyFill="0" applyBorder="0" applyAlignment="0" applyProtection="0"/>
    <xf numFmtId="241" fontId="63" fillId="0" borderId="0" applyFont="0" applyFill="0" applyBorder="0" applyAlignment="0" applyProtection="0"/>
    <xf numFmtId="242" fontId="63" fillId="0" borderId="0" applyFont="0" applyFill="0" applyBorder="0" applyAlignment="0" applyProtection="0"/>
    <xf numFmtId="243" fontId="70" fillId="0" borderId="0" applyFont="0" applyFill="0" applyBorder="0" applyAlignment="0" applyProtection="0"/>
    <xf numFmtId="244" fontId="61" fillId="0" borderId="0" applyFont="0" applyFill="0" applyBorder="0" applyAlignment="0" applyProtection="0"/>
    <xf numFmtId="245" fontId="70" fillId="0" borderId="0" applyFont="0" applyFill="0" applyBorder="0" applyAlignment="0" applyProtection="0"/>
    <xf numFmtId="246" fontId="61" fillId="0" borderId="0" applyFont="0" applyFill="0" applyBorder="0" applyAlignment="0" applyProtection="0"/>
    <xf numFmtId="247" fontId="70" fillId="0" borderId="0" applyFont="0" applyFill="0" applyBorder="0" applyAlignment="0" applyProtection="0"/>
    <xf numFmtId="248" fontId="61" fillId="0" borderId="0" applyFont="0" applyFill="0" applyBorder="0" applyAlignment="0" applyProtection="0"/>
    <xf numFmtId="249" fontId="19" fillId="0" borderId="0" applyFont="0" applyFill="0" applyBorder="0" applyAlignment="0">
      <protection locked="0"/>
    </xf>
    <xf numFmtId="250" fontId="6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0" fontId="71" fillId="0" borderId="0" applyFill="0" applyBorder="0" applyAlignment="0" applyProtection="0"/>
    <xf numFmtId="9" fontId="75" fillId="0" borderId="0" applyBorder="0"/>
    <xf numFmtId="166" fontId="75" fillId="0" borderId="0" applyBorder="0"/>
    <xf numFmtId="10" fontId="75" fillId="0" borderId="0" applyBorder="0"/>
    <xf numFmtId="0" fontId="34" fillId="0" borderId="0" applyNumberFormat="0" applyFont="0" applyFill="0" applyBorder="0" applyProtection="0"/>
    <xf numFmtId="15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3" fontId="10" fillId="0" borderId="0">
      <alignment horizontal="left" vertical="top"/>
    </xf>
    <xf numFmtId="0" fontId="35" fillId="0" borderId="10">
      <alignment horizontal="center"/>
    </xf>
    <xf numFmtId="3" fontId="34" fillId="0" borderId="0" applyFont="0" applyFill="0" applyBorder="0" applyAlignment="0" applyProtection="0"/>
    <xf numFmtId="0" fontId="34" fillId="31" borderId="0" applyNumberFormat="0" applyFont="0" applyBorder="0" applyAlignment="0" applyProtection="0"/>
    <xf numFmtId="3" fontId="10" fillId="0" borderId="0">
      <alignment horizontal="right" vertical="top"/>
    </xf>
    <xf numFmtId="41" fontId="23" fillId="25" borderId="19" applyFill="0"/>
    <xf numFmtId="0" fontId="36" fillId="0" borderId="0">
      <alignment horizontal="left" indent="7"/>
    </xf>
    <xf numFmtId="41" fontId="23" fillId="0" borderId="19" applyFill="0">
      <alignment horizontal="left" indent="2"/>
    </xf>
    <xf numFmtId="168" fontId="37" fillId="0" borderId="1" applyFill="0">
      <alignment horizontal="right"/>
    </xf>
    <xf numFmtId="0" fontId="13" fillId="0" borderId="13" applyNumberFormat="0" applyFont="0" applyBorder="0">
      <alignment horizontal="right"/>
    </xf>
    <xf numFmtId="0" fontId="38" fillId="0" borderId="0" applyFill="0"/>
    <xf numFmtId="0" fontId="18" fillId="0" borderId="0" applyFill="0"/>
    <xf numFmtId="4" fontId="37" fillId="0" borderId="1" applyFill="0"/>
    <xf numFmtId="0" fontId="10" fillId="0" borderId="0" applyNumberFormat="0" applyFont="0" applyBorder="0" applyAlignment="0"/>
    <xf numFmtId="0" fontId="21" fillId="0" borderId="0" applyFill="0">
      <alignment horizontal="left" indent="1"/>
    </xf>
    <xf numFmtId="0" fontId="39" fillId="0" borderId="0" applyFill="0">
      <alignment horizontal="left" indent="1"/>
    </xf>
    <xf numFmtId="4" fontId="24" fillId="0" borderId="0" applyFill="0"/>
    <xf numFmtId="0" fontId="10" fillId="0" borderId="0" applyNumberFormat="0" applyFont="0" applyFill="0" applyBorder="0" applyAlignment="0"/>
    <xf numFmtId="0" fontId="21" fillId="0" borderId="0" applyFill="0">
      <alignment horizontal="left" indent="2"/>
    </xf>
    <xf numFmtId="0" fontId="18" fillId="0" borderId="0" applyFill="0">
      <alignment horizontal="left" indent="2"/>
    </xf>
    <xf numFmtId="4" fontId="24" fillId="0" borderId="0" applyFill="0"/>
    <xf numFmtId="0" fontId="10" fillId="0" borderId="0" applyNumberFormat="0" applyFont="0" applyBorder="0" applyAlignment="0"/>
    <xf numFmtId="0" fontId="40" fillId="0" borderId="0">
      <alignment horizontal="left" indent="3"/>
    </xf>
    <xf numFmtId="0" fontId="41" fillId="0" borderId="0" applyFill="0">
      <alignment horizontal="left" indent="3"/>
    </xf>
    <xf numFmtId="4" fontId="24" fillId="0" borderId="0" applyFill="0"/>
    <xf numFmtId="0" fontId="10" fillId="0" borderId="0" applyNumberFormat="0" applyFont="0" applyBorder="0" applyAlignment="0"/>
    <xf numFmtId="0" fontId="25" fillId="0" borderId="0">
      <alignment horizontal="left" indent="4"/>
    </xf>
    <xf numFmtId="0" fontId="10" fillId="0" borderId="0" applyFill="0">
      <alignment horizontal="left" indent="4"/>
    </xf>
    <xf numFmtId="0" fontId="10" fillId="0" borderId="0" applyFill="0">
      <alignment horizontal="left" indent="4"/>
    </xf>
    <xf numFmtId="4" fontId="26" fillId="0" borderId="0" applyFill="0"/>
    <xf numFmtId="0" fontId="10" fillId="0" borderId="0" applyNumberFormat="0" applyFont="0" applyBorder="0" applyAlignment="0"/>
    <xf numFmtId="0" fontId="27" fillId="0" borderId="0">
      <alignment horizontal="left" indent="5"/>
    </xf>
    <xf numFmtId="0" fontId="28" fillId="0" borderId="0" applyFill="0">
      <alignment horizontal="left" indent="5"/>
    </xf>
    <xf numFmtId="4" fontId="29" fillId="0" borderId="0" applyFill="0"/>
    <xf numFmtId="0" fontId="10" fillId="0" borderId="0" applyNumberFormat="0" applyFont="0" applyFill="0" applyBorder="0" applyAlignment="0"/>
    <xf numFmtId="0" fontId="30" fillId="0" borderId="0" applyFill="0">
      <alignment horizontal="left" indent="6"/>
    </xf>
    <xf numFmtId="0" fontId="26" fillId="0" borderId="0" applyFill="0">
      <alignment horizontal="left" indent="6"/>
    </xf>
    <xf numFmtId="0" fontId="74" fillId="0" borderId="20" applyNumberFormat="0" applyFont="0" applyFill="0" applyAlignment="0" applyProtection="0"/>
    <xf numFmtId="0" fontId="84" fillId="0" borderId="0" applyNumberFormat="0" applyFill="0" applyBorder="0" applyAlignment="0" applyProtection="0"/>
    <xf numFmtId="0" fontId="85" fillId="0" borderId="0"/>
    <xf numFmtId="0" fontId="85" fillId="0" borderId="0"/>
    <xf numFmtId="0" fontId="62" fillId="0" borderId="10">
      <alignment horizontal="right"/>
    </xf>
    <xf numFmtId="0" fontId="16" fillId="6" borderId="0"/>
    <xf numFmtId="251" fontId="72" fillId="0" borderId="0">
      <alignment horizontal="center"/>
    </xf>
    <xf numFmtId="252" fontId="86" fillId="0" borderId="0">
      <alignment horizontal="center"/>
    </xf>
    <xf numFmtId="0" fontId="87" fillId="0" borderId="0" applyNumberFormat="0" applyFill="0" applyBorder="0" applyAlignment="0" applyProtection="0"/>
    <xf numFmtId="0" fontId="9" fillId="0" borderId="0" applyNumberFormat="0" applyBorder="0" applyAlignment="0"/>
    <xf numFmtId="0" fontId="56" fillId="0" borderId="0" applyNumberFormat="0" applyBorder="0" applyAlignment="0"/>
    <xf numFmtId="0" fontId="10" fillId="25" borderId="6" applyNumberFormat="0" applyFont="0" applyAlignment="0"/>
    <xf numFmtId="0" fontId="74" fillId="27" borderId="0" applyNumberFormat="0" applyFont="0" applyBorder="0" applyAlignment="0" applyProtection="0"/>
    <xf numFmtId="0" fontId="88" fillId="0" borderId="9" applyNumberFormat="0" applyFont="0" applyFill="0" applyAlignment="0" applyProtection="0"/>
    <xf numFmtId="0" fontId="58" fillId="0" borderId="0" applyFill="0" applyBorder="0" applyProtection="0">
      <alignment horizontal="left" vertical="top"/>
    </xf>
    <xf numFmtId="0" fontId="53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89" fillId="0" borderId="0"/>
    <xf numFmtId="0" fontId="10" fillId="0" borderId="3" applyNumberFormat="0" applyFont="0" applyFill="0" applyAlignment="0" applyProtection="0"/>
    <xf numFmtId="0" fontId="10" fillId="0" borderId="0" applyFont="0" applyFill="0" applyBorder="0" applyAlignment="0" applyProtection="0"/>
    <xf numFmtId="0" fontId="9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253" fontId="61" fillId="0" borderId="0" applyFont="0" applyFill="0" applyBorder="0" applyAlignment="0" applyProtection="0"/>
    <xf numFmtId="254" fontId="61" fillId="0" borderId="0" applyFont="0" applyFill="0" applyBorder="0" applyAlignment="0" applyProtection="0"/>
    <xf numFmtId="255" fontId="61" fillId="0" borderId="0" applyFont="0" applyFill="0" applyBorder="0" applyAlignment="0" applyProtection="0"/>
    <xf numFmtId="256" fontId="61" fillId="0" borderId="0" applyFont="0" applyFill="0" applyBorder="0" applyAlignment="0" applyProtection="0"/>
    <xf numFmtId="257" fontId="61" fillId="0" borderId="0" applyFont="0" applyFill="0" applyBorder="0" applyAlignment="0" applyProtection="0"/>
    <xf numFmtId="258" fontId="61" fillId="0" borderId="0" applyFont="0" applyFill="0" applyBorder="0" applyAlignment="0" applyProtection="0"/>
    <xf numFmtId="259" fontId="61" fillId="0" borderId="0" applyFont="0" applyFill="0" applyBorder="0" applyAlignment="0" applyProtection="0"/>
    <xf numFmtId="260" fontId="61" fillId="0" borderId="0" applyFont="0" applyFill="0" applyBorder="0" applyAlignment="0" applyProtection="0"/>
    <xf numFmtId="261" fontId="11" fillId="27" borderId="21" applyFont="0" applyFill="0" applyBorder="0" applyAlignment="0" applyProtection="0"/>
    <xf numFmtId="261" fontId="65" fillId="0" borderId="0" applyFont="0" applyFill="0" applyBorder="0" applyAlignment="0" applyProtection="0"/>
    <xf numFmtId="262" fontId="68" fillId="0" borderId="0" applyFont="0" applyFill="0" applyBorder="0" applyAlignment="0" applyProtection="0"/>
    <xf numFmtId="263" fontId="72" fillId="0" borderId="9" applyFont="0" applyFill="0" applyBorder="0">
      <protection locked="0"/>
    </xf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4" fillId="0" borderId="0" applyFont="0" applyFill="0" applyBorder="0" applyAlignment="0" applyProtection="0"/>
    <xf numFmtId="215" fontId="110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59" fillId="0" borderId="0"/>
    <xf numFmtId="9" fontId="8" fillId="0" borderId="0" applyFont="0" applyFill="0" applyBorder="0" applyAlignment="0" applyProtection="0"/>
    <xf numFmtId="0" fontId="111" fillId="0" borderId="0"/>
    <xf numFmtId="43" fontId="8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11" fillId="0" borderId="0"/>
    <xf numFmtId="44" fontId="111" fillId="0" borderId="0" applyFont="0" applyFill="0" applyBorder="0" applyAlignment="0" applyProtection="0"/>
    <xf numFmtId="9" fontId="111" fillId="0" borderId="0" applyFont="0" applyFill="0" applyBorder="0" applyAlignment="0" applyProtection="0"/>
    <xf numFmtId="0" fontId="111" fillId="0" borderId="0"/>
    <xf numFmtId="0" fontId="159" fillId="0" borderId="0"/>
    <xf numFmtId="43" fontId="159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59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30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32" borderId="0"/>
    <xf numFmtId="0" fontId="42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2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14" fillId="3" borderId="0" applyNumberFormat="0" applyBorder="0" applyAlignment="0" applyProtection="0"/>
    <xf numFmtId="0" fontId="14" fillId="37" borderId="0" applyNumberFormat="0" applyBorder="0" applyAlignment="0" applyProtection="0"/>
    <xf numFmtId="0" fontId="42" fillId="5" borderId="0" applyNumberFormat="0" applyBorder="0" applyAlignment="0" applyProtection="0"/>
    <xf numFmtId="0" fontId="42" fillId="2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42" fillId="38" borderId="0" applyNumberFormat="0" applyBorder="0" applyAlignment="0" applyProtection="0"/>
    <xf numFmtId="0" fontId="42" fillId="39" borderId="0" applyNumberFormat="0" applyBorder="0" applyAlignment="0" applyProtection="0"/>
    <xf numFmtId="0" fontId="14" fillId="3" borderId="0" applyNumberFormat="0" applyBorder="0" applyAlignment="0" applyProtection="0"/>
    <xf numFmtId="0" fontId="14" fillId="26" borderId="0" applyNumberFormat="0" applyBorder="0" applyAlignment="0" applyProtection="0"/>
    <xf numFmtId="0" fontId="42" fillId="37" borderId="0" applyNumberFormat="0" applyBorder="0" applyAlignment="0" applyProtection="0"/>
    <xf numFmtId="0" fontId="42" fillId="35" borderId="0" applyNumberFormat="0" applyBorder="0" applyAlignment="0" applyProtection="0"/>
    <xf numFmtId="0" fontId="14" fillId="40" borderId="0" applyNumberFormat="0" applyBorder="0" applyAlignment="0" applyProtection="0"/>
    <xf numFmtId="0" fontId="14" fillId="23" borderId="0" applyNumberFormat="0" applyBorder="0" applyAlignment="0" applyProtection="0"/>
    <xf numFmtId="0" fontId="42" fillId="35" borderId="0" applyNumberFormat="0" applyBorder="0" applyAlignment="0" applyProtection="0"/>
    <xf numFmtId="0" fontId="42" fillId="15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42" fillId="13" borderId="0" applyNumberFormat="0" applyBorder="0" applyAlignment="0" applyProtection="0"/>
    <xf numFmtId="0" fontId="135" fillId="6" borderId="0" applyNumberFormat="0" applyBorder="0" applyAlignment="0" applyProtection="0"/>
    <xf numFmtId="0" fontId="136" fillId="41" borderId="22" applyNumberFormat="0" applyAlignment="0" applyProtection="0"/>
    <xf numFmtId="0" fontId="45" fillId="39" borderId="5" applyNumberFormat="0" applyAlignment="0" applyProtection="0"/>
    <xf numFmtId="0" fontId="137" fillId="42" borderId="0" applyNumberFormat="0" applyBorder="0" applyAlignment="0" applyProtection="0"/>
    <xf numFmtId="0" fontId="137" fillId="43" borderId="0" applyNumberFormat="0" applyBorder="0" applyAlignment="0" applyProtection="0"/>
    <xf numFmtId="0" fontId="137" fillId="44" borderId="0" applyNumberFormat="0" applyBorder="0" applyAlignment="0" applyProtection="0"/>
    <xf numFmtId="0" fontId="14" fillId="12" borderId="0" applyNumberFormat="0" applyBorder="0" applyAlignment="0" applyProtection="0"/>
    <xf numFmtId="0" fontId="138" fillId="0" borderId="23" applyNumberFormat="0" applyFill="0" applyAlignment="0" applyProtection="0"/>
    <xf numFmtId="0" fontId="139" fillId="0" borderId="24" applyNumberFormat="0" applyFill="0" applyAlignment="0" applyProtection="0"/>
    <xf numFmtId="0" fontId="48" fillId="0" borderId="25" applyNumberFormat="0" applyFill="0" applyAlignment="0" applyProtection="0"/>
    <xf numFmtId="0" fontId="140" fillId="8" borderId="22" applyNumberFormat="0" applyAlignment="0" applyProtection="0"/>
    <xf numFmtId="0" fontId="47" fillId="0" borderId="26" applyNumberFormat="0" applyFill="0" applyAlignment="0" applyProtection="0"/>
    <xf numFmtId="0" fontId="47" fillId="8" borderId="0" applyNumberFormat="0" applyBorder="0" applyAlignment="0" applyProtection="0"/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4" borderId="29" applyNumberFormat="0">
      <protection locked="0"/>
    </xf>
    <xf numFmtId="0" fontId="11" fillId="23" borderId="30" applyBorder="0"/>
    <xf numFmtId="0" fontId="131" fillId="6" borderId="27" applyNumberFormat="0" applyProtection="0">
      <alignment vertical="center"/>
    </xf>
    <xf numFmtId="0" fontId="142" fillId="6" borderId="13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9" borderId="13"/>
    <xf numFmtId="0" fontId="134" fillId="24" borderId="22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137" fillId="0" borderId="31" applyNumberFormat="0" applyFill="0" applyAlignment="0" applyProtection="0"/>
    <xf numFmtId="0" fontId="141" fillId="0" borderId="0" applyNumberFormat="0" applyFill="0" applyBorder="0" applyAlignment="0" applyProtection="0"/>
    <xf numFmtId="0" fontId="42" fillId="33" borderId="0" applyNumberFormat="0" applyBorder="0" applyAlignment="0" applyProtection="0"/>
    <xf numFmtId="0" fontId="42" fillId="36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39" borderId="0" applyNumberFormat="0" applyBorder="0" applyAlignment="0" applyProtection="0"/>
    <xf numFmtId="0" fontId="42" fillId="39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35" borderId="0" applyNumberFormat="0" applyBorder="0" applyAlignment="0" applyProtection="0"/>
    <xf numFmtId="0" fontId="42" fillId="39" borderId="0" applyNumberFormat="0" applyBorder="0" applyAlignment="0" applyProtection="0"/>
    <xf numFmtId="0" fontId="42" fillId="22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0" fontId="42" fillId="36" borderId="0" applyNumberFormat="0" applyBorder="0" applyAlignment="0" applyProtection="0"/>
    <xf numFmtId="0" fontId="42" fillId="3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8" fillId="0" borderId="0"/>
    <xf numFmtId="43" fontId="8" fillId="0" borderId="0" applyFont="0" applyFill="0" applyBorder="0" applyAlignment="0" applyProtection="0"/>
    <xf numFmtId="0" fontId="159" fillId="0" borderId="0"/>
    <xf numFmtId="0" fontId="8" fillId="0" borderId="0"/>
    <xf numFmtId="43" fontId="8" fillId="0" borderId="0" applyFont="0" applyFill="0" applyBorder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59" fillId="0" borderId="0"/>
    <xf numFmtId="0" fontId="8" fillId="0" borderId="0"/>
    <xf numFmtId="9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0" fillId="0" borderId="0"/>
    <xf numFmtId="0" fontId="106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37" fontId="23" fillId="0" borderId="0"/>
    <xf numFmtId="37" fontId="23" fillId="0" borderId="0"/>
    <xf numFmtId="0" fontId="10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50" borderId="32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4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2" fillId="32" borderId="0"/>
    <xf numFmtId="43" fontId="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45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1" fillId="23" borderId="30" applyBorder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40" borderId="22" applyNumberFormat="0" applyProtection="0">
      <alignment horizontal="left" vertical="center" indent="1"/>
    </xf>
    <xf numFmtId="0" fontId="8" fillId="0" borderId="0"/>
    <xf numFmtId="43" fontId="8" fillId="0" borderId="0" applyFont="0" applyFill="0" applyBorder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7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2" fillId="22" borderId="22" applyNumberFormat="0" applyProtection="0">
      <alignment horizontal="right" vertical="center"/>
    </xf>
    <xf numFmtId="0" fontId="8" fillId="0" borderId="0"/>
    <xf numFmtId="9" fontId="8" fillId="0" borderId="0" applyFont="0" applyFill="0" applyBorder="0" applyAlignment="0" applyProtection="0"/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1" fillId="23" borderId="30" applyBorder="0"/>
    <xf numFmtId="0" fontId="133" fillId="48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8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46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31" fillId="6" borderId="27" applyNumberForma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22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40" borderId="28" applyNumberFormat="0" applyProtection="0">
      <alignment horizontal="left" vertical="center" indent="1"/>
    </xf>
    <xf numFmtId="0" fontId="8" fillId="0" borderId="0"/>
    <xf numFmtId="0" fontId="8" fillId="0" borderId="0"/>
    <xf numFmtId="0" fontId="137" fillId="0" borderId="31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3" borderId="22" applyNumberFormat="0" applyProtection="0">
      <alignment horizontal="right" vertical="center"/>
    </xf>
    <xf numFmtId="0" fontId="8" fillId="0" borderId="0"/>
    <xf numFmtId="0" fontId="12" fillId="17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3" fillId="48" borderId="28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6" borderId="2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6" borderId="27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1" fillId="23" borderId="30" applyBorder="0"/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1" fillId="23" borderId="30" applyBorder="0"/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0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1" fillId="23" borderId="30" applyBorder="0"/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52" fillId="41" borderId="18" applyNumberFormat="0" applyAlignment="0" applyProtection="0"/>
    <xf numFmtId="0" fontId="52" fillId="41" borderId="18" applyNumberForma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1" fillId="23" borderId="30" applyBorder="0"/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1" fillId="23" borderId="30" applyBorder="0"/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1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2" fillId="47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23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7" borderId="27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3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40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5" borderId="22" applyNumberFormat="0" applyProtection="0">
      <alignment horizontal="right" vertical="center"/>
    </xf>
    <xf numFmtId="0" fontId="8" fillId="0" borderId="0"/>
    <xf numFmtId="0" fontId="8" fillId="0" borderId="0"/>
    <xf numFmtId="0" fontId="11" fillId="23" borderId="3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2" borderId="22" applyNumberFormat="0" applyProtection="0">
      <alignment horizontal="right" vertical="center"/>
    </xf>
    <xf numFmtId="0" fontId="8" fillId="0" borderId="0"/>
    <xf numFmtId="0" fontId="131" fillId="25" borderId="2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2" fillId="24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1" fillId="23" borderId="30" applyBorder="0"/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1" fillId="23" borderId="30" applyBorder="0"/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40" fillId="8" borderId="22" applyNumberFormat="0" applyAlignment="0" applyProtection="0"/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1" fillId="23" borderId="30" applyBorder="0"/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1" fillId="23" borderId="30" applyBorder="0"/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1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2" fillId="47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23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7" borderId="27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3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40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5" borderId="22" applyNumberFormat="0" applyProtection="0">
      <alignment horizontal="right" vertical="center"/>
    </xf>
    <xf numFmtId="0" fontId="8" fillId="0" borderId="0"/>
    <xf numFmtId="0" fontId="8" fillId="0" borderId="0"/>
    <xf numFmtId="0" fontId="11" fillId="23" borderId="3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2" borderId="22" applyNumberFormat="0" applyProtection="0">
      <alignment horizontal="right" vertical="center"/>
    </xf>
    <xf numFmtId="0" fontId="8" fillId="0" borderId="0"/>
    <xf numFmtId="0" fontId="131" fillId="25" borderId="2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2" fillId="24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40" fillId="8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40" fillId="8" borderId="22" applyNumberFormat="0" applyAlignment="0" applyProtection="0"/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6" borderId="27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52" fillId="41" borderId="18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6" borderId="22" applyNumberFormat="0" applyFont="0" applyAlignment="0" applyProtection="0"/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1" fillId="23" borderId="30" applyBorder="0"/>
    <xf numFmtId="0" fontId="12" fillId="1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1" fillId="23" borderId="30" applyBorder="0"/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2" fillId="1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40" fillId="8" borderId="22" applyNumberFormat="0" applyAlignment="0" applyProtection="0"/>
    <xf numFmtId="0" fontId="140" fillId="8" borderId="22" applyNumberFormat="0" applyAlignment="0" applyProtection="0"/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5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1" fillId="23" borderId="30" applyBorder="0"/>
    <xf numFmtId="0" fontId="12" fillId="2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1" fillId="23" borderId="30" applyBorder="0"/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1" fillId="23" borderId="30" applyBorder="0"/>
    <xf numFmtId="0" fontId="131" fillId="6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1" fillId="23" borderId="30" applyBorder="0"/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1" fillId="23" borderId="30" applyBorder="0"/>
    <xf numFmtId="0" fontId="11" fillId="23" borderId="30" applyBorder="0"/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25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12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6" fillId="41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2" fillId="1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0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0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6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3" fillId="48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8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3" borderId="22" applyNumberFormat="0" applyProtection="0">
      <alignment horizontal="right" vertical="center"/>
    </xf>
    <xf numFmtId="0" fontId="11" fillId="23" borderId="30" applyBorder="0"/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2" fillId="11" borderId="22" applyNumberFormat="0" applyProtection="0">
      <alignment vertical="center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1" fillId="23" borderId="30" applyBorder="0"/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11" fillId="23" borderId="30" applyBorder="0"/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2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7" fillId="0" borderId="31" applyNumberFormat="0" applyFill="0" applyAlignment="0" applyProtection="0"/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6" borderId="27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40" fillId="8" borderId="22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1" fillId="23" borderId="30" applyBorder="0"/>
    <xf numFmtId="0" fontId="12" fillId="5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1" fillId="23" borderId="30" applyBorder="0"/>
    <xf numFmtId="0" fontId="140" fillId="8" borderId="22" applyNumberFormat="0" applyAlignment="0" applyProtection="0"/>
    <xf numFmtId="0" fontId="12" fillId="37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52" fillId="41" borderId="18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40" fillId="8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52" fillId="41" borderId="18" applyNumberFormat="0" applyAlignment="0" applyProtection="0"/>
    <xf numFmtId="0" fontId="131" fillId="6" borderId="27" applyNumberFormat="0" applyProtection="0">
      <alignment vertical="center"/>
    </xf>
    <xf numFmtId="0" fontId="12" fillId="37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0" fillId="23" borderId="28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1" fillId="23" borderId="30" applyBorder="0"/>
    <xf numFmtId="0" fontId="12" fillId="23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0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40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37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18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46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37" borderId="27" applyNumberFormat="0" applyProtection="0">
      <alignment horizontal="left" vertical="top" indent="1"/>
    </xf>
    <xf numFmtId="0" fontId="132" fillId="11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6" borderId="22" applyNumberFormat="0" applyFont="0" applyAlignment="0" applyProtection="0"/>
    <xf numFmtId="0" fontId="1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6" fillId="41" borderId="22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23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2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1" fillId="23" borderId="30" applyBorder="0"/>
    <xf numFmtId="0" fontId="142" fillId="24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40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37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" borderId="22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2" fillId="22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2" fillId="21" borderId="28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36" fillId="41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31" fillId="6" borderId="27" applyNumberFormat="0" applyProtection="0">
      <alignment horizontal="left" vertical="top" indent="1"/>
    </xf>
    <xf numFmtId="0" fontId="12" fillId="5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11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40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52" fillId="41" borderId="18" applyNumberFormat="0" applyAlignment="0" applyProtection="0"/>
    <xf numFmtId="0" fontId="12" fillId="38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37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12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2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42" fillId="24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2" fillId="37" borderId="27" applyNumberFormat="0" applyProtection="0">
      <alignment horizontal="left" vertical="top" indent="1"/>
    </xf>
    <xf numFmtId="0" fontId="12" fillId="13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40" fillId="8" borderId="22" applyNumberFormat="0" applyAlignment="0" applyProtection="0"/>
    <xf numFmtId="0" fontId="137" fillId="0" borderId="31" applyNumberFormat="0" applyFill="0" applyAlignment="0" applyProtection="0"/>
    <xf numFmtId="0" fontId="142" fillId="11" borderId="22" applyNumberFormat="0" applyProtection="0">
      <alignment vertical="center"/>
    </xf>
    <xf numFmtId="0" fontId="140" fillId="8" borderId="22" applyNumberFormat="0" applyAlignment="0" applyProtection="0"/>
    <xf numFmtId="0" fontId="134" fillId="24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21" borderId="28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37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31" fillId="6" borderId="27" applyNumberFormat="0" applyProtection="0">
      <alignment vertical="center"/>
    </xf>
    <xf numFmtId="0" fontId="10" fillId="23" borderId="28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6" borderId="22" applyNumberFormat="0" applyFont="0" applyAlignment="0" applyProtection="0"/>
    <xf numFmtId="0" fontId="12" fillId="2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46" borderId="28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1" fillId="23" borderId="30" applyBorder="0"/>
    <xf numFmtId="0" fontId="140" fillId="8" borderId="22" applyNumberFormat="0" applyAlignment="0" applyProtection="0"/>
    <xf numFmtId="0" fontId="12" fillId="21" borderId="28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12" fillId="0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1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1" fillId="23" borderId="30" applyBorder="0"/>
    <xf numFmtId="0" fontId="142" fillId="11" borderId="22" applyNumberFormat="0" applyProtection="0">
      <alignment vertical="center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4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2" fillId="40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33" fillId="48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12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31" fillId="6" borderId="27" applyNumberFormat="0" applyProtection="0">
      <alignment vertical="center"/>
    </xf>
    <xf numFmtId="0" fontId="140" fillId="8" borderId="22" applyNumberFormat="0" applyAlignment="0" applyProtection="0"/>
    <xf numFmtId="0" fontId="12" fillId="23" borderId="27" applyNumberFormat="0" applyProtection="0">
      <alignment horizontal="left" vertical="top" indent="1"/>
    </xf>
    <xf numFmtId="0" fontId="12" fillId="37" borderId="27" applyNumberFormat="0" applyProtection="0">
      <alignment horizontal="left" vertical="top" indent="1"/>
    </xf>
    <xf numFmtId="0" fontId="12" fillId="40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1" fillId="23" borderId="30" applyBorder="0"/>
    <xf numFmtId="0" fontId="133" fillId="48" borderId="28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31" fillId="25" borderId="27" applyNumberFormat="0" applyProtection="0">
      <alignment horizontal="left" vertical="center" indent="1"/>
    </xf>
    <xf numFmtId="0" fontId="52" fillId="41" borderId="18" applyNumberFormat="0" applyAlignment="0" applyProtection="0"/>
    <xf numFmtId="0" fontId="52" fillId="41" borderId="18" applyNumberFormat="0" applyAlignment="0" applyProtection="0"/>
    <xf numFmtId="0" fontId="131" fillId="25" borderId="27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3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40" fillId="8" borderId="22" applyNumberFormat="0" applyAlignment="0" applyProtection="0"/>
    <xf numFmtId="0" fontId="142" fillId="11" borderId="22" applyNumberFormat="0" applyProtection="0">
      <alignment vertical="center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36" fillId="41" borderId="22" applyNumberFormat="0" applyAlignment="0" applyProtection="0"/>
    <xf numFmtId="0" fontId="12" fillId="46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2" fillId="15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6" borderId="22" applyNumberFormat="0" applyFont="0" applyAlignment="0" applyProtection="0"/>
    <xf numFmtId="0" fontId="142" fillId="24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1" fillId="23" borderId="30" applyBorder="0"/>
    <xf numFmtId="0" fontId="10" fillId="23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31" fillId="37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0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0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2" fillId="11" borderId="22" applyNumberFormat="0" applyProtection="0">
      <alignment vertical="center"/>
    </xf>
    <xf numFmtId="0" fontId="137" fillId="0" borderId="31" applyNumberFormat="0" applyFill="0" applyAlignment="0" applyProtection="0"/>
    <xf numFmtId="0" fontId="12" fillId="45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6" fillId="41" borderId="22" applyNumberFormat="0" applyAlignment="0" applyProtection="0"/>
    <xf numFmtId="0" fontId="133" fillId="48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31" fillId="37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6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2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47" borderId="22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2" fillId="46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31" fillId="6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42" fillId="11" borderId="22" applyNumberFormat="0" applyProtection="0">
      <alignment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31" fillId="37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40" fillId="8" borderId="22" applyNumberFormat="0" applyAlignment="0" applyProtection="0"/>
    <xf numFmtId="0" fontId="12" fillId="40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1" fillId="23" borderId="30" applyBorder="0"/>
    <xf numFmtId="0" fontId="12" fillId="0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52" fillId="41" borderId="18" applyNumberFormat="0" applyAlignment="0" applyProtection="0"/>
    <xf numFmtId="0" fontId="142" fillId="11" borderId="22" applyNumberFormat="0" applyProtection="0">
      <alignment vertical="center"/>
    </xf>
    <xf numFmtId="0" fontId="12" fillId="12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2" fillId="37" borderId="22" applyNumberFormat="0" applyProtection="0">
      <alignment horizontal="right" vertical="center"/>
    </xf>
    <xf numFmtId="0" fontId="8" fillId="0" borderId="0"/>
    <xf numFmtId="43" fontId="8" fillId="0" borderId="0" applyFont="0" applyFill="0" applyBorder="0" applyAlignment="0" applyProtection="0"/>
    <xf numFmtId="0" fontId="12" fillId="13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25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40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5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2" fillId="6" borderId="22" applyNumberFormat="0" applyFont="0" applyAlignment="0" applyProtection="0"/>
    <xf numFmtId="0" fontId="136" fillId="41" borderId="22" applyNumberFormat="0" applyAlignment="0" applyProtection="0"/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2" fillId="12" borderId="22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40" fillId="8" borderId="22" applyNumberFormat="0" applyAlignment="0" applyProtection="0"/>
    <xf numFmtId="0" fontId="52" fillId="41" borderId="18" applyNumberFormat="0" applyAlignment="0" applyProtection="0"/>
    <xf numFmtId="0" fontId="12" fillId="11" borderId="22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0" fillId="23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4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2" fillId="45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1" fillId="23" borderId="30" applyBorder="0"/>
    <xf numFmtId="0" fontId="12" fillId="40" borderId="22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1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2" fillId="47" borderId="22" applyNumberFormat="0" applyProtection="0">
      <alignment horizontal="left" vertical="center" indent="1"/>
    </xf>
    <xf numFmtId="0" fontId="8" fillId="0" borderId="0"/>
    <xf numFmtId="9" fontId="8" fillId="0" borderId="0" applyFont="0" applyFill="0" applyBorder="0" applyAlignment="0" applyProtection="0"/>
    <xf numFmtId="0" fontId="136" fillId="41" borderId="22" applyNumberFormat="0" applyAlignment="0" applyProtection="0"/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52" fillId="41" borderId="18" applyNumberFormat="0" applyAlignment="0" applyProtection="0"/>
    <xf numFmtId="0" fontId="12" fillId="22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15" borderId="22" applyNumberFormat="0" applyProtection="0">
      <alignment horizontal="right" vertical="center"/>
    </xf>
    <xf numFmtId="0" fontId="12" fillId="21" borderId="28" applyNumberFormat="0" applyProtection="0">
      <alignment horizontal="right" vertical="center"/>
    </xf>
    <xf numFmtId="0" fontId="12" fillId="37" borderId="28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2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31" fillId="25" borderId="27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11" fillId="23" borderId="30" applyBorder="0"/>
    <xf numFmtId="0" fontId="12" fillId="25" borderId="22" applyNumberFormat="0" applyProtection="0">
      <alignment horizontal="left" vertical="center" indent="1"/>
    </xf>
    <xf numFmtId="0" fontId="12" fillId="18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5" borderId="22" applyNumberFormat="0" applyProtection="0">
      <alignment horizontal="left" vertical="center" indent="1"/>
    </xf>
    <xf numFmtId="0" fontId="11" fillId="23" borderId="30" applyBorder="0"/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2" fillId="23" borderId="27" applyNumberFormat="0" applyProtection="0">
      <alignment horizontal="left" vertical="top" indent="1"/>
    </xf>
    <xf numFmtId="0" fontId="12" fillId="40" borderId="28" applyNumberFormat="0" applyProtection="0">
      <alignment horizontal="left" vertical="center" indent="1"/>
    </xf>
    <xf numFmtId="0" fontId="12" fillId="37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45" borderId="22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8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7" fillId="0" borderId="31" applyNumberFormat="0" applyFill="0" applyAlignment="0" applyProtection="0"/>
    <xf numFmtId="0" fontId="12" fillId="13" borderId="22" applyNumberFormat="0" applyProtection="0">
      <alignment horizontal="right" vertical="center"/>
    </xf>
    <xf numFmtId="0" fontId="10" fillId="23" borderId="28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0" borderId="22" applyNumberFormat="0" applyProtection="0">
      <alignment horizontal="right" vertical="center"/>
    </xf>
    <xf numFmtId="0" fontId="12" fillId="40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2" fillId="11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6" fillId="41" borderId="22" applyNumberFormat="0" applyAlignment="0" applyProtection="0"/>
    <xf numFmtId="0" fontId="142" fillId="24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2" fillId="11" borderId="22" applyNumberFormat="0" applyProtection="0">
      <alignment vertical="center"/>
    </xf>
    <xf numFmtId="0" fontId="12" fillId="6" borderId="22" applyNumberFormat="0" applyFont="0" applyAlignment="0" applyProtection="0"/>
    <xf numFmtId="0" fontId="131" fillId="25" borderId="27" applyNumberFormat="0" applyProtection="0">
      <alignment horizontal="left" vertical="center" indent="1"/>
    </xf>
    <xf numFmtId="0" fontId="12" fillId="2" borderId="27" applyNumberFormat="0" applyProtection="0">
      <alignment horizontal="left" vertical="top" indent="1"/>
    </xf>
    <xf numFmtId="0" fontId="131" fillId="37" borderId="27" applyNumberFormat="0" applyProtection="0">
      <alignment horizontal="left" vertical="top" indent="1"/>
    </xf>
    <xf numFmtId="0" fontId="12" fillId="6" borderId="22" applyNumberFormat="0" applyFont="0" applyAlignment="0" applyProtection="0"/>
    <xf numFmtId="0" fontId="12" fillId="40" borderId="28" applyNumberFormat="0" applyProtection="0">
      <alignment horizontal="left" vertical="center" indent="1"/>
    </xf>
    <xf numFmtId="0" fontId="12" fillId="40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37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11" borderId="22" applyNumberFormat="0" applyProtection="0">
      <alignment horizontal="left" vertical="center" indent="1"/>
    </xf>
    <xf numFmtId="0" fontId="12" fillId="46" borderId="28" applyNumberFormat="0" applyProtection="0">
      <alignment horizontal="left" vertical="center" indent="1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23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40" borderId="28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37" borderId="27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13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40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23" borderId="3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12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2" fillId="24" borderId="22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37" borderId="27" applyNumberFormat="0" applyProtection="0">
      <alignment horizontal="left" vertical="top" indent="1"/>
    </xf>
    <xf numFmtId="0" fontId="142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2" borderId="22" applyNumberFormat="0" applyProtection="0">
      <alignment horizontal="left" vertical="center" indent="1"/>
    </xf>
    <xf numFmtId="0" fontId="136" fillId="41" borderId="22" applyNumberFormat="0" applyAlignment="0" applyProtection="0"/>
    <xf numFmtId="0" fontId="12" fillId="11" borderId="22" applyNumberFormat="0" applyProtection="0">
      <alignment vertical="center"/>
    </xf>
    <xf numFmtId="0" fontId="131" fillId="6" borderId="27" applyNumberFormat="0" applyProtection="0">
      <alignment horizontal="left" vertical="top" indent="1"/>
    </xf>
    <xf numFmtId="0" fontId="12" fillId="15" borderId="22" applyNumberFormat="0" applyProtection="0">
      <alignment horizontal="right" vertical="center"/>
    </xf>
    <xf numFmtId="0" fontId="11" fillId="23" borderId="30" applyBorder="0"/>
    <xf numFmtId="0" fontId="12" fillId="38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4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25" borderId="22" applyNumberFormat="0" applyProtection="0">
      <alignment horizontal="left" vertical="center" indent="1"/>
    </xf>
    <xf numFmtId="0" fontId="134" fillId="24" borderId="22" applyNumberFormat="0" applyProtection="0">
      <alignment horizontal="right" vertical="center"/>
    </xf>
    <xf numFmtId="0" fontId="12" fillId="38" borderId="22" applyNumberFormat="0" applyProtection="0">
      <alignment horizontal="right" vertical="center"/>
    </xf>
    <xf numFmtId="0" fontId="134" fillId="24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25" borderId="22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11" borderId="22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17" borderId="22" applyNumberFormat="0" applyProtection="0">
      <alignment horizontal="left" vertical="center" indent="1"/>
    </xf>
    <xf numFmtId="0" fontId="140" fillId="8" borderId="22" applyNumberFormat="0" applyAlignment="0" applyProtection="0"/>
    <xf numFmtId="0" fontId="10" fillId="23" borderId="28" applyNumberFormat="0" applyProtection="0">
      <alignment horizontal="left" vertical="center" indent="1"/>
    </xf>
    <xf numFmtId="0" fontId="133" fillId="48" borderId="28" applyNumberFormat="0" applyProtection="0">
      <alignment horizontal="left" vertical="center" indent="1"/>
    </xf>
    <xf numFmtId="0" fontId="140" fillId="8" borderId="22" applyNumberFormat="0" applyAlignment="0" applyProtection="0"/>
    <xf numFmtId="0" fontId="12" fillId="40" borderId="28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45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37" fillId="0" borderId="31" applyNumberFormat="0" applyFill="0" applyAlignment="0" applyProtection="0"/>
    <xf numFmtId="0" fontId="12" fillId="40" borderId="28" applyNumberFormat="0" applyProtection="0">
      <alignment horizontal="left" vertical="center" indent="1"/>
    </xf>
    <xf numFmtId="0" fontId="131" fillId="37" borderId="27" applyNumberFormat="0" applyProtection="0">
      <alignment horizontal="left" vertical="top" indent="1"/>
    </xf>
    <xf numFmtId="0" fontId="12" fillId="46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38" borderId="22" applyNumberFormat="0" applyProtection="0">
      <alignment horizontal="right" vertical="center"/>
    </xf>
    <xf numFmtId="0" fontId="12" fillId="40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2" fillId="37" borderId="28" applyNumberFormat="0" applyProtection="0">
      <alignment horizontal="left" vertical="center" indent="1"/>
    </xf>
    <xf numFmtId="0" fontId="131" fillId="25" borderId="27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31" fillId="6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52" fillId="41" borderId="18" applyNumberFormat="0" applyAlignment="0" applyProtection="0"/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31" fillId="6" borderId="27" applyNumberFormat="0" applyProtection="0">
      <alignment vertical="center"/>
    </xf>
    <xf numFmtId="0" fontId="12" fillId="23" borderId="27" applyNumberFormat="0" applyProtection="0">
      <alignment horizontal="left" vertical="top" indent="1"/>
    </xf>
    <xf numFmtId="0" fontId="52" fillId="41" borderId="18" applyNumberFormat="0" applyAlignment="0" applyProtection="0"/>
    <xf numFmtId="0" fontId="12" fillId="21" borderId="28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2" fillId="15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31" fillId="25" borderId="27" applyNumberFormat="0" applyProtection="0">
      <alignment horizontal="left" vertical="center" indent="1"/>
    </xf>
    <xf numFmtId="0" fontId="12" fillId="37" borderId="22" applyNumberFormat="0" applyProtection="0">
      <alignment horizontal="right" vertical="center"/>
    </xf>
    <xf numFmtId="0" fontId="12" fillId="13" borderId="22" applyNumberFormat="0" applyProtection="0">
      <alignment horizontal="right" vertical="center"/>
    </xf>
    <xf numFmtId="0" fontId="140" fillId="8" borderId="22" applyNumberFormat="0" applyAlignment="0" applyProtection="0"/>
    <xf numFmtId="0" fontId="12" fillId="13" borderId="22" applyNumberFormat="0" applyProtection="0">
      <alignment horizontal="right" vertical="center"/>
    </xf>
    <xf numFmtId="0" fontId="142" fillId="24" borderId="22" applyNumberFormat="0" applyProtection="0">
      <alignment horizontal="right" vertical="center"/>
    </xf>
    <xf numFmtId="0" fontId="132" fillId="11" borderId="27" applyNumberFormat="0" applyProtection="0">
      <alignment horizontal="left" vertical="top" indent="1"/>
    </xf>
    <xf numFmtId="0" fontId="12" fillId="2" borderId="27" applyNumberFormat="0" applyProtection="0">
      <alignment horizontal="left" vertical="top" indent="1"/>
    </xf>
    <xf numFmtId="0" fontId="136" fillId="41" borderId="22" applyNumberFormat="0" applyAlignment="0" applyProtection="0"/>
    <xf numFmtId="0" fontId="12" fillId="38" borderId="22" applyNumberFormat="0" applyProtection="0">
      <alignment horizontal="right" vertical="center"/>
    </xf>
    <xf numFmtId="0" fontId="131" fillId="6" borderId="27" applyNumberFormat="0" applyProtection="0">
      <alignment horizontal="left" vertical="top" indent="1"/>
    </xf>
    <xf numFmtId="0" fontId="134" fillId="24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11" borderId="22" applyNumberFormat="0" applyProtection="0">
      <alignment vertical="center"/>
    </xf>
    <xf numFmtId="0" fontId="12" fillId="25" borderId="22" applyNumberFormat="0" applyProtection="0">
      <alignment horizontal="left" vertical="center" indent="1"/>
    </xf>
    <xf numFmtId="0" fontId="12" fillId="17" borderId="22" applyNumberFormat="0" applyProtection="0">
      <alignment horizontal="left" vertical="center" indent="1"/>
    </xf>
    <xf numFmtId="0" fontId="12" fillId="40" borderId="28" applyNumberFormat="0" applyProtection="0">
      <alignment horizontal="left" vertical="center" indent="1"/>
    </xf>
    <xf numFmtId="0" fontId="12" fillId="40" borderId="27" applyNumberFormat="0" applyProtection="0">
      <alignment horizontal="left" vertical="top" indent="1"/>
    </xf>
    <xf numFmtId="0" fontId="12" fillId="40" borderId="22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2" fillId="6" borderId="22" applyNumberFormat="0" applyFont="0" applyAlignment="0" applyProtection="0"/>
    <xf numFmtId="0" fontId="12" fillId="12" borderId="22" applyNumberFormat="0" applyProtection="0">
      <alignment horizontal="right" vertical="center"/>
    </xf>
    <xf numFmtId="0" fontId="12" fillId="2" borderId="22" applyNumberFormat="0" applyProtection="0">
      <alignment horizontal="left" vertical="center" indent="1"/>
    </xf>
    <xf numFmtId="0" fontId="12" fillId="47" borderId="22" applyNumberFormat="0" applyProtection="0">
      <alignment horizontal="left" vertical="center" indent="1"/>
    </xf>
    <xf numFmtId="0" fontId="12" fillId="22" borderId="22" applyNumberFormat="0" applyProtection="0">
      <alignment horizontal="right" vertical="center"/>
    </xf>
    <xf numFmtId="0" fontId="12" fillId="22" borderId="22" applyNumberFormat="0" applyProtection="0">
      <alignment horizontal="right" vertical="center"/>
    </xf>
    <xf numFmtId="0" fontId="12" fillId="17" borderId="22" applyNumberFormat="0" applyProtection="0">
      <alignment horizontal="left" vertical="center" indent="1"/>
    </xf>
    <xf numFmtId="0" fontId="12" fillId="5" borderId="22" applyNumberFormat="0" applyProtection="0">
      <alignment horizontal="right" vertical="center"/>
    </xf>
    <xf numFmtId="0" fontId="136" fillId="41" borderId="22" applyNumberFormat="0" applyAlignment="0" applyProtection="0"/>
    <xf numFmtId="0" fontId="12" fillId="0" borderId="22" applyNumberFormat="0" applyProtection="0">
      <alignment horizontal="right" vertical="center"/>
    </xf>
    <xf numFmtId="0" fontId="12" fillId="6" borderId="22" applyNumberFormat="0" applyFont="0" applyAlignment="0" applyProtection="0"/>
    <xf numFmtId="0" fontId="52" fillId="41" borderId="18" applyNumberFormat="0" applyAlignment="0" applyProtection="0"/>
    <xf numFmtId="0" fontId="12" fillId="0" borderId="22" applyNumberFormat="0" applyProtection="0">
      <alignment horizontal="right" vertical="center"/>
    </xf>
    <xf numFmtId="0" fontId="12" fillId="37" borderId="22" applyNumberFormat="0" applyProtection="0">
      <alignment horizontal="right" vertical="center"/>
    </xf>
    <xf numFmtId="0" fontId="12" fillId="23" borderId="27" applyNumberFormat="0" applyProtection="0">
      <alignment horizontal="left" vertical="top" indent="1"/>
    </xf>
    <xf numFmtId="0" fontId="12" fillId="38" borderId="22" applyNumberFormat="0" applyProtection="0">
      <alignment horizontal="right" vertical="center"/>
    </xf>
    <xf numFmtId="0" fontId="12" fillId="18" borderId="22" applyNumberFormat="0" applyProtection="0">
      <alignment horizontal="right" vertical="center"/>
    </xf>
    <xf numFmtId="0" fontId="12" fillId="37" borderId="27" applyNumberFormat="0" applyProtection="0">
      <alignment horizontal="left" vertical="top" indent="1"/>
    </xf>
    <xf numFmtId="0" fontId="131" fillId="6" borderId="27" applyNumberFormat="0" applyProtection="0">
      <alignment vertical="center"/>
    </xf>
    <xf numFmtId="0" fontId="136" fillId="41" borderId="22" applyNumberFormat="0" applyAlignment="0" applyProtection="0"/>
    <xf numFmtId="0" fontId="12" fillId="13" borderId="22" applyNumberFormat="0" applyProtection="0">
      <alignment horizontal="right" vertical="center"/>
    </xf>
    <xf numFmtId="0" fontId="12" fillId="47" borderId="22" applyNumberFormat="0" applyProtection="0">
      <alignment horizontal="left" vertical="center" indent="1"/>
    </xf>
    <xf numFmtId="0" fontId="137" fillId="0" borderId="31" applyNumberFormat="0" applyFill="0" applyAlignment="0" applyProtection="0"/>
    <xf numFmtId="0" fontId="12" fillId="17" borderId="22" applyNumberFormat="0" applyProtection="0">
      <alignment horizontal="left" vertical="center" indent="1"/>
    </xf>
    <xf numFmtId="0" fontId="131" fillId="6" borderId="27" applyNumberFormat="0" applyProtection="0">
      <alignment vertical="center"/>
    </xf>
    <xf numFmtId="0" fontId="12" fillId="37" borderId="27" applyNumberFormat="0" applyProtection="0">
      <alignment horizontal="left" vertical="top" indent="1"/>
    </xf>
    <xf numFmtId="0" fontId="12" fillId="37" borderId="28" applyNumberFormat="0" applyProtection="0">
      <alignment horizontal="left" vertical="center" indent="1"/>
    </xf>
    <xf numFmtId="0" fontId="12" fillId="11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13" borderId="22" applyNumberFormat="0" applyProtection="0">
      <alignment horizontal="right" vertical="center"/>
    </xf>
    <xf numFmtId="0" fontId="12" fillId="45" borderId="22" applyNumberFormat="0" applyProtection="0">
      <alignment horizontal="right" vertical="center"/>
    </xf>
    <xf numFmtId="0" fontId="52" fillId="41" borderId="18" applyNumberFormat="0" applyAlignment="0" applyProtection="0"/>
    <xf numFmtId="0" fontId="12" fillId="2" borderId="22" applyNumberFormat="0" applyProtection="0">
      <alignment horizontal="left" vertical="center" indent="1"/>
    </xf>
    <xf numFmtId="0" fontId="10" fillId="23" borderId="28" applyNumberFormat="0" applyProtection="0">
      <alignment horizontal="left" vertical="center" indent="1"/>
    </xf>
    <xf numFmtId="0" fontId="12" fillId="21" borderId="28" applyNumberFormat="0" applyProtection="0">
      <alignment horizontal="right" vertical="center"/>
    </xf>
    <xf numFmtId="0" fontId="11" fillId="23" borderId="30" applyBorder="0"/>
    <xf numFmtId="0" fontId="12" fillId="47" borderId="22" applyNumberFormat="0" applyProtection="0">
      <alignment horizontal="left" vertical="center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7" fillId="0" borderId="0"/>
    <xf numFmtId="0" fontId="8" fillId="0" borderId="0"/>
    <xf numFmtId="43" fontId="8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9" fontId="107" fillId="0" borderId="0" applyFont="0" applyFill="0" applyBorder="0" applyAlignment="0" applyProtection="0"/>
    <xf numFmtId="168" fontId="15" fillId="0" borderId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9" fontId="10" fillId="0" borderId="0" applyFont="0" applyFill="0" applyBorder="0" applyAlignment="0" applyProtection="0"/>
    <xf numFmtId="168" fontId="15" fillId="0" borderId="0" applyProtection="0"/>
    <xf numFmtId="168" fontId="15" fillId="0" borderId="0" applyProtection="0"/>
    <xf numFmtId="168" fontId="15" fillId="0" borderId="0" applyProtection="0"/>
    <xf numFmtId="168" fontId="15" fillId="0" borderId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5" fillId="0" borderId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5" fillId="0" borderId="0" applyProtection="0"/>
    <xf numFmtId="168" fontId="15" fillId="0" borderId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34" fillId="0" borderId="0" applyNumberFormat="0" applyFont="0" applyFill="0" applyBorder="0" applyProtection="0"/>
    <xf numFmtId="43" fontId="1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168" fontId="15" fillId="0" borderId="0" applyProtection="0"/>
    <xf numFmtId="168" fontId="15" fillId="0" borderId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24" borderId="0" applyNumberFormat="0" applyBorder="0" applyAlignment="0" applyProtection="0"/>
    <xf numFmtId="0" fontId="14" fillId="3" borderId="0" applyNumberFormat="0" applyBorder="0" applyAlignment="0" applyProtection="0"/>
    <xf numFmtId="0" fontId="8" fillId="51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8" fillId="5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8" fillId="5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8" fillId="5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8" fillId="5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8" fillId="53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24" borderId="0" applyNumberFormat="0" applyBorder="0" applyAlignment="0" applyProtection="0"/>
    <xf numFmtId="0" fontId="14" fillId="9" borderId="0" applyNumberFormat="0" applyBorder="0" applyAlignment="0" applyProtection="0"/>
    <xf numFmtId="0" fontId="8" fillId="5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8" fillId="5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40" borderId="0" applyNumberFormat="0" applyBorder="0" applyAlignment="0" applyProtection="0"/>
    <xf numFmtId="0" fontId="14" fillId="10" borderId="0" applyNumberFormat="0" applyBorder="0" applyAlignment="0" applyProtection="0"/>
    <xf numFmtId="0" fontId="8" fillId="55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8" fillId="55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8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14" fillId="8" borderId="0" applyNumberFormat="0" applyBorder="0" applyAlignment="0" applyProtection="0"/>
    <xf numFmtId="0" fontId="14" fillId="25" borderId="0" applyNumberFormat="0" applyBorder="0" applyAlignment="0" applyProtection="0"/>
    <xf numFmtId="0" fontId="14" fillId="2" borderId="0" applyNumberFormat="0" applyBorder="0" applyAlignment="0" applyProtection="0"/>
    <xf numFmtId="0" fontId="8" fillId="5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8" fillId="57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14" fillId="4" borderId="0" applyNumberFormat="0" applyBorder="0" applyAlignment="0" applyProtection="0"/>
    <xf numFmtId="0" fontId="14" fillId="12" borderId="0" applyNumberFormat="0" applyBorder="0" applyAlignment="0" applyProtection="0"/>
    <xf numFmtId="0" fontId="8" fillId="59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8" fillId="5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25" borderId="0" applyNumberFormat="0" applyBorder="0" applyAlignment="0" applyProtection="0"/>
    <xf numFmtId="0" fontId="14" fillId="9" borderId="0" applyNumberFormat="0" applyBorder="0" applyAlignment="0" applyProtection="0"/>
    <xf numFmtId="0" fontId="8" fillId="6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8" fillId="60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13" borderId="0" applyNumberFormat="0" applyBorder="0" applyAlignment="0" applyProtection="0"/>
    <xf numFmtId="0" fontId="8" fillId="6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8" fillId="6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42" fillId="17" borderId="0" applyNumberFormat="0" applyBorder="0" applyAlignment="0" applyProtection="0"/>
    <xf numFmtId="0" fontId="42" fillId="14" borderId="0" applyNumberFormat="0" applyBorder="0" applyAlignment="0" applyProtection="0"/>
    <xf numFmtId="0" fontId="129" fillId="63" borderId="0" applyNumberFormat="0" applyBorder="0" applyAlignment="0" applyProtection="0"/>
    <xf numFmtId="0" fontId="42" fillId="17" borderId="0" applyNumberFormat="0" applyBorder="0" applyAlignment="0" applyProtection="0"/>
    <xf numFmtId="0" fontId="42" fillId="4" borderId="0" applyNumberFormat="0" applyBorder="0" applyAlignment="0" applyProtection="0"/>
    <xf numFmtId="0" fontId="129" fillId="64" borderId="0" applyNumberFormat="0" applyBorder="0" applyAlignment="0" applyProtection="0"/>
    <xf numFmtId="0" fontId="42" fillId="4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129" fillId="65" borderId="0" applyNumberFormat="0" applyBorder="0" applyAlignment="0" applyProtection="0"/>
    <xf numFmtId="0" fontId="42" fillId="11" borderId="0" applyNumberFormat="0" applyBorder="0" applyAlignment="0" applyProtection="0"/>
    <xf numFmtId="0" fontId="42" fillId="25" borderId="0" applyNumberFormat="0" applyBorder="0" applyAlignment="0" applyProtection="0"/>
    <xf numFmtId="0" fontId="42" fillId="16" borderId="0" applyNumberFormat="0" applyBorder="0" applyAlignment="0" applyProtection="0"/>
    <xf numFmtId="0" fontId="129" fillId="66" borderId="0" applyNumberFormat="0" applyBorder="0" applyAlignment="0" applyProtection="0"/>
    <xf numFmtId="0" fontId="42" fillId="25" borderId="0" applyNumberFormat="0" applyBorder="0" applyAlignment="0" applyProtection="0"/>
    <xf numFmtId="0" fontId="42" fillId="17" borderId="0" applyNumberFormat="0" applyBorder="0" applyAlignment="0" applyProtection="0"/>
    <xf numFmtId="0" fontId="129" fillId="67" borderId="0" applyNumberFormat="0" applyBorder="0" applyAlignment="0" applyProtection="0"/>
    <xf numFmtId="0" fontId="42" fillId="17" borderId="0" applyNumberFormat="0" applyBorder="0" applyAlignment="0" applyProtection="0"/>
    <xf numFmtId="0" fontId="42" fillId="8" borderId="0" applyNumberFormat="0" applyBorder="0" applyAlignment="0" applyProtection="0"/>
    <xf numFmtId="0" fontId="42" fillId="18" borderId="0" applyNumberFormat="0" applyBorder="0" applyAlignment="0" applyProtection="0"/>
    <xf numFmtId="0" fontId="129" fillId="68" borderId="0" applyNumberFormat="0" applyBorder="0" applyAlignment="0" applyProtection="0"/>
    <xf numFmtId="0" fontId="42" fillId="8" borderId="0" applyNumberFormat="0" applyBorder="0" applyAlignment="0" applyProtection="0"/>
    <xf numFmtId="0" fontId="42" fillId="17" borderId="0" applyNumberFormat="0" applyBorder="0" applyAlignment="0" applyProtection="0"/>
    <xf numFmtId="0" fontId="42" fillId="20" borderId="0" applyNumberFormat="0" applyBorder="0" applyAlignment="0" applyProtection="0"/>
    <xf numFmtId="0" fontId="129" fillId="69" borderId="0" applyNumberFormat="0" applyBorder="0" applyAlignment="0" applyProtection="0"/>
    <xf numFmtId="0" fontId="42" fillId="17" borderId="0" applyNumberFormat="0" applyBorder="0" applyAlignment="0" applyProtection="0"/>
    <xf numFmtId="0" fontId="42" fillId="21" borderId="0" applyNumberFormat="0" applyBorder="0" applyAlignment="0" applyProtection="0"/>
    <xf numFmtId="0" fontId="129" fillId="70" borderId="0" applyNumberFormat="0" applyBorder="0" applyAlignment="0" applyProtection="0"/>
    <xf numFmtId="0" fontId="42" fillId="21" borderId="0" applyNumberFormat="0" applyBorder="0" applyAlignment="0" applyProtection="0"/>
    <xf numFmtId="0" fontId="42" fillId="22" borderId="0" applyNumberFormat="0" applyBorder="0" applyAlignment="0" applyProtection="0"/>
    <xf numFmtId="0" fontId="129" fillId="71" borderId="0" applyNumberFormat="0" applyBorder="0" applyAlignment="0" applyProtection="0"/>
    <xf numFmtId="0" fontId="42" fillId="22" borderId="0" applyNumberFormat="0" applyBorder="0" applyAlignment="0" applyProtection="0"/>
    <xf numFmtId="0" fontId="42" fillId="16" borderId="0" applyNumberFormat="0" applyBorder="0" applyAlignment="0" applyProtection="0"/>
    <xf numFmtId="0" fontId="129" fillId="72" borderId="0" applyNumberFormat="0" applyBorder="0" applyAlignment="0" applyProtection="0"/>
    <xf numFmtId="0" fontId="42" fillId="23" borderId="0" applyNumberFormat="0" applyBorder="0" applyAlignment="0" applyProtection="0"/>
    <xf numFmtId="0" fontId="129" fillId="73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129" fillId="74" borderId="0" applyNumberFormat="0" applyBorder="0" applyAlignment="0" applyProtection="0"/>
    <xf numFmtId="0" fontId="42" fillId="15" borderId="0" applyNumberFormat="0" applyBorder="0" applyAlignment="0" applyProtection="0"/>
    <xf numFmtId="0" fontId="43" fillId="5" borderId="0" applyNumberFormat="0" applyBorder="0" applyAlignment="0" applyProtection="0"/>
    <xf numFmtId="0" fontId="119" fillId="75" borderId="0" applyNumberFormat="0" applyBorder="0" applyAlignment="0" applyProtection="0"/>
    <xf numFmtId="0" fontId="43" fillId="5" borderId="0" applyNumberFormat="0" applyBorder="0" applyAlignment="0" applyProtection="0"/>
    <xf numFmtId="0" fontId="143" fillId="24" borderId="4" applyNumberFormat="0" applyAlignment="0" applyProtection="0"/>
    <xf numFmtId="0" fontId="143" fillId="25" borderId="4" applyNumberFormat="0" applyAlignment="0" applyProtection="0"/>
    <xf numFmtId="0" fontId="123" fillId="76" borderId="33" applyNumberFormat="0" applyAlignment="0" applyProtection="0"/>
    <xf numFmtId="0" fontId="143" fillId="24" borderId="4" applyNumberFormat="0" applyAlignment="0" applyProtection="0"/>
    <xf numFmtId="0" fontId="125" fillId="77" borderId="34" applyNumberFormat="0" applyAlignment="0" applyProtection="0"/>
    <xf numFmtId="0" fontId="45" fillId="26" borderId="5" applyNumberFormat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0" fillId="0" borderId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5" fontId="10" fillId="0" borderId="0" applyFill="0" applyBorder="0" applyAlignment="0" applyProtection="0"/>
    <xf numFmtId="266" fontId="10" fillId="0" borderId="0" applyFill="0" applyBorder="0" applyAlignment="0" applyProtection="0"/>
    <xf numFmtId="267" fontId="24" fillId="0" borderId="13">
      <alignment horizontal="center" vertical="center" wrapText="1"/>
    </xf>
    <xf numFmtId="0" fontId="12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2" fontId="10" fillId="0" borderId="0" applyFill="0" applyBorder="0" applyAlignment="0" applyProtection="0"/>
    <xf numFmtId="0" fontId="47" fillId="7" borderId="0" applyNumberFormat="0" applyBorder="0" applyAlignment="0" applyProtection="0"/>
    <xf numFmtId="0" fontId="118" fillId="78" borderId="0" applyNumberFormat="0" applyBorder="0" applyAlignment="0" applyProtection="0"/>
    <xf numFmtId="0" fontId="47" fillId="7" borderId="0" applyNumberFormat="0" applyBorder="0" applyAlignment="0" applyProtection="0"/>
    <xf numFmtId="0" fontId="37" fillId="25" borderId="13">
      <alignment horizontal="center" vertical="top" wrapText="1"/>
    </xf>
    <xf numFmtId="0" fontId="138" fillId="0" borderId="35" applyNumberFormat="0" applyFill="0" applyAlignment="0" applyProtection="0"/>
    <xf numFmtId="0" fontId="145" fillId="0" borderId="36" applyNumberFormat="0" applyFill="0" applyAlignment="0" applyProtection="0"/>
    <xf numFmtId="0" fontId="139" fillId="0" borderId="37" applyNumberFormat="0" applyFill="0" applyAlignment="0" applyProtection="0"/>
    <xf numFmtId="0" fontId="146" fillId="0" borderId="37" applyNumberFormat="0" applyFill="0" applyAlignment="0" applyProtection="0"/>
    <xf numFmtId="0" fontId="116" fillId="0" borderId="38" applyNumberFormat="0" applyFill="0" applyAlignment="0" applyProtection="0"/>
    <xf numFmtId="0" fontId="139" fillId="0" borderId="37" applyNumberFormat="0" applyFill="0" applyAlignment="0" applyProtection="0"/>
    <xf numFmtId="0" fontId="48" fillId="0" borderId="39" applyNumberFormat="0" applyFill="0" applyAlignment="0" applyProtection="0"/>
    <xf numFmtId="0" fontId="147" fillId="0" borderId="12" applyNumberFormat="0" applyFill="0" applyAlignment="0" applyProtection="0"/>
    <xf numFmtId="0" fontId="117" fillId="0" borderId="40" applyNumberFormat="0" applyFill="0" applyAlignment="0" applyProtection="0"/>
    <xf numFmtId="0" fontId="48" fillId="0" borderId="39" applyNumberFormat="0" applyFill="0" applyAlignment="0" applyProtection="0"/>
    <xf numFmtId="0" fontId="147" fillId="0" borderId="0" applyNumberFormat="0" applyFill="0" applyBorder="0" applyAlignment="0" applyProtection="0"/>
    <xf numFmtId="0" fontId="49" fillId="8" borderId="4" applyNumberFormat="0" applyAlignment="0" applyProtection="0"/>
    <xf numFmtId="0" fontId="121" fillId="79" borderId="33" applyNumberFormat="0" applyAlignment="0" applyProtection="0"/>
    <xf numFmtId="0" fontId="49" fillId="8" borderId="4" applyNumberFormat="0" applyAlignment="0" applyProtection="0"/>
    <xf numFmtId="0" fontId="148" fillId="0" borderId="16" applyNumberFormat="0" applyFill="0" applyAlignment="0" applyProtection="0"/>
    <xf numFmtId="0" fontId="10" fillId="0" borderId="0" applyFont="0" applyFill="0" applyBorder="0" applyAlignment="0" applyProtection="0"/>
    <xf numFmtId="0" fontId="149" fillId="11" borderId="0" applyNumberFormat="0" applyBorder="0" applyAlignment="0" applyProtection="0"/>
    <xf numFmtId="268" fontId="15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24" fillId="0" borderId="13">
      <alignment horizontal="right" vertical="center"/>
    </xf>
    <xf numFmtId="0" fontId="24" fillId="0" borderId="13">
      <alignment horizontal="left" vertical="center" wrapText="1"/>
    </xf>
    <xf numFmtId="1" fontId="37" fillId="25" borderId="13">
      <alignment horizontal="center" vertical="center" wrapText="1"/>
    </xf>
    <xf numFmtId="0" fontId="10" fillId="6" borderId="17" applyNumberFormat="0" applyFont="0" applyAlignment="0" applyProtection="0"/>
    <xf numFmtId="0" fontId="8" fillId="50" borderId="32" applyNumberFormat="0" applyFont="0" applyAlignment="0" applyProtection="0"/>
    <xf numFmtId="0" fontId="8" fillId="50" borderId="32" applyNumberFormat="0" applyFont="0" applyAlignment="0" applyProtection="0"/>
    <xf numFmtId="0" fontId="8" fillId="50" borderId="32" applyNumberFormat="0" applyFont="0" applyAlignment="0" applyProtection="0"/>
    <xf numFmtId="0" fontId="14" fillId="50" borderId="32" applyNumberFormat="0" applyFont="0" applyAlignment="0" applyProtection="0"/>
    <xf numFmtId="0" fontId="8" fillId="50" borderId="32" applyNumberFormat="0" applyFont="0" applyAlignment="0" applyProtection="0"/>
    <xf numFmtId="0" fontId="10" fillId="6" borderId="17" applyNumberFormat="0" applyFont="0" applyAlignment="0" applyProtection="0"/>
    <xf numFmtId="0" fontId="10" fillId="6" borderId="17" applyNumberFormat="0" applyFont="0" applyAlignment="0" applyProtection="0"/>
    <xf numFmtId="0" fontId="10" fillId="6" borderId="17" applyNumberFormat="0" applyFont="0" applyAlignment="0" applyProtection="0"/>
    <xf numFmtId="0" fontId="52" fillId="25" borderId="18" applyNumberFormat="0" applyAlignment="0" applyProtection="0"/>
    <xf numFmtId="0" fontId="122" fillId="76" borderId="41" applyNumberFormat="0" applyAlignment="0" applyProtection="0"/>
    <xf numFmtId="0" fontId="52" fillId="24" borderId="1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269" fontId="10" fillId="0" borderId="0" applyFont="0" applyFill="0" applyBorder="0" applyAlignment="0" applyProtection="0"/>
    <xf numFmtId="269" fontId="10" fillId="0" borderId="0" applyFont="0" applyFill="0" applyBorder="0" applyAlignment="0" applyProtection="0"/>
    <xf numFmtId="26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51" fillId="0" borderId="0">
      <alignment wrapText="1"/>
    </xf>
    <xf numFmtId="0" fontId="56" fillId="11" borderId="27" applyNumberFormat="0" applyProtection="0">
      <alignment vertical="center"/>
    </xf>
    <xf numFmtId="0" fontId="9" fillId="11" borderId="18" applyNumberFormat="0" applyProtection="0">
      <alignment horizontal="left" vertical="center" indent="1"/>
    </xf>
    <xf numFmtId="0" fontId="9" fillId="11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25" borderId="18" applyNumberFormat="0" applyProtection="0">
      <alignment horizontal="left" vertical="center" indent="1"/>
    </xf>
    <xf numFmtId="0" fontId="10" fillId="25" borderId="18" applyNumberFormat="0" applyProtection="0">
      <alignment horizontal="left" vertical="center" indent="1"/>
    </xf>
    <xf numFmtId="0" fontId="152" fillId="40" borderId="27" applyNumberFormat="0" applyProtection="0">
      <alignment horizontal="right" vertical="center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53" fillId="0" borderId="0" applyNumberFormat="0" applyFill="0" applyBorder="0" applyAlignment="0" applyProtection="0"/>
    <xf numFmtId="0" fontId="154" fillId="0" borderId="28">
      <alignment horizontal="center" vertical="center" wrapText="1"/>
    </xf>
    <xf numFmtId="0" fontId="137" fillId="0" borderId="42" applyNumberFormat="0" applyFill="0" applyAlignment="0" applyProtection="0"/>
    <xf numFmtId="0" fontId="137" fillId="0" borderId="43" applyNumberFormat="0" applyFill="0" applyAlignment="0" applyProtection="0"/>
    <xf numFmtId="0" fontId="128" fillId="0" borderId="44" applyNumberFormat="0" applyFill="0" applyAlignment="0" applyProtection="0"/>
    <xf numFmtId="0" fontId="137" fillId="0" borderId="42" applyNumberFormat="0" applyFill="0" applyAlignment="0" applyProtection="0"/>
    <xf numFmtId="0" fontId="12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" fillId="0" borderId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50" borderId="32" applyNumberFormat="0" applyFont="0" applyAlignment="0" applyProtection="0"/>
    <xf numFmtId="0" fontId="8" fillId="50" borderId="32" applyNumberFormat="0" applyFont="0" applyAlignment="0" applyProtection="0"/>
    <xf numFmtId="0" fontId="8" fillId="50" borderId="32" applyNumberFormat="0" applyFont="0" applyAlignment="0" applyProtection="0"/>
    <xf numFmtId="0" fontId="8" fillId="50" borderId="32" applyNumberFormat="0" applyFont="0" applyAlignment="0" applyProtection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41" fontId="10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8" fillId="0" borderId="0"/>
    <xf numFmtId="43" fontId="8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8" fillId="0" borderId="0" applyFont="0" applyFill="0" applyBorder="0" applyAlignment="0" applyProtection="0"/>
    <xf numFmtId="168" fontId="15" fillId="0" borderId="0" applyProtection="0"/>
    <xf numFmtId="0" fontId="23" fillId="0" borderId="0">
      <alignment vertical="top"/>
    </xf>
    <xf numFmtId="44" fontId="8" fillId="0" borderId="0" applyFont="0" applyFill="0" applyBorder="0" applyAlignment="0" applyProtection="0"/>
    <xf numFmtId="0" fontId="8" fillId="0" borderId="0"/>
    <xf numFmtId="168" fontId="15" fillId="0" borderId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8" fontId="15" fillId="0" borderId="0" applyProtection="0"/>
    <xf numFmtId="43" fontId="15" fillId="0" borderId="0" applyFont="0" applyFill="0" applyBorder="0" applyAlignment="0" applyProtection="0"/>
    <xf numFmtId="168" fontId="15" fillId="0" borderId="0" applyProtection="0"/>
    <xf numFmtId="168" fontId="15" fillId="0" borderId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14" fontId="10" fillId="0" borderId="0" applyFont="0" applyFill="0" applyBorder="0" applyAlignment="0" applyProtection="0"/>
    <xf numFmtId="215" fontId="12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65" fillId="0" borderId="0"/>
    <xf numFmtId="0" fontId="8" fillId="0" borderId="0"/>
    <xf numFmtId="7" fontId="91" fillId="0" borderId="0"/>
    <xf numFmtId="0" fontId="6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5" fillId="0" borderId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14" fillId="0" borderId="0" applyFont="0" applyFill="0" applyBorder="0" applyAlignment="0" applyProtection="0"/>
    <xf numFmtId="168" fontId="15" fillId="0" borderId="0" applyProtection="0"/>
    <xf numFmtId="0" fontId="87" fillId="0" borderId="0" applyNumberFormat="0" applyFill="0" applyBorder="0" applyAlignment="0" applyProtection="0"/>
    <xf numFmtId="0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59" fillId="0" borderId="0"/>
    <xf numFmtId="0" fontId="159" fillId="0" borderId="0"/>
    <xf numFmtId="0" fontId="10" fillId="0" borderId="0"/>
    <xf numFmtId="0" fontId="159" fillId="0" borderId="0"/>
    <xf numFmtId="0" fontId="159" fillId="0" borderId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3" fillId="3" borderId="0" applyNumberFormat="0" applyBorder="0" applyAlignment="0" applyProtection="0"/>
    <xf numFmtId="0" fontId="93" fillId="5" borderId="0" applyNumberFormat="0" applyBorder="0" applyAlignment="0" applyProtection="0"/>
    <xf numFmtId="0" fontId="93" fillId="7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8" borderId="0" applyNumberFormat="0" applyBorder="0" applyAlignment="0" applyProtection="0"/>
    <xf numFmtId="0" fontId="93" fillId="2" borderId="0" applyNumberFormat="0" applyBorder="0" applyAlignment="0" applyProtection="0"/>
    <xf numFmtId="0" fontId="93" fillId="4" borderId="0" applyNumberFormat="0" applyBorder="0" applyAlignment="0" applyProtection="0"/>
    <xf numFmtId="0" fontId="93" fillId="12" borderId="0" applyNumberFormat="0" applyBorder="0" applyAlignment="0" applyProtection="0"/>
    <xf numFmtId="0" fontId="93" fillId="9" borderId="0" applyNumberFormat="0" applyBorder="0" applyAlignment="0" applyProtection="0"/>
    <xf numFmtId="0" fontId="93" fillId="2" borderId="0" applyNumberFormat="0" applyBorder="0" applyAlignment="0" applyProtection="0"/>
    <xf numFmtId="0" fontId="93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4" borderId="0" applyNumberFormat="0" applyBorder="0" applyAlignment="0" applyProtection="0"/>
    <xf numFmtId="0" fontId="94" fillId="12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20" borderId="0" applyNumberFormat="0" applyBorder="0" applyAlignment="0" applyProtection="0"/>
    <xf numFmtId="0" fontId="94" fillId="21" borderId="0" applyNumberFormat="0" applyBorder="0" applyAlignment="0" applyProtection="0"/>
    <xf numFmtId="0" fontId="94" fillId="22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5" borderId="0" applyNumberFormat="0" applyBorder="0" applyAlignment="0" applyProtection="0"/>
    <xf numFmtId="0" fontId="95" fillId="5" borderId="0" applyNumberFormat="0" applyBorder="0" applyAlignment="0" applyProtection="0"/>
    <xf numFmtId="0" fontId="96" fillId="25" borderId="4" applyNumberFormat="0" applyAlignment="0" applyProtection="0"/>
    <xf numFmtId="0" fontId="97" fillId="26" borderId="5" applyNumberFormat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9" fillId="7" borderId="0" applyNumberFormat="0" applyBorder="0" applyAlignment="0" applyProtection="0"/>
    <xf numFmtId="43" fontId="34" fillId="0" borderId="0" applyFont="0" applyFill="0" applyBorder="0" applyAlignment="0" applyProtection="0"/>
    <xf numFmtId="0" fontId="100" fillId="0" borderId="12" applyNumberFormat="0" applyFill="0" applyAlignment="0" applyProtection="0"/>
    <xf numFmtId="0" fontId="100" fillId="0" borderId="0" applyNumberFormat="0" applyFill="0" applyBorder="0" applyAlignment="0" applyProtection="0"/>
    <xf numFmtId="0" fontId="101" fillId="8" borderId="4" applyNumberFormat="0" applyAlignment="0" applyProtection="0"/>
    <xf numFmtId="0" fontId="102" fillId="0" borderId="16" applyNumberFormat="0" applyFill="0" applyAlignment="0" applyProtection="0"/>
    <xf numFmtId="0" fontId="103" fillId="11" borderId="0" applyNumberFormat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15" fillId="6" borderId="17" applyNumberFormat="0" applyFont="0" applyAlignment="0" applyProtection="0"/>
    <xf numFmtId="0" fontId="104" fillId="25" borderId="18" applyNumberFormat="0" applyAlignment="0" applyProtection="0"/>
    <xf numFmtId="9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54" fillId="0" borderId="0">
      <alignment vertical="top"/>
    </xf>
    <xf numFmtId="0" fontId="8" fillId="0" borderId="0"/>
    <xf numFmtId="168" fontId="15" fillId="0" borderId="0" applyProtection="0"/>
    <xf numFmtId="168" fontId="15" fillId="0" borderId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14" fillId="3" borderId="0" applyNumberFormat="0" applyBorder="0" applyAlignment="0" applyProtection="0"/>
    <xf numFmtId="0" fontId="93" fillId="3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14" fillId="5" borderId="0" applyNumberFormat="0" applyBorder="0" applyAlignment="0" applyProtection="0"/>
    <xf numFmtId="0" fontId="93" fillId="5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8" fillId="52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14" fillId="7" borderId="0" applyNumberFormat="0" applyBorder="0" applyAlignment="0" applyProtection="0"/>
    <xf numFmtId="0" fontId="93" fillId="7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14" fillId="9" borderId="0" applyNumberFormat="0" applyBorder="0" applyAlignment="0" applyProtection="0"/>
    <xf numFmtId="0" fontId="93" fillId="9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14" fillId="10" borderId="0" applyNumberFormat="0" applyBorder="0" applyAlignment="0" applyProtection="0"/>
    <xf numFmtId="0" fontId="93" fillId="10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93" fillId="8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8" fillId="56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14" fillId="2" borderId="0" applyNumberFormat="0" applyBorder="0" applyAlignment="0" applyProtection="0"/>
    <xf numFmtId="0" fontId="93" fillId="2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8" fillId="57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93" fillId="4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14" fillId="12" borderId="0" applyNumberFormat="0" applyBorder="0" applyAlignment="0" applyProtection="0"/>
    <xf numFmtId="0" fontId="93" fillId="12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93" fillId="12" borderId="0" applyNumberFormat="0" applyBorder="0" applyAlignment="0" applyProtection="0"/>
    <xf numFmtId="0" fontId="93" fillId="12" borderId="0" applyNumberFormat="0" applyBorder="0" applyAlignment="0" applyProtection="0"/>
    <xf numFmtId="0" fontId="93" fillId="12" borderId="0" applyNumberFormat="0" applyBorder="0" applyAlignment="0" applyProtection="0"/>
    <xf numFmtId="0" fontId="93" fillId="12" borderId="0" applyNumberFormat="0" applyBorder="0" applyAlignment="0" applyProtection="0"/>
    <xf numFmtId="0" fontId="14" fillId="9" borderId="0" applyNumberFormat="0" applyBorder="0" applyAlignment="0" applyProtection="0"/>
    <xf numFmtId="0" fontId="93" fillId="9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8" fillId="60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93" fillId="2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8" fillId="61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14" fillId="13" borderId="0" applyNumberFormat="0" applyBorder="0" applyAlignment="0" applyProtection="0"/>
    <xf numFmtId="0" fontId="93" fillId="1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93" fillId="13" borderId="0" applyNumberFormat="0" applyBorder="0" applyAlignment="0" applyProtection="0"/>
    <xf numFmtId="0" fontId="93" fillId="13" borderId="0" applyNumberFormat="0" applyBorder="0" applyAlignment="0" applyProtection="0"/>
    <xf numFmtId="0" fontId="93" fillId="13" borderId="0" applyNumberFormat="0" applyBorder="0" applyAlignment="0" applyProtection="0"/>
    <xf numFmtId="0" fontId="93" fillId="13" borderId="0" applyNumberFormat="0" applyBorder="0" applyAlignment="0" applyProtection="0"/>
    <xf numFmtId="0" fontId="42" fillId="14" borderId="0" applyNumberFormat="0" applyBorder="0" applyAlignment="0" applyProtection="0"/>
    <xf numFmtId="0" fontId="94" fillId="14" borderId="0" applyNumberFormat="0" applyBorder="0" applyAlignment="0" applyProtection="0"/>
    <xf numFmtId="0" fontId="129" fillId="63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94" fillId="1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94" fillId="4" borderId="0" applyNumberFormat="0" applyBorder="0" applyAlignment="0" applyProtection="0"/>
    <xf numFmtId="0" fontId="129" fillId="64" borderId="0" applyNumberFormat="0" applyBorder="0" applyAlignment="0" applyProtection="0"/>
    <xf numFmtId="0" fontId="94" fillId="4" borderId="0" applyNumberFormat="0" applyBorder="0" applyAlignment="0" applyProtection="0"/>
    <xf numFmtId="0" fontId="94" fillId="4" borderId="0" applyNumberFormat="0" applyBorder="0" applyAlignment="0" applyProtection="0"/>
    <xf numFmtId="0" fontId="94" fillId="4" borderId="0" applyNumberFormat="0" applyBorder="0" applyAlignment="0" applyProtection="0"/>
    <xf numFmtId="0" fontId="94" fillId="4" borderId="0" applyNumberFormat="0" applyBorder="0" applyAlignment="0" applyProtection="0"/>
    <xf numFmtId="0" fontId="42" fillId="12" borderId="0" applyNumberFormat="0" applyBorder="0" applyAlignment="0" applyProtection="0"/>
    <xf numFmtId="0" fontId="94" fillId="12" borderId="0" applyNumberFormat="0" applyBorder="0" applyAlignment="0" applyProtection="0"/>
    <xf numFmtId="0" fontId="129" fillId="65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94" fillId="12" borderId="0" applyNumberFormat="0" applyBorder="0" applyAlignment="0" applyProtection="0"/>
    <xf numFmtId="0" fontId="42" fillId="16" borderId="0" applyNumberFormat="0" applyBorder="0" applyAlignment="0" applyProtection="0"/>
    <xf numFmtId="0" fontId="94" fillId="16" borderId="0" applyNumberFormat="0" applyBorder="0" applyAlignment="0" applyProtection="0"/>
    <xf numFmtId="0" fontId="129" fillId="6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94" fillId="17" borderId="0" applyNumberFormat="0" applyBorder="0" applyAlignment="0" applyProtection="0"/>
    <xf numFmtId="0" fontId="129" fillId="6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42" fillId="18" borderId="0" applyNumberFormat="0" applyBorder="0" applyAlignment="0" applyProtection="0"/>
    <xf numFmtId="0" fontId="94" fillId="18" borderId="0" applyNumberFormat="0" applyBorder="0" applyAlignment="0" applyProtection="0"/>
    <xf numFmtId="0" fontId="129" fillId="6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94" fillId="18" borderId="0" applyNumberFormat="0" applyBorder="0" applyAlignment="0" applyProtection="0"/>
    <xf numFmtId="0" fontId="42" fillId="20" borderId="0" applyNumberFormat="0" applyBorder="0" applyAlignment="0" applyProtection="0"/>
    <xf numFmtId="0" fontId="94" fillId="20" borderId="0" applyNumberFormat="0" applyBorder="0" applyAlignment="0" applyProtection="0"/>
    <xf numFmtId="0" fontId="129" fillId="69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94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94" fillId="21" borderId="0" applyNumberFormat="0" applyBorder="0" applyAlignment="0" applyProtection="0"/>
    <xf numFmtId="0" fontId="129" fillId="70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94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94" fillId="22" borderId="0" applyNumberFormat="0" applyBorder="0" applyAlignment="0" applyProtection="0"/>
    <xf numFmtId="0" fontId="129" fillId="71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94" fillId="22" borderId="0" applyNumberFormat="0" applyBorder="0" applyAlignment="0" applyProtection="0"/>
    <xf numFmtId="0" fontId="42" fillId="16" borderId="0" applyNumberFormat="0" applyBorder="0" applyAlignment="0" applyProtection="0"/>
    <xf numFmtId="0" fontId="94" fillId="16" borderId="0" applyNumberFormat="0" applyBorder="0" applyAlignment="0" applyProtection="0"/>
    <xf numFmtId="0" fontId="129" fillId="72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94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94" fillId="17" borderId="0" applyNumberFormat="0" applyBorder="0" applyAlignment="0" applyProtection="0"/>
    <xf numFmtId="0" fontId="129" fillId="73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94" fillId="17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94" fillId="15" borderId="0" applyNumberFormat="0" applyBorder="0" applyAlignment="0" applyProtection="0"/>
    <xf numFmtId="0" fontId="129" fillId="74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94" fillId="15" borderId="0" applyNumberFormat="0" applyBorder="0" applyAlignment="0" applyProtection="0"/>
    <xf numFmtId="0" fontId="43" fillId="5" borderId="0" applyNumberFormat="0" applyBorder="0" applyAlignment="0" applyProtection="0"/>
    <xf numFmtId="0" fontId="43" fillId="5" borderId="0" applyNumberFormat="0" applyBorder="0" applyAlignment="0" applyProtection="0"/>
    <xf numFmtId="0" fontId="95" fillId="5" borderId="0" applyNumberFormat="0" applyBorder="0" applyAlignment="0" applyProtection="0"/>
    <xf numFmtId="0" fontId="119" fillId="75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95" fillId="5" borderId="0" applyNumberFormat="0" applyBorder="0" applyAlignment="0" applyProtection="0"/>
    <xf numFmtId="0" fontId="143" fillId="25" borderId="4" applyNumberFormat="0" applyAlignment="0" applyProtection="0"/>
    <xf numFmtId="0" fontId="96" fillId="25" borderId="4" applyNumberFormat="0" applyAlignment="0" applyProtection="0"/>
    <xf numFmtId="0" fontId="123" fillId="76" borderId="33" applyNumberFormat="0" applyAlignment="0" applyProtection="0"/>
    <xf numFmtId="0" fontId="96" fillId="25" borderId="4" applyNumberFormat="0" applyAlignment="0" applyProtection="0"/>
    <xf numFmtId="0" fontId="96" fillId="25" borderId="4" applyNumberFormat="0" applyAlignment="0" applyProtection="0"/>
    <xf numFmtId="0" fontId="96" fillId="25" borderId="4" applyNumberFormat="0" applyAlignment="0" applyProtection="0"/>
    <xf numFmtId="0" fontId="96" fillId="25" borderId="4" applyNumberFormat="0" applyAlignment="0" applyProtection="0"/>
    <xf numFmtId="0" fontId="45" fillId="26" borderId="5" applyNumberFormat="0" applyAlignment="0" applyProtection="0"/>
    <xf numFmtId="0" fontId="45" fillId="26" borderId="5" applyNumberFormat="0" applyAlignment="0" applyProtection="0"/>
    <xf numFmtId="0" fontId="97" fillId="26" borderId="5" applyNumberFormat="0" applyAlignment="0" applyProtection="0"/>
    <xf numFmtId="0" fontId="125" fillId="77" borderId="34" applyNumberFormat="0" applyAlignment="0" applyProtection="0"/>
    <xf numFmtId="0" fontId="97" fillId="26" borderId="5" applyNumberFormat="0" applyAlignment="0" applyProtection="0"/>
    <xf numFmtId="0" fontId="97" fillId="26" borderId="5" applyNumberFormat="0" applyAlignment="0" applyProtection="0"/>
    <xf numFmtId="0" fontId="97" fillId="26" borderId="5" applyNumberFormat="0" applyAlignment="0" applyProtection="0"/>
    <xf numFmtId="0" fontId="97" fillId="26" borderId="5" applyNumberFormat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43" fontId="159" fillId="0" borderId="0" applyFont="0" applyFill="0" applyBorder="0" applyAlignment="0" applyProtection="0"/>
    <xf numFmtId="40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3" fontId="155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5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270" fontId="155" fillId="0" borderId="0" applyFont="0" applyFill="0" applyBorder="0" applyAlignment="0" applyProtection="0"/>
    <xf numFmtId="0" fontId="15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" fontId="155" fillId="0" borderId="0" applyFont="0" applyFill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99" fillId="7" borderId="0" applyNumberFormat="0" applyBorder="0" applyAlignment="0" applyProtection="0"/>
    <xf numFmtId="0" fontId="118" fillId="78" borderId="0" applyNumberFormat="0" applyBorder="0" applyAlignment="0" applyProtection="0"/>
    <xf numFmtId="0" fontId="99" fillId="7" borderId="0" applyNumberFormat="0" applyBorder="0" applyAlignment="0" applyProtection="0"/>
    <xf numFmtId="0" fontId="99" fillId="7" borderId="0" applyNumberFormat="0" applyBorder="0" applyAlignment="0" applyProtection="0"/>
    <xf numFmtId="0" fontId="99" fillId="7" borderId="0" applyNumberFormat="0" applyBorder="0" applyAlignment="0" applyProtection="0"/>
    <xf numFmtId="0" fontId="99" fillId="7" borderId="0" applyNumberFormat="0" applyBorder="0" applyAlignment="0" applyProtection="0"/>
    <xf numFmtId="0" fontId="31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31" fillId="0" borderId="0" applyFont="0" applyFill="0" applyBorder="0" applyAlignment="0" applyProtection="0"/>
    <xf numFmtId="0" fontId="115" fillId="0" borderId="45" applyNumberFormat="0" applyFill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57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8" fillId="0" borderId="0" applyFont="0" applyFill="0" applyBorder="0" applyAlignment="0" applyProtection="0"/>
    <xf numFmtId="0" fontId="116" fillId="0" borderId="38" applyNumberFormat="0" applyFill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7" fillId="0" borderId="12" applyNumberFormat="0" applyFill="0" applyAlignment="0" applyProtection="0"/>
    <xf numFmtId="0" fontId="100" fillId="0" borderId="12" applyNumberFormat="0" applyFill="0" applyAlignment="0" applyProtection="0"/>
    <xf numFmtId="0" fontId="117" fillId="0" borderId="40" applyNumberFormat="0" applyFill="0" applyAlignment="0" applyProtection="0"/>
    <xf numFmtId="0" fontId="100" fillId="0" borderId="12" applyNumberFormat="0" applyFill="0" applyAlignment="0" applyProtection="0"/>
    <xf numFmtId="0" fontId="100" fillId="0" borderId="12" applyNumberFormat="0" applyFill="0" applyAlignment="0" applyProtection="0"/>
    <xf numFmtId="0" fontId="100" fillId="0" borderId="12" applyNumberFormat="0" applyFill="0" applyAlignment="0" applyProtection="0"/>
    <xf numFmtId="0" fontId="100" fillId="0" borderId="12" applyNumberFormat="0" applyFill="0" applyAlignment="0" applyProtection="0"/>
    <xf numFmtId="0" fontId="14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9" fillId="8" borderId="4" applyNumberFormat="0" applyAlignment="0" applyProtection="0"/>
    <xf numFmtId="0" fontId="121" fillId="79" borderId="33" applyNumberFormat="0" applyAlignment="0" applyProtection="0"/>
    <xf numFmtId="0" fontId="101" fillId="8" borderId="4" applyNumberFormat="0" applyAlignment="0" applyProtection="0"/>
    <xf numFmtId="0" fontId="101" fillId="8" borderId="4" applyNumberFormat="0" applyAlignment="0" applyProtection="0"/>
    <xf numFmtId="0" fontId="101" fillId="8" borderId="4" applyNumberFormat="0" applyAlignment="0" applyProtection="0"/>
    <xf numFmtId="0" fontId="101" fillId="8" borderId="4" applyNumberFormat="0" applyAlignment="0" applyProtection="0"/>
    <xf numFmtId="0" fontId="148" fillId="0" borderId="16" applyNumberFormat="0" applyFill="0" applyAlignment="0" applyProtection="0"/>
    <xf numFmtId="0" fontId="148" fillId="0" borderId="16" applyNumberFormat="0" applyFill="0" applyAlignment="0" applyProtection="0"/>
    <xf numFmtId="0" fontId="102" fillId="0" borderId="16" applyNumberFormat="0" applyFill="0" applyAlignment="0" applyProtection="0"/>
    <xf numFmtId="0" fontId="124" fillId="0" borderId="4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02" fillId="0" borderId="16" applyNumberFormat="0" applyFill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3" fillId="11" borderId="0" applyNumberFormat="0" applyBorder="0" applyAlignment="0" applyProtection="0"/>
    <xf numFmtId="0" fontId="120" fillId="80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103" fillId="1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168" fontId="15" fillId="0" borderId="0" applyProtection="0"/>
    <xf numFmtId="0" fontId="34" fillId="0" borderId="0"/>
    <xf numFmtId="0" fontId="34" fillId="0" borderId="0"/>
    <xf numFmtId="168" fontId="15" fillId="0" borderId="0" applyProtection="0"/>
    <xf numFmtId="168" fontId="15" fillId="0" borderId="0" applyProtection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1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" fillId="0" borderId="0"/>
    <xf numFmtId="0" fontId="34" fillId="0" borderId="0" applyNumberFormat="0" applyFont="0" applyFill="0" applyBorder="0" applyAlignment="0" applyProtection="0">
      <alignment horizontal="left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35" fillId="0" borderId="58">
      <alignment horizontal="center"/>
    </xf>
    <xf numFmtId="0" fontId="16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0" fillId="0" borderId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271" fontId="16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6" fillId="0" borderId="0"/>
    <xf numFmtId="43" fontId="85" fillId="0" borderId="0" applyFont="0" applyFill="0" applyBorder="0" applyAlignment="0" applyProtection="0"/>
    <xf numFmtId="4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66" fillId="0" borderId="0"/>
    <xf numFmtId="0" fontId="20" fillId="0" borderId="0" applyNumberFormat="0" applyFont="0" applyAlignment="0">
      <alignment horizontal="center"/>
    </xf>
    <xf numFmtId="0" fontId="1" fillId="0" borderId="0"/>
    <xf numFmtId="0" fontId="1" fillId="0" borderId="0"/>
    <xf numFmtId="168" fontId="18" fillId="0" borderId="62" applyFill="0"/>
    <xf numFmtId="43" fontId="85" fillId="0" borderId="0" applyFont="0" applyFill="0" applyBorder="0" applyAlignment="0" applyProtection="0"/>
    <xf numFmtId="0" fontId="16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67" fillId="0" borderId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0" fillId="88" borderId="0" applyNumberFormat="0" applyBorder="0" applyAlignment="0" applyProtection="0"/>
    <xf numFmtId="0" fontId="16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5" fillId="0" borderId="0" applyFont="0" applyFill="0" applyBorder="0" applyAlignment="0" applyProtection="0"/>
    <xf numFmtId="0" fontId="1" fillId="66" borderId="0" applyNumberFormat="0" applyBorder="0" applyAlignment="0" applyProtection="0"/>
    <xf numFmtId="178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37" fontId="64" fillId="0" borderId="0" applyFont="0" applyFill="0" applyBorder="0" applyAlignment="0" applyProtection="0">
      <alignment vertical="center"/>
      <protection locked="0"/>
    </xf>
    <xf numFmtId="0" fontId="10" fillId="0" borderId="63" applyNumberFormat="0" applyFont="0" applyFill="0" applyAlignment="0" applyProtection="0"/>
    <xf numFmtId="175" fontId="168" fillId="0" borderId="0" applyFont="0" applyFill="0" applyBorder="0" applyAlignment="0" applyProtection="0"/>
    <xf numFmtId="0" fontId="20" fillId="0" borderId="0" applyNumberFormat="0" applyFont="0" applyAlignment="0">
      <alignment horizontal="center"/>
    </xf>
    <xf numFmtId="180" fontId="59" fillId="0" borderId="0" applyNumberFormat="0" applyFill="0" applyBorder="0" applyAlignment="0" applyProtection="0"/>
    <xf numFmtId="0" fontId="20" fillId="0" borderId="0" applyNumberFormat="0" applyFont="0" applyAlignment="0">
      <alignment horizontal="center"/>
    </xf>
    <xf numFmtId="180" fontId="10" fillId="15" borderId="0" applyNumberFormat="0" applyFill="0" applyBorder="0" applyAlignment="0" applyProtection="0">
      <alignment horizontal="right" vertical="center"/>
    </xf>
    <xf numFmtId="0" fontId="20" fillId="0" borderId="0" applyNumberFormat="0" applyFont="0" applyAlignment="0">
      <alignment horizontal="center"/>
    </xf>
    <xf numFmtId="184" fontId="168" fillId="0" borderId="0" applyFont="0" applyFill="0" applyBorder="0" applyProtection="0">
      <alignment horizontal="left"/>
    </xf>
    <xf numFmtId="168" fontId="167" fillId="0" borderId="0" applyProtection="0"/>
    <xf numFmtId="0" fontId="20" fillId="0" borderId="0" applyNumberFormat="0" applyFont="0" applyAlignment="0">
      <alignment horizontal="center"/>
    </xf>
    <xf numFmtId="182" fontId="168" fillId="0" borderId="0" applyFont="0" applyFill="0" applyBorder="0" applyProtection="0">
      <alignment horizontal="left"/>
    </xf>
    <xf numFmtId="168" fontId="16" fillId="0" borderId="64" applyFill="0"/>
    <xf numFmtId="183" fontId="168" fillId="0" borderId="0" applyFont="0" applyFill="0" applyBorder="0" applyProtection="0">
      <alignment horizontal="left"/>
    </xf>
    <xf numFmtId="0" fontId="1" fillId="67" borderId="0" applyNumberFormat="0" applyBorder="0" applyAlignment="0" applyProtection="0"/>
    <xf numFmtId="179" fontId="168" fillId="0" borderId="0" applyFont="0" applyFill="0" applyBorder="0" applyAlignment="0" applyProtection="0"/>
    <xf numFmtId="170" fontId="67" fillId="0" borderId="0" applyFont="0" applyFill="0" applyBorder="0" applyAlignment="0" applyProtection="0">
      <protection locked="0"/>
    </xf>
    <xf numFmtId="186" fontId="67" fillId="0" borderId="0" applyFont="0" applyFill="0" applyBorder="0" applyAlignment="0" applyProtection="0">
      <protection locked="0"/>
    </xf>
    <xf numFmtId="0" fontId="10" fillId="0" borderId="63" applyNumberFormat="0" applyFont="0" applyFill="0" applyBorder="0" applyProtection="0">
      <alignment horizontal="centerContinuous" vertical="center"/>
    </xf>
    <xf numFmtId="0" fontId="37" fillId="0" borderId="0" applyFill="0" applyBorder="0" applyProtection="0">
      <alignment horizontal="center"/>
      <protection locked="0"/>
    </xf>
    <xf numFmtId="43" fontId="10" fillId="0" borderId="0" applyFont="0" applyFill="0" applyBorder="0" applyAlignment="0" applyProtection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0" fontId="169" fillId="0" borderId="0"/>
    <xf numFmtId="188" fontId="168" fillId="0" borderId="0" applyFont="0" applyFill="0" applyBorder="0" applyAlignment="0" applyProtection="0"/>
    <xf numFmtId="189" fontId="168" fillId="0" borderId="0" applyFont="0" applyFill="0" applyBorder="0" applyAlignment="0" applyProtection="0"/>
    <xf numFmtId="190" fontId="168" fillId="0" borderId="0" applyFont="0" applyFill="0" applyBorder="0" applyAlignment="0" applyProtection="0"/>
    <xf numFmtId="194" fontId="19" fillId="0" borderId="0" applyFont="0" applyFill="0" applyBorder="0" applyAlignment="0" applyProtection="0">
      <protection locked="0"/>
    </xf>
    <xf numFmtId="43" fontId="167" fillId="0" borderId="0" applyFont="0" applyFill="0" applyBorder="0" applyAlignment="0" applyProtection="0"/>
    <xf numFmtId="0" fontId="1" fillId="53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32" applyNumberFormat="0" applyFont="0" applyAlignment="0" applyProtection="0"/>
    <xf numFmtId="0" fontId="1" fillId="60" borderId="0" applyNumberFormat="0" applyBorder="0" applyAlignment="0" applyProtection="0"/>
    <xf numFmtId="0" fontId="1" fillId="0" borderId="0"/>
    <xf numFmtId="0" fontId="16" fillId="0" borderId="0" applyFill="0" applyBorder="0" applyAlignment="0" applyProtection="0">
      <protection locked="0"/>
    </xf>
    <xf numFmtId="0" fontId="10" fillId="0" borderId="65"/>
    <xf numFmtId="44" fontId="10" fillId="0" borderId="0" applyFont="0" applyFill="0" applyBorder="0" applyAlignment="0" applyProtection="0"/>
    <xf numFmtId="195" fontId="168" fillId="0" borderId="0" applyFont="0" applyFill="0" applyBorder="0" applyAlignment="0" applyProtection="0"/>
    <xf numFmtId="196" fontId="168" fillId="0" borderId="0" applyFont="0" applyFill="0" applyBorder="0" applyAlignment="0" applyProtection="0"/>
    <xf numFmtId="197" fontId="168" fillId="0" borderId="0" applyFont="0" applyFill="0" applyBorder="0" applyAlignment="0" applyProtection="0"/>
    <xf numFmtId="0" fontId="1" fillId="0" borderId="0"/>
    <xf numFmtId="0" fontId="1" fillId="68" borderId="0" applyNumberFormat="0" applyBorder="0" applyAlignment="0" applyProtection="0"/>
    <xf numFmtId="0" fontId="1" fillId="53" borderId="0" applyNumberFormat="0" applyBorder="0" applyAlignment="0" applyProtection="0"/>
    <xf numFmtId="201" fontId="19" fillId="0" borderId="0" applyFont="0" applyFill="0" applyBorder="0" applyAlignment="0" applyProtection="0">
      <protection locked="0"/>
    </xf>
    <xf numFmtId="0" fontId="1" fillId="68" borderId="0" applyNumberFormat="0" applyBorder="0" applyAlignment="0" applyProtection="0"/>
    <xf numFmtId="0" fontId="1" fillId="56" borderId="0" applyNumberFormat="0" applyBorder="0" applyAlignment="0" applyProtection="0"/>
    <xf numFmtId="0" fontId="1" fillId="67" borderId="0" applyNumberFormat="0" applyBorder="0" applyAlignment="0" applyProtection="0"/>
    <xf numFmtId="0" fontId="1" fillId="54" borderId="0" applyNumberFormat="0" applyBorder="0" applyAlignment="0" applyProtection="0"/>
    <xf numFmtId="0" fontId="1" fillId="66" borderId="0" applyNumberFormat="0" applyBorder="0" applyAlignment="0" applyProtection="0"/>
    <xf numFmtId="0" fontId="1" fillId="63" borderId="0" applyNumberFormat="0" applyBorder="0" applyAlignment="0" applyProtection="0"/>
    <xf numFmtId="203" fontId="67" fillId="0" borderId="0" applyFont="0" applyFill="0" applyBorder="0" applyAlignment="0" applyProtection="0">
      <protection locked="0"/>
    </xf>
    <xf numFmtId="0" fontId="73" fillId="27" borderId="66" applyNumberFormat="0" applyFont="0" applyFill="0" applyAlignment="0" applyProtection="0">
      <alignment horizontal="left" indent="1"/>
    </xf>
    <xf numFmtId="0" fontId="1" fillId="57" borderId="0" applyNumberFormat="0" applyBorder="0" applyAlignment="0" applyProtection="0"/>
    <xf numFmtId="205" fontId="168" fillId="0" borderId="0" applyFont="0" applyFill="0" applyBorder="0" applyProtection="0"/>
    <xf numFmtId="206" fontId="168" fillId="0" borderId="0" applyFont="0" applyFill="0" applyBorder="0" applyProtection="0"/>
    <xf numFmtId="207" fontId="168" fillId="0" borderId="0" applyFont="0" applyFill="0" applyBorder="0" applyAlignment="0" applyProtection="0"/>
    <xf numFmtId="208" fontId="168" fillId="0" borderId="0" applyFont="0" applyFill="0" applyBorder="0" applyAlignment="0" applyProtection="0"/>
    <xf numFmtId="209" fontId="168" fillId="0" borderId="0" applyFont="0" applyFill="0" applyBorder="0" applyAlignment="0" applyProtection="0"/>
    <xf numFmtId="168" fontId="15" fillId="0" borderId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70" fillId="0" borderId="0"/>
    <xf numFmtId="170" fontId="77" fillId="0" borderId="0" applyNumberFormat="0" applyFill="0" applyBorder="0" applyAlignment="0" applyProtection="0"/>
    <xf numFmtId="0" fontId="168" fillId="0" borderId="0" applyFont="0" applyFill="0" applyBorder="0" applyProtection="0">
      <alignment horizontal="center" wrapText="1"/>
    </xf>
    <xf numFmtId="216" fontId="168" fillId="0" borderId="0" applyFont="0" applyFill="0" applyBorder="0" applyProtection="0">
      <alignment horizontal="right"/>
    </xf>
    <xf numFmtId="0" fontId="18" fillId="0" borderId="67" applyNumberFormat="0" applyAlignment="0" applyProtection="0">
      <alignment horizontal="left" vertical="center"/>
    </xf>
    <xf numFmtId="0" fontId="18" fillId="0" borderId="61">
      <alignment horizontal="left" vertical="center"/>
    </xf>
    <xf numFmtId="0" fontId="37" fillId="0" borderId="0" applyFill="0" applyAlignment="0" applyProtection="0">
      <protection locked="0"/>
    </xf>
    <xf numFmtId="0" fontId="37" fillId="0" borderId="63" applyFill="0" applyAlignment="0" applyProtection="0">
      <protection locked="0"/>
    </xf>
    <xf numFmtId="0" fontId="79" fillId="0" borderId="63" applyNumberFormat="0" applyFill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60" fillId="29" borderId="60" applyNumberFormat="0" applyAlignment="0" applyProtection="0"/>
    <xf numFmtId="217" fontId="168" fillId="0" borderId="0" applyFont="0" applyFill="0" applyBorder="0" applyProtection="0">
      <alignment horizontal="left"/>
    </xf>
    <xf numFmtId="218" fontId="168" fillId="0" borderId="0" applyFont="0" applyFill="0" applyBorder="0" applyProtection="0">
      <alignment horizontal="left"/>
    </xf>
    <xf numFmtId="219" fontId="168" fillId="0" borderId="0" applyFont="0" applyFill="0" applyBorder="0" applyProtection="0">
      <alignment horizontal="left"/>
    </xf>
    <xf numFmtId="220" fontId="168" fillId="0" borderId="0" applyFont="0" applyFill="0" applyBorder="0" applyProtection="0">
      <alignment horizontal="left"/>
    </xf>
    <xf numFmtId="10" fontId="12" fillId="6" borderId="60" applyNumberFormat="0" applyBorder="0" applyAlignment="0" applyProtection="0"/>
    <xf numFmtId="9" fontId="10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43" fontId="10" fillId="0" borderId="0" applyFont="0" applyFill="0" applyBorder="0" applyAlignment="0" applyProtection="0"/>
    <xf numFmtId="0" fontId="10" fillId="26" borderId="18" applyNumberFormat="0" applyProtection="0">
      <alignment horizontal="left" vertical="center" indent="1"/>
    </xf>
    <xf numFmtId="0" fontId="10" fillId="25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0" borderId="0" applyFont="0" applyFill="0" applyBorder="0" applyAlignment="0" applyProtection="0">
      <alignment horizontal="right"/>
    </xf>
    <xf numFmtId="0" fontId="1" fillId="0" borderId="0"/>
    <xf numFmtId="7" fontId="171" fillId="0" borderId="0"/>
    <xf numFmtId="0" fontId="1" fillId="58" borderId="0" applyNumberFormat="0" applyBorder="0" applyAlignment="0" applyProtection="0"/>
    <xf numFmtId="0" fontId="1" fillId="64" borderId="0" applyNumberFormat="0" applyBorder="0" applyAlignment="0" applyProtection="0"/>
    <xf numFmtId="0" fontId="1" fillId="52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2" borderId="0" applyNumberFormat="0" applyBorder="0" applyAlignment="0" applyProtection="0"/>
    <xf numFmtId="0" fontId="14" fillId="7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67" fillId="0" borderId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1" applyFill="0" applyAlignment="0" applyProtection="0">
      <protection locked="0"/>
    </xf>
    <xf numFmtId="9" fontId="10" fillId="0" borderId="0" applyFont="0" applyFill="0" applyBorder="0" applyAlignment="0" applyProtection="0"/>
    <xf numFmtId="239" fontId="168" fillId="0" borderId="0" applyFont="0" applyFill="0" applyBorder="0" applyAlignment="0" applyProtection="0"/>
    <xf numFmtId="240" fontId="168" fillId="0" borderId="0" applyFont="0" applyFill="0" applyBorder="0" applyAlignment="0" applyProtection="0"/>
    <xf numFmtId="241" fontId="168" fillId="0" borderId="0" applyFont="0" applyFill="0" applyBorder="0" applyAlignment="0" applyProtection="0"/>
    <xf numFmtId="242" fontId="168" fillId="0" borderId="0" applyFont="0" applyFill="0" applyBorder="0" applyAlignment="0" applyProtection="0"/>
    <xf numFmtId="44" fontId="10" fillId="0" borderId="0" applyFont="0" applyFill="0" applyBorder="0" applyAlignment="0" applyProtection="0"/>
    <xf numFmtId="249" fontId="19" fillId="0" borderId="0" applyFont="0" applyFill="0" applyBorder="0" applyAlignment="0" applyProtection="0">
      <protection locked="0"/>
    </xf>
    <xf numFmtId="43" fontId="10" fillId="0" borderId="0" applyFont="0" applyFill="0" applyBorder="0" applyAlignment="0" applyProtection="0"/>
    <xf numFmtId="168" fontId="37" fillId="0" borderId="63" applyFill="0">
      <alignment horizontal="right"/>
    </xf>
    <xf numFmtId="0" fontId="13" fillId="0" borderId="60" applyNumberFormat="0" applyFont="0" applyBorder="0">
      <alignment horizontal="right"/>
    </xf>
    <xf numFmtId="4" fontId="37" fillId="0" borderId="63" applyFill="0"/>
    <xf numFmtId="0" fontId="16" fillId="117" borderId="0"/>
    <xf numFmtId="0" fontId="10" fillId="25" borderId="65" applyNumberFormat="0" applyFont="0" applyAlignment="0"/>
    <xf numFmtId="233" fontId="88" fillId="0" borderId="61" applyNumberFormat="0" applyFont="0" applyFill="0" applyAlignment="0" applyProtection="0"/>
    <xf numFmtId="0" fontId="89" fillId="0" borderId="0" applyAlignment="0">
      <alignment horizontal="centerContinuous"/>
    </xf>
    <xf numFmtId="0" fontId="10" fillId="0" borderId="62" applyNumberFormat="0" applyFont="0" applyFill="0" applyAlignment="0" applyProtection="0"/>
    <xf numFmtId="168" fontId="167" fillId="0" borderId="0" applyProtection="0"/>
    <xf numFmtId="263" fontId="72" fillId="0" borderId="61" applyFont="0" applyFill="0" applyBorder="0" applyAlignment="0" applyProtection="0">
      <alignment horizontal="right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66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1" borderId="0" applyNumberFormat="0" applyBorder="0" applyAlignment="0" applyProtection="0"/>
    <xf numFmtId="0" fontId="1" fillId="50" borderId="32" applyNumberFormat="0" applyFont="0" applyAlignment="0" applyProtection="0"/>
    <xf numFmtId="0" fontId="10" fillId="3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0" fillId="25" borderId="18" applyNumberFormat="0" applyProtection="0">
      <alignment horizontal="left" vertical="center" indent="1"/>
    </xf>
    <xf numFmtId="0" fontId="10" fillId="25" borderId="18" applyNumberFormat="0" applyProtection="0">
      <alignment horizontal="left" vertical="center" indent="1"/>
    </xf>
    <xf numFmtId="0" fontId="10" fillId="26" borderId="18" applyNumberFormat="0" applyProtection="0">
      <alignment horizontal="left" vertical="center" indent="1"/>
    </xf>
    <xf numFmtId="0" fontId="10" fillId="47" borderId="18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0" fontId="10" fillId="3" borderId="18" applyNumberFormat="0" applyProtection="0">
      <alignment horizontal="left" vertical="center" indent="1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59" borderId="0" applyNumberFormat="0" applyBorder="0" applyAlignment="0" applyProtection="0"/>
    <xf numFmtId="0" fontId="1" fillId="67" borderId="0" applyNumberFormat="0" applyBorder="0" applyAlignment="0" applyProtection="0"/>
    <xf numFmtId="0" fontId="1" fillId="50" borderId="32" applyNumberFormat="0" applyFont="0" applyAlignment="0" applyProtection="0"/>
    <xf numFmtId="0" fontId="1" fillId="58" borderId="0" applyNumberFormat="0" applyBorder="0" applyAlignment="0" applyProtection="0"/>
    <xf numFmtId="0" fontId="1" fillId="64" borderId="0" applyNumberFormat="0" applyBorder="0" applyAlignment="0" applyProtection="0"/>
    <xf numFmtId="0" fontId="1" fillId="62" borderId="0" applyNumberFormat="0" applyBorder="0" applyAlignment="0" applyProtection="0"/>
    <xf numFmtId="0" fontId="1" fillId="57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63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62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50" borderId="32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0" borderId="32" applyNumberFormat="0" applyFont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32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93" fillId="118" borderId="0" applyNumberFormat="0" applyBorder="0" applyAlignment="0" applyProtection="0"/>
    <xf numFmtId="0" fontId="93" fillId="119" borderId="0" applyNumberFormat="0" applyBorder="0" applyAlignment="0" applyProtection="0"/>
    <xf numFmtId="0" fontId="93" fillId="120" borderId="0" applyNumberFormat="0" applyBorder="0" applyAlignment="0" applyProtection="0"/>
    <xf numFmtId="0" fontId="93" fillId="121" borderId="0" applyNumberFormat="0" applyBorder="0" applyAlignment="0" applyProtection="0"/>
    <xf numFmtId="0" fontId="93" fillId="122" borderId="0" applyNumberFormat="0" applyBorder="0" applyAlignment="0" applyProtection="0"/>
    <xf numFmtId="0" fontId="93" fillId="123" borderId="0" applyNumberFormat="0" applyBorder="0" applyAlignment="0" applyProtection="0"/>
    <xf numFmtId="0" fontId="93" fillId="124" borderId="0" applyNumberFormat="0" applyBorder="0" applyAlignment="0" applyProtection="0"/>
    <xf numFmtId="0" fontId="93" fillId="125" borderId="0" applyNumberFormat="0" applyBorder="0" applyAlignment="0" applyProtection="0"/>
    <xf numFmtId="0" fontId="93" fillId="126" borderId="0" applyNumberFormat="0" applyBorder="0" applyAlignment="0" applyProtection="0"/>
    <xf numFmtId="0" fontId="93" fillId="121" borderId="0" applyNumberFormat="0" applyBorder="0" applyAlignment="0" applyProtection="0"/>
    <xf numFmtId="0" fontId="93" fillId="124" borderId="0" applyNumberFormat="0" applyBorder="0" applyAlignment="0" applyProtection="0"/>
    <xf numFmtId="0" fontId="93" fillId="127" borderId="0" applyNumberFormat="0" applyBorder="0" applyAlignment="0" applyProtection="0"/>
    <xf numFmtId="0" fontId="94" fillId="128" borderId="0" applyNumberFormat="0" applyBorder="0" applyAlignment="0" applyProtection="0"/>
    <xf numFmtId="0" fontId="94" fillId="125" borderId="0" applyNumberFormat="0" applyBorder="0" applyAlignment="0" applyProtection="0"/>
    <xf numFmtId="0" fontId="94" fillId="126" borderId="0" applyNumberFormat="0" applyBorder="0" applyAlignment="0" applyProtection="0"/>
    <xf numFmtId="0" fontId="94" fillId="129" borderId="0" applyNumberFormat="0" applyBorder="0" applyAlignment="0" applyProtection="0"/>
    <xf numFmtId="0" fontId="94" fillId="130" borderId="0" applyNumberFormat="0" applyBorder="0" applyAlignment="0" applyProtection="0"/>
    <xf numFmtId="0" fontId="94" fillId="131" borderId="0" applyNumberFormat="0" applyBorder="0" applyAlignment="0" applyProtection="0"/>
    <xf numFmtId="0" fontId="94" fillId="132" borderId="0" applyNumberFormat="0" applyBorder="0" applyAlignment="0" applyProtection="0"/>
    <xf numFmtId="0" fontId="94" fillId="133" borderId="0" applyNumberFormat="0" applyBorder="0" applyAlignment="0" applyProtection="0"/>
    <xf numFmtId="0" fontId="94" fillId="134" borderId="0" applyNumberFormat="0" applyBorder="0" applyAlignment="0" applyProtection="0"/>
    <xf numFmtId="0" fontId="94" fillId="129" borderId="0" applyNumberFormat="0" applyBorder="0" applyAlignment="0" applyProtection="0"/>
    <xf numFmtId="0" fontId="94" fillId="130" borderId="0" applyNumberFormat="0" applyBorder="0" applyAlignment="0" applyProtection="0"/>
    <xf numFmtId="0" fontId="94" fillId="135" borderId="0" applyNumberFormat="0" applyBorder="0" applyAlignment="0" applyProtection="0"/>
    <xf numFmtId="0" fontId="95" fillId="119" borderId="0" applyNumberFormat="0" applyBorder="0" applyAlignment="0" applyProtection="0"/>
    <xf numFmtId="0" fontId="96" fillId="136" borderId="4" applyNumberFormat="0" applyAlignment="0" applyProtection="0"/>
    <xf numFmtId="0" fontId="97" fillId="137" borderId="5" applyNumberFormat="0" applyAlignment="0" applyProtection="0"/>
    <xf numFmtId="9" fontId="167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99" fillId="120" borderId="0" applyNumberFormat="0" applyBorder="0" applyAlignment="0" applyProtection="0"/>
    <xf numFmtId="0" fontId="101" fillId="123" borderId="4" applyNumberFormat="0" applyAlignment="0" applyProtection="0"/>
    <xf numFmtId="0" fontId="172" fillId="41" borderId="18" applyNumberFormat="0" applyProtection="0">
      <alignment horizontal="right" vertical="center"/>
    </xf>
    <xf numFmtId="0" fontId="103" fillId="138" borderId="0" applyNumberFormat="0" applyBorder="0" applyAlignment="0" applyProtection="0"/>
    <xf numFmtId="43" fontId="1" fillId="0" borderId="0" applyFont="0" applyFill="0" applyBorder="0" applyAlignment="0" applyProtection="0"/>
    <xf numFmtId="0" fontId="14" fillId="9" borderId="0" applyNumberFormat="0" applyBorder="0" applyAlignment="0" applyProtection="0"/>
    <xf numFmtId="0" fontId="42" fillId="17" borderId="0" applyNumberFormat="0" applyBorder="0" applyAlignment="0" applyProtection="0"/>
    <xf numFmtId="43" fontId="1" fillId="0" borderId="0" applyFont="0" applyFill="0" applyBorder="0" applyAlignment="0" applyProtection="0"/>
    <xf numFmtId="0" fontId="167" fillId="139" borderId="17" applyNumberFormat="0" applyFont="0" applyAlignment="0" applyProtection="0"/>
    <xf numFmtId="0" fontId="104" fillId="136" borderId="18" applyNumberFormat="0" applyAlignment="0" applyProtection="0"/>
    <xf numFmtId="43" fontId="167" fillId="0" borderId="0" applyFont="0" applyFill="0" applyBorder="0" applyAlignment="0" applyProtection="0"/>
    <xf numFmtId="0" fontId="1" fillId="63" borderId="0" applyNumberFormat="0" applyBorder="0" applyAlignment="0" applyProtection="0"/>
    <xf numFmtId="44" fontId="167" fillId="0" borderId="0" applyFont="0" applyFill="0" applyBorder="0" applyAlignment="0" applyProtection="0"/>
    <xf numFmtId="0" fontId="1" fillId="0" borderId="0"/>
    <xf numFmtId="0" fontId="1" fillId="0" borderId="0"/>
    <xf numFmtId="0" fontId="1" fillId="65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168" fontId="167" fillId="0" borderId="0" applyProtection="0"/>
    <xf numFmtId="0" fontId="1" fillId="52" borderId="0" applyNumberFormat="0" applyBorder="0" applyAlignment="0" applyProtection="0"/>
    <xf numFmtId="44" fontId="167" fillId="0" borderId="0" applyFont="0" applyFill="0" applyBorder="0" applyAlignment="0" applyProtection="0"/>
    <xf numFmtId="0" fontId="1" fillId="0" borderId="0"/>
    <xf numFmtId="9" fontId="1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67" fillId="0" borderId="0" applyFont="0" applyFill="0" applyBorder="0" applyAlignment="0" applyProtection="0"/>
    <xf numFmtId="0" fontId="1" fillId="67" borderId="0" applyNumberFormat="0" applyBorder="0" applyAlignment="0" applyProtection="0"/>
    <xf numFmtId="0" fontId="101" fillId="123" borderId="4" applyNumberFormat="0" applyAlignment="0" applyProtection="0"/>
    <xf numFmtId="0" fontId="1" fillId="65" borderId="0" applyNumberFormat="0" applyBorder="0" applyAlignment="0" applyProtection="0"/>
    <xf numFmtId="0" fontId="1" fillId="0" borderId="0"/>
    <xf numFmtId="0" fontId="1" fillId="66" borderId="0" applyNumberFormat="0" applyBorder="0" applyAlignment="0" applyProtection="0"/>
    <xf numFmtId="0" fontId="101" fillId="123" borderId="4" applyNumberFormat="0" applyAlignment="0" applyProtection="0"/>
    <xf numFmtId="0" fontId="42" fillId="18" borderId="0" applyNumberFormat="0" applyBorder="0" applyAlignment="0" applyProtection="0"/>
    <xf numFmtId="0" fontId="1" fillId="6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67" fillId="0" borderId="0" applyFont="0" applyFill="0" applyBorder="0" applyAlignment="0" applyProtection="0"/>
    <xf numFmtId="0" fontId="1" fillId="0" borderId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44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3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0" applyNumberFormat="0" applyBorder="0" applyAlignment="0" applyProtection="0"/>
    <xf numFmtId="44" fontId="10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118" borderId="0" applyNumberFormat="0" applyBorder="0" applyAlignment="0" applyProtection="0"/>
    <xf numFmtId="0" fontId="14" fillId="118" borderId="0" applyNumberFormat="0" applyBorder="0" applyAlignment="0" applyProtection="0"/>
    <xf numFmtId="0" fontId="93" fillId="118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1" fillId="94" borderId="0" applyNumberFormat="0" applyBorder="0" applyAlignment="0" applyProtection="0"/>
    <xf numFmtId="0" fontId="93" fillId="118" borderId="0" applyNumberFormat="0" applyBorder="0" applyAlignment="0" applyProtection="0"/>
    <xf numFmtId="0" fontId="93" fillId="118" borderId="0" applyNumberFormat="0" applyBorder="0" applyAlignment="0" applyProtection="0"/>
    <xf numFmtId="0" fontId="93" fillId="118" borderId="0" applyNumberFormat="0" applyBorder="0" applyAlignment="0" applyProtection="0"/>
    <xf numFmtId="0" fontId="93" fillId="118" borderId="0" applyNumberFormat="0" applyBorder="0" applyAlignment="0" applyProtection="0"/>
    <xf numFmtId="0" fontId="14" fillId="119" borderId="0" applyNumberFormat="0" applyBorder="0" applyAlignment="0" applyProtection="0"/>
    <xf numFmtId="0" fontId="14" fillId="119" borderId="0" applyNumberFormat="0" applyBorder="0" applyAlignment="0" applyProtection="0"/>
    <xf numFmtId="0" fontId="93" fillId="119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1" fillId="98" borderId="0" applyNumberFormat="0" applyBorder="0" applyAlignment="0" applyProtection="0"/>
    <xf numFmtId="0" fontId="93" fillId="119" borderId="0" applyNumberFormat="0" applyBorder="0" applyAlignment="0" applyProtection="0"/>
    <xf numFmtId="0" fontId="93" fillId="119" borderId="0" applyNumberFormat="0" applyBorder="0" applyAlignment="0" applyProtection="0"/>
    <xf numFmtId="0" fontId="93" fillId="119" borderId="0" applyNumberFormat="0" applyBorder="0" applyAlignment="0" applyProtection="0"/>
    <xf numFmtId="0" fontId="93" fillId="119" borderId="0" applyNumberFormat="0" applyBorder="0" applyAlignment="0" applyProtection="0"/>
    <xf numFmtId="0" fontId="14" fillId="120" borderId="0" applyNumberFormat="0" applyBorder="0" applyAlignment="0" applyProtection="0"/>
    <xf numFmtId="0" fontId="14" fillId="120" borderId="0" applyNumberFormat="0" applyBorder="0" applyAlignment="0" applyProtection="0"/>
    <xf numFmtId="0" fontId="93" fillId="120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1" fillId="102" borderId="0" applyNumberFormat="0" applyBorder="0" applyAlignment="0" applyProtection="0"/>
    <xf numFmtId="0" fontId="93" fillId="120" borderId="0" applyNumberFormat="0" applyBorder="0" applyAlignment="0" applyProtection="0"/>
    <xf numFmtId="0" fontId="93" fillId="120" borderId="0" applyNumberFormat="0" applyBorder="0" applyAlignment="0" applyProtection="0"/>
    <xf numFmtId="0" fontId="93" fillId="120" borderId="0" applyNumberFormat="0" applyBorder="0" applyAlignment="0" applyProtection="0"/>
    <xf numFmtId="0" fontId="93" fillId="120" borderId="0" applyNumberFormat="0" applyBorder="0" applyAlignment="0" applyProtection="0"/>
    <xf numFmtId="0" fontId="14" fillId="121" borderId="0" applyNumberFormat="0" applyBorder="0" applyAlignment="0" applyProtection="0"/>
    <xf numFmtId="0" fontId="14" fillId="121" borderId="0" applyNumberFormat="0" applyBorder="0" applyAlignment="0" applyProtection="0"/>
    <xf numFmtId="0" fontId="93" fillId="121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1" fillId="106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14" fillId="122" borderId="0" applyNumberFormat="0" applyBorder="0" applyAlignment="0" applyProtection="0"/>
    <xf numFmtId="0" fontId="14" fillId="122" borderId="0" applyNumberFormat="0" applyBorder="0" applyAlignment="0" applyProtection="0"/>
    <xf numFmtId="0" fontId="93" fillId="122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1" fillId="110" borderId="0" applyNumberFormat="0" applyBorder="0" applyAlignment="0" applyProtection="0"/>
    <xf numFmtId="0" fontId="93" fillId="122" borderId="0" applyNumberFormat="0" applyBorder="0" applyAlignment="0" applyProtection="0"/>
    <xf numFmtId="0" fontId="93" fillId="122" borderId="0" applyNumberFormat="0" applyBorder="0" applyAlignment="0" applyProtection="0"/>
    <xf numFmtId="0" fontId="93" fillId="122" borderId="0" applyNumberFormat="0" applyBorder="0" applyAlignment="0" applyProtection="0"/>
    <xf numFmtId="0" fontId="93" fillId="122" borderId="0" applyNumberFormat="0" applyBorder="0" applyAlignment="0" applyProtection="0"/>
    <xf numFmtId="0" fontId="14" fillId="123" borderId="0" applyNumberFormat="0" applyBorder="0" applyAlignment="0" applyProtection="0"/>
    <xf numFmtId="0" fontId="14" fillId="123" borderId="0" applyNumberFormat="0" applyBorder="0" applyAlignment="0" applyProtection="0"/>
    <xf numFmtId="0" fontId="93" fillId="123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1" fillId="114" borderId="0" applyNumberFormat="0" applyBorder="0" applyAlignment="0" applyProtection="0"/>
    <xf numFmtId="0" fontId="93" fillId="123" borderId="0" applyNumberFormat="0" applyBorder="0" applyAlignment="0" applyProtection="0"/>
    <xf numFmtId="0" fontId="93" fillId="123" borderId="0" applyNumberFormat="0" applyBorder="0" applyAlignment="0" applyProtection="0"/>
    <xf numFmtId="0" fontId="93" fillId="123" borderId="0" applyNumberFormat="0" applyBorder="0" applyAlignment="0" applyProtection="0"/>
    <xf numFmtId="0" fontId="93" fillId="123" borderId="0" applyNumberFormat="0" applyBorder="0" applyAlignment="0" applyProtection="0"/>
    <xf numFmtId="0" fontId="14" fillId="124" borderId="0" applyNumberFormat="0" applyBorder="0" applyAlignment="0" applyProtection="0"/>
    <xf numFmtId="0" fontId="14" fillId="124" borderId="0" applyNumberFormat="0" applyBorder="0" applyAlignment="0" applyProtection="0"/>
    <xf numFmtId="0" fontId="93" fillId="124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1" fillId="95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14" fillId="125" borderId="0" applyNumberFormat="0" applyBorder="0" applyAlignment="0" applyProtection="0"/>
    <xf numFmtId="0" fontId="14" fillId="125" borderId="0" applyNumberFormat="0" applyBorder="0" applyAlignment="0" applyProtection="0"/>
    <xf numFmtId="0" fontId="93" fillId="125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1" fillId="99" borderId="0" applyNumberFormat="0" applyBorder="0" applyAlignment="0" applyProtection="0"/>
    <xf numFmtId="0" fontId="93" fillId="125" borderId="0" applyNumberFormat="0" applyBorder="0" applyAlignment="0" applyProtection="0"/>
    <xf numFmtId="0" fontId="93" fillId="125" borderId="0" applyNumberFormat="0" applyBorder="0" applyAlignment="0" applyProtection="0"/>
    <xf numFmtId="0" fontId="93" fillId="125" borderId="0" applyNumberFormat="0" applyBorder="0" applyAlignment="0" applyProtection="0"/>
    <xf numFmtId="0" fontId="93" fillId="125" borderId="0" applyNumberFormat="0" applyBorder="0" applyAlignment="0" applyProtection="0"/>
    <xf numFmtId="0" fontId="14" fillId="126" borderId="0" applyNumberFormat="0" applyBorder="0" applyAlignment="0" applyProtection="0"/>
    <xf numFmtId="0" fontId="14" fillId="126" borderId="0" applyNumberFormat="0" applyBorder="0" applyAlignment="0" applyProtection="0"/>
    <xf numFmtId="0" fontId="93" fillId="126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1" fillId="103" borderId="0" applyNumberFormat="0" applyBorder="0" applyAlignment="0" applyProtection="0"/>
    <xf numFmtId="0" fontId="93" fillId="126" borderId="0" applyNumberFormat="0" applyBorder="0" applyAlignment="0" applyProtection="0"/>
    <xf numFmtId="0" fontId="93" fillId="126" borderId="0" applyNumberFormat="0" applyBorder="0" applyAlignment="0" applyProtection="0"/>
    <xf numFmtId="0" fontId="93" fillId="126" borderId="0" applyNumberFormat="0" applyBorder="0" applyAlignment="0" applyProtection="0"/>
    <xf numFmtId="0" fontId="93" fillId="126" borderId="0" applyNumberFormat="0" applyBorder="0" applyAlignment="0" applyProtection="0"/>
    <xf numFmtId="0" fontId="14" fillId="121" borderId="0" applyNumberFormat="0" applyBorder="0" applyAlignment="0" applyProtection="0"/>
    <xf numFmtId="0" fontId="14" fillId="121" borderId="0" applyNumberFormat="0" applyBorder="0" applyAlignment="0" applyProtection="0"/>
    <xf numFmtId="0" fontId="93" fillId="121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1" fillId="107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93" fillId="121" borderId="0" applyNumberFormat="0" applyBorder="0" applyAlignment="0" applyProtection="0"/>
    <xf numFmtId="0" fontId="14" fillId="124" borderId="0" applyNumberFormat="0" applyBorder="0" applyAlignment="0" applyProtection="0"/>
    <xf numFmtId="0" fontId="14" fillId="124" borderId="0" applyNumberFormat="0" applyBorder="0" applyAlignment="0" applyProtection="0"/>
    <xf numFmtId="0" fontId="93" fillId="124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1" fillId="111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93" fillId="124" borderId="0" applyNumberFormat="0" applyBorder="0" applyAlignment="0" applyProtection="0"/>
    <xf numFmtId="0" fontId="14" fillId="127" borderId="0" applyNumberFormat="0" applyBorder="0" applyAlignment="0" applyProtection="0"/>
    <xf numFmtId="0" fontId="14" fillId="127" borderId="0" applyNumberFormat="0" applyBorder="0" applyAlignment="0" applyProtection="0"/>
    <xf numFmtId="0" fontId="93" fillId="127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1" fillId="115" borderId="0" applyNumberFormat="0" applyBorder="0" applyAlignment="0" applyProtection="0"/>
    <xf numFmtId="0" fontId="93" fillId="127" borderId="0" applyNumberFormat="0" applyBorder="0" applyAlignment="0" applyProtection="0"/>
    <xf numFmtId="0" fontId="93" fillId="127" borderId="0" applyNumberFormat="0" applyBorder="0" applyAlignment="0" applyProtection="0"/>
    <xf numFmtId="0" fontId="93" fillId="127" borderId="0" applyNumberFormat="0" applyBorder="0" applyAlignment="0" applyProtection="0"/>
    <xf numFmtId="0" fontId="93" fillId="127" borderId="0" applyNumberFormat="0" applyBorder="0" applyAlignment="0" applyProtection="0"/>
    <xf numFmtId="0" fontId="42" fillId="128" borderId="0" applyNumberFormat="0" applyBorder="0" applyAlignment="0" applyProtection="0"/>
    <xf numFmtId="0" fontId="42" fillId="128" borderId="0" applyNumberFormat="0" applyBorder="0" applyAlignment="0" applyProtection="0"/>
    <xf numFmtId="0" fontId="94" fillId="128" borderId="0" applyNumberFormat="0" applyBorder="0" applyAlignment="0" applyProtection="0"/>
    <xf numFmtId="0" fontId="129" fillId="96" borderId="0" applyNumberFormat="0" applyBorder="0" applyAlignment="0" applyProtection="0"/>
    <xf numFmtId="0" fontId="94" fillId="128" borderId="0" applyNumberFormat="0" applyBorder="0" applyAlignment="0" applyProtection="0"/>
    <xf numFmtId="0" fontId="94" fillId="128" borderId="0" applyNumberFormat="0" applyBorder="0" applyAlignment="0" applyProtection="0"/>
    <xf numFmtId="0" fontId="94" fillId="128" borderId="0" applyNumberFormat="0" applyBorder="0" applyAlignment="0" applyProtection="0"/>
    <xf numFmtId="0" fontId="94" fillId="128" borderId="0" applyNumberFormat="0" applyBorder="0" applyAlignment="0" applyProtection="0"/>
    <xf numFmtId="0" fontId="42" fillId="125" borderId="0" applyNumberFormat="0" applyBorder="0" applyAlignment="0" applyProtection="0"/>
    <xf numFmtId="0" fontId="42" fillId="125" borderId="0" applyNumberFormat="0" applyBorder="0" applyAlignment="0" applyProtection="0"/>
    <xf numFmtId="0" fontId="94" fillId="125" borderId="0" applyNumberFormat="0" applyBorder="0" applyAlignment="0" applyProtection="0"/>
    <xf numFmtId="0" fontId="129" fillId="100" borderId="0" applyNumberFormat="0" applyBorder="0" applyAlignment="0" applyProtection="0"/>
    <xf numFmtId="0" fontId="94" fillId="125" borderId="0" applyNumberFormat="0" applyBorder="0" applyAlignment="0" applyProtection="0"/>
    <xf numFmtId="0" fontId="94" fillId="125" borderId="0" applyNumberFormat="0" applyBorder="0" applyAlignment="0" applyProtection="0"/>
    <xf numFmtId="0" fontId="94" fillId="125" borderId="0" applyNumberFormat="0" applyBorder="0" applyAlignment="0" applyProtection="0"/>
    <xf numFmtId="0" fontId="94" fillId="125" borderId="0" applyNumberFormat="0" applyBorder="0" applyAlignment="0" applyProtection="0"/>
    <xf numFmtId="0" fontId="42" fillId="126" borderId="0" applyNumberFormat="0" applyBorder="0" applyAlignment="0" applyProtection="0"/>
    <xf numFmtId="0" fontId="42" fillId="126" borderId="0" applyNumberFormat="0" applyBorder="0" applyAlignment="0" applyProtection="0"/>
    <xf numFmtId="0" fontId="94" fillId="126" borderId="0" applyNumberFormat="0" applyBorder="0" applyAlignment="0" applyProtection="0"/>
    <xf numFmtId="0" fontId="129" fillId="104" borderId="0" applyNumberFormat="0" applyBorder="0" applyAlignment="0" applyProtection="0"/>
    <xf numFmtId="0" fontId="94" fillId="126" borderId="0" applyNumberFormat="0" applyBorder="0" applyAlignment="0" applyProtection="0"/>
    <xf numFmtId="0" fontId="94" fillId="126" borderId="0" applyNumberFormat="0" applyBorder="0" applyAlignment="0" applyProtection="0"/>
    <xf numFmtId="0" fontId="94" fillId="126" borderId="0" applyNumberFormat="0" applyBorder="0" applyAlignment="0" applyProtection="0"/>
    <xf numFmtId="0" fontId="94" fillId="126" borderId="0" applyNumberFormat="0" applyBorder="0" applyAlignment="0" applyProtection="0"/>
    <xf numFmtId="0" fontId="42" fillId="129" borderId="0" applyNumberFormat="0" applyBorder="0" applyAlignment="0" applyProtection="0"/>
    <xf numFmtId="0" fontId="42" fillId="129" borderId="0" applyNumberFormat="0" applyBorder="0" applyAlignment="0" applyProtection="0"/>
    <xf numFmtId="0" fontId="94" fillId="129" borderId="0" applyNumberFormat="0" applyBorder="0" applyAlignment="0" applyProtection="0"/>
    <xf numFmtId="0" fontId="129" fillId="108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42" fillId="130" borderId="0" applyNumberFormat="0" applyBorder="0" applyAlignment="0" applyProtection="0"/>
    <xf numFmtId="0" fontId="42" fillId="130" borderId="0" applyNumberFormat="0" applyBorder="0" applyAlignment="0" applyProtection="0"/>
    <xf numFmtId="0" fontId="94" fillId="130" borderId="0" applyNumberFormat="0" applyBorder="0" applyAlignment="0" applyProtection="0"/>
    <xf numFmtId="0" fontId="129" fillId="112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42" fillId="131" borderId="0" applyNumberFormat="0" applyBorder="0" applyAlignment="0" applyProtection="0"/>
    <xf numFmtId="0" fontId="42" fillId="131" borderId="0" applyNumberFormat="0" applyBorder="0" applyAlignment="0" applyProtection="0"/>
    <xf numFmtId="0" fontId="94" fillId="131" borderId="0" applyNumberFormat="0" applyBorder="0" applyAlignment="0" applyProtection="0"/>
    <xf numFmtId="0" fontId="129" fillId="116" borderId="0" applyNumberFormat="0" applyBorder="0" applyAlignment="0" applyProtection="0"/>
    <xf numFmtId="0" fontId="94" fillId="131" borderId="0" applyNumberFormat="0" applyBorder="0" applyAlignment="0" applyProtection="0"/>
    <xf numFmtId="0" fontId="94" fillId="131" borderId="0" applyNumberFormat="0" applyBorder="0" applyAlignment="0" applyProtection="0"/>
    <xf numFmtId="0" fontId="94" fillId="131" borderId="0" applyNumberFormat="0" applyBorder="0" applyAlignment="0" applyProtection="0"/>
    <xf numFmtId="0" fontId="94" fillId="131" borderId="0" applyNumberFormat="0" applyBorder="0" applyAlignment="0" applyProtection="0"/>
    <xf numFmtId="0" fontId="42" fillId="132" borderId="0" applyNumberFormat="0" applyBorder="0" applyAlignment="0" applyProtection="0"/>
    <xf numFmtId="0" fontId="42" fillId="132" borderId="0" applyNumberFormat="0" applyBorder="0" applyAlignment="0" applyProtection="0"/>
    <xf numFmtId="0" fontId="94" fillId="132" borderId="0" applyNumberFormat="0" applyBorder="0" applyAlignment="0" applyProtection="0"/>
    <xf numFmtId="0" fontId="129" fillId="93" borderId="0" applyNumberFormat="0" applyBorder="0" applyAlignment="0" applyProtection="0"/>
    <xf numFmtId="0" fontId="94" fillId="132" borderId="0" applyNumberFormat="0" applyBorder="0" applyAlignment="0" applyProtection="0"/>
    <xf numFmtId="0" fontId="94" fillId="132" borderId="0" applyNumberFormat="0" applyBorder="0" applyAlignment="0" applyProtection="0"/>
    <xf numFmtId="0" fontId="94" fillId="132" borderId="0" applyNumberFormat="0" applyBorder="0" applyAlignment="0" applyProtection="0"/>
    <xf numFmtId="0" fontId="94" fillId="132" borderId="0" applyNumberFormat="0" applyBorder="0" applyAlignment="0" applyProtection="0"/>
    <xf numFmtId="0" fontId="42" fillId="133" borderId="0" applyNumberFormat="0" applyBorder="0" applyAlignment="0" applyProtection="0"/>
    <xf numFmtId="0" fontId="42" fillId="133" borderId="0" applyNumberFormat="0" applyBorder="0" applyAlignment="0" applyProtection="0"/>
    <xf numFmtId="0" fontId="94" fillId="133" borderId="0" applyNumberFormat="0" applyBorder="0" applyAlignment="0" applyProtection="0"/>
    <xf numFmtId="0" fontId="129" fillId="97" borderId="0" applyNumberFormat="0" applyBorder="0" applyAlignment="0" applyProtection="0"/>
    <xf numFmtId="0" fontId="94" fillId="133" borderId="0" applyNumberFormat="0" applyBorder="0" applyAlignment="0" applyProtection="0"/>
    <xf numFmtId="0" fontId="94" fillId="133" borderId="0" applyNumberFormat="0" applyBorder="0" applyAlignment="0" applyProtection="0"/>
    <xf numFmtId="0" fontId="94" fillId="133" borderId="0" applyNumberFormat="0" applyBorder="0" applyAlignment="0" applyProtection="0"/>
    <xf numFmtId="0" fontId="94" fillId="133" borderId="0" applyNumberFormat="0" applyBorder="0" applyAlignment="0" applyProtection="0"/>
    <xf numFmtId="0" fontId="42" fillId="134" borderId="0" applyNumberFormat="0" applyBorder="0" applyAlignment="0" applyProtection="0"/>
    <xf numFmtId="0" fontId="42" fillId="134" borderId="0" applyNumberFormat="0" applyBorder="0" applyAlignment="0" applyProtection="0"/>
    <xf numFmtId="0" fontId="94" fillId="134" borderId="0" applyNumberFormat="0" applyBorder="0" applyAlignment="0" applyProtection="0"/>
    <xf numFmtId="0" fontId="129" fillId="101" borderId="0" applyNumberFormat="0" applyBorder="0" applyAlignment="0" applyProtection="0"/>
    <xf numFmtId="0" fontId="94" fillId="134" borderId="0" applyNumberFormat="0" applyBorder="0" applyAlignment="0" applyProtection="0"/>
    <xf numFmtId="0" fontId="94" fillId="134" borderId="0" applyNumberFormat="0" applyBorder="0" applyAlignment="0" applyProtection="0"/>
    <xf numFmtId="0" fontId="94" fillId="134" borderId="0" applyNumberFormat="0" applyBorder="0" applyAlignment="0" applyProtection="0"/>
    <xf numFmtId="0" fontId="94" fillId="134" borderId="0" applyNumberFormat="0" applyBorder="0" applyAlignment="0" applyProtection="0"/>
    <xf numFmtId="0" fontId="42" fillId="129" borderId="0" applyNumberFormat="0" applyBorder="0" applyAlignment="0" applyProtection="0"/>
    <xf numFmtId="0" fontId="42" fillId="129" borderId="0" applyNumberFormat="0" applyBorder="0" applyAlignment="0" applyProtection="0"/>
    <xf numFmtId="0" fontId="94" fillId="129" borderId="0" applyNumberFormat="0" applyBorder="0" applyAlignment="0" applyProtection="0"/>
    <xf numFmtId="0" fontId="129" fillId="105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94" fillId="129" borderId="0" applyNumberFormat="0" applyBorder="0" applyAlignment="0" applyProtection="0"/>
    <xf numFmtId="0" fontId="42" fillId="130" borderId="0" applyNumberFormat="0" applyBorder="0" applyAlignment="0" applyProtection="0"/>
    <xf numFmtId="0" fontId="42" fillId="130" borderId="0" applyNumberFormat="0" applyBorder="0" applyAlignment="0" applyProtection="0"/>
    <xf numFmtId="0" fontId="94" fillId="130" borderId="0" applyNumberFormat="0" applyBorder="0" applyAlignment="0" applyProtection="0"/>
    <xf numFmtId="0" fontId="129" fillId="109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94" fillId="130" borderId="0" applyNumberFormat="0" applyBorder="0" applyAlignment="0" applyProtection="0"/>
    <xf numFmtId="0" fontId="42" fillId="135" borderId="0" applyNumberFormat="0" applyBorder="0" applyAlignment="0" applyProtection="0"/>
    <xf numFmtId="0" fontId="42" fillId="135" borderId="0" applyNumberFormat="0" applyBorder="0" applyAlignment="0" applyProtection="0"/>
    <xf numFmtId="0" fontId="94" fillId="135" borderId="0" applyNumberFormat="0" applyBorder="0" applyAlignment="0" applyProtection="0"/>
    <xf numFmtId="0" fontId="129" fillId="113" borderId="0" applyNumberFormat="0" applyBorder="0" applyAlignment="0" applyProtection="0"/>
    <xf numFmtId="0" fontId="94" fillId="135" borderId="0" applyNumberFormat="0" applyBorder="0" applyAlignment="0" applyProtection="0"/>
    <xf numFmtId="0" fontId="94" fillId="135" borderId="0" applyNumberFormat="0" applyBorder="0" applyAlignment="0" applyProtection="0"/>
    <xf numFmtId="0" fontId="94" fillId="135" borderId="0" applyNumberFormat="0" applyBorder="0" applyAlignment="0" applyProtection="0"/>
    <xf numFmtId="0" fontId="94" fillId="135" borderId="0" applyNumberFormat="0" applyBorder="0" applyAlignment="0" applyProtection="0"/>
    <xf numFmtId="0" fontId="43" fillId="119" borderId="0" applyNumberFormat="0" applyBorder="0" applyAlignment="0" applyProtection="0"/>
    <xf numFmtId="0" fontId="43" fillId="119" borderId="0" applyNumberFormat="0" applyBorder="0" applyAlignment="0" applyProtection="0"/>
    <xf numFmtId="0" fontId="95" fillId="119" borderId="0" applyNumberFormat="0" applyBorder="0" applyAlignment="0" applyProtection="0"/>
    <xf numFmtId="0" fontId="119" fillId="87" borderId="0" applyNumberFormat="0" applyBorder="0" applyAlignment="0" applyProtection="0"/>
    <xf numFmtId="0" fontId="95" fillId="119" borderId="0" applyNumberFormat="0" applyBorder="0" applyAlignment="0" applyProtection="0"/>
    <xf numFmtId="0" fontId="95" fillId="119" borderId="0" applyNumberFormat="0" applyBorder="0" applyAlignment="0" applyProtection="0"/>
    <xf numFmtId="0" fontId="95" fillId="119" borderId="0" applyNumberFormat="0" applyBorder="0" applyAlignment="0" applyProtection="0"/>
    <xf numFmtId="0" fontId="95" fillId="119" borderId="0" applyNumberFormat="0" applyBorder="0" applyAlignment="0" applyProtection="0"/>
    <xf numFmtId="0" fontId="143" fillId="136" borderId="4" applyNumberFormat="0" applyAlignment="0" applyProtection="0"/>
    <xf numFmtId="0" fontId="143" fillId="136" borderId="4" applyNumberFormat="0" applyAlignment="0" applyProtection="0"/>
    <xf numFmtId="0" fontId="96" fillId="136" borderId="4" applyNumberFormat="0" applyAlignment="0" applyProtection="0"/>
    <xf numFmtId="0" fontId="123" fillId="90" borderId="33" applyNumberFormat="0" applyAlignment="0" applyProtection="0"/>
    <xf numFmtId="0" fontId="96" fillId="136" borderId="4" applyNumberFormat="0" applyAlignment="0" applyProtection="0"/>
    <xf numFmtId="0" fontId="96" fillId="136" borderId="4" applyNumberFormat="0" applyAlignment="0" applyProtection="0"/>
    <xf numFmtId="0" fontId="96" fillId="136" borderId="4" applyNumberFormat="0" applyAlignment="0" applyProtection="0"/>
    <xf numFmtId="0" fontId="96" fillId="136" borderId="4" applyNumberFormat="0" applyAlignment="0" applyProtection="0"/>
    <xf numFmtId="0" fontId="45" fillId="137" borderId="5" applyNumberFormat="0" applyAlignment="0" applyProtection="0"/>
    <xf numFmtId="0" fontId="45" fillId="137" borderId="5" applyNumberFormat="0" applyAlignment="0" applyProtection="0"/>
    <xf numFmtId="0" fontId="97" fillId="137" borderId="5" applyNumberFormat="0" applyAlignment="0" applyProtection="0"/>
    <xf numFmtId="0" fontId="125" fillId="91" borderId="34" applyNumberFormat="0" applyAlignment="0" applyProtection="0"/>
    <xf numFmtId="0" fontId="97" fillId="137" borderId="5" applyNumberFormat="0" applyAlignment="0" applyProtection="0"/>
    <xf numFmtId="0" fontId="97" fillId="137" borderId="5" applyNumberFormat="0" applyAlignment="0" applyProtection="0"/>
    <xf numFmtId="0" fontId="97" fillId="137" borderId="5" applyNumberFormat="0" applyAlignment="0" applyProtection="0"/>
    <xf numFmtId="0" fontId="97" fillId="137" borderId="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64" borderId="0" applyNumberFormat="0" applyBorder="0" applyAlignment="0" applyProtection="0"/>
    <xf numFmtId="0" fontId="1" fillId="58" borderId="0" applyNumberFormat="0" applyBorder="0" applyAlignment="0" applyProtection="0"/>
    <xf numFmtId="0" fontId="1" fillId="52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65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59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53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7" fillId="120" borderId="0" applyNumberFormat="0" applyBorder="0" applyAlignment="0" applyProtection="0"/>
    <xf numFmtId="0" fontId="47" fillId="120" borderId="0" applyNumberFormat="0" applyBorder="0" applyAlignment="0" applyProtection="0"/>
    <xf numFmtId="0" fontId="99" fillId="120" borderId="0" applyNumberFormat="0" applyBorder="0" applyAlignment="0" applyProtection="0"/>
    <xf numFmtId="0" fontId="118" fillId="86" borderId="0" applyNumberFormat="0" applyBorder="0" applyAlignment="0" applyProtection="0"/>
    <xf numFmtId="0" fontId="99" fillId="120" borderId="0" applyNumberFormat="0" applyBorder="0" applyAlignment="0" applyProtection="0"/>
    <xf numFmtId="0" fontId="99" fillId="120" borderId="0" applyNumberFormat="0" applyBorder="0" applyAlignment="0" applyProtection="0"/>
    <xf numFmtId="0" fontId="99" fillId="120" borderId="0" applyNumberFormat="0" applyBorder="0" applyAlignment="0" applyProtection="0"/>
    <xf numFmtId="0" fontId="99" fillId="120" borderId="0" applyNumberFormat="0" applyBorder="0" applyAlignment="0" applyProtection="0"/>
    <xf numFmtId="0" fontId="116" fillId="0" borderId="59" applyNumberFormat="0" applyFill="0" applyAlignment="0" applyProtection="0"/>
    <xf numFmtId="0" fontId="49" fillId="123" borderId="4" applyNumberFormat="0" applyAlignment="0" applyProtection="0"/>
    <xf numFmtId="0" fontId="121" fillId="89" borderId="33" applyNumberFormat="0" applyAlignment="0" applyProtection="0"/>
    <xf numFmtId="0" fontId="101" fillId="123" borderId="4" applyNumberFormat="0" applyAlignment="0" applyProtection="0"/>
    <xf numFmtId="0" fontId="101" fillId="123" borderId="4" applyNumberFormat="0" applyAlignment="0" applyProtection="0"/>
    <xf numFmtId="0" fontId="101" fillId="123" borderId="4" applyNumberFormat="0" applyAlignment="0" applyProtection="0"/>
    <xf numFmtId="0" fontId="101" fillId="123" borderId="4" applyNumberFormat="0" applyAlignment="0" applyProtection="0"/>
    <xf numFmtId="43" fontId="10" fillId="0" borderId="0" applyFont="0" applyFill="0" applyBorder="0" applyAlignment="0" applyProtection="0"/>
    <xf numFmtId="0" fontId="164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0" fontId="1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49" fillId="138" borderId="0" applyNumberFormat="0" applyBorder="0" applyAlignment="0" applyProtection="0"/>
    <xf numFmtId="0" fontId="149" fillId="138" borderId="0" applyNumberFormat="0" applyBorder="0" applyAlignment="0" applyProtection="0"/>
    <xf numFmtId="0" fontId="103" fillId="138" borderId="0" applyNumberFormat="0" applyBorder="0" applyAlignment="0" applyProtection="0"/>
    <xf numFmtId="0" fontId="120" fillId="88" borderId="0" applyNumberFormat="0" applyBorder="0" applyAlignment="0" applyProtection="0"/>
    <xf numFmtId="0" fontId="103" fillId="138" borderId="0" applyNumberFormat="0" applyBorder="0" applyAlignment="0" applyProtection="0"/>
    <xf numFmtId="0" fontId="103" fillId="138" borderId="0" applyNumberFormat="0" applyBorder="0" applyAlignment="0" applyProtection="0"/>
    <xf numFmtId="0" fontId="103" fillId="138" borderId="0" applyNumberFormat="0" applyBorder="0" applyAlignment="0" applyProtection="0"/>
    <xf numFmtId="0" fontId="103" fillId="13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47" borderId="18" applyNumberFormat="0" applyProtection="0">
      <alignment horizontal="left" vertical="center" indent="1"/>
    </xf>
    <xf numFmtId="0" fontId="10" fillId="26" borderId="18" applyNumberFormat="0" applyProtection="0">
      <alignment horizontal="left" vertical="center" indent="1"/>
    </xf>
    <xf numFmtId="0" fontId="1" fillId="63" borderId="0" applyNumberFormat="0" applyBorder="0" applyAlignment="0" applyProtection="0"/>
    <xf numFmtId="0" fontId="1" fillId="52" borderId="0" applyNumberFormat="0" applyBorder="0" applyAlignment="0" applyProtection="0"/>
    <xf numFmtId="168" fontId="167" fillId="0" borderId="0" applyProtection="0"/>
    <xf numFmtId="0" fontId="1" fillId="0" borderId="0"/>
    <xf numFmtId="168" fontId="167" fillId="0" borderId="0" applyProtection="0"/>
    <xf numFmtId="168" fontId="167" fillId="0" borderId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56" borderId="0" applyNumberFormat="0" applyBorder="0" applyAlignment="0" applyProtection="0"/>
    <xf numFmtId="0" fontId="1" fillId="62" borderId="0" applyNumberFormat="0" applyBorder="0" applyAlignment="0" applyProtection="0"/>
    <xf numFmtId="0" fontId="14" fillId="3" borderId="0" applyNumberFormat="0" applyBorder="0" applyAlignment="0" applyProtection="0"/>
    <xf numFmtId="0" fontId="1" fillId="51" borderId="0" applyNumberFormat="0" applyBorder="0" applyAlignment="0" applyProtection="0"/>
    <xf numFmtId="0" fontId="14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72" fontId="10" fillId="0" borderId="0"/>
    <xf numFmtId="2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72" fontId="10" fillId="0" borderId="0"/>
    <xf numFmtId="272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0" fillId="139" borderId="17" applyNumberFormat="0" applyFont="0" applyAlignment="0" applyProtection="0"/>
    <xf numFmtId="0" fontId="10" fillId="139" borderId="17" applyNumberFormat="0" applyFont="0" applyAlignment="0" applyProtection="0"/>
    <xf numFmtId="0" fontId="167" fillId="139" borderId="17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" fillId="92" borderId="32" applyNumberFormat="0" applyFont="0" applyAlignment="0" applyProtection="0"/>
    <xf numFmtId="0" fontId="167" fillId="139" borderId="17" applyNumberFormat="0" applyFont="0" applyAlignment="0" applyProtection="0"/>
    <xf numFmtId="0" fontId="167" fillId="139" borderId="17" applyNumberFormat="0" applyFont="0" applyAlignment="0" applyProtection="0"/>
    <xf numFmtId="0" fontId="167" fillId="139" borderId="17" applyNumberFormat="0" applyFont="0" applyAlignment="0" applyProtection="0"/>
    <xf numFmtId="0" fontId="167" fillId="139" borderId="17" applyNumberFormat="0" applyFont="0" applyAlignment="0" applyProtection="0"/>
    <xf numFmtId="0" fontId="52" fillId="136" borderId="18" applyNumberFormat="0" applyAlignment="0" applyProtection="0"/>
    <xf numFmtId="0" fontId="52" fillId="136" borderId="18" applyNumberFormat="0" applyAlignment="0" applyProtection="0"/>
    <xf numFmtId="0" fontId="104" fillId="136" borderId="18" applyNumberFormat="0" applyAlignment="0" applyProtection="0"/>
    <xf numFmtId="0" fontId="122" fillId="90" borderId="41" applyNumberFormat="0" applyAlignment="0" applyProtection="0"/>
    <xf numFmtId="0" fontId="104" fillId="136" borderId="18" applyNumberFormat="0" applyAlignment="0" applyProtection="0"/>
    <xf numFmtId="0" fontId="104" fillId="136" borderId="18" applyNumberFormat="0" applyAlignment="0" applyProtection="0"/>
    <xf numFmtId="0" fontId="104" fillId="136" borderId="18" applyNumberFormat="0" applyAlignment="0" applyProtection="0"/>
    <xf numFmtId="0" fontId="104" fillId="136" borderId="18" applyNumberFormat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0" fontId="34" fillId="0" borderId="0" applyNumberFormat="0" applyFont="0" applyFill="0" applyBorder="0" applyAlignment="0" applyProtection="0">
      <alignment horizontal="left"/>
    </xf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15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0" fontId="35" fillId="0" borderId="10">
      <alignment horizontal="center"/>
    </xf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34" fillId="31" borderId="0" applyNumberFormat="0" applyFont="0" applyBorder="0" applyAlignment="0" applyProtection="0"/>
    <xf numFmtId="0" fontId="92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55" fillId="0" borderId="64" applyNumberFormat="0" applyFont="0" applyFill="0" applyAlignment="0" applyProtection="0"/>
    <xf numFmtId="0" fontId="155" fillId="0" borderId="64" applyNumberFormat="0" applyFont="0" applyFill="0" applyAlignment="0" applyProtection="0"/>
    <xf numFmtId="0" fontId="10" fillId="0" borderId="0" applyFont="0" applyFill="0" applyBorder="0" applyAlignment="0" applyProtection="0"/>
    <xf numFmtId="0" fontId="128" fillId="0" borderId="44" applyNumberFormat="0" applyFill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3" fontId="10" fillId="0" borderId="0"/>
    <xf numFmtId="14" fontId="13" fillId="10" borderId="58">
      <alignment horizontal="center" vertical="center" wrapText="1"/>
    </xf>
    <xf numFmtId="0" fontId="32" fillId="0" borderId="58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58">
      <alignment horizontal="center"/>
    </xf>
    <xf numFmtId="0" fontId="62" fillId="0" borderId="58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8" fontId="167" fillId="0" borderId="0" applyProtection="0"/>
    <xf numFmtId="0" fontId="10" fillId="0" borderId="0"/>
    <xf numFmtId="0" fontId="1" fillId="0" borderId="0"/>
    <xf numFmtId="41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9" fillId="6" borderId="18" applyNumberFormat="0" applyProtection="0">
      <alignment vertical="center"/>
    </xf>
    <xf numFmtId="0" fontId="42" fillId="16" borderId="0" applyNumberFormat="0" applyBorder="0" applyAlignment="0" applyProtection="0"/>
    <xf numFmtId="0" fontId="1" fillId="58" borderId="0" applyNumberFormat="0" applyBorder="0" applyAlignment="0" applyProtection="0"/>
    <xf numFmtId="0" fontId="137" fillId="0" borderId="43" applyNumberFormat="0" applyFill="0" applyAlignment="0" applyProtection="0"/>
    <xf numFmtId="0" fontId="1" fillId="0" borderId="0"/>
    <xf numFmtId="0" fontId="1" fillId="52" borderId="0" applyNumberFormat="0" applyBorder="0" applyAlignment="0" applyProtection="0"/>
    <xf numFmtId="0" fontId="173" fillId="6" borderId="18" applyNumberFormat="0" applyProtection="0">
      <alignment vertical="center"/>
    </xf>
    <xf numFmtId="0" fontId="10" fillId="3" borderId="18" applyNumberFormat="0" applyProtection="0">
      <alignment horizontal="left" vertical="center" indent="1"/>
    </xf>
    <xf numFmtId="0" fontId="1" fillId="65" borderId="0" applyNumberFormat="0" applyBorder="0" applyAlignment="0" applyProtection="0"/>
    <xf numFmtId="0" fontId="1" fillId="67" borderId="0" applyNumberFormat="0" applyBorder="0" applyAlignment="0" applyProtection="0"/>
    <xf numFmtId="9" fontId="10" fillId="0" borderId="0" applyFont="0" applyFill="0" applyBorder="0" applyAlignment="0" applyProtection="0"/>
    <xf numFmtId="0" fontId="1" fillId="68" borderId="0" applyNumberFormat="0" applyBorder="0" applyAlignment="0" applyProtection="0"/>
    <xf numFmtId="0" fontId="129" fillId="67" borderId="0" applyNumberFormat="0" applyBorder="0" applyAlignment="0" applyProtection="0"/>
    <xf numFmtId="0" fontId="1" fillId="0" borderId="0"/>
    <xf numFmtId="0" fontId="1" fillId="63" borderId="0" applyNumberFormat="0" applyBorder="0" applyAlignment="0" applyProtection="0"/>
    <xf numFmtId="0" fontId="10" fillId="47" borderId="18" applyNumberFormat="0" applyProtection="0">
      <alignment horizontal="left" vertical="center" indent="1"/>
    </xf>
    <xf numFmtId="0" fontId="1" fillId="60" borderId="0" applyNumberFormat="0" applyBorder="0" applyAlignment="0" applyProtection="0"/>
    <xf numFmtId="0" fontId="1" fillId="62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9" borderId="0" applyNumberFormat="0" applyBorder="0" applyAlignment="0" applyProtection="0"/>
    <xf numFmtId="0" fontId="1" fillId="61" borderId="0" applyNumberFormat="0" applyBorder="0" applyAlignment="0" applyProtection="0"/>
    <xf numFmtId="0" fontId="1" fillId="50" borderId="32" applyNumberFormat="0" applyFont="0" applyAlignment="0" applyProtection="0"/>
    <xf numFmtId="0" fontId="1" fillId="63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3" borderId="0" applyNumberFormat="0" applyBorder="0" applyAlignment="0" applyProtection="0"/>
    <xf numFmtId="0" fontId="1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1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4" borderId="0" applyNumberFormat="0" applyBorder="0" applyAlignment="0" applyProtection="0"/>
    <xf numFmtId="0" fontId="1" fillId="64" borderId="0" applyNumberFormat="0" applyBorder="0" applyAlignment="0" applyProtection="0"/>
    <xf numFmtId="0" fontId="1" fillId="62" borderId="0" applyNumberFormat="0" applyBorder="0" applyAlignment="0" applyProtection="0"/>
    <xf numFmtId="0" fontId="1" fillId="68" borderId="0" applyNumberFormat="0" applyBorder="0" applyAlignment="0" applyProtection="0"/>
    <xf numFmtId="0" fontId="1" fillId="67" borderId="0" applyNumberFormat="0" applyBorder="0" applyAlignment="0" applyProtection="0"/>
    <xf numFmtId="0" fontId="1" fillId="57" borderId="0" applyNumberFormat="0" applyBorder="0" applyAlignment="0" applyProtection="0"/>
    <xf numFmtId="0" fontId="1" fillId="63" borderId="0" applyNumberFormat="0" applyBorder="0" applyAlignment="0" applyProtection="0"/>
    <xf numFmtId="0" fontId="10" fillId="3" borderId="18" applyNumberFormat="0" applyProtection="0">
      <alignment horizontal="left" vertical="center" indent="1"/>
    </xf>
    <xf numFmtId="0" fontId="1" fillId="64" borderId="0" applyNumberFormat="0" applyBorder="0" applyAlignment="0" applyProtection="0"/>
    <xf numFmtId="0" fontId="1" fillId="66" borderId="0" applyNumberFormat="0" applyBorder="0" applyAlignment="0" applyProtection="0"/>
    <xf numFmtId="0" fontId="10" fillId="0" borderId="0"/>
    <xf numFmtId="0" fontId="1" fillId="62" borderId="0" applyNumberFormat="0" applyBorder="0" applyAlignment="0" applyProtection="0"/>
    <xf numFmtId="0" fontId="129" fillId="66" borderId="0" applyNumberFormat="0" applyBorder="0" applyAlignment="0" applyProtection="0"/>
    <xf numFmtId="0" fontId="1" fillId="68" borderId="0" applyNumberFormat="0" applyBorder="0" applyAlignment="0" applyProtection="0"/>
    <xf numFmtId="0" fontId="1" fillId="57" borderId="0" applyNumberFormat="0" applyBorder="0" applyAlignment="0" applyProtection="0"/>
    <xf numFmtId="0" fontId="10" fillId="47" borderId="18" applyNumberFormat="0" applyProtection="0">
      <alignment horizontal="left" vertical="center" indent="1"/>
    </xf>
    <xf numFmtId="0" fontId="1" fillId="54" borderId="0" applyNumberFormat="0" applyBorder="0" applyAlignment="0" applyProtection="0"/>
    <xf numFmtId="0" fontId="10" fillId="6" borderId="17" applyNumberFormat="0" applyFont="0" applyAlignment="0" applyProtection="0"/>
    <xf numFmtId="0" fontId="1" fillId="65" borderId="0" applyNumberFormat="0" applyBorder="0" applyAlignment="0" applyProtection="0"/>
    <xf numFmtId="0" fontId="1" fillId="63" borderId="0" applyNumberFormat="0" applyBorder="0" applyAlignment="0" applyProtection="0"/>
    <xf numFmtId="0" fontId="1" fillId="53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63" borderId="0" applyNumberFormat="0" applyBorder="0" applyAlignment="0" applyProtection="0"/>
    <xf numFmtId="0" fontId="1" fillId="5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8" borderId="0" applyNumberFormat="0" applyBorder="0" applyAlignment="0" applyProtection="0"/>
    <xf numFmtId="0" fontId="10" fillId="25" borderId="18" applyNumberFormat="0" applyProtection="0">
      <alignment horizontal="left" vertical="center" indent="1"/>
    </xf>
    <xf numFmtId="0" fontId="1" fillId="55" borderId="0" applyNumberFormat="0" applyBorder="0" applyAlignment="0" applyProtection="0"/>
    <xf numFmtId="9" fontId="15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68" borderId="0" applyNumberFormat="0" applyBorder="0" applyAlignment="0" applyProtection="0"/>
    <xf numFmtId="0" fontId="10" fillId="3" borderId="18" applyNumberFormat="0" applyProtection="0">
      <alignment horizontal="left" vertical="center" indent="1"/>
    </xf>
    <xf numFmtId="0" fontId="1" fillId="64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0" fontId="1" fillId="67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8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64" borderId="0" applyNumberFormat="0" applyBorder="0" applyAlignment="0" applyProtection="0"/>
    <xf numFmtId="0" fontId="1" fillId="57" borderId="0" applyNumberFormat="0" applyBorder="0" applyAlignment="0" applyProtection="0"/>
    <xf numFmtId="0" fontId="120" fillId="80" borderId="0" applyNumberFormat="0" applyBorder="0" applyAlignment="0" applyProtection="0"/>
    <xf numFmtId="0" fontId="1" fillId="65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0" fillId="26" borderId="18" applyNumberFormat="0" applyProtection="0">
      <alignment horizontal="left" vertical="center" indent="1"/>
    </xf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1" fillId="54" borderId="0" applyNumberFormat="0" applyBorder="0" applyAlignment="0" applyProtection="0"/>
    <xf numFmtId="0" fontId="1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1" fillId="64" borderId="0" applyNumberFormat="0" applyBorder="0" applyAlignment="0" applyProtection="0"/>
    <xf numFmtId="0" fontId="1" fillId="54" borderId="0" applyNumberFormat="0" applyBorder="0" applyAlignment="0" applyProtection="0"/>
    <xf numFmtId="0" fontId="1" fillId="68" borderId="0" applyNumberFormat="0" applyBorder="0" applyAlignment="0" applyProtection="0"/>
    <xf numFmtId="0" fontId="1" fillId="50" borderId="32" applyNumberFormat="0" applyFont="0" applyAlignment="0" applyProtection="0"/>
    <xf numFmtId="0" fontId="1" fillId="0" borderId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55" borderId="0" applyNumberFormat="0" applyBorder="0" applyAlignment="0" applyProtection="0"/>
    <xf numFmtId="0" fontId="1" fillId="65" borderId="0" applyNumberFormat="0" applyBorder="0" applyAlignment="0" applyProtection="0"/>
    <xf numFmtId="0" fontId="1" fillId="63" borderId="0" applyNumberFormat="0" applyBorder="0" applyAlignment="0" applyProtection="0"/>
    <xf numFmtId="0" fontId="1" fillId="56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51" borderId="0" applyNumberFormat="0" applyBorder="0" applyAlignment="0" applyProtection="0"/>
    <xf numFmtId="0" fontId="1" fillId="57" borderId="0" applyNumberFormat="0" applyBorder="0" applyAlignment="0" applyProtection="0"/>
    <xf numFmtId="0" fontId="10" fillId="3" borderId="18" applyNumberFormat="0" applyProtection="0">
      <alignment horizontal="left" vertical="center" indent="1"/>
    </xf>
    <xf numFmtId="0" fontId="1" fillId="56" borderId="0" applyNumberFormat="0" applyBorder="0" applyAlignment="0" applyProtection="0"/>
    <xf numFmtId="0" fontId="129" fillId="65" borderId="0" applyNumberFormat="0" applyBorder="0" applyAlignment="0" applyProtection="0"/>
    <xf numFmtId="0" fontId="1" fillId="62" borderId="0" applyNumberFormat="0" applyBorder="0" applyAlignment="0" applyProtection="0"/>
    <xf numFmtId="0" fontId="1" fillId="51" borderId="0" applyNumberFormat="0" applyBorder="0" applyAlignment="0" applyProtection="0"/>
    <xf numFmtId="0" fontId="10" fillId="47" borderId="18" applyNumberFormat="0" applyProtection="0">
      <alignment horizontal="left" vertical="center" indent="1"/>
    </xf>
    <xf numFmtId="0" fontId="1" fillId="65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0" borderId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65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62" borderId="0" applyNumberFormat="0" applyBorder="0" applyAlignment="0" applyProtection="0"/>
    <xf numFmtId="168" fontId="15" fillId="0" borderId="0" applyProtection="0"/>
    <xf numFmtId="0" fontId="10" fillId="25" borderId="18" applyNumberFormat="0" applyProtection="0">
      <alignment horizontal="left" vertical="center" indent="1"/>
    </xf>
    <xf numFmtId="0" fontId="1" fillId="66" borderId="0" applyNumberFormat="0" applyBorder="0" applyAlignment="0" applyProtection="0"/>
    <xf numFmtId="43" fontId="15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62" borderId="0" applyNumberFormat="0" applyBorder="0" applyAlignment="0" applyProtection="0"/>
    <xf numFmtId="0" fontId="10" fillId="3" borderId="18" applyNumberFormat="0" applyProtection="0">
      <alignment horizontal="left" vertical="center" indent="1"/>
    </xf>
    <xf numFmtId="0" fontId="1" fillId="58" borderId="0" applyNumberFormat="0" applyBorder="0" applyAlignment="0" applyProtection="0"/>
    <xf numFmtId="0" fontId="1" fillId="0" borderId="0"/>
    <xf numFmtId="0" fontId="1" fillId="68" borderId="0" applyNumberFormat="0" applyBorder="0" applyAlignment="0" applyProtection="0"/>
    <xf numFmtId="0" fontId="1" fillId="62" borderId="0" applyNumberFormat="0" applyBorder="0" applyAlignment="0" applyProtection="0"/>
    <xf numFmtId="0" fontId="1" fillId="56" borderId="0" applyNumberFormat="0" applyBorder="0" applyAlignment="0" applyProtection="0"/>
    <xf numFmtId="0" fontId="1" fillId="67" borderId="0" applyNumberFormat="0" applyBorder="0" applyAlignment="0" applyProtection="0"/>
    <xf numFmtId="0" fontId="1" fillId="61" borderId="0" applyNumberFormat="0" applyBorder="0" applyAlignment="0" applyProtection="0"/>
    <xf numFmtId="0" fontId="1" fillId="55" borderId="0" applyNumberFormat="0" applyBorder="0" applyAlignment="0" applyProtection="0"/>
    <xf numFmtId="0" fontId="1" fillId="66" borderId="0" applyNumberFormat="0" applyBorder="0" applyAlignment="0" applyProtection="0"/>
    <xf numFmtId="0" fontId="1" fillId="60" borderId="0" applyNumberFormat="0" applyBorder="0" applyAlignment="0" applyProtection="0"/>
    <xf numFmtId="0" fontId="1" fillId="54" borderId="0" applyNumberFormat="0" applyBorder="0" applyAlignment="0" applyProtection="0"/>
    <xf numFmtId="0" fontId="1" fillId="65" borderId="0" applyNumberFormat="0" applyBorder="0" applyAlignment="0" applyProtection="0"/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64" borderId="0" applyNumberFormat="0" applyBorder="0" applyAlignment="0" applyProtection="0"/>
    <xf numFmtId="0" fontId="1" fillId="58" borderId="0" applyNumberFormat="0" applyBorder="0" applyAlignment="0" applyProtection="0"/>
    <xf numFmtId="0" fontId="1" fillId="65" borderId="0" applyNumberFormat="0" applyBorder="0" applyAlignment="0" applyProtection="0"/>
    <xf numFmtId="0" fontId="42" fillId="12" borderId="0" applyNumberFormat="0" applyBorder="0" applyAlignment="0" applyProtection="0"/>
    <xf numFmtId="0" fontId="1" fillId="64" borderId="0" applyNumberFormat="0" applyBorder="0" applyAlignment="0" applyProtection="0"/>
    <xf numFmtId="0" fontId="42" fillId="4" borderId="0" applyNumberFormat="0" applyBorder="0" applyAlignment="0" applyProtection="0"/>
    <xf numFmtId="0" fontId="1" fillId="63" borderId="0" applyNumberFormat="0" applyBorder="0" applyAlignment="0" applyProtection="0"/>
    <xf numFmtId="0" fontId="42" fillId="14" borderId="0" applyNumberFormat="0" applyBorder="0" applyAlignment="0" applyProtection="0"/>
    <xf numFmtId="0" fontId="1" fillId="62" borderId="0" applyNumberFormat="0" applyBorder="0" applyAlignment="0" applyProtection="0"/>
    <xf numFmtId="0" fontId="14" fillId="13" borderId="0" applyNumberFormat="0" applyBorder="0" applyAlignment="0" applyProtection="0"/>
    <xf numFmtId="0" fontId="1" fillId="61" borderId="0" applyNumberFormat="0" applyBorder="0" applyAlignment="0" applyProtection="0"/>
    <xf numFmtId="0" fontId="14" fillId="2" borderId="0" applyNumberFormat="0" applyBorder="0" applyAlignment="0" applyProtection="0"/>
    <xf numFmtId="0" fontId="1" fillId="60" borderId="0" applyNumberFormat="0" applyBorder="0" applyAlignment="0" applyProtection="0"/>
    <xf numFmtId="0" fontId="14" fillId="9" borderId="0" applyNumberFormat="0" applyBorder="0" applyAlignment="0" applyProtection="0"/>
    <xf numFmtId="0" fontId="1" fillId="59" borderId="0" applyNumberFormat="0" applyBorder="0" applyAlignment="0" applyProtection="0"/>
    <xf numFmtId="0" fontId="14" fillId="12" borderId="0" applyNumberFormat="0" applyBorder="0" applyAlignment="0" applyProtection="0"/>
    <xf numFmtId="0" fontId="14" fillId="4" borderId="0" applyNumberFormat="0" applyBorder="0" applyAlignment="0" applyProtection="0"/>
    <xf numFmtId="0" fontId="1" fillId="57" borderId="0" applyNumberFormat="0" applyBorder="0" applyAlignment="0" applyProtection="0"/>
    <xf numFmtId="0" fontId="14" fillId="2" borderId="0" applyNumberFormat="0" applyBorder="0" applyAlignment="0" applyProtection="0"/>
    <xf numFmtId="0" fontId="1" fillId="56" borderId="0" applyNumberFormat="0" applyBorder="0" applyAlignment="0" applyProtection="0"/>
    <xf numFmtId="0" fontId="14" fillId="8" borderId="0" applyNumberFormat="0" applyBorder="0" applyAlignment="0" applyProtection="0"/>
    <xf numFmtId="0" fontId="1" fillId="55" borderId="0" applyNumberFormat="0" applyBorder="0" applyAlignment="0" applyProtection="0"/>
    <xf numFmtId="0" fontId="14" fillId="10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75" fillId="0" borderId="0"/>
    <xf numFmtId="0" fontId="173" fillId="41" borderId="18" applyNumberFormat="0" applyProtection="0">
      <alignment horizontal="right" vertical="center"/>
    </xf>
    <xf numFmtId="0" fontId="9" fillId="41" borderId="18" applyNumberFormat="0" applyProtection="0">
      <alignment horizontal="right" vertical="center"/>
    </xf>
    <xf numFmtId="0" fontId="9" fillId="6" borderId="18" applyNumberFormat="0" applyProtection="0">
      <alignment horizontal="left" vertical="center" indent="1"/>
    </xf>
    <xf numFmtId="0" fontId="10" fillId="26" borderId="18" applyNumberFormat="0" applyProtection="0">
      <alignment horizontal="left" vertical="center" indent="1"/>
    </xf>
    <xf numFmtId="0" fontId="10" fillId="47" borderId="18" applyNumberFormat="0" applyProtection="0">
      <alignment horizontal="left" vertical="center" indent="1"/>
    </xf>
    <xf numFmtId="0" fontId="10" fillId="47" borderId="18" applyNumberFormat="0" applyProtection="0">
      <alignment horizontal="left" vertical="center" indent="1"/>
    </xf>
    <xf numFmtId="0" fontId="9" fillId="47" borderId="18" applyNumberFormat="0" applyProtection="0">
      <alignment horizontal="left" vertical="center" indent="1"/>
    </xf>
    <xf numFmtId="0" fontId="9" fillId="41" borderId="18" applyNumberFormat="0" applyProtection="0">
      <alignment horizontal="left" vertical="center" indent="1"/>
    </xf>
    <xf numFmtId="0" fontId="10" fillId="3" borderId="18" applyNumberFormat="0" applyProtection="0">
      <alignment horizontal="left" vertical="center" indent="1"/>
    </xf>
    <xf numFmtId="0" fontId="174" fillId="23" borderId="0" applyNumberFormat="0" applyProtection="0">
      <alignment horizontal="left" vertical="center" indent="1"/>
    </xf>
    <xf numFmtId="0" fontId="9" fillId="41" borderId="68" applyNumberFormat="0" applyProtection="0">
      <alignment horizontal="left" vertical="center" indent="1"/>
    </xf>
    <xf numFmtId="0" fontId="56" fillId="140" borderId="18" applyNumberFormat="0" applyProtection="0">
      <alignment horizontal="left" vertical="center" indent="1"/>
    </xf>
    <xf numFmtId="0" fontId="9" fillId="12" borderId="18" applyNumberFormat="0" applyProtection="0">
      <alignment horizontal="right" vertical="center"/>
    </xf>
    <xf numFmtId="0" fontId="9" fillId="38" borderId="18" applyNumberFormat="0" applyProtection="0">
      <alignment horizontal="right" vertical="center"/>
    </xf>
    <xf numFmtId="0" fontId="9" fillId="22" borderId="18" applyNumberFormat="0" applyProtection="0">
      <alignment horizontal="right" vertical="center"/>
    </xf>
    <xf numFmtId="0" fontId="9" fillId="15" borderId="18" applyNumberFormat="0" applyProtection="0">
      <alignment horizontal="right" vertical="center"/>
    </xf>
    <xf numFmtId="0" fontId="9" fillId="18" borderId="18" applyNumberFormat="0" applyProtection="0">
      <alignment horizontal="right" vertical="center"/>
    </xf>
    <xf numFmtId="0" fontId="9" fillId="13" borderId="18" applyNumberFormat="0" applyProtection="0">
      <alignment horizontal="right" vertical="center"/>
    </xf>
    <xf numFmtId="0" fontId="9" fillId="21" borderId="18" applyNumberFormat="0" applyProtection="0">
      <alignment horizontal="right" vertical="center"/>
    </xf>
    <xf numFmtId="0" fontId="9" fillId="4" borderId="18" applyNumberFormat="0" applyProtection="0">
      <alignment horizontal="right" vertical="center"/>
    </xf>
    <xf numFmtId="0" fontId="9" fillId="5" borderId="18" applyNumberFormat="0" applyProtection="0">
      <alignment horizontal="right" vertical="center"/>
    </xf>
    <xf numFmtId="0" fontId="173" fillId="11" borderId="18" applyNumberFormat="0" applyProtection="0">
      <alignment vertical="center"/>
    </xf>
    <xf numFmtId="0" fontId="9" fillId="11" borderId="18" applyNumberFormat="0" applyProtection="0">
      <alignment vertical="center"/>
    </xf>
    <xf numFmtId="9" fontId="10" fillId="0" borderId="0" applyFont="0" applyFill="0" applyBorder="0" applyAlignment="0" applyProtection="0"/>
    <xf numFmtId="0" fontId="52" fillId="25" borderId="18" applyNumberFormat="0" applyAlignment="0" applyProtection="0"/>
    <xf numFmtId="0" fontId="1" fillId="50" borderId="32" applyNumberFormat="0" applyFont="0" applyAlignment="0" applyProtection="0"/>
    <xf numFmtId="0" fontId="1" fillId="0" borderId="0"/>
    <xf numFmtId="0" fontId="10" fillId="0" borderId="0"/>
    <xf numFmtId="0" fontId="165" fillId="80" borderId="0" applyNumberFormat="0" applyBorder="0" applyAlignment="0" applyProtection="0"/>
    <xf numFmtId="0" fontId="124" fillId="0" borderId="46" applyNumberFormat="0" applyFill="0" applyAlignment="0" applyProtection="0"/>
    <xf numFmtId="0" fontId="49" fillId="8" borderId="4" applyNumberFormat="0" applyAlignment="0" applyProtection="0"/>
    <xf numFmtId="0" fontId="117" fillId="0" borderId="0" applyNumberFormat="0" applyFill="0" applyBorder="0" applyAlignment="0" applyProtection="0"/>
    <xf numFmtId="0" fontId="146" fillId="0" borderId="37" applyNumberFormat="0" applyFill="0" applyAlignment="0" applyProtection="0"/>
    <xf numFmtId="0" fontId="115" fillId="0" borderId="45" applyNumberFormat="0" applyFill="0" applyAlignment="0" applyProtection="0"/>
    <xf numFmtId="0" fontId="145" fillId="0" borderId="36" applyNumberFormat="0" applyFill="0" applyAlignment="0" applyProtection="0"/>
    <xf numFmtId="41" fontId="10" fillId="0" borderId="0" applyFont="0" applyFill="0" applyBorder="0" applyAlignment="0" applyProtection="0"/>
    <xf numFmtId="0" fontId="1" fillId="68" borderId="0" applyNumberFormat="0" applyBorder="0" applyAlignment="0" applyProtection="0"/>
    <xf numFmtId="0" fontId="1" fillId="67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63" borderId="0" applyNumberFormat="0" applyBorder="0" applyAlignment="0" applyProtection="0"/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35" fillId="0" borderId="58">
      <alignment horizontal="center"/>
    </xf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13" fillId="10" borderId="10">
      <alignment horizontal="center" vertical="center" wrapText="1"/>
    </xf>
    <xf numFmtId="0" fontId="32" fillId="0" borderId="10"/>
    <xf numFmtId="0" fontId="1" fillId="63" borderId="0" applyNumberFormat="0" applyBorder="0" applyAlignment="0" applyProtection="0"/>
    <xf numFmtId="0" fontId="1" fillId="62" borderId="0" applyNumberFormat="0" applyBorder="0" applyAlignment="0" applyProtection="0"/>
    <xf numFmtId="0" fontId="1" fillId="55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35" fillId="0" borderId="10">
      <alignment horizontal="center"/>
    </xf>
    <xf numFmtId="0" fontId="62" fillId="0" borderId="10">
      <alignment horizontal="right"/>
    </xf>
    <xf numFmtId="0" fontId="1" fillId="66" borderId="0" applyNumberFormat="0" applyBorder="0" applyAlignment="0" applyProtection="0"/>
    <xf numFmtId="0" fontId="1" fillId="66" borderId="0" applyNumberFormat="0" applyBorder="0" applyAlignment="0" applyProtection="0"/>
    <xf numFmtId="0" fontId="1" fillId="57" borderId="0" applyNumberFormat="0" applyBorder="0" applyAlignment="0" applyProtection="0"/>
    <xf numFmtId="0" fontId="1" fillId="50" borderId="32" applyNumberFormat="0" applyFont="0" applyAlignment="0" applyProtection="0"/>
    <xf numFmtId="0" fontId="1" fillId="62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32" applyNumberFormat="0" applyFont="0" applyAlignment="0" applyProtection="0"/>
    <xf numFmtId="0" fontId="129" fillId="68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10" fillId="3" borderId="18" applyNumberFormat="0" applyProtection="0">
      <alignment horizontal="left" vertical="center" indent="1"/>
    </xf>
    <xf numFmtId="0" fontId="10" fillId="47" borderId="18" applyNumberFormat="0" applyProtection="0">
      <alignment horizontal="left" vertical="center" indent="1"/>
    </xf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9" borderId="0" applyNumberFormat="0" applyBorder="0" applyAlignment="0" applyProtection="0"/>
    <xf numFmtId="0" fontId="1" fillId="66" borderId="0" applyNumberFormat="0" applyBorder="0" applyAlignment="0" applyProtection="0"/>
    <xf numFmtId="0" fontId="1" fillId="50" borderId="32" applyNumberFormat="0" applyFont="0" applyAlignment="0" applyProtection="0"/>
    <xf numFmtId="0" fontId="1" fillId="63" borderId="0" applyNumberFormat="0" applyBorder="0" applyAlignment="0" applyProtection="0"/>
    <xf numFmtId="0" fontId="1" fillId="54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53" borderId="0" applyNumberFormat="0" applyBorder="0" applyAlignment="0" applyProtection="0"/>
    <xf numFmtId="9" fontId="1" fillId="0" borderId="0" applyFont="0" applyFill="0" applyBorder="0" applyAlignment="0" applyProtection="0"/>
    <xf numFmtId="0" fontId="1" fillId="61" borderId="0" applyNumberFormat="0" applyBorder="0" applyAlignment="0" applyProtection="0"/>
    <xf numFmtId="0" fontId="1" fillId="67" borderId="0" applyNumberFormat="0" applyBorder="0" applyAlignment="0" applyProtection="0"/>
    <xf numFmtId="0" fontId="1" fillId="66" borderId="0" applyNumberFormat="0" applyBorder="0" applyAlignment="0" applyProtection="0"/>
    <xf numFmtId="0" fontId="1" fillId="0" borderId="0"/>
    <xf numFmtId="0" fontId="1" fillId="50" borderId="32" applyNumberFormat="0" applyFont="0" applyAlignment="0" applyProtection="0"/>
    <xf numFmtId="0" fontId="10" fillId="25" borderId="18" applyNumberFormat="0" applyProtection="0">
      <alignment horizontal="left" vertical="center" indent="1"/>
    </xf>
    <xf numFmtId="0" fontId="1" fillId="61" borderId="0" applyNumberFormat="0" applyBorder="0" applyAlignment="0" applyProtection="0"/>
    <xf numFmtId="0" fontId="129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9" fillId="41" borderId="18" applyNumberFormat="0" applyProtection="0">
      <alignment horizontal="left" vertical="center" indent="1"/>
    </xf>
    <xf numFmtId="0" fontId="1" fillId="53" borderId="0" applyNumberFormat="0" applyBorder="0" applyAlignment="0" applyProtection="0"/>
    <xf numFmtId="0" fontId="1" fillId="64" borderId="0" applyNumberFormat="0" applyBorder="0" applyAlignment="0" applyProtection="0"/>
    <xf numFmtId="0" fontId="1" fillId="50" borderId="32" applyNumberFormat="0" applyFont="0" applyAlignment="0" applyProtection="0"/>
    <xf numFmtId="0" fontId="1" fillId="52" borderId="0" applyNumberFormat="0" applyBorder="0" applyAlignment="0" applyProtection="0"/>
    <xf numFmtId="0" fontId="1" fillId="50" borderId="32" applyNumberFormat="0" applyFont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43" fontId="1" fillId="0" borderId="0" applyFont="0" applyFill="0" applyBorder="0" applyAlignment="0" applyProtection="0"/>
    <xf numFmtId="0" fontId="1" fillId="64" borderId="0" applyNumberFormat="0" applyBorder="0" applyAlignment="0" applyProtection="0"/>
    <xf numFmtId="0" fontId="1" fillId="63" borderId="0" applyNumberFormat="0" applyBorder="0" applyAlignment="0" applyProtection="0"/>
    <xf numFmtId="0" fontId="1" fillId="50" borderId="32" applyNumberFormat="0" applyFont="0" applyAlignment="0" applyProtection="0"/>
    <xf numFmtId="0" fontId="1" fillId="53" borderId="0" applyNumberFormat="0" applyBorder="0" applyAlignment="0" applyProtection="0"/>
    <xf numFmtId="0" fontId="1" fillId="63" borderId="0" applyNumberFormat="0" applyBorder="0" applyAlignment="0" applyProtection="0"/>
    <xf numFmtId="0" fontId="10" fillId="0" borderId="0"/>
    <xf numFmtId="0" fontId="1" fillId="54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7" borderId="0" applyNumberFormat="0" applyBorder="0" applyAlignment="0" applyProtection="0"/>
    <xf numFmtId="0" fontId="10" fillId="26" borderId="18" applyNumberFormat="0" applyProtection="0">
      <alignment horizontal="left" vertical="center" indent="1"/>
    </xf>
    <xf numFmtId="0" fontId="1" fillId="54" borderId="0" applyNumberFormat="0" applyBorder="0" applyAlignment="0" applyProtection="0"/>
    <xf numFmtId="0" fontId="1" fillId="62" borderId="0" applyNumberFormat="0" applyBorder="0" applyAlignment="0" applyProtection="0"/>
    <xf numFmtId="0" fontId="1" fillId="60" borderId="0" applyNumberFormat="0" applyBorder="0" applyAlignment="0" applyProtection="0"/>
    <xf numFmtId="0" fontId="1" fillId="67" borderId="0" applyNumberFormat="0" applyBorder="0" applyAlignment="0" applyProtection="0"/>
    <xf numFmtId="0" fontId="1" fillId="63" borderId="0" applyNumberFormat="0" applyBorder="0" applyAlignment="0" applyProtection="0"/>
    <xf numFmtId="0" fontId="1" fillId="52" borderId="0" applyNumberFormat="0" applyBorder="0" applyAlignment="0" applyProtection="0"/>
    <xf numFmtId="0" fontId="1" fillId="68" borderId="0" applyNumberFormat="0" applyBorder="0" applyAlignment="0" applyProtection="0"/>
    <xf numFmtId="0" fontId="1" fillId="61" borderId="0" applyNumberFormat="0" applyBorder="0" applyAlignment="0" applyProtection="0"/>
    <xf numFmtId="0" fontId="1" fillId="68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68" borderId="0" applyNumberFormat="0" applyBorder="0" applyAlignment="0" applyProtection="0"/>
    <xf numFmtId="0" fontId="1" fillId="58" borderId="0" applyNumberFormat="0" applyBorder="0" applyAlignment="0" applyProtection="0"/>
    <xf numFmtId="0" fontId="1" fillId="51" borderId="0" applyNumberFormat="0" applyBorder="0" applyAlignment="0" applyProtection="0"/>
    <xf numFmtId="43" fontId="10" fillId="0" borderId="0" applyFont="0" applyFill="0" applyBorder="0" applyAlignment="0" applyProtection="0"/>
    <xf numFmtId="0" fontId="1" fillId="59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55" borderId="0" applyNumberFormat="0" applyBorder="0" applyAlignment="0" applyProtection="0"/>
    <xf numFmtId="0" fontId="10" fillId="26" borderId="18" applyNumberFormat="0" applyProtection="0">
      <alignment horizontal="left" vertical="center" indent="1"/>
    </xf>
    <xf numFmtId="0" fontId="1" fillId="59" borderId="0" applyNumberFormat="0" applyBorder="0" applyAlignment="0" applyProtection="0"/>
    <xf numFmtId="0" fontId="1" fillId="67" borderId="0" applyNumberFormat="0" applyBorder="0" applyAlignment="0" applyProtection="0"/>
    <xf numFmtId="0" fontId="1" fillId="65" borderId="0" applyNumberFormat="0" applyBorder="0" applyAlignment="0" applyProtection="0"/>
    <xf numFmtId="0" fontId="1" fillId="55" borderId="0" applyNumberFormat="0" applyBorder="0" applyAlignment="0" applyProtection="0"/>
    <xf numFmtId="9" fontId="10" fillId="0" borderId="0" applyFont="0" applyFill="0" applyBorder="0" applyAlignment="0" applyProtection="0"/>
    <xf numFmtId="0" fontId="1" fillId="51" borderId="0" applyNumberFormat="0" applyBorder="0" applyAlignment="0" applyProtection="0"/>
    <xf numFmtId="44" fontId="10" fillId="0" borderId="0" applyFont="0" applyFill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65" borderId="0" applyNumberFormat="0" applyBorder="0" applyAlignment="0" applyProtection="0"/>
    <xf numFmtId="0" fontId="1" fillId="62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8" borderId="0" applyNumberFormat="0" applyBorder="0" applyAlignment="0" applyProtection="0"/>
    <xf numFmtId="0" fontId="1" fillId="66" borderId="0" applyNumberFormat="0" applyBorder="0" applyAlignment="0" applyProtection="0"/>
    <xf numFmtId="0" fontId="1" fillId="59" borderId="0" applyNumberFormat="0" applyBorder="0" applyAlignment="0" applyProtection="0"/>
    <xf numFmtId="0" fontId="1" fillId="50" borderId="32" applyNumberFormat="0" applyFont="0" applyAlignment="0" applyProtection="0"/>
    <xf numFmtId="0" fontId="1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0" borderId="32" applyNumberFormat="0" applyFont="0" applyAlignment="0" applyProtection="0"/>
    <xf numFmtId="0" fontId="1" fillId="51" borderId="0" applyNumberFormat="0" applyBorder="0" applyAlignment="0" applyProtection="0"/>
    <xf numFmtId="0" fontId="10" fillId="25" borderId="18" applyNumberFormat="0" applyProtection="0">
      <alignment horizontal="left" vertical="center" indent="1"/>
    </xf>
    <xf numFmtId="0" fontId="1" fillId="67" borderId="0" applyNumberFormat="0" applyBorder="0" applyAlignment="0" applyProtection="0"/>
    <xf numFmtId="0" fontId="129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0" borderId="32" applyNumberFormat="0" applyFont="0" applyAlignment="0" applyProtection="0"/>
    <xf numFmtId="0" fontId="9" fillId="47" borderId="18" applyNumberFormat="0" applyProtection="0">
      <alignment horizontal="left" vertical="center" indent="1"/>
    </xf>
    <xf numFmtId="0" fontId="1" fillId="59" borderId="0" applyNumberFormat="0" applyBorder="0" applyAlignment="0" applyProtection="0"/>
    <xf numFmtId="0" fontId="1" fillId="53" borderId="0" applyNumberFormat="0" applyBorder="0" applyAlignment="0" applyProtection="0"/>
    <xf numFmtId="0" fontId="1" fillId="51" borderId="0" applyNumberFormat="0" applyBorder="0" applyAlignment="0" applyProtection="0"/>
    <xf numFmtId="0" fontId="1" fillId="58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44" fontId="1" fillId="0" borderId="0" applyFont="0" applyFill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59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6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10" fillId="26" borderId="18" applyNumberFormat="0" applyProtection="0">
      <alignment horizontal="left" vertical="center" indent="1"/>
    </xf>
    <xf numFmtId="0" fontId="1" fillId="60" borderId="0" applyNumberFormat="0" applyBorder="0" applyAlignment="0" applyProtection="0"/>
    <xf numFmtId="0" fontId="1" fillId="68" borderId="0" applyNumberFormat="0" applyBorder="0" applyAlignment="0" applyProtection="0"/>
    <xf numFmtId="0" fontId="1" fillId="66" borderId="0" applyNumberFormat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9" fillId="6" borderId="18" applyNumberFormat="0" applyProtection="0">
      <alignment horizontal="left" vertical="center" indent="1"/>
    </xf>
    <xf numFmtId="0" fontId="1" fillId="68" borderId="0" applyNumberFormat="0" applyBorder="0" applyAlignment="0" applyProtection="0"/>
  </cellStyleXfs>
  <cellXfs count="215">
    <xf numFmtId="0" fontId="0" fillId="0" borderId="0" xfId="0"/>
    <xf numFmtId="0" fontId="11" fillId="0" borderId="0" xfId="720" applyFont="1" applyAlignment="1">
      <alignment horizontal="center"/>
    </xf>
    <xf numFmtId="0" fontId="12" fillId="0" borderId="0" xfId="720" applyFont="1" applyAlignment="1">
      <alignment horizontal="center"/>
    </xf>
    <xf numFmtId="0" fontId="12" fillId="0" borderId="1" xfId="720" applyFont="1" applyBorder="1" applyAlignment="1">
      <alignment horizontal="center"/>
    </xf>
    <xf numFmtId="10" fontId="12" fillId="0" borderId="3" xfId="1624" applyNumberFormat="1" applyFont="1" applyFill="1" applyBorder="1" applyAlignment="1">
      <alignment horizontal="center"/>
    </xf>
    <xf numFmtId="44" fontId="12" fillId="0" borderId="1" xfId="720" applyNumberFormat="1" applyFont="1" applyBorder="1" applyAlignment="1">
      <alignment horizontal="center"/>
    </xf>
    <xf numFmtId="44" fontId="12" fillId="0" borderId="0" xfId="720" applyNumberFormat="1" applyFont="1" applyAlignment="1">
      <alignment horizontal="center"/>
    </xf>
    <xf numFmtId="10" fontId="12" fillId="0" borderId="3" xfId="720" applyNumberFormat="1" applyFont="1" applyBorder="1" applyAlignment="1">
      <alignment horizontal="center"/>
    </xf>
    <xf numFmtId="44" fontId="12" fillId="0" borderId="0" xfId="399" applyFont="1" applyFill="1" applyBorder="1" applyAlignment="1">
      <alignment horizontal="center"/>
    </xf>
    <xf numFmtId="44" fontId="12" fillId="0" borderId="1" xfId="399" applyFont="1" applyFill="1" applyBorder="1" applyAlignment="1">
      <alignment horizontal="center"/>
    </xf>
    <xf numFmtId="3" fontId="12" fillId="0" borderId="0" xfId="720" applyNumberFormat="1" applyFont="1" applyAlignment="1">
      <alignment horizontal="center"/>
    </xf>
    <xf numFmtId="44" fontId="12" fillId="0" borderId="0" xfId="784" applyNumberFormat="1" applyFont="1" applyAlignment="1">
      <alignment horizontal="center"/>
    </xf>
    <xf numFmtId="0" fontId="12" fillId="0" borderId="0" xfId="784" applyFont="1" applyAlignment="1">
      <alignment horizontal="center"/>
    </xf>
    <xf numFmtId="0" fontId="11" fillId="0" borderId="0" xfId="720" applyFont="1" applyAlignment="1">
      <alignment horizontal="left"/>
    </xf>
    <xf numFmtId="0" fontId="10" fillId="0" borderId="0" xfId="0" applyFont="1"/>
    <xf numFmtId="44" fontId="12" fillId="0" borderId="13" xfId="399" applyFont="1" applyFill="1" applyBorder="1" applyAlignment="1">
      <alignment horizontal="center"/>
    </xf>
    <xf numFmtId="10" fontId="12" fillId="0" borderId="0" xfId="1624" applyNumberFormat="1" applyFont="1" applyFill="1" applyBorder="1" applyAlignment="1">
      <alignment horizontal="center"/>
    </xf>
    <xf numFmtId="10" fontId="12" fillId="0" borderId="0" xfId="720" applyNumberFormat="1" applyFont="1" applyAlignment="1">
      <alignment horizontal="center"/>
    </xf>
    <xf numFmtId="0" fontId="10" fillId="0" borderId="0" xfId="799" applyAlignment="1">
      <alignment horizontal="left"/>
    </xf>
    <xf numFmtId="0" fontId="10" fillId="0" borderId="0" xfId="799"/>
    <xf numFmtId="44" fontId="13" fillId="0" borderId="0" xfId="799" applyNumberFormat="1" applyFont="1" applyAlignment="1">
      <alignment horizontal="left"/>
    </xf>
    <xf numFmtId="44" fontId="12" fillId="0" borderId="0" xfId="2" applyFont="1" applyFill="1"/>
    <xf numFmtId="44" fontId="10" fillId="0" borderId="0" xfId="799" applyNumberFormat="1"/>
    <xf numFmtId="44" fontId="10" fillId="0" borderId="0" xfId="0" applyNumberFormat="1" applyFont="1"/>
    <xf numFmtId="10" fontId="12" fillId="0" borderId="47" xfId="720" applyNumberFormat="1" applyFont="1" applyBorder="1" applyAlignment="1">
      <alignment horizontal="center"/>
    </xf>
    <xf numFmtId="165" fontId="12" fillId="0" borderId="0" xfId="1624" applyNumberFormat="1" applyFont="1" applyFill="1" applyBorder="1" applyAlignment="1">
      <alignment horizontal="center"/>
    </xf>
    <xf numFmtId="44" fontId="12" fillId="0" borderId="13" xfId="2" applyFont="1" applyFill="1" applyBorder="1"/>
    <xf numFmtId="44" fontId="12" fillId="0" borderId="0" xfId="2" applyFont="1" applyFill="1" applyBorder="1" applyAlignment="1">
      <alignment horizontal="center"/>
    </xf>
    <xf numFmtId="44" fontId="12" fillId="0" borderId="47" xfId="720" applyNumberFormat="1" applyFont="1" applyBorder="1" applyAlignment="1">
      <alignment horizontal="center"/>
    </xf>
    <xf numFmtId="44" fontId="12" fillId="0" borderId="1" xfId="400" applyFont="1" applyFill="1" applyBorder="1" applyAlignment="1">
      <alignment horizontal="center"/>
    </xf>
    <xf numFmtId="44" fontId="12" fillId="0" borderId="3" xfId="720" applyNumberFormat="1" applyFont="1" applyBorder="1" applyAlignment="1">
      <alignment horizontal="center"/>
    </xf>
    <xf numFmtId="0" fontId="13" fillId="0" borderId="0" xfId="799" applyFont="1" applyAlignment="1">
      <alignment horizontal="left"/>
    </xf>
    <xf numFmtId="0" fontId="108" fillId="0" borderId="0" xfId="0" applyFont="1"/>
    <xf numFmtId="43" fontId="12" fillId="0" borderId="0" xfId="3" applyFont="1" applyFill="1" applyAlignment="1">
      <alignment horizontal="center"/>
    </xf>
    <xf numFmtId="10" fontId="12" fillId="0" borderId="3" xfId="1" applyNumberFormat="1" applyFont="1" applyFill="1" applyBorder="1" applyAlignment="1">
      <alignment horizontal="center"/>
    </xf>
    <xf numFmtId="10" fontId="12" fillId="0" borderId="3" xfId="0" applyNumberFormat="1" applyFont="1" applyBorder="1" applyAlignment="1">
      <alignment horizontal="center" vertical="center"/>
    </xf>
    <xf numFmtId="44" fontId="12" fillId="0" borderId="1" xfId="721" applyNumberFormat="1" applyFont="1" applyBorder="1" applyAlignment="1">
      <alignment horizontal="center"/>
    </xf>
    <xf numFmtId="10" fontId="12" fillId="0" borderId="3" xfId="1625" applyNumberFormat="1" applyFont="1" applyFill="1" applyBorder="1" applyAlignment="1">
      <alignment horizontal="center"/>
    </xf>
    <xf numFmtId="10" fontId="10" fillId="0" borderId="0" xfId="799" applyNumberFormat="1"/>
    <xf numFmtId="10" fontId="12" fillId="0" borderId="0" xfId="1" applyNumberFormat="1" applyFont="1" applyFill="1" applyBorder="1" applyAlignment="1">
      <alignment horizontal="center"/>
    </xf>
    <xf numFmtId="165" fontId="12" fillId="0" borderId="0" xfId="1625" applyNumberFormat="1" applyFont="1" applyFill="1" applyBorder="1" applyAlignment="1">
      <alignment horizontal="center"/>
    </xf>
    <xf numFmtId="9" fontId="12" fillId="0" borderId="0" xfId="1" applyFont="1" applyFill="1" applyBorder="1" applyAlignment="1">
      <alignment horizontal="center"/>
    </xf>
    <xf numFmtId="44" fontId="12" fillId="0" borderId="0" xfId="721" applyNumberFormat="1" applyFont="1" applyAlignment="1">
      <alignment horizontal="center"/>
    </xf>
    <xf numFmtId="9" fontId="12" fillId="0" borderId="3" xfId="1" applyFont="1" applyFill="1" applyBorder="1" applyAlignment="1">
      <alignment horizontal="center"/>
    </xf>
    <xf numFmtId="2" fontId="10" fillId="0" borderId="0" xfId="0" applyNumberFormat="1" applyFont="1"/>
    <xf numFmtId="0" fontId="11" fillId="0" borderId="3" xfId="720" applyFont="1" applyBorder="1" applyAlignment="1">
      <alignment horizontal="left"/>
    </xf>
    <xf numFmtId="44" fontId="12" fillId="0" borderId="3" xfId="2" applyFont="1" applyFill="1" applyBorder="1" applyAlignment="1">
      <alignment horizontal="center"/>
    </xf>
    <xf numFmtId="0" fontId="12" fillId="0" borderId="0" xfId="0" applyFont="1"/>
    <xf numFmtId="0" fontId="10" fillId="0" borderId="20" xfId="0" applyFont="1" applyBorder="1"/>
    <xf numFmtId="0" fontId="10" fillId="0" borderId="48" xfId="0" applyFont="1" applyBorder="1"/>
    <xf numFmtId="44" fontId="12" fillId="0" borderId="13" xfId="400" applyFont="1" applyFill="1" applyBorder="1" applyAlignment="1">
      <alignment horizontal="center"/>
    </xf>
    <xf numFmtId="10" fontId="12" fillId="0" borderId="0" xfId="1625" applyNumberFormat="1" applyFont="1" applyFill="1" applyBorder="1" applyAlignment="1">
      <alignment horizontal="center"/>
    </xf>
    <xf numFmtId="44" fontId="12" fillId="0" borderId="0" xfId="2" applyFont="1" applyFill="1" applyBorder="1"/>
    <xf numFmtId="44" fontId="12" fillId="0" borderId="49" xfId="720" applyNumberFormat="1" applyFont="1" applyBorder="1" applyAlignment="1">
      <alignment horizontal="center"/>
    </xf>
    <xf numFmtId="164" fontId="12" fillId="0" borderId="0" xfId="2" applyNumberFormat="1" applyFont="1" applyFill="1" applyBorder="1" applyAlignment="1">
      <alignment horizontal="center"/>
    </xf>
    <xf numFmtId="264" fontId="57" fillId="0" borderId="0" xfId="357" applyNumberFormat="1" applyFont="1" applyFill="1" applyBorder="1" applyAlignment="1"/>
    <xf numFmtId="10" fontId="10" fillId="0" borderId="0" xfId="0" applyNumberFormat="1" applyFont="1"/>
    <xf numFmtId="6" fontId="12" fillId="0" borderId="0" xfId="2" applyNumberFormat="1" applyFont="1" applyFill="1" applyBorder="1" applyAlignment="1">
      <alignment horizontal="center"/>
    </xf>
    <xf numFmtId="0" fontId="11" fillId="0" borderId="0" xfId="721" applyFont="1" applyAlignment="1">
      <alignment horizontal="center"/>
    </xf>
    <xf numFmtId="44" fontId="0" fillId="0" borderId="0" xfId="0" applyNumberFormat="1"/>
    <xf numFmtId="44" fontId="0" fillId="0" borderId="0" xfId="2" applyFont="1"/>
    <xf numFmtId="44" fontId="12" fillId="0" borderId="1" xfId="2" applyFont="1" applyFill="1" applyBorder="1" applyAlignment="1">
      <alignment horizontal="center"/>
    </xf>
    <xf numFmtId="3" fontId="57" fillId="0" borderId="0" xfId="0" applyNumberFormat="1" applyFont="1"/>
    <xf numFmtId="0" fontId="10" fillId="0" borderId="1" xfId="0" applyFont="1" applyBorder="1"/>
    <xf numFmtId="0" fontId="11" fillId="81" borderId="0" xfId="720" applyFont="1" applyFill="1" applyAlignment="1">
      <alignment horizontal="left"/>
    </xf>
    <xf numFmtId="0" fontId="10" fillId="81" borderId="0" xfId="799" applyFill="1"/>
    <xf numFmtId="0" fontId="11" fillId="81" borderId="0" xfId="721" applyFont="1" applyFill="1" applyAlignment="1">
      <alignment horizontal="left"/>
    </xf>
    <xf numFmtId="44" fontId="12" fillId="0" borderId="50" xfId="2" applyFont="1" applyFill="1" applyBorder="1" applyAlignment="1">
      <alignment horizontal="center"/>
    </xf>
    <xf numFmtId="0" fontId="11" fillId="0" borderId="49" xfId="721" applyFont="1" applyBorder="1" applyAlignment="1">
      <alignment horizontal="left"/>
    </xf>
    <xf numFmtId="0" fontId="13" fillId="0" borderId="0" xfId="0" applyFont="1" applyAlignment="1">
      <alignment horizontal="left"/>
    </xf>
    <xf numFmtId="3" fontId="112" fillId="0" borderId="0" xfId="0" applyNumberFormat="1" applyFont="1"/>
    <xf numFmtId="168" fontId="11" fillId="0" borderId="3" xfId="1407" applyFont="1" applyBorder="1" applyAlignment="1">
      <alignment horizontal="left"/>
    </xf>
    <xf numFmtId="0" fontId="11" fillId="0" borderId="0" xfId="0" applyFont="1"/>
    <xf numFmtId="43" fontId="13" fillId="0" borderId="0" xfId="0" applyNumberFormat="1" applyFont="1" applyAlignment="1">
      <alignment horizontal="left"/>
    </xf>
    <xf numFmtId="0" fontId="114" fillId="0" borderId="14" xfId="0" applyFont="1" applyBorder="1" applyAlignment="1">
      <alignment horizontal="left" wrapText="1"/>
    </xf>
    <xf numFmtId="0" fontId="113" fillId="82" borderId="49" xfId="0" applyFont="1" applyFill="1" applyBorder="1" applyAlignment="1">
      <alignment horizontal="left" wrapText="1"/>
    </xf>
    <xf numFmtId="0" fontId="114" fillId="0" borderId="0" xfId="0" applyFont="1"/>
    <xf numFmtId="0" fontId="113" fillId="0" borderId="0" xfId="0" applyFont="1" applyAlignment="1">
      <alignment horizontal="left"/>
    </xf>
    <xf numFmtId="0" fontId="12" fillId="0" borderId="47" xfId="720" applyFont="1" applyBorder="1" applyAlignment="1">
      <alignment horizontal="left"/>
    </xf>
    <xf numFmtId="0" fontId="12" fillId="0" borderId="49" xfId="720" applyFont="1" applyBorder="1" applyAlignment="1">
      <alignment horizontal="left"/>
    </xf>
    <xf numFmtId="0" fontId="12" fillId="0" borderId="14" xfId="720" applyFont="1" applyBorder="1" applyAlignment="1">
      <alignment horizontal="left"/>
    </xf>
    <xf numFmtId="0" fontId="12" fillId="0" borderId="47" xfId="721" applyFont="1" applyBorder="1" applyAlignment="1">
      <alignment horizontal="left"/>
    </xf>
    <xf numFmtId="0" fontId="12" fillId="0" borderId="49" xfId="721" applyFont="1" applyBorder="1" applyAlignment="1">
      <alignment horizontal="left"/>
    </xf>
    <xf numFmtId="0" fontId="12" fillId="0" borderId="14" xfId="721" applyFont="1" applyBorder="1" applyAlignment="1">
      <alignment horizontal="left"/>
    </xf>
    <xf numFmtId="0" fontId="12" fillId="0" borderId="0" xfId="720" applyFont="1" applyAlignment="1">
      <alignment horizontal="left"/>
    </xf>
    <xf numFmtId="0" fontId="12" fillId="0" borderId="3" xfId="720" applyFont="1" applyBorder="1" applyAlignment="1">
      <alignment horizontal="left"/>
    </xf>
    <xf numFmtId="0" fontId="12" fillId="0" borderId="1" xfId="720" applyFont="1" applyBorder="1" applyAlignment="1">
      <alignment horizontal="left"/>
    </xf>
    <xf numFmtId="0" fontId="12" fillId="0" borderId="51" xfId="47" applyFont="1" applyBorder="1" applyAlignment="1">
      <alignment horizontal="left" wrapText="1"/>
    </xf>
    <xf numFmtId="0" fontId="113" fillId="0" borderId="47" xfId="0" applyFont="1" applyBorder="1" applyAlignment="1">
      <alignment horizontal="left" wrapText="1"/>
    </xf>
    <xf numFmtId="0" fontId="10" fillId="0" borderId="3" xfId="0" applyFont="1" applyBorder="1"/>
    <xf numFmtId="0" fontId="10" fillId="0" borderId="52" xfId="0" applyFont="1" applyBorder="1"/>
    <xf numFmtId="0" fontId="113" fillId="0" borderId="0" xfId="0" applyFont="1"/>
    <xf numFmtId="265" fontId="108" fillId="0" borderId="0" xfId="0" applyNumberFormat="1" applyFont="1"/>
    <xf numFmtId="0" fontId="11" fillId="83" borderId="47" xfId="720" applyFont="1" applyFill="1" applyBorder="1" applyAlignment="1">
      <alignment horizontal="left"/>
    </xf>
    <xf numFmtId="0" fontId="11" fillId="83" borderId="3" xfId="720" applyFont="1" applyFill="1" applyBorder="1" applyAlignment="1">
      <alignment horizontal="center"/>
    </xf>
    <xf numFmtId="0" fontId="11" fillId="83" borderId="14" xfId="720" applyFont="1" applyFill="1" applyBorder="1" applyAlignment="1">
      <alignment horizontal="left"/>
    </xf>
    <xf numFmtId="0" fontId="11" fillId="83" borderId="0" xfId="720" applyFont="1" applyFill="1" applyAlignment="1">
      <alignment horizontal="center"/>
    </xf>
    <xf numFmtId="0" fontId="12" fillId="83" borderId="14" xfId="720" applyFont="1" applyFill="1" applyBorder="1" applyAlignment="1">
      <alignment horizontal="center"/>
    </xf>
    <xf numFmtId="0" fontId="12" fillId="83" borderId="0" xfId="720" applyFont="1" applyFill="1" applyAlignment="1">
      <alignment horizontal="center"/>
    </xf>
    <xf numFmtId="0" fontId="10" fillId="83" borderId="0" xfId="0" applyFont="1" applyFill="1"/>
    <xf numFmtId="0" fontId="11" fillId="83" borderId="14" xfId="720" applyFont="1" applyFill="1" applyBorder="1" applyAlignment="1">
      <alignment horizontal="center"/>
    </xf>
    <xf numFmtId="0" fontId="12" fillId="83" borderId="49" xfId="720" applyFont="1" applyFill="1" applyBorder="1" applyAlignment="1">
      <alignment horizontal="center"/>
    </xf>
    <xf numFmtId="0" fontId="12" fillId="83" borderId="1" xfId="720" applyFont="1" applyFill="1" applyBorder="1" applyAlignment="1">
      <alignment horizontal="center"/>
    </xf>
    <xf numFmtId="0" fontId="10" fillId="83" borderId="8" xfId="799" applyFill="1" applyBorder="1"/>
    <xf numFmtId="0" fontId="11" fillId="83" borderId="0" xfId="0" applyFont="1" applyFill="1" applyAlignment="1">
      <alignment horizontal="center"/>
    </xf>
    <xf numFmtId="0" fontId="12" fillId="0" borderId="47" xfId="2108" applyFont="1" applyBorder="1" applyAlignment="1">
      <alignment horizontal="left"/>
    </xf>
    <xf numFmtId="10" fontId="12" fillId="0" borderId="3" xfId="1799" applyNumberFormat="1" applyFont="1" applyBorder="1" applyAlignment="1">
      <alignment horizontal="center" vertical="center"/>
    </xf>
    <xf numFmtId="10" fontId="12" fillId="0" borderId="3" xfId="2831" applyNumberFormat="1" applyFont="1" applyFill="1" applyBorder="1" applyAlignment="1">
      <alignment horizontal="center"/>
    </xf>
    <xf numFmtId="168" fontId="11" fillId="0" borderId="0" xfId="1407" applyFont="1" applyAlignment="1">
      <alignment horizontal="left"/>
    </xf>
    <xf numFmtId="6" fontId="12" fillId="0" borderId="0" xfId="2" applyNumberFormat="1" applyFont="1" applyFill="1" applyBorder="1"/>
    <xf numFmtId="0" fontId="11" fillId="83" borderId="52" xfId="720" applyFont="1" applyFill="1" applyBorder="1" applyAlignment="1">
      <alignment horizontal="center"/>
    </xf>
    <xf numFmtId="0" fontId="12" fillId="0" borderId="52" xfId="0" applyFont="1" applyBorder="1"/>
    <xf numFmtId="44" fontId="12" fillId="0" borderId="14" xfId="720" applyNumberFormat="1" applyFont="1" applyBorder="1" applyAlignment="1">
      <alignment horizontal="center"/>
    </xf>
    <xf numFmtId="44" fontId="12" fillId="0" borderId="50" xfId="400" applyFont="1" applyFill="1" applyBorder="1" applyAlignment="1">
      <alignment horizontal="center"/>
    </xf>
    <xf numFmtId="0" fontId="10" fillId="0" borderId="50" xfId="0" applyFont="1" applyBorder="1"/>
    <xf numFmtId="0" fontId="11" fillId="0" borderId="1" xfId="0" applyFont="1" applyBorder="1"/>
    <xf numFmtId="44" fontId="12" fillId="0" borderId="52" xfId="2" applyFont="1" applyFill="1" applyBorder="1"/>
    <xf numFmtId="44" fontId="12" fillId="0" borderId="20" xfId="2" applyFont="1" applyFill="1" applyBorder="1"/>
    <xf numFmtId="44" fontId="108" fillId="0" borderId="0" xfId="0" applyNumberFormat="1" applyFont="1"/>
    <xf numFmtId="10" fontId="12" fillId="0" borderId="47" xfId="721" applyNumberFormat="1" applyFont="1" applyBorder="1" applyAlignment="1">
      <alignment horizontal="center"/>
    </xf>
    <xf numFmtId="10" fontId="12" fillId="0" borderId="3" xfId="721" applyNumberFormat="1" applyFont="1" applyBorder="1" applyAlignment="1">
      <alignment horizontal="center"/>
    </xf>
    <xf numFmtId="10" fontId="12" fillId="0" borderId="52" xfId="721" applyNumberFormat="1" applyFont="1" applyBorder="1" applyAlignment="1">
      <alignment horizontal="center"/>
    </xf>
    <xf numFmtId="44" fontId="12" fillId="0" borderId="3" xfId="2" applyFont="1" applyFill="1" applyBorder="1"/>
    <xf numFmtId="0" fontId="12" fillId="0" borderId="14" xfId="2108" applyFont="1" applyBorder="1" applyAlignment="1">
      <alignment horizontal="left"/>
    </xf>
    <xf numFmtId="44" fontId="10" fillId="81" borderId="0" xfId="2" applyFont="1" applyFill="1"/>
    <xf numFmtId="44" fontId="11" fillId="83" borderId="47" xfId="2" applyFont="1" applyFill="1" applyBorder="1" applyAlignment="1">
      <alignment horizontal="center"/>
    </xf>
    <xf numFmtId="44" fontId="11" fillId="83" borderId="19" xfId="2" applyFont="1" applyFill="1" applyBorder="1" applyAlignment="1">
      <alignment horizontal="center"/>
    </xf>
    <xf numFmtId="44" fontId="12" fillId="0" borderId="51" xfId="2" applyFont="1" applyFill="1" applyBorder="1" applyAlignment="1">
      <alignment horizontal="center"/>
    </xf>
    <xf numFmtId="44" fontId="12" fillId="0" borderId="19" xfId="2" applyFont="1" applyFill="1" applyBorder="1" applyAlignment="1">
      <alignment horizontal="center"/>
    </xf>
    <xf numFmtId="44" fontId="12" fillId="0" borderId="53" xfId="2" applyFont="1" applyFill="1" applyBorder="1" applyAlignment="1">
      <alignment horizontal="center"/>
    </xf>
    <xf numFmtId="44" fontId="12" fillId="0" borderId="13" xfId="2" applyFont="1" applyFill="1" applyBorder="1" applyAlignment="1">
      <alignment horizontal="center"/>
    </xf>
    <xf numFmtId="44" fontId="12" fillId="0" borderId="0" xfId="2" applyFont="1" applyFill="1" applyAlignment="1">
      <alignment horizontal="center"/>
    </xf>
    <xf numFmtId="44" fontId="10" fillId="0" borderId="0" xfId="2" applyFont="1" applyFill="1"/>
    <xf numFmtId="44" fontId="11" fillId="0" borderId="19" xfId="2" applyFont="1" applyFill="1" applyBorder="1" applyAlignment="1">
      <alignment horizontal="center"/>
    </xf>
    <xf numFmtId="44" fontId="12" fillId="0" borderId="47" xfId="2" applyFont="1" applyFill="1" applyBorder="1" applyAlignment="1">
      <alignment horizontal="center"/>
    </xf>
    <xf numFmtId="44" fontId="11" fillId="83" borderId="54" xfId="2" applyFont="1" applyFill="1" applyBorder="1" applyAlignment="1">
      <alignment horizontal="center"/>
    </xf>
    <xf numFmtId="168" fontId="12" fillId="0" borderId="3" xfId="1407" applyFont="1" applyBorder="1" applyAlignment="1">
      <alignment horizontal="left"/>
    </xf>
    <xf numFmtId="0" fontId="12" fillId="0" borderId="1" xfId="0" applyFont="1" applyBorder="1"/>
    <xf numFmtId="44" fontId="109" fillId="0" borderId="0" xfId="2" applyFont="1" applyFill="1" applyBorder="1" applyAlignment="1">
      <alignment horizontal="center"/>
    </xf>
    <xf numFmtId="0" fontId="11" fillId="85" borderId="0" xfId="721" applyFont="1" applyFill="1" applyAlignment="1">
      <alignment horizontal="left"/>
    </xf>
    <xf numFmtId="0" fontId="10" fillId="85" borderId="0" xfId="799" applyFill="1"/>
    <xf numFmtId="44" fontId="12" fillId="0" borderId="50" xfId="2" applyFont="1" applyFill="1" applyBorder="1"/>
    <xf numFmtId="44" fontId="12" fillId="0" borderId="52" xfId="2" applyFont="1" applyFill="1" applyBorder="1" applyAlignment="1">
      <alignment horizontal="center"/>
    </xf>
    <xf numFmtId="0" fontId="12" fillId="0" borderId="51" xfId="2108" applyFont="1" applyBorder="1" applyAlignment="1">
      <alignment horizontal="left"/>
    </xf>
    <xf numFmtId="44" fontId="12" fillId="0" borderId="0" xfId="2" applyFont="1" applyFill="1" applyBorder="1" applyAlignment="1">
      <alignment horizontal="right"/>
    </xf>
    <xf numFmtId="0" fontId="158" fillId="0" borderId="0" xfId="720" applyFont="1" applyAlignment="1">
      <alignment horizontal="left"/>
    </xf>
    <xf numFmtId="0" fontId="158" fillId="0" borderId="0" xfId="799" applyFont="1"/>
    <xf numFmtId="0" fontId="160" fillId="0" borderId="0" xfId="799" applyFont="1" applyAlignment="1">
      <alignment horizontal="left"/>
    </xf>
    <xf numFmtId="3" fontId="160" fillId="0" borderId="0" xfId="720" applyNumberFormat="1" applyFont="1" applyAlignment="1">
      <alignment horizontal="center"/>
    </xf>
    <xf numFmtId="0" fontId="160" fillId="0" borderId="0" xfId="799" applyFont="1"/>
    <xf numFmtId="0" fontId="11" fillId="0" borderId="49" xfId="720" applyFont="1" applyBorder="1" applyAlignment="1">
      <alignment horizontal="left"/>
    </xf>
    <xf numFmtId="44" fontId="158" fillId="0" borderId="0" xfId="2" applyFont="1" applyFill="1" applyAlignment="1">
      <alignment horizontal="center"/>
    </xf>
    <xf numFmtId="44" fontId="108" fillId="81" borderId="0" xfId="2" applyFont="1" applyFill="1"/>
    <xf numFmtId="44" fontId="109" fillId="0" borderId="0" xfId="2" applyFont="1" applyFill="1" applyAlignment="1">
      <alignment horizontal="center"/>
    </xf>
    <xf numFmtId="44" fontId="108" fillId="0" borderId="0" xfId="2" applyFont="1" applyFill="1"/>
    <xf numFmtId="44" fontId="163" fillId="0" borderId="0" xfId="2" applyFont="1" applyFill="1"/>
    <xf numFmtId="44" fontId="108" fillId="85" borderId="0" xfId="2" applyFont="1" applyFill="1"/>
    <xf numFmtId="44" fontId="108" fillId="0" borderId="3" xfId="2" applyFont="1" applyFill="1" applyBorder="1" applyAlignment="1">
      <alignment wrapText="1"/>
    </xf>
    <xf numFmtId="44" fontId="108" fillId="0" borderId="0" xfId="2" applyFont="1" applyBorder="1"/>
    <xf numFmtId="44" fontId="108" fillId="0" borderId="1" xfId="2" applyFont="1" applyBorder="1"/>
    <xf numFmtId="44" fontId="108" fillId="0" borderId="0" xfId="2" applyFont="1"/>
    <xf numFmtId="44" fontId="108" fillId="0" borderId="0" xfId="2" applyFont="1" applyFill="1" applyBorder="1"/>
    <xf numFmtId="10" fontId="13" fillId="0" borderId="0" xfId="0" applyNumberFormat="1" applyFont="1"/>
    <xf numFmtId="44" fontId="13" fillId="0" borderId="0" xfId="0" applyNumberFormat="1" applyFont="1"/>
    <xf numFmtId="8" fontId="12" fillId="0" borderId="0" xfId="2" applyNumberFormat="1" applyFont="1" applyFill="1" applyBorder="1" applyAlignment="1">
      <alignment horizontal="right"/>
    </xf>
    <xf numFmtId="0" fontId="11" fillId="85" borderId="0" xfId="720" applyFont="1" applyFill="1" applyAlignment="1">
      <alignment horizontal="left"/>
    </xf>
    <xf numFmtId="44" fontId="10" fillId="85" borderId="0" xfId="2" applyFont="1" applyFill="1"/>
    <xf numFmtId="0" fontId="11" fillId="83" borderId="48" xfId="720" applyFont="1" applyFill="1" applyBorder="1" applyAlignment="1">
      <alignment horizontal="center"/>
    </xf>
    <xf numFmtId="44" fontId="12" fillId="0" borderId="20" xfId="2" applyFont="1" applyFill="1" applyBorder="1" applyAlignment="1">
      <alignment horizontal="center"/>
    </xf>
    <xf numFmtId="44" fontId="109" fillId="0" borderId="0" xfId="720" applyNumberFormat="1" applyFont="1" applyAlignment="1">
      <alignment horizontal="center"/>
    </xf>
    <xf numFmtId="44" fontId="11" fillId="0" borderId="1" xfId="399" applyFont="1" applyFill="1" applyBorder="1" applyAlignment="1">
      <alignment horizontal="center"/>
    </xf>
    <xf numFmtId="0" fontId="11" fillId="83" borderId="69" xfId="721" applyFont="1" applyFill="1" applyBorder="1" applyAlignment="1">
      <alignment horizontal="left"/>
    </xf>
    <xf numFmtId="0" fontId="11" fillId="83" borderId="62" xfId="721" applyFont="1" applyFill="1" applyBorder="1" applyAlignment="1">
      <alignment horizontal="center"/>
    </xf>
    <xf numFmtId="44" fontId="11" fillId="83" borderId="69" xfId="2" applyFont="1" applyFill="1" applyBorder="1" applyAlignment="1">
      <alignment horizontal="center"/>
    </xf>
    <xf numFmtId="0" fontId="10" fillId="83" borderId="67" xfId="799" applyFill="1" applyBorder="1"/>
    <xf numFmtId="0" fontId="11" fillId="83" borderId="14" xfId="721" applyFont="1" applyFill="1" applyBorder="1" applyAlignment="1">
      <alignment horizontal="left"/>
    </xf>
    <xf numFmtId="0" fontId="11" fillId="83" borderId="0" xfId="721" applyFont="1" applyFill="1" applyAlignment="1">
      <alignment horizontal="center"/>
    </xf>
    <xf numFmtId="0" fontId="12" fillId="83" borderId="14" xfId="721" applyFont="1" applyFill="1" applyBorder="1" applyAlignment="1">
      <alignment horizontal="center"/>
    </xf>
    <xf numFmtId="0" fontId="12" fillId="83" borderId="0" xfId="721" applyFont="1" applyFill="1" applyAlignment="1">
      <alignment horizontal="center"/>
    </xf>
    <xf numFmtId="0" fontId="11" fillId="83" borderId="14" xfId="721" applyFont="1" applyFill="1" applyBorder="1" applyAlignment="1">
      <alignment horizontal="center"/>
    </xf>
    <xf numFmtId="0" fontId="12" fillId="83" borderId="49" xfId="721" applyFont="1" applyFill="1" applyBorder="1" applyAlignment="1">
      <alignment horizontal="center"/>
    </xf>
    <xf numFmtId="0" fontId="12" fillId="83" borderId="63" xfId="721" applyFont="1" applyFill="1" applyBorder="1" applyAlignment="1">
      <alignment horizontal="center"/>
    </xf>
    <xf numFmtId="0" fontId="11" fillId="0" borderId="62" xfId="721" applyFont="1" applyBorder="1" applyAlignment="1">
      <alignment horizontal="left"/>
    </xf>
    <xf numFmtId="44" fontId="12" fillId="0" borderId="62" xfId="721" applyNumberFormat="1" applyFont="1" applyBorder="1" applyAlignment="1">
      <alignment horizontal="center"/>
    </xf>
    <xf numFmtId="44" fontId="12" fillId="0" borderId="62" xfId="2" applyFont="1" applyFill="1" applyBorder="1" applyAlignment="1">
      <alignment horizontal="center"/>
    </xf>
    <xf numFmtId="44" fontId="11" fillId="84" borderId="19" xfId="2" applyFont="1" applyFill="1" applyBorder="1" applyAlignment="1">
      <alignment horizontal="center"/>
    </xf>
    <xf numFmtId="44" fontId="12" fillId="0" borderId="13" xfId="387" applyFont="1" applyFill="1" applyBorder="1"/>
    <xf numFmtId="44" fontId="12" fillId="0" borderId="55" xfId="2" applyFont="1" applyFill="1" applyBorder="1"/>
    <xf numFmtId="44" fontId="12" fillId="0" borderId="55" xfId="47" applyNumberFormat="1" applyFont="1" applyBorder="1"/>
    <xf numFmtId="44" fontId="12" fillId="0" borderId="13" xfId="47" applyNumberFormat="1" applyFont="1" applyBorder="1"/>
    <xf numFmtId="44" fontId="12" fillId="0" borderId="51" xfId="2" applyFont="1" applyFill="1" applyBorder="1"/>
    <xf numFmtId="44" fontId="12" fillId="0" borderId="13" xfId="721" applyNumberFormat="1" applyFont="1" applyBorder="1"/>
    <xf numFmtId="44" fontId="12" fillId="0" borderId="13" xfId="2" applyFont="1" applyFill="1" applyBorder="1" applyAlignment="1">
      <alignment vertical="center"/>
    </xf>
    <xf numFmtId="0" fontId="109" fillId="0" borderId="0" xfId="0" applyFont="1"/>
    <xf numFmtId="0" fontId="12" fillId="0" borderId="71" xfId="0" applyFont="1" applyBorder="1"/>
    <xf numFmtId="44" fontId="12" fillId="0" borderId="72" xfId="2" applyFont="1" applyFill="1" applyBorder="1"/>
    <xf numFmtId="44" fontId="12" fillId="0" borderId="72" xfId="2" applyFont="1" applyFill="1" applyBorder="1" applyAlignment="1">
      <alignment horizontal="center"/>
    </xf>
    <xf numFmtId="10" fontId="12" fillId="0" borderId="62" xfId="0" applyNumberFormat="1" applyFont="1" applyBorder="1" applyAlignment="1">
      <alignment horizontal="center" vertical="center"/>
    </xf>
    <xf numFmtId="10" fontId="12" fillId="0" borderId="62" xfId="1624" applyNumberFormat="1" applyFont="1" applyFill="1" applyBorder="1" applyAlignment="1">
      <alignment horizontal="center"/>
    </xf>
    <xf numFmtId="44" fontId="12" fillId="0" borderId="71" xfId="2" applyFont="1" applyFill="1" applyBorder="1"/>
    <xf numFmtId="10" fontId="12" fillId="0" borderId="69" xfId="721" applyNumberFormat="1" applyFont="1" applyBorder="1" applyAlignment="1">
      <alignment horizontal="center"/>
    </xf>
    <xf numFmtId="10" fontId="12" fillId="0" borderId="62" xfId="1" applyNumberFormat="1" applyFont="1" applyFill="1" applyBorder="1" applyAlignment="1">
      <alignment horizontal="center"/>
    </xf>
    <xf numFmtId="10" fontId="12" fillId="0" borderId="62" xfId="721" applyNumberFormat="1" applyFont="1" applyBorder="1" applyAlignment="1">
      <alignment horizontal="center"/>
    </xf>
    <xf numFmtId="44" fontId="109" fillId="0" borderId="13" xfId="2" applyFont="1" applyFill="1" applyBorder="1" applyAlignment="1">
      <alignment horizontal="center"/>
    </xf>
    <xf numFmtId="0" fontId="12" fillId="0" borderId="52" xfId="720" applyFont="1" applyBorder="1" applyAlignment="1">
      <alignment horizontal="center"/>
    </xf>
    <xf numFmtId="0" fontId="12" fillId="0" borderId="20" xfId="720" applyFont="1" applyBorder="1" applyAlignment="1">
      <alignment horizontal="center"/>
    </xf>
    <xf numFmtId="0" fontId="12" fillId="0" borderId="48" xfId="720" applyFont="1" applyBorder="1" applyAlignment="1">
      <alignment horizontal="center"/>
    </xf>
    <xf numFmtId="44" fontId="12" fillId="0" borderId="13" xfId="387" applyFont="1" applyFill="1" applyBorder="1" applyAlignment="1">
      <alignment horizontal="right"/>
    </xf>
    <xf numFmtId="44" fontId="158" fillId="83" borderId="19" xfId="2" applyFont="1" applyFill="1" applyBorder="1" applyAlignment="1">
      <alignment horizontal="center"/>
    </xf>
    <xf numFmtId="0" fontId="11" fillId="83" borderId="70" xfId="721" applyFont="1" applyFill="1" applyBorder="1" applyAlignment="1">
      <alignment horizontal="center"/>
    </xf>
    <xf numFmtId="0" fontId="11" fillId="83" borderId="67" xfId="721" applyFont="1" applyFill="1" applyBorder="1" applyAlignment="1">
      <alignment horizontal="center"/>
    </xf>
    <xf numFmtId="0" fontId="11" fillId="83" borderId="56" xfId="720" applyFont="1" applyFill="1" applyBorder="1" applyAlignment="1">
      <alignment horizontal="center"/>
    </xf>
    <xf numFmtId="0" fontId="11" fillId="83" borderId="8" xfId="720" applyFont="1" applyFill="1" applyBorder="1" applyAlignment="1">
      <alignment horizontal="center"/>
    </xf>
    <xf numFmtId="0" fontId="11" fillId="83" borderId="57" xfId="720" applyFont="1" applyFill="1" applyBorder="1" applyAlignment="1">
      <alignment horizontal="center"/>
    </xf>
    <xf numFmtId="0" fontId="11" fillId="0" borderId="0" xfId="720" applyFont="1" applyAlignment="1">
      <alignment horizontal="center"/>
    </xf>
  </cellXfs>
  <cellStyles count="42418">
    <cellStyle name="_x0013_" xfId="1738" xr:uid="{00000000-0005-0000-0000-000000000000}"/>
    <cellStyle name="_x0013_ 2" xfId="25646" xr:uid="{00000000-0005-0000-0000-000001000000}"/>
    <cellStyle name="_x0013_ 2 2" xfId="25647" xr:uid="{00000000-0005-0000-0000-000002000000}"/>
    <cellStyle name="_x0013_ 3" xfId="25648" xr:uid="{00000000-0005-0000-0000-000003000000}"/>
    <cellStyle name="_x0013_ 4" xfId="25649" xr:uid="{00000000-0005-0000-0000-000004000000}"/>
    <cellStyle name="_x0013__2012-ETn-CS-MDS-16-Northeast Grid-PEEM CWIP in RB 10-7-2011 CRC" xfId="25650" xr:uid="{00000000-0005-0000-0000-000005000000}"/>
    <cellStyle name="_x0013__2013 ED Capital Projects By Month" xfId="25651" xr:uid="{00000000-0005-0000-0000-000006000000}"/>
    <cellStyle name="_x0013__Input" xfId="25652" xr:uid="{00000000-0005-0000-0000-000007000000}"/>
    <cellStyle name="_x0013__TPIS Report_April_2013" xfId="25653" xr:uid="{00000000-0005-0000-0000-000008000000}"/>
    <cellStyle name="_x0013__TPIS Report_February_2013Ver2" xfId="25654" xr:uid="{00000000-0005-0000-0000-000009000000}"/>
    <cellStyle name="_x0013__TPIS Report_May_2013-v2 (2)" xfId="25655" xr:uid="{00000000-0005-0000-0000-00000A000000}"/>
    <cellStyle name="_x0013__TPIS TLC_Gloria File" xfId="25656" xr:uid="{00000000-0005-0000-0000-00000B000000}"/>
    <cellStyle name="_x0013__TPIS TLC_Gloria File rev2" xfId="25657" xr:uid="{00000000-0005-0000-0000-00000C000000}"/>
    <cellStyle name="_x0013__TPIS TLC_Gloria File rev2 (3)" xfId="25658" xr:uid="{00000000-0005-0000-0000-00000D000000}"/>
    <cellStyle name="¢ Currency [1]" xfId="4" xr:uid="{00000000-0005-0000-0000-00000E000000}"/>
    <cellStyle name="¢ Currency [1] 2" xfId="32584" xr:uid="{7EDA4D9F-D1AB-4FC1-933C-836544A02FC3}"/>
    <cellStyle name="¢ Currency [2]" xfId="5" xr:uid="{00000000-0005-0000-0000-00000F000000}"/>
    <cellStyle name="¢ Currency [2] 2" xfId="32587" xr:uid="{26619C20-3950-4DC0-9982-812A292440E0}"/>
    <cellStyle name="¢ Currency [3]" xfId="6" xr:uid="{00000000-0005-0000-0000-000010000000}"/>
    <cellStyle name="¢ Currency [3] 2" xfId="32582" xr:uid="{B2AD96F0-6C4D-4EA4-B50E-0AF019818511}"/>
    <cellStyle name="£ Currency [0]" xfId="7" xr:uid="{00000000-0005-0000-0000-000011000000}"/>
    <cellStyle name="£ Currency [0] 2" xfId="32583" xr:uid="{7477BB8B-3BCA-4F33-8FCF-BAAF0E25FFB7}"/>
    <cellStyle name="£ Currency [1]" xfId="8" xr:uid="{00000000-0005-0000-0000-000012000000}"/>
    <cellStyle name="£ Currency [1] 2" xfId="32581" xr:uid="{D57E9AAF-2043-4E76-AF7E-5542A2A40BAB}"/>
    <cellStyle name="£ Currency [2]" xfId="9" xr:uid="{00000000-0005-0000-0000-000013000000}"/>
    <cellStyle name="£ Currency [2] 2" xfId="32600" xr:uid="{DB59F8BD-506A-4808-B20C-BCCE481A9204}"/>
    <cellStyle name="=C:\WINNT35\SYSTEM32\COMMAND.COM" xfId="10" xr:uid="{00000000-0005-0000-0000-000014000000}"/>
    <cellStyle name="20% - Accent1 10" xfId="32787" xr:uid="{A391BD35-1182-41F7-919C-613F7B055FD1}"/>
    <cellStyle name="20% - Accent1 11" xfId="42109" xr:uid="{10898B99-EB40-4EAB-A811-C67E81E9B687}"/>
    <cellStyle name="20% - Accent1 12" xfId="42351" xr:uid="{4D556476-575F-4BE4-AF5F-54621D989A4F}"/>
    <cellStyle name="20% - Accent1 13" xfId="42393" xr:uid="{AC180185-EBE0-428D-AE54-C6F0270B2D69}"/>
    <cellStyle name="20% - Accent1 14" xfId="32793" xr:uid="{BC89D1A4-68EA-4ABF-A694-9C8834CBE3BC}"/>
    <cellStyle name="20% - Accent1 15" xfId="32744" xr:uid="{A5B4A38B-E4B0-4186-9C68-B97C01F7F2E6}"/>
    <cellStyle name="20% - Accent1 16" xfId="42354" xr:uid="{CEF34B13-928E-4967-A1EC-645D6563F532}"/>
    <cellStyle name="20% - Accent1 17" xfId="42017" xr:uid="{9E3C75E3-6691-47D1-98BB-B45E9939BA59}"/>
    <cellStyle name="20% - Accent1 18" xfId="34308" xr:uid="{9399EC16-FD9F-4AB8-B640-224FF9273F8C}"/>
    <cellStyle name="20% - Accent1 19" xfId="34300" xr:uid="{4CFAAAAF-3F04-4967-A41D-4B445A349203}"/>
    <cellStyle name="20% - Accent1 2" xfId="11" xr:uid="{00000000-0005-0000-0000-000015000000}"/>
    <cellStyle name="20% - Accent1 2 2" xfId="12" xr:uid="{00000000-0005-0000-0000-000016000000}"/>
    <cellStyle name="20% - Accent1 2 2 2" xfId="25661" xr:uid="{00000000-0005-0000-0000-000017000000}"/>
    <cellStyle name="20% - Accent1 2 2 2 2" xfId="25992" xr:uid="{00000000-0005-0000-0000-000018000000}"/>
    <cellStyle name="20% - Accent1 2 2 3" xfId="25662" xr:uid="{00000000-0005-0000-0000-000019000000}"/>
    <cellStyle name="20% - Accent1 2 2 4" xfId="25663" xr:uid="{00000000-0005-0000-0000-00001A000000}"/>
    <cellStyle name="20% - Accent1 2 2 5" xfId="25660" xr:uid="{00000000-0005-0000-0000-00001B000000}"/>
    <cellStyle name="20% - Accent1 2 2 6" xfId="33277" xr:uid="{EAE0F131-C2DA-4490-91B0-28AB067EBFF2}"/>
    <cellStyle name="20% - Accent1 2 2 7" xfId="34275" xr:uid="{E7278405-C6C8-43D1-8CF5-50306E676194}"/>
    <cellStyle name="20% - Accent1 2 3" xfId="25664" xr:uid="{00000000-0005-0000-0000-00001C000000}"/>
    <cellStyle name="20% - Accent1 2 3 2" xfId="25993" xr:uid="{00000000-0005-0000-0000-00001D000000}"/>
    <cellStyle name="20% - Accent1 2 3 3" xfId="34309" xr:uid="{3211513E-2BBE-49FB-87A7-54A75A9F9C4C}"/>
    <cellStyle name="20% - Accent1 2 4" xfId="25665" xr:uid="{00000000-0005-0000-0000-00001E000000}"/>
    <cellStyle name="20% - Accent1 2 5" xfId="25666" xr:uid="{00000000-0005-0000-0000-00001F000000}"/>
    <cellStyle name="20% - Accent1 2 6" xfId="26192" xr:uid="{00000000-0005-0000-0000-000020000000}"/>
    <cellStyle name="20% - Accent1 2 7" xfId="25659" xr:uid="{00000000-0005-0000-0000-000021000000}"/>
    <cellStyle name="20% - Accent1 2 8" xfId="32800" xr:uid="{11BBD0FC-D8B0-44A1-8404-9D7B08859F3F}"/>
    <cellStyle name="20% - Accent1 2 9" xfId="42262" xr:uid="{1F963C7B-5B83-476E-9164-7BE664C09088}"/>
    <cellStyle name="20% - Accent1 3" xfId="26634" xr:uid="{00000000-0005-0000-0000-000022000000}"/>
    <cellStyle name="20% - Accent1 3 2" xfId="33278" xr:uid="{6B2A03CB-FBF5-480E-8CED-F3AD316DED8A}"/>
    <cellStyle name="20% - Accent1 3 2 2" xfId="42384" xr:uid="{D3F8B768-0876-4639-AA67-1950A957254A}"/>
    <cellStyle name="20% - Accent1 4" xfId="26635" xr:uid="{00000000-0005-0000-0000-000023000000}"/>
    <cellStyle name="20% - Accent1 4 2" xfId="33279" xr:uid="{9DFFAE4B-415D-41EF-B8DF-868904865D4B}"/>
    <cellStyle name="20% - Accent1 4 2 2" xfId="42401" xr:uid="{61C601E8-16A9-4CC0-B9D2-27E6D152E0B7}"/>
    <cellStyle name="20% - Accent1 4 3" xfId="32755" xr:uid="{EC3A2FC1-1432-41ED-813E-4FA505435D2A}"/>
    <cellStyle name="20% - Accent1 5" xfId="26636" xr:uid="{00000000-0005-0000-0000-000024000000}"/>
    <cellStyle name="20% - Accent1 5 2" xfId="26637" xr:uid="{00000000-0005-0000-0000-000025000000}"/>
    <cellStyle name="20% - Accent1 5 2 2" xfId="26638" xr:uid="{00000000-0005-0000-0000-000026000000}"/>
    <cellStyle name="20% - Accent1 5 2 2 2" xfId="33282" xr:uid="{D1B59407-D51B-4F07-8409-DBC4E2088E67}"/>
    <cellStyle name="20% - Accent1 5 2 3" xfId="26639" xr:uid="{00000000-0005-0000-0000-000027000000}"/>
    <cellStyle name="20% - Accent1 5 2 3 2" xfId="33283" xr:uid="{0B146483-2359-41DC-A481-F416925C799B}"/>
    <cellStyle name="20% - Accent1 5 2 4" xfId="33281" xr:uid="{A6E50BDA-4306-416C-81F2-063A40E2171C}"/>
    <cellStyle name="20% - Accent1 5 3" xfId="26640" xr:uid="{00000000-0005-0000-0000-000028000000}"/>
    <cellStyle name="20% - Accent1 5 3 2" xfId="33284" xr:uid="{0C117D81-9507-443A-91B2-9E1ECD03C9E4}"/>
    <cellStyle name="20% - Accent1 5 4" xfId="26641" xr:uid="{00000000-0005-0000-0000-000029000000}"/>
    <cellStyle name="20% - Accent1 5 4 2" xfId="33285" xr:uid="{514023D6-84CE-49C3-87CC-D87CE81004A8}"/>
    <cellStyle name="20% - Accent1 5 5" xfId="26642" xr:uid="{00000000-0005-0000-0000-00002A000000}"/>
    <cellStyle name="20% - Accent1 5 5 2" xfId="33286" xr:uid="{D23C547C-0503-4336-876A-5019E2E1A92F}"/>
    <cellStyle name="20% - Accent1 5 6" xfId="33280" xr:uid="{72EC1E6C-75D3-40CC-A861-B37EED877695}"/>
    <cellStyle name="20% - Accent1 5 7" xfId="42366" xr:uid="{EFAC5ED7-8ADC-43F9-9E90-60EEA1F6DFC8}"/>
    <cellStyle name="20% - Accent1 6" xfId="26643" xr:uid="{00000000-0005-0000-0000-00002B000000}"/>
    <cellStyle name="20% - Accent1 6 2" xfId="33287" xr:uid="{22B87BA1-1161-4A9D-BA37-FAC8A4C8AF68}"/>
    <cellStyle name="20% - Accent1 6 3" xfId="42103" xr:uid="{A2E38D07-3CB6-4FF2-97CD-7EC4C8CE8AAF}"/>
    <cellStyle name="20% - Accent1 7" xfId="26644" xr:uid="{00000000-0005-0000-0000-00002C000000}"/>
    <cellStyle name="20% - Accent1 7 2" xfId="33288" xr:uid="{E1484F50-C959-4EF3-B771-177B26D46539}"/>
    <cellStyle name="20% - Accent1 7 3" xfId="42395" xr:uid="{7316A332-1CF7-4222-A5F8-68E4C24C4084}"/>
    <cellStyle name="20% - Accent1 8" xfId="26645" xr:uid="{00000000-0005-0000-0000-00002D000000}"/>
    <cellStyle name="20% - Accent1 8 2" xfId="33289" xr:uid="{C387B759-6BD9-4E4F-89D4-8348C1DF7122}"/>
    <cellStyle name="20% - Accent1 8 3" xfId="32964" xr:uid="{8BD20887-6FBA-4B7E-885C-24F458B655A1}"/>
    <cellStyle name="20% - Accent1 9" xfId="26646" xr:uid="{00000000-0005-0000-0000-00002E000000}"/>
    <cellStyle name="20% - Accent1 9 2" xfId="33290" xr:uid="{41D921C7-A987-4E05-8272-52B58D1EAF74}"/>
    <cellStyle name="20% - Accent1 9 3" xfId="32619" xr:uid="{BD1AEA45-9C38-4BE4-A1CF-A78835508BBC}"/>
    <cellStyle name="20% - Accent2 10" xfId="42322" xr:uid="{1D8FF09B-4D18-4FDF-8FA9-E232573D3F34}"/>
    <cellStyle name="20% - Accent2 11" xfId="32788" xr:uid="{9D23DEC6-958B-4C1D-89F7-2C512DE827D9}"/>
    <cellStyle name="20% - Accent2 12" xfId="42400" xr:uid="{F06A244E-A910-488E-B2A8-5CCD0CF470E5}"/>
    <cellStyle name="20% - Accent2 13" xfId="42297" xr:uid="{7299AA53-9B9A-46C8-A2DE-AF9DF386D392}"/>
    <cellStyle name="20% - Accent2 14" xfId="32745" xr:uid="{195CEBBD-C384-4DE9-B04D-A7708F1B85CD}"/>
    <cellStyle name="20% - Accent2 15" xfId="42368" xr:uid="{507BD1C2-B042-49B1-9A3B-0274A975CBA9}"/>
    <cellStyle name="20% - Accent2 16" xfId="42403" xr:uid="{A84B2D16-9B6B-40E3-8410-3528F81919B9}"/>
    <cellStyle name="20% - Accent2 17" xfId="42343" xr:uid="{CA809AB8-9C1D-48BC-8CDB-6323550A17B4}"/>
    <cellStyle name="20% - Accent2 18" xfId="34310" xr:uid="{2CD89319-52A1-4F75-BBDE-0FA998DD7445}"/>
    <cellStyle name="20% - Accent2 19" xfId="32680" xr:uid="{EE7EF4D9-EE95-4675-A6FA-A5ED17A331EA}"/>
    <cellStyle name="20% - Accent2 2" xfId="13" xr:uid="{00000000-0005-0000-0000-00002F000000}"/>
    <cellStyle name="20% - Accent2 2 2" xfId="14" xr:uid="{00000000-0005-0000-0000-000030000000}"/>
    <cellStyle name="20% - Accent2 2 2 2" xfId="25669" xr:uid="{00000000-0005-0000-0000-000031000000}"/>
    <cellStyle name="20% - Accent2 2 2 2 2" xfId="25994" xr:uid="{00000000-0005-0000-0000-000032000000}"/>
    <cellStyle name="20% - Accent2 2 2 3" xfId="25670" xr:uid="{00000000-0005-0000-0000-000033000000}"/>
    <cellStyle name="20% - Accent2 2 2 4" xfId="25671" xr:uid="{00000000-0005-0000-0000-000034000000}"/>
    <cellStyle name="20% - Accent2 2 2 5" xfId="25668" xr:uid="{00000000-0005-0000-0000-000035000000}"/>
    <cellStyle name="20% - Accent2 2 2 6" xfId="33291" xr:uid="{34101D67-3F7C-439F-8CA3-ED3BC1AD3467}"/>
    <cellStyle name="20% - Accent2 2 2 7" xfId="42004" xr:uid="{A7154DFC-3F2E-4083-923B-3F0F193518EA}"/>
    <cellStyle name="20% - Accent2 2 3" xfId="25672" xr:uid="{00000000-0005-0000-0000-000036000000}"/>
    <cellStyle name="20% - Accent2 2 3 2" xfId="25995" xr:uid="{00000000-0005-0000-0000-000037000000}"/>
    <cellStyle name="20% - Accent2 2 3 3" xfId="32683" xr:uid="{57BA911D-8903-4A36-8D54-31B13F03AB9E}"/>
    <cellStyle name="20% - Accent2 2 4" xfId="25673" xr:uid="{00000000-0005-0000-0000-000038000000}"/>
    <cellStyle name="20% - Accent2 2 5" xfId="25674" xr:uid="{00000000-0005-0000-0000-000039000000}"/>
    <cellStyle name="20% - Accent2 2 6" xfId="26193" xr:uid="{00000000-0005-0000-0000-00003A000000}"/>
    <cellStyle name="20% - Accent2 2 7" xfId="25667" xr:uid="{00000000-0005-0000-0000-00003B000000}"/>
    <cellStyle name="20% - Accent2 2 8" xfId="32801" xr:uid="{50A3EC1E-A8AB-45E2-84CF-3045DBC26270}"/>
    <cellStyle name="20% - Accent2 2 9" xfId="42261" xr:uid="{D3326F17-CCC4-45A6-92CB-31714466E4B9}"/>
    <cellStyle name="20% - Accent2 3" xfId="26647" xr:uid="{00000000-0005-0000-0000-00003C000000}"/>
    <cellStyle name="20% - Accent2 3 2" xfId="33292" xr:uid="{22D9583A-B344-44C0-871B-801BF1F5898F}"/>
    <cellStyle name="20% - Accent2 3 2 2" xfId="41991" xr:uid="{52510D1E-4AE1-4D82-B534-EB5BBF066C09}"/>
    <cellStyle name="20% - Accent2 4" xfId="26648" xr:uid="{00000000-0005-0000-0000-00003D000000}"/>
    <cellStyle name="20% - Accent2 4 2" xfId="33293" xr:uid="{2FD74BB7-4BCE-47A4-811F-E80F457EBEBD}"/>
    <cellStyle name="20% - Accent2 4 2 2" xfId="42304" xr:uid="{2D8330D2-557F-4722-9214-FFE5FEA961B3}"/>
    <cellStyle name="20% - Accent2 4 3" xfId="34295" xr:uid="{7A293650-B9E3-4A95-93BC-F00285394072}"/>
    <cellStyle name="20% - Accent2 5" xfId="26649" xr:uid="{00000000-0005-0000-0000-00003E000000}"/>
    <cellStyle name="20% - Accent2 5 2" xfId="26650" xr:uid="{00000000-0005-0000-0000-00003F000000}"/>
    <cellStyle name="20% - Accent2 5 2 2" xfId="26651" xr:uid="{00000000-0005-0000-0000-000040000000}"/>
    <cellStyle name="20% - Accent2 5 2 2 2" xfId="33296" xr:uid="{9E35AC1E-4947-4E33-9726-A2DA5081FA2E}"/>
    <cellStyle name="20% - Accent2 5 2 3" xfId="26652" xr:uid="{00000000-0005-0000-0000-000041000000}"/>
    <cellStyle name="20% - Accent2 5 2 3 2" xfId="33297" xr:uid="{854138B8-97D4-4B1E-A6BF-9E8796D1C329}"/>
    <cellStyle name="20% - Accent2 5 2 4" xfId="33295" xr:uid="{C5C4F53A-53EF-45C5-AD65-B66EE6E2082B}"/>
    <cellStyle name="20% - Accent2 5 3" xfId="26653" xr:uid="{00000000-0005-0000-0000-000042000000}"/>
    <cellStyle name="20% - Accent2 5 3 2" xfId="33298" xr:uid="{426F80FD-A0DC-4440-BBE5-396DE02B0B41}"/>
    <cellStyle name="20% - Accent2 5 4" xfId="26654" xr:uid="{00000000-0005-0000-0000-000043000000}"/>
    <cellStyle name="20% - Accent2 5 4 2" xfId="33299" xr:uid="{1D422817-BBE3-45B8-9EAC-85C0CC0D809E}"/>
    <cellStyle name="20% - Accent2 5 5" xfId="26655" xr:uid="{00000000-0005-0000-0000-000044000000}"/>
    <cellStyle name="20% - Accent2 5 5 2" xfId="33300" xr:uid="{31E3B6C0-8383-440D-9839-7AF0351891F7}"/>
    <cellStyle name="20% - Accent2 5 6" xfId="33294" xr:uid="{AD323D4F-9DAD-4770-86EA-0B9AE8D4F88F}"/>
    <cellStyle name="20% - Accent2 5 7" xfId="42414" xr:uid="{CFD489CD-8EEE-446D-9514-9742FCA62FC1}"/>
    <cellStyle name="20% - Accent2 6" xfId="26656" xr:uid="{00000000-0005-0000-0000-000045000000}"/>
    <cellStyle name="20% - Accent2 6 2" xfId="33301" xr:uid="{1D8A7D40-86B4-46CA-8292-AD8867227214}"/>
    <cellStyle name="20% - Accent2 6 3" xfId="42281" xr:uid="{C5D7782C-44CD-4439-B6DE-491D2A1CDA39}"/>
    <cellStyle name="20% - Accent2 7" xfId="26657" xr:uid="{00000000-0005-0000-0000-000046000000}"/>
    <cellStyle name="20% - Accent2 7 2" xfId="33302" xr:uid="{3088193A-D7BD-4D78-97DE-F7B75CDACE8E}"/>
    <cellStyle name="20% - Accent2 7 3" xfId="32849" xr:uid="{C2A65ABB-FF71-4CED-BCAA-1E757E38E85A}"/>
    <cellStyle name="20% - Accent2 8" xfId="26658" xr:uid="{00000000-0005-0000-0000-000047000000}"/>
    <cellStyle name="20% - Accent2 8 2" xfId="33303" xr:uid="{19905A58-470E-4557-AD10-0FF08A0D83E8}"/>
    <cellStyle name="20% - Accent2 8 3" xfId="33573" xr:uid="{5E5802F6-FD30-4989-83DF-DC9BB02D2379}"/>
    <cellStyle name="20% - Accent2 9" xfId="26659" xr:uid="{00000000-0005-0000-0000-000048000000}"/>
    <cellStyle name="20% - Accent2 9 2" xfId="33304" xr:uid="{508BE0F4-0F33-48EB-B424-9DA5FB44B9A1}"/>
    <cellStyle name="20% - Accent2 9 3" xfId="42350" xr:uid="{054E0BE6-9D41-419D-B832-475A81E480F4}"/>
    <cellStyle name="20% - Accent3 10" xfId="42043" xr:uid="{3C8EE037-322C-480E-8F6F-6A00A50A707D}"/>
    <cellStyle name="20% - Accent3 11" xfId="32618" xr:uid="{B7243A81-255F-4679-865A-0459383CD340}"/>
    <cellStyle name="20% - Accent3 12" xfId="42303" xr:uid="{30A4FD83-38CE-4590-9DEE-D5BA0D821B07}"/>
    <cellStyle name="20% - Accent3 13" xfId="42015" xr:uid="{7BDE0456-B9F3-44AB-9BEA-EFE149B9A643}"/>
    <cellStyle name="20% - Accent3 14" xfId="42148" xr:uid="{42881675-1ADF-4F83-BCB0-F0034CDC6B8C}"/>
    <cellStyle name="20% - Accent3 15" xfId="42290" xr:uid="{41BC0E31-7300-4685-B374-708C45153E56}"/>
    <cellStyle name="20% - Accent3 16" xfId="42306" xr:uid="{895CFA18-0EE5-41FD-AE89-3C8ACFC9C22B}"/>
    <cellStyle name="20% - Accent3 17" xfId="42392" xr:uid="{23164EE2-54ED-47C4-9CE2-64B7B8F66ECE}"/>
    <cellStyle name="20% - Accent3 18" xfId="32684" xr:uid="{03513BD9-A8EE-4730-ACE2-BE675D11BD31}"/>
    <cellStyle name="20% - Accent3 19" xfId="32847" xr:uid="{1626268D-75D5-4B66-A983-0D7B281B9FD3}"/>
    <cellStyle name="20% - Accent3 2" xfId="15" xr:uid="{00000000-0005-0000-0000-000049000000}"/>
    <cellStyle name="20% - Accent3 2 2" xfId="16" xr:uid="{00000000-0005-0000-0000-00004A000000}"/>
    <cellStyle name="20% - Accent3 2 2 2" xfId="25676" xr:uid="{00000000-0005-0000-0000-00004B000000}"/>
    <cellStyle name="20% - Accent3 2 2 2 2" xfId="25996" xr:uid="{00000000-0005-0000-0000-00004C000000}"/>
    <cellStyle name="20% - Accent3 2 2 3" xfId="25677" xr:uid="{00000000-0005-0000-0000-00004D000000}"/>
    <cellStyle name="20% - Accent3 2 2 4" xfId="25678" xr:uid="{00000000-0005-0000-0000-00004E000000}"/>
    <cellStyle name="20% - Accent3 2 2 5" xfId="25675" xr:uid="{00000000-0005-0000-0000-00004F000000}"/>
    <cellStyle name="20% - Accent3 2 2 6" xfId="33305" xr:uid="{9FCC440E-63CE-4AAA-8019-27C449852432}"/>
    <cellStyle name="20% - Accent3 2 2 7" xfId="42012" xr:uid="{4460D686-FE74-4C5B-B599-ED33DF1A8C88}"/>
    <cellStyle name="20% - Accent3 2 3" xfId="25679" xr:uid="{00000000-0005-0000-0000-000050000000}"/>
    <cellStyle name="20% - Accent3 2 3 2" xfId="25997" xr:uid="{00000000-0005-0000-0000-000051000000}"/>
    <cellStyle name="20% - Accent3 2 3 3" xfId="32747" xr:uid="{7517EBC1-9353-4981-BEFB-08E8A44627E7}"/>
    <cellStyle name="20% - Accent3 2 4" xfId="25680" xr:uid="{00000000-0005-0000-0000-000052000000}"/>
    <cellStyle name="20% - Accent3 2 5" xfId="25681" xr:uid="{00000000-0005-0000-0000-000053000000}"/>
    <cellStyle name="20% - Accent3 2 6" xfId="26194" xr:uid="{00000000-0005-0000-0000-000054000000}"/>
    <cellStyle name="20% - Accent3 2 7" xfId="32802" xr:uid="{CC4AD477-0879-46A0-97E6-400F57F5C76B}"/>
    <cellStyle name="20% - Accent3 2 8" xfId="42260" xr:uid="{16BA1804-E540-4BB0-B8EB-6CDBAC19DFBC}"/>
    <cellStyle name="20% - Accent3 3" xfId="26660" xr:uid="{00000000-0005-0000-0000-000055000000}"/>
    <cellStyle name="20% - Accent3 3 2" xfId="33306" xr:uid="{9B0EEBCC-4EC9-467B-9830-925A93C0595B}"/>
    <cellStyle name="20% - Accent3 3 2 2" xfId="42079" xr:uid="{E1A3E0D2-14FB-4933-AB77-67CF8813A598}"/>
    <cellStyle name="20% - Accent3 4" xfId="26661" xr:uid="{00000000-0005-0000-0000-000056000000}"/>
    <cellStyle name="20% - Accent3 4 2" xfId="33307" xr:uid="{72D91210-0E21-4197-8E13-0F7E1E7BAA2D}"/>
    <cellStyle name="20% - Accent3 4 2 2" xfId="42021" xr:uid="{C10B88FA-21C8-4385-BC23-F7B183452CD2}"/>
    <cellStyle name="20% - Accent3 4 3" xfId="32753" xr:uid="{318DBD01-0E9D-4399-9B65-1FF6A03489E3}"/>
    <cellStyle name="20% - Accent3 5" xfId="26662" xr:uid="{00000000-0005-0000-0000-000057000000}"/>
    <cellStyle name="20% - Accent3 5 2" xfId="26663" xr:uid="{00000000-0005-0000-0000-000058000000}"/>
    <cellStyle name="20% - Accent3 5 2 2" xfId="26664" xr:uid="{00000000-0005-0000-0000-000059000000}"/>
    <cellStyle name="20% - Accent3 5 2 2 2" xfId="33310" xr:uid="{510D9078-CF45-4B73-9087-D4392987A54C}"/>
    <cellStyle name="20% - Accent3 5 2 3" xfId="26665" xr:uid="{00000000-0005-0000-0000-00005A000000}"/>
    <cellStyle name="20% - Accent3 5 2 3 2" xfId="33311" xr:uid="{DC8EE9F2-4A90-4E59-8F31-35151B814642}"/>
    <cellStyle name="20% - Accent3 5 2 4" xfId="33309" xr:uid="{38F83707-0072-4305-93FC-7DE958B35211}"/>
    <cellStyle name="20% - Accent3 5 3" xfId="26666" xr:uid="{00000000-0005-0000-0000-00005B000000}"/>
    <cellStyle name="20% - Accent3 5 3 2" xfId="33312" xr:uid="{42D40242-2764-46D9-94D9-97FF33D88218}"/>
    <cellStyle name="20% - Accent3 5 4" xfId="26667" xr:uid="{00000000-0005-0000-0000-00005C000000}"/>
    <cellStyle name="20% - Accent3 5 4 2" xfId="33313" xr:uid="{0212B3B1-DA88-4706-B95B-241FC8097CC9}"/>
    <cellStyle name="20% - Accent3 5 5" xfId="26668" xr:uid="{00000000-0005-0000-0000-00005D000000}"/>
    <cellStyle name="20% - Accent3 5 5 2" xfId="33314" xr:uid="{651FD52F-0D81-4413-98D6-03EB1C38711E}"/>
    <cellStyle name="20% - Accent3 5 6" xfId="33308" xr:uid="{EC36A7F7-C120-4694-857F-5EE7FE0142BC}"/>
    <cellStyle name="20% - Accent3 5 7" xfId="42319" xr:uid="{3CC1396E-E7B0-4A1A-8196-C75EC26A79CB}"/>
    <cellStyle name="20% - Accent3 6" xfId="26669" xr:uid="{00000000-0005-0000-0000-00005E000000}"/>
    <cellStyle name="20% - Accent3 6 2" xfId="33315" xr:uid="{909466BC-9E58-444C-A96F-7139C62818A3}"/>
    <cellStyle name="20% - Accent3 6 3" xfId="42330" xr:uid="{695F9792-6C24-4367-853C-FFACDADEEC70}"/>
    <cellStyle name="20% - Accent3 7" xfId="26670" xr:uid="{00000000-0005-0000-0000-00005F000000}"/>
    <cellStyle name="20% - Accent3 7 2" xfId="33316" xr:uid="{36861656-7570-472C-BB92-ECDCC05CD2BC}"/>
    <cellStyle name="20% - Accent3 7 3" xfId="34213" xr:uid="{2BB787B1-E1B1-46D2-998F-065E60854928}"/>
    <cellStyle name="20% - Accent3 8" xfId="26671" xr:uid="{00000000-0005-0000-0000-000060000000}"/>
    <cellStyle name="20% - Accent3 8 2" xfId="33317" xr:uid="{E6DF8D26-F8C1-44AA-AE81-53E31609173F}"/>
    <cellStyle name="20% - Accent3 8 3" xfId="32631" xr:uid="{EB455EB5-9962-41E9-B64D-EB399ADEF809}"/>
    <cellStyle name="20% - Accent3 9" xfId="26672" xr:uid="{00000000-0005-0000-0000-000061000000}"/>
    <cellStyle name="20% - Accent3 9 2" xfId="33318" xr:uid="{A32AF2EC-8CB8-4A01-A329-FEF6B54747F1}"/>
    <cellStyle name="20% - Accent3 9 3" xfId="42399" xr:uid="{0C6AD369-9045-44D4-B4B8-7BCC7BE861CF}"/>
    <cellStyle name="20% - Accent4 10" xfId="42090" xr:uid="{0DB04F97-A5F5-45D3-BF38-DD2C98E8D402}"/>
    <cellStyle name="20% - Accent4 11" xfId="42078" xr:uid="{DEEE5B4C-09D0-44F9-9A75-F0448F3AD661}"/>
    <cellStyle name="20% - Accent4 12" xfId="42020" xr:uid="{926EB8EF-BB95-45D7-BA67-5EC479A3A938}"/>
    <cellStyle name="20% - Accent4 13" xfId="42084" xr:uid="{DD5FB4C1-C845-4EF7-955A-3AB43F413EAF}"/>
    <cellStyle name="20% - Accent4 14" xfId="42145" xr:uid="{B78F9019-2A7C-43AC-BA91-81E74AE34FE1}"/>
    <cellStyle name="20% - Accent4 15" xfId="42338" xr:uid="{5B4CB6B5-52AC-4A4F-B931-54C3728D0FFB}"/>
    <cellStyle name="20% - Accent4 16" xfId="42023" xr:uid="{73CFFE89-E157-4FEC-9EC7-16A80458DDD8}"/>
    <cellStyle name="20% - Accent4 17" xfId="42296" xr:uid="{63B08E7E-F630-4B08-A5C8-3FAAED988B75}"/>
    <cellStyle name="20% - Accent4 18" xfId="32835" xr:uid="{F0E488F0-4380-40A2-B514-2EA8797BACAC}"/>
    <cellStyle name="20% - Accent4 19" xfId="34302" xr:uid="{AE577A8F-C782-4835-8447-40A177BCF001}"/>
    <cellStyle name="20% - Accent4 2" xfId="17" xr:uid="{00000000-0005-0000-0000-000062000000}"/>
    <cellStyle name="20% - Accent4 2 2" xfId="18" xr:uid="{00000000-0005-0000-0000-000063000000}"/>
    <cellStyle name="20% - Accent4 2 2 2" xfId="25684" xr:uid="{00000000-0005-0000-0000-000064000000}"/>
    <cellStyle name="20% - Accent4 2 2 2 2" xfId="25998" xr:uid="{00000000-0005-0000-0000-000065000000}"/>
    <cellStyle name="20% - Accent4 2 2 3" xfId="25685" xr:uid="{00000000-0005-0000-0000-000066000000}"/>
    <cellStyle name="20% - Accent4 2 2 4" xfId="25686" xr:uid="{00000000-0005-0000-0000-000067000000}"/>
    <cellStyle name="20% - Accent4 2 2 5" xfId="25683" xr:uid="{00000000-0005-0000-0000-000068000000}"/>
    <cellStyle name="20% - Accent4 2 2 6" xfId="33319" xr:uid="{2131B0C0-82AF-4052-8479-498F93BE1167}"/>
    <cellStyle name="20% - Accent4 2 2 7" xfId="42005" xr:uid="{05482434-9D7B-4C30-924F-D3FB15E21898}"/>
    <cellStyle name="20% - Accent4 2 3" xfId="25687" xr:uid="{00000000-0005-0000-0000-000069000000}"/>
    <cellStyle name="20% - Accent4 2 3 2" xfId="25999" xr:uid="{00000000-0005-0000-0000-00006A000000}"/>
    <cellStyle name="20% - Accent4 2 3 3" xfId="42172" xr:uid="{05A6B772-BF6C-4149-80F9-EFA3B5E45D5F}"/>
    <cellStyle name="20% - Accent4 2 4" xfId="25688" xr:uid="{00000000-0005-0000-0000-00006B000000}"/>
    <cellStyle name="20% - Accent4 2 5" xfId="25689" xr:uid="{00000000-0005-0000-0000-00006C000000}"/>
    <cellStyle name="20% - Accent4 2 6" xfId="26195" xr:uid="{00000000-0005-0000-0000-00006D000000}"/>
    <cellStyle name="20% - Accent4 2 7" xfId="25682" xr:uid="{00000000-0005-0000-0000-00006E000000}"/>
    <cellStyle name="20% - Accent4 2 8" xfId="32803" xr:uid="{96F390AA-1DBD-4026-9EAC-7E0F6C2C7149}"/>
    <cellStyle name="20% - Accent4 2 9" xfId="42259" xr:uid="{79F3C309-4103-4032-9E1B-3F81968DED35}"/>
    <cellStyle name="20% - Accent4 3" xfId="26673" xr:uid="{00000000-0005-0000-0000-00006F000000}"/>
    <cellStyle name="20% - Accent4 3 2" xfId="33320" xr:uid="{430FCA2D-BE12-4B22-8E05-2CA95477ED40}"/>
    <cellStyle name="20% - Accent4 3 2 2" xfId="42126" xr:uid="{1B894AD2-ADD8-4CFF-B258-E1044A8BFEFD}"/>
    <cellStyle name="20% - Accent4 4" xfId="26674" xr:uid="{00000000-0005-0000-0000-000070000000}"/>
    <cellStyle name="20% - Accent4 4 2" xfId="33321" xr:uid="{0FA2CDC8-6D59-4DBA-8501-611A6011054C}"/>
    <cellStyle name="20% - Accent4 4 2 2" xfId="42347" xr:uid="{6D48FB74-AAFE-443C-B764-94B8E9764AE0}"/>
    <cellStyle name="20% - Accent4 4 3" xfId="32751" xr:uid="{B8355CFA-4F27-4E05-86F0-F0A9016D0310}"/>
    <cellStyle name="20% - Accent4 5" xfId="26675" xr:uid="{00000000-0005-0000-0000-000071000000}"/>
    <cellStyle name="20% - Accent4 5 2" xfId="26676" xr:uid="{00000000-0005-0000-0000-000072000000}"/>
    <cellStyle name="20% - Accent4 5 2 2" xfId="26677" xr:uid="{00000000-0005-0000-0000-000073000000}"/>
    <cellStyle name="20% - Accent4 5 2 2 2" xfId="33324" xr:uid="{5DB5EE78-1A1B-4893-88B3-FAB2ED1A4D56}"/>
    <cellStyle name="20% - Accent4 5 2 3" xfId="26678" xr:uid="{00000000-0005-0000-0000-000074000000}"/>
    <cellStyle name="20% - Accent4 5 2 3 2" xfId="33325" xr:uid="{EA716064-0873-4E6E-AB81-A719F30AEE8C}"/>
    <cellStyle name="20% - Accent4 5 2 4" xfId="33323" xr:uid="{3E0B2AFE-7E4D-4BA4-A707-55338ACC70F9}"/>
    <cellStyle name="20% - Accent4 5 3" xfId="26679" xr:uid="{00000000-0005-0000-0000-000075000000}"/>
    <cellStyle name="20% - Accent4 5 3 2" xfId="33326" xr:uid="{DA95CBA6-E32B-46AD-BE93-6F89280BB9FF}"/>
    <cellStyle name="20% - Accent4 5 4" xfId="26680" xr:uid="{00000000-0005-0000-0000-000076000000}"/>
    <cellStyle name="20% - Accent4 5 4 2" xfId="33327" xr:uid="{E8FF28FA-66A8-4018-B440-91B6ED137197}"/>
    <cellStyle name="20% - Accent4 5 5" xfId="26681" xr:uid="{00000000-0005-0000-0000-000077000000}"/>
    <cellStyle name="20% - Accent4 5 5 2" xfId="33328" xr:uid="{01E1B47A-ED68-418D-AEC3-9406D949CD05}"/>
    <cellStyle name="20% - Accent4 5 6" xfId="33322" xr:uid="{D33F2435-4501-49E9-83AE-17620B17B279}"/>
    <cellStyle name="20% - Accent4 5 7" xfId="42039" xr:uid="{E37EB972-E48A-4530-9F4B-05116001EC6C}"/>
    <cellStyle name="20% - Accent4 6" xfId="26682" xr:uid="{00000000-0005-0000-0000-000078000000}"/>
    <cellStyle name="20% - Accent4 6 2" xfId="33329" xr:uid="{CD16123B-5B7B-4213-AC07-684425ED7A2B}"/>
    <cellStyle name="20% - Accent4 6 3" xfId="42050" xr:uid="{C29336CA-661A-4E05-92CE-3AFB7DFD3B34}"/>
    <cellStyle name="20% - Accent4 7" xfId="26683" xr:uid="{00000000-0005-0000-0000-000079000000}"/>
    <cellStyle name="20% - Accent4 7 2" xfId="33330" xr:uid="{0DDFE6CE-E8AB-454D-80FC-C8CCEBD63FC9}"/>
    <cellStyle name="20% - Accent4 7 3" xfId="32636" xr:uid="{1A6272B5-E089-41FA-83C2-06F2A62D92BC}"/>
    <cellStyle name="20% - Accent4 8" xfId="26684" xr:uid="{00000000-0005-0000-0000-00007A000000}"/>
    <cellStyle name="20% - Accent4 8 2" xfId="33331" xr:uid="{1A6DACF7-2FAF-4F46-871C-D568F957E066}"/>
    <cellStyle name="20% - Accent4 8 3" xfId="42333" xr:uid="{CA4904AB-09AB-476F-8BF6-7C786C7EB752}"/>
    <cellStyle name="20% - Accent4 9" xfId="26685" xr:uid="{00000000-0005-0000-0000-00007B000000}"/>
    <cellStyle name="20% - Accent4 9 2" xfId="33332" xr:uid="{C34BF4C3-69FA-43DF-AE62-90FFEA711FAD}"/>
    <cellStyle name="20% - Accent4 9 3" xfId="42302" xr:uid="{A8297654-D8E9-4C1E-93BD-6A66454D868B}"/>
    <cellStyle name="20% - Accent5 10" xfId="42364" xr:uid="{7F20E449-8B3E-4EB6-B6F8-4498840FB956}"/>
    <cellStyle name="20% - Accent5 11" xfId="42125" xr:uid="{6F46AE97-72D9-4EB6-A2AB-D4C7B34A1821}"/>
    <cellStyle name="20% - Accent5 12" xfId="42271" xr:uid="{DC279878-D6B3-46F4-8087-39F3EC90040A}"/>
    <cellStyle name="20% - Accent5 13" xfId="42132" xr:uid="{9F923ADD-C756-48C8-9BB2-E8547E3D2C97}"/>
    <cellStyle name="20% - Accent5 14" xfId="42142" xr:uid="{C3211DBA-F193-42D1-A324-7DD878EBBB4B}"/>
    <cellStyle name="20% - Accent5 15" xfId="42058" xr:uid="{DC78D3B3-AAC3-4E07-8F74-80C947D9B950}"/>
    <cellStyle name="20% - Accent5 16" xfId="42348" xr:uid="{90D92439-9FFE-4700-B9FA-E7ADA3A62616}"/>
    <cellStyle name="20% - Accent5 17" xfId="42014" xr:uid="{4D980F35-93CD-47C4-AF65-8E62822334F0}"/>
    <cellStyle name="20% - Accent5 18" xfId="42171" xr:uid="{28BDA35A-BD06-4ADE-88DA-365C0FE9AB2A}"/>
    <cellStyle name="20% - Accent5 19" xfId="34304" xr:uid="{484C5E45-B98D-4150-8BF2-C98CB86A767D}"/>
    <cellStyle name="20% - Accent5 2" xfId="19" xr:uid="{00000000-0005-0000-0000-00007C000000}"/>
    <cellStyle name="20% - Accent5 2 2" xfId="20" xr:uid="{00000000-0005-0000-0000-00007D000000}"/>
    <cellStyle name="20% - Accent5 2 2 2" xfId="25692" xr:uid="{00000000-0005-0000-0000-00007E000000}"/>
    <cellStyle name="20% - Accent5 2 2 2 2" xfId="26000" xr:uid="{00000000-0005-0000-0000-00007F000000}"/>
    <cellStyle name="20% - Accent5 2 2 3" xfId="25693" xr:uid="{00000000-0005-0000-0000-000080000000}"/>
    <cellStyle name="20% - Accent5 2 2 4" xfId="25694" xr:uid="{00000000-0005-0000-0000-000081000000}"/>
    <cellStyle name="20% - Accent5 2 2 5" xfId="25691" xr:uid="{00000000-0005-0000-0000-000082000000}"/>
    <cellStyle name="20% - Accent5 2 2 6" xfId="33333" xr:uid="{08B232EB-8529-431A-932B-AD7E0DD35B1B}"/>
    <cellStyle name="20% - Accent5 2 2 7" xfId="42173" xr:uid="{7CD259A8-E206-40AA-97A5-4213A130DC84}"/>
    <cellStyle name="20% - Accent5 2 3" xfId="25695" xr:uid="{00000000-0005-0000-0000-000083000000}"/>
    <cellStyle name="20% - Accent5 2 3 2" xfId="26001" xr:uid="{00000000-0005-0000-0000-000084000000}"/>
    <cellStyle name="20% - Accent5 2 3 3" xfId="42170" xr:uid="{9D8576A0-B9A0-4EAC-8B2C-BEB63F3B8F24}"/>
    <cellStyle name="20% - Accent5 2 4" xfId="25696" xr:uid="{00000000-0005-0000-0000-000085000000}"/>
    <cellStyle name="20% - Accent5 2 5" xfId="25697" xr:uid="{00000000-0005-0000-0000-000086000000}"/>
    <cellStyle name="20% - Accent5 2 6" xfId="26196" xr:uid="{00000000-0005-0000-0000-000087000000}"/>
    <cellStyle name="20% - Accent5 2 7" xfId="25690" xr:uid="{00000000-0005-0000-0000-000088000000}"/>
    <cellStyle name="20% - Accent5 2 8" xfId="32804" xr:uid="{0F42F1F0-B098-4B75-858D-AB0D209A2F9F}"/>
    <cellStyle name="20% - Accent5 2 9" xfId="42258" xr:uid="{4B200507-8738-4FB0-A05B-5B2D1ED0237F}"/>
    <cellStyle name="20% - Accent5 3" xfId="26686" xr:uid="{00000000-0005-0000-0000-000089000000}"/>
    <cellStyle name="20% - Accent5 3 2" xfId="33334" xr:uid="{FD850DFF-C691-45F5-8F2C-95FC158F1722}"/>
    <cellStyle name="20% - Accent5 3 2 2" xfId="42382" xr:uid="{52A6C92C-0D62-40D6-B6FB-FB493BC7B5F1}"/>
    <cellStyle name="20% - Accent5 3 3" xfId="32748" xr:uid="{6E4E0CB9-7C88-4D98-9AC7-828D1B9E3B58}"/>
    <cellStyle name="20% - Accent5 4" xfId="26687" xr:uid="{00000000-0005-0000-0000-00008A000000}"/>
    <cellStyle name="20% - Accent5 4 2" xfId="33335" xr:uid="{2769D8F3-FA96-4EDD-88F9-F5A85B9327DF}"/>
    <cellStyle name="20% - Accent5 4 3" xfId="42396" xr:uid="{426BD997-EC7B-46E5-9497-3B53523540BA}"/>
    <cellStyle name="20% - Accent5 5" xfId="26688" xr:uid="{00000000-0005-0000-0000-00008B000000}"/>
    <cellStyle name="20% - Accent5 5 2" xfId="26689" xr:uid="{00000000-0005-0000-0000-00008C000000}"/>
    <cellStyle name="20% - Accent5 5 2 2" xfId="26690" xr:uid="{00000000-0005-0000-0000-00008D000000}"/>
    <cellStyle name="20% - Accent5 5 2 2 2" xfId="33338" xr:uid="{5E6C7F14-BF60-4D19-B654-CDE1A164E4FA}"/>
    <cellStyle name="20% - Accent5 5 2 3" xfId="26691" xr:uid="{00000000-0005-0000-0000-00008E000000}"/>
    <cellStyle name="20% - Accent5 5 2 3 2" xfId="33339" xr:uid="{D6E6EC65-6E4F-4986-B977-F2FA2E1F2C4A}"/>
    <cellStyle name="20% - Accent5 5 2 4" xfId="33337" xr:uid="{F89165B0-696D-4EC9-B4B0-6C8B9E66115E}"/>
    <cellStyle name="20% - Accent5 5 3" xfId="26692" xr:uid="{00000000-0005-0000-0000-00008F000000}"/>
    <cellStyle name="20% - Accent5 5 3 2" xfId="33340" xr:uid="{F67895E9-E6DD-4C3E-867C-A8E54916032C}"/>
    <cellStyle name="20% - Accent5 5 4" xfId="26693" xr:uid="{00000000-0005-0000-0000-000090000000}"/>
    <cellStyle name="20% - Accent5 5 4 2" xfId="33341" xr:uid="{11BFE2D0-FD0E-403E-94E0-AF4CFDDB512B}"/>
    <cellStyle name="20% - Accent5 5 5" xfId="26694" xr:uid="{00000000-0005-0000-0000-000091000000}"/>
    <cellStyle name="20% - Accent5 5 5 2" xfId="33342" xr:uid="{F8A19652-9ADB-48CA-9A8A-E67E303F7CA4}"/>
    <cellStyle name="20% - Accent5 5 6" xfId="33336" xr:uid="{012D9069-41CB-424B-AD31-1DF1211A8173}"/>
    <cellStyle name="20% - Accent5 5 7" xfId="42359" xr:uid="{785067BC-43ED-48AE-80F8-6B6DBD63FC1C}"/>
    <cellStyle name="20% - Accent5 6" xfId="26695" xr:uid="{00000000-0005-0000-0000-000092000000}"/>
    <cellStyle name="20% - Accent5 6 2" xfId="33343" xr:uid="{E150AF31-46A1-45A2-AFE1-67A7D06BFA22}"/>
    <cellStyle name="20% - Accent5 6 3" xfId="42097" xr:uid="{2B739CEB-AC26-404B-AFCA-22AA49B1B9E1}"/>
    <cellStyle name="20% - Accent5 7" xfId="26696" xr:uid="{00000000-0005-0000-0000-000093000000}"/>
    <cellStyle name="20% - Accent5 7 2" xfId="33344" xr:uid="{E53BF19E-5B67-4AB2-9D4B-6F5815C02928}"/>
    <cellStyle name="20% - Accent5 7 3" xfId="32829" xr:uid="{FE9D9572-CC38-4F6F-8269-F9C865A93F3A}"/>
    <cellStyle name="20% - Accent5 8" xfId="26697" xr:uid="{00000000-0005-0000-0000-000094000000}"/>
    <cellStyle name="20% - Accent5 8 2" xfId="33345" xr:uid="{A6999020-CC26-4B54-88AF-0D27B09DEDCB}"/>
    <cellStyle name="20% - Accent5 8 3" xfId="42053" xr:uid="{77034CE4-4FC3-4BC1-B4CD-01EE1BAFFCCE}"/>
    <cellStyle name="20% - Accent5 9" xfId="26698" xr:uid="{00000000-0005-0000-0000-000095000000}"/>
    <cellStyle name="20% - Accent5 9 2" xfId="33346" xr:uid="{E81076AF-9976-4213-AB4C-323EA05E6445}"/>
    <cellStyle name="20% - Accent5 9 3" xfId="42019" xr:uid="{735F4F4C-1575-4303-B50D-470908F37C0F}"/>
    <cellStyle name="20% - Accent6 10" xfId="42413" xr:uid="{CDE08B6A-BF4A-4560-A3FD-662F8F52B371}"/>
    <cellStyle name="20% - Accent6 11" xfId="42381" xr:uid="{BE168814-5DC7-4443-9BD9-E90387C90E30}"/>
    <cellStyle name="20% - Accent6 12" xfId="32746" xr:uid="{5AAAC39B-8D49-4EE4-97D7-E7BF57DBF7AA}"/>
    <cellStyle name="20% - Accent6 13" xfId="42388" xr:uid="{49125FF7-2970-404E-B5A9-64766EDD9076}"/>
    <cellStyle name="20% - Accent6 14" xfId="42139" xr:uid="{D2F4A12C-E956-4905-8089-97D1F7931D82}"/>
    <cellStyle name="20% - Accent6 15" xfId="42106" xr:uid="{A64CC5F5-9B7D-4E07-A92C-03B1C54670DE}"/>
    <cellStyle name="20% - Accent6 16" xfId="42397" xr:uid="{9F7B4C5F-559D-400C-820D-1B9D3D6E4333}"/>
    <cellStyle name="20% - Accent6 17" xfId="42083" xr:uid="{66B96CBC-DC4B-4684-926B-6C45DEAC55B0}"/>
    <cellStyle name="20% - Accent6 18" xfId="42169" xr:uid="{612BE926-11F7-4F51-A5FE-7F1D5F6540EF}"/>
    <cellStyle name="20% - Accent6 19" xfId="34306" xr:uid="{194A22F8-C708-4DE0-82CD-4870E0926F72}"/>
    <cellStyle name="20% - Accent6 2" xfId="21" xr:uid="{00000000-0005-0000-0000-000096000000}"/>
    <cellStyle name="20% - Accent6 2 2" xfId="22" xr:uid="{00000000-0005-0000-0000-000097000000}"/>
    <cellStyle name="20% - Accent6 2 2 2" xfId="25700" xr:uid="{00000000-0005-0000-0000-000098000000}"/>
    <cellStyle name="20% - Accent6 2 2 2 2" xfId="26003" xr:uid="{00000000-0005-0000-0000-000099000000}"/>
    <cellStyle name="20% - Accent6 2 2 3" xfId="26002" xr:uid="{00000000-0005-0000-0000-00009A000000}"/>
    <cellStyle name="20% - Accent6 2 2 4" xfId="26699" xr:uid="{00000000-0005-0000-0000-00009B000000}"/>
    <cellStyle name="20% - Accent6 2 2 5" xfId="25699" xr:uid="{00000000-0005-0000-0000-00009C000000}"/>
    <cellStyle name="20% - Accent6 2 2 6" xfId="33347" xr:uid="{CCCA0CD2-ABDD-4763-A757-CB791265C2D6}"/>
    <cellStyle name="20% - Accent6 2 2 7" xfId="34276" xr:uid="{43D76E49-090F-400C-9DB5-31D29012250D}"/>
    <cellStyle name="20% - Accent6 2 3" xfId="25701" xr:uid="{00000000-0005-0000-0000-00009D000000}"/>
    <cellStyle name="20% - Accent6 2 3 2" xfId="26004" xr:uid="{00000000-0005-0000-0000-00009E000000}"/>
    <cellStyle name="20% - Accent6 2 3 3" xfId="42168" xr:uid="{1F57B5A0-0A53-48AD-828A-559DFE34FEA1}"/>
    <cellStyle name="20% - Accent6 2 4" xfId="25702" xr:uid="{00000000-0005-0000-0000-00009F000000}"/>
    <cellStyle name="20% - Accent6 2 5" xfId="26197" xr:uid="{00000000-0005-0000-0000-0000A0000000}"/>
    <cellStyle name="20% - Accent6 2 6" xfId="25698" xr:uid="{00000000-0005-0000-0000-0000A1000000}"/>
    <cellStyle name="20% - Accent6 2 7" xfId="32805" xr:uid="{5A01040D-A4AA-49CE-90F4-484847C90105}"/>
    <cellStyle name="20% - Accent6 2 8" xfId="42257" xr:uid="{7CAFB13D-BE21-45FC-BFC5-86E523045162}"/>
    <cellStyle name="20% - Accent6 3" xfId="26700" xr:uid="{00000000-0005-0000-0000-0000A2000000}"/>
    <cellStyle name="20% - Accent6 3 2" xfId="33348" xr:uid="{85A6F774-B85D-4C9A-B3ED-02CA6B02BA78}"/>
    <cellStyle name="20% - Accent6 3 2 2" xfId="32779" xr:uid="{990C754A-6BFD-4789-94DD-9447E7BE84B1}"/>
    <cellStyle name="20% - Accent6 4" xfId="26701" xr:uid="{00000000-0005-0000-0000-0000A3000000}"/>
    <cellStyle name="20% - Accent6 4 2" xfId="33349" xr:uid="{47EEDC3A-CF73-4090-A270-F57A1C41F2E3}"/>
    <cellStyle name="20% - Accent6 4 2 2" xfId="42299" xr:uid="{A56FBA1D-27FA-4637-B9D3-16CD07E6D593}"/>
    <cellStyle name="20% - Accent6 4 3" xfId="32962" xr:uid="{50ABE560-B85B-410D-9C59-55C94F599EA7}"/>
    <cellStyle name="20% - Accent6 5" xfId="26702" xr:uid="{00000000-0005-0000-0000-0000A4000000}"/>
    <cellStyle name="20% - Accent6 5 2" xfId="26703" xr:uid="{00000000-0005-0000-0000-0000A5000000}"/>
    <cellStyle name="20% - Accent6 5 2 2" xfId="26704" xr:uid="{00000000-0005-0000-0000-0000A6000000}"/>
    <cellStyle name="20% - Accent6 5 2 2 2" xfId="33352" xr:uid="{C8128E4B-709C-43E6-B8F4-10731BE56563}"/>
    <cellStyle name="20% - Accent6 5 2 3" xfId="26705" xr:uid="{00000000-0005-0000-0000-0000A7000000}"/>
    <cellStyle name="20% - Accent6 5 2 3 2" xfId="33353" xr:uid="{DC4D15BC-A811-4A37-9D0C-059987D111A1}"/>
    <cellStyle name="20% - Accent6 5 2 4" xfId="33351" xr:uid="{49329AAF-E1F5-4FB2-BFCD-DE0CE7B42811}"/>
    <cellStyle name="20% - Accent6 5 3" xfId="26706" xr:uid="{00000000-0005-0000-0000-0000A8000000}"/>
    <cellStyle name="20% - Accent6 5 3 2" xfId="33354" xr:uid="{EA94355F-09DF-4265-B566-7AACFFC82944}"/>
    <cellStyle name="20% - Accent6 5 4" xfId="26707" xr:uid="{00000000-0005-0000-0000-0000A9000000}"/>
    <cellStyle name="20% - Accent6 5 4 2" xfId="33355" xr:uid="{355F912F-F2B2-44AB-A436-1ABD948688FD}"/>
    <cellStyle name="20% - Accent6 5 5" xfId="26708" xr:uid="{00000000-0005-0000-0000-0000AA000000}"/>
    <cellStyle name="20% - Accent6 5 5 2" xfId="33356" xr:uid="{E325DF17-3B5A-45B3-8945-69F8F02B468D}"/>
    <cellStyle name="20% - Accent6 5 6" xfId="33350" xr:uid="{323C243E-BE31-429E-A2FC-92B3E4369101}"/>
    <cellStyle name="20% - Accent6 5 7" xfId="42408" xr:uid="{9B0E953B-1179-4D3C-AB6E-AC9B92CE19C5}"/>
    <cellStyle name="20% - Accent6 6" xfId="26709" xr:uid="{00000000-0005-0000-0000-0000AB000000}"/>
    <cellStyle name="20% - Accent6 6 2" xfId="33357" xr:uid="{13B2E4E3-6BEA-4F9E-A828-F7D164E617E1}"/>
    <cellStyle name="20% - Accent6 6 3" xfId="32685" xr:uid="{9ADE2B9F-461B-4313-857A-07F3FADDCDDF}"/>
    <cellStyle name="20% - Accent6 7" xfId="26710" xr:uid="{00000000-0005-0000-0000-0000AC000000}"/>
    <cellStyle name="20% - Accent6 7 2" xfId="33358" xr:uid="{705A6148-B959-438C-A72E-03BA402EF612}"/>
    <cellStyle name="20% - Accent6 7 3" xfId="32634" xr:uid="{58F1E7BB-4C46-4939-B6BF-E67E9719EB44}"/>
    <cellStyle name="20% - Accent6 8" xfId="26711" xr:uid="{00000000-0005-0000-0000-0000AD000000}"/>
    <cellStyle name="20% - Accent6 8 2" xfId="33359" xr:uid="{C410E1CE-3EC3-40A4-848F-5377B0011D2A}"/>
    <cellStyle name="20% - Accent6 8 3" xfId="42100" xr:uid="{B16BFC01-E518-4FBF-8C47-B215C0F98F9D}"/>
    <cellStyle name="20% - Accent6 9" xfId="26712" xr:uid="{00000000-0005-0000-0000-0000AE000000}"/>
    <cellStyle name="20% - Accent6 9 2" xfId="33360" xr:uid="{9178CA1D-E246-4090-BECD-A4661EBA3B98}"/>
    <cellStyle name="20% - Accent6 9 3" xfId="32782" xr:uid="{866968A3-076E-487A-907F-DF413BF502DE}"/>
    <cellStyle name="40% - Accent1 10" xfId="42278" xr:uid="{C67423B7-FBFA-4382-9B4D-394C7B6AB9A7}"/>
    <cellStyle name="40% - Accent1 11" xfId="42037" xr:uid="{F555FC3E-0C66-4D04-826E-49BC281E313F}"/>
    <cellStyle name="40% - Accent1 12" xfId="42072" xr:uid="{896BA7BD-E567-4C47-9603-B7CD816FC727}"/>
    <cellStyle name="40% - Accent1 13" xfId="42113" xr:uid="{8038CCC8-FEAF-45B8-9E0F-4F1904FC3F3B}"/>
    <cellStyle name="40% - Accent1 14" xfId="32794" xr:uid="{9335F0B2-C7B9-4C41-B28C-0E953295CB5D}"/>
    <cellStyle name="40% - Accent1 15" xfId="42415" xr:uid="{6F6A4D66-B5CD-4F82-B657-E4CD6BB0BA77}"/>
    <cellStyle name="40% - Accent1 16" xfId="42075" xr:uid="{B403D0E1-6E42-4DA0-8B95-CCA949189359}"/>
    <cellStyle name="40% - Accent1 17" xfId="32641" xr:uid="{B1FB48C3-6DAE-447A-B6F2-2A39511150E5}"/>
    <cellStyle name="40% - Accent1 18" xfId="42167" xr:uid="{417C8EAA-84E0-4198-A442-9A5B58C653BB}"/>
    <cellStyle name="40% - Accent1 19" xfId="34301" xr:uid="{FE26E3F4-40A9-4407-AB75-62BC4CFB4403}"/>
    <cellStyle name="40% - Accent1 2" xfId="23" xr:uid="{00000000-0005-0000-0000-0000AF000000}"/>
    <cellStyle name="40% - Accent1 2 2" xfId="24" xr:uid="{00000000-0005-0000-0000-0000B0000000}"/>
    <cellStyle name="40% - Accent1 2 2 2" xfId="25705" xr:uid="{00000000-0005-0000-0000-0000B1000000}"/>
    <cellStyle name="40% - Accent1 2 2 2 2" xfId="26005" xr:uid="{00000000-0005-0000-0000-0000B2000000}"/>
    <cellStyle name="40% - Accent1 2 2 3" xfId="25706" xr:uid="{00000000-0005-0000-0000-0000B3000000}"/>
    <cellStyle name="40% - Accent1 2 2 4" xfId="25707" xr:uid="{00000000-0005-0000-0000-0000B4000000}"/>
    <cellStyle name="40% - Accent1 2 2 5" xfId="25704" xr:uid="{00000000-0005-0000-0000-0000B5000000}"/>
    <cellStyle name="40% - Accent1 2 2 6" xfId="33361" xr:uid="{0927D647-DB61-414A-8A45-354D804BB5E1}"/>
    <cellStyle name="40% - Accent1 2 2 7" xfId="34277" xr:uid="{7B79E114-448B-45A5-8810-F7282946598C}"/>
    <cellStyle name="40% - Accent1 2 3" xfId="25708" xr:uid="{00000000-0005-0000-0000-0000B6000000}"/>
    <cellStyle name="40% - Accent1 2 3 2" xfId="26006" xr:uid="{00000000-0005-0000-0000-0000B7000000}"/>
    <cellStyle name="40% - Accent1 2 3 3" xfId="42166" xr:uid="{B8C40E9B-4CF1-4C43-B91D-72B267EFF2F0}"/>
    <cellStyle name="40% - Accent1 2 4" xfId="25709" xr:uid="{00000000-0005-0000-0000-0000B8000000}"/>
    <cellStyle name="40% - Accent1 2 5" xfId="25710" xr:uid="{00000000-0005-0000-0000-0000B9000000}"/>
    <cellStyle name="40% - Accent1 2 6" xfId="26198" xr:uid="{00000000-0005-0000-0000-0000BA000000}"/>
    <cellStyle name="40% - Accent1 2 7" xfId="25703" xr:uid="{00000000-0005-0000-0000-0000BB000000}"/>
    <cellStyle name="40% - Accent1 2 8" xfId="32806" xr:uid="{573D7053-5853-4597-A1FE-DD3714A766A3}"/>
    <cellStyle name="40% - Accent1 2 9" xfId="42256" xr:uid="{192FFBB2-167F-471D-BFA3-C446822C7B46}"/>
    <cellStyle name="40% - Accent1 3" xfId="26713" xr:uid="{00000000-0005-0000-0000-0000BC000000}"/>
    <cellStyle name="40% - Accent1 3 2" xfId="33362" xr:uid="{B46568AF-72F3-473F-B643-8C2A4A4145DA}"/>
    <cellStyle name="40% - Accent1 3 2 2" xfId="42104" xr:uid="{4044F9A7-EDB9-4433-909F-6CE02CFF1CB5}"/>
    <cellStyle name="40% - Accent1 4" xfId="26714" xr:uid="{00000000-0005-0000-0000-0000BD000000}"/>
    <cellStyle name="40% - Accent1 4 2" xfId="33363" xr:uid="{85FA8FE0-9D13-4C41-8CDE-B61AC651F5BA}"/>
    <cellStyle name="40% - Accent1 4 2 2" xfId="42121" xr:uid="{97060E08-507A-4618-A1EB-07D3460CADAA}"/>
    <cellStyle name="40% - Accent1 4 3" xfId="32754" xr:uid="{B93F4D4C-93AF-4A09-9246-C8E24CCE1F59}"/>
    <cellStyle name="40% - Accent1 5" xfId="26715" xr:uid="{00000000-0005-0000-0000-0000BE000000}"/>
    <cellStyle name="40% - Accent1 5 2" xfId="26716" xr:uid="{00000000-0005-0000-0000-0000BF000000}"/>
    <cellStyle name="40% - Accent1 5 2 2" xfId="26717" xr:uid="{00000000-0005-0000-0000-0000C0000000}"/>
    <cellStyle name="40% - Accent1 5 2 2 2" xfId="33366" xr:uid="{42A529DA-B9B4-4ED7-B923-80E8F667A8D3}"/>
    <cellStyle name="40% - Accent1 5 2 3" xfId="26718" xr:uid="{00000000-0005-0000-0000-0000C1000000}"/>
    <cellStyle name="40% - Accent1 5 2 3 2" xfId="33367" xr:uid="{CFAA3186-434F-48F4-9545-20F27E1B4575}"/>
    <cellStyle name="40% - Accent1 5 2 4" xfId="33365" xr:uid="{53B812C3-E8D7-4C01-86A1-B87F625B641B}"/>
    <cellStyle name="40% - Accent1 5 3" xfId="26719" xr:uid="{00000000-0005-0000-0000-0000C2000000}"/>
    <cellStyle name="40% - Accent1 5 3 2" xfId="33368" xr:uid="{D11C3E56-AA60-4358-8B94-2A6EB356D15A}"/>
    <cellStyle name="40% - Accent1 5 4" xfId="26720" xr:uid="{00000000-0005-0000-0000-0000C3000000}"/>
    <cellStyle name="40% - Accent1 5 4 2" xfId="33369" xr:uid="{D16270E7-141E-46BF-84F0-495A6CD446DE}"/>
    <cellStyle name="40% - Accent1 5 5" xfId="26721" xr:uid="{00000000-0005-0000-0000-0000C4000000}"/>
    <cellStyle name="40% - Accent1 5 5 2" xfId="33370" xr:uid="{ADB48D0A-C134-42F9-ACFE-93AEEEFD9B65}"/>
    <cellStyle name="40% - Accent1 5 6" xfId="33364" xr:uid="{3E54138E-C2E3-42F4-95D9-908AB046FA84}"/>
    <cellStyle name="40% - Accent1 5 7" xfId="42086" xr:uid="{AAED08BE-BFD6-4DFF-A16F-ADE9490BEB3A}"/>
    <cellStyle name="40% - Accent1 6" xfId="26722" xr:uid="{00000000-0005-0000-0000-0000C5000000}"/>
    <cellStyle name="40% - Accent1 6 2" xfId="33371" xr:uid="{917BDC4A-88D2-44DF-A99C-D31D1CC864A5}"/>
    <cellStyle name="40% - Accent1 6 3" xfId="42028" xr:uid="{8D3494F5-BEB0-4A4D-B45D-EB9D9366B58E}"/>
    <cellStyle name="40% - Accent1 7" xfId="26723" xr:uid="{00000000-0005-0000-0000-0000C6000000}"/>
    <cellStyle name="40% - Accent1 7 2" xfId="33372" xr:uid="{1364AF81-7038-4E91-9057-5CE5B591ED7D}"/>
    <cellStyle name="40% - Accent1 7 3" xfId="42115" xr:uid="{5DA35F65-C09D-4E82-AD7F-A49EE3531AD2}"/>
    <cellStyle name="40% - Accent1 8" xfId="26724" xr:uid="{00000000-0005-0000-0000-0000C7000000}"/>
    <cellStyle name="40% - Accent1 8 2" xfId="33373" xr:uid="{04864788-D7A7-4395-81C5-997A17A35D05}"/>
    <cellStyle name="40% - Accent1 8 3" xfId="32773" xr:uid="{14F6EF58-ACE8-4995-BABA-48460244F288}"/>
    <cellStyle name="40% - Accent1 9" xfId="26725" xr:uid="{00000000-0005-0000-0000-0000C8000000}"/>
    <cellStyle name="40% - Accent1 9 2" xfId="33374" xr:uid="{C0A62D24-D84F-4BF9-914F-10426329F921}"/>
    <cellStyle name="40% - Accent1 9 3" xfId="42284" xr:uid="{FE09B0FB-0166-495C-BE79-8366852ADDC1}"/>
    <cellStyle name="40% - Accent2 10" xfId="42394" xr:uid="{193B97B4-8645-4C02-B32A-5261039BB61B}"/>
    <cellStyle name="40% - Accent2 11" xfId="32789" xr:uid="{7BEAAF4B-1CE2-456F-B4C0-3A68C5FB6E9D}"/>
    <cellStyle name="40% - Accent2 12" xfId="42120" xr:uid="{6084D634-B57C-4B2B-AB52-932DE2577AC9}"/>
    <cellStyle name="40% - Accent2 13" xfId="42370" xr:uid="{473D7ED9-4FDC-4653-9BA0-34A8C8E03836}"/>
    <cellStyle name="40% - Accent2 14" xfId="42150" xr:uid="{56EB86A2-21DA-4005-946B-CBC34F1E6EFC}"/>
    <cellStyle name="40% - Accent2 15" xfId="42087" xr:uid="{0B925348-0DA8-4C29-84FD-375509F14CC7}"/>
    <cellStyle name="40% - Accent2 16" xfId="42123" xr:uid="{04BD34CD-72C3-4294-BC9C-F48A8724A952}"/>
    <cellStyle name="40% - Accent2 17" xfId="42064" xr:uid="{6F6D46E7-EFAE-4C18-8C4A-BDFC830E051F}"/>
    <cellStyle name="40% - Accent2 18" xfId="42165" xr:uid="{6CAA4876-EB69-43AB-9F78-7A5824459A06}"/>
    <cellStyle name="40% - Accent2 19" xfId="32681" xr:uid="{F9214E79-42FA-4A97-AED1-13EAE4E42827}"/>
    <cellStyle name="40% - Accent2 2" xfId="25" xr:uid="{00000000-0005-0000-0000-0000C9000000}"/>
    <cellStyle name="40% - Accent2 2 2" xfId="26" xr:uid="{00000000-0005-0000-0000-0000CA000000}"/>
    <cellStyle name="40% - Accent2 2 2 2" xfId="25712" xr:uid="{00000000-0005-0000-0000-0000CB000000}"/>
    <cellStyle name="40% - Accent2 2 2 2 2" xfId="26008" xr:uid="{00000000-0005-0000-0000-0000CC000000}"/>
    <cellStyle name="40% - Accent2 2 2 3" xfId="26007" xr:uid="{00000000-0005-0000-0000-0000CD000000}"/>
    <cellStyle name="40% - Accent2 2 2 4" xfId="26726" xr:uid="{00000000-0005-0000-0000-0000CE000000}"/>
    <cellStyle name="40% - Accent2 2 2 5" xfId="25711" xr:uid="{00000000-0005-0000-0000-0000CF000000}"/>
    <cellStyle name="40% - Accent2 2 2 6" xfId="33375" xr:uid="{0A2691FA-2021-4906-AC2E-E0B5C038D1EE}"/>
    <cellStyle name="40% - Accent2 2 2 7" xfId="42011" xr:uid="{F71F15D3-A40F-47B1-A042-799E9B09D773}"/>
    <cellStyle name="40% - Accent2 2 3" xfId="25713" xr:uid="{00000000-0005-0000-0000-0000D0000000}"/>
    <cellStyle name="40% - Accent2 2 3 2" xfId="26009" xr:uid="{00000000-0005-0000-0000-0000D1000000}"/>
    <cellStyle name="40% - Accent2 2 3 3" xfId="41988" xr:uid="{04846959-961D-4FAD-AE06-76724BDA97CD}"/>
    <cellStyle name="40% - Accent2 2 4" xfId="25714" xr:uid="{00000000-0005-0000-0000-0000D2000000}"/>
    <cellStyle name="40% - Accent2 2 5" xfId="26199" xr:uid="{00000000-0005-0000-0000-0000D3000000}"/>
    <cellStyle name="40% - Accent2 2 6" xfId="32807" xr:uid="{3F61721A-672A-40B5-AAAF-52DBD0528DBA}"/>
    <cellStyle name="40% - Accent2 2 7" xfId="42255" xr:uid="{584FAA22-E358-4CB7-AF84-F8A7422D97F1}"/>
    <cellStyle name="40% - Accent2 3" xfId="26727" xr:uid="{00000000-0005-0000-0000-0000D4000000}"/>
    <cellStyle name="40% - Accent2 3 2" xfId="33376" xr:uid="{BF1C35A4-4D60-4A8D-9310-0B1C0111B0AE}"/>
    <cellStyle name="40% - Accent2 3 2 2" xfId="42286" xr:uid="{3C92499E-4B63-4CD9-B354-F82214EE9920}"/>
    <cellStyle name="40% - Accent2 3 3" xfId="32678" xr:uid="{32BF2195-04D7-48E6-89EF-037C1BA31A61}"/>
    <cellStyle name="40% - Accent2 4" xfId="26728" xr:uid="{00000000-0005-0000-0000-0000D5000000}"/>
    <cellStyle name="40% - Accent2 4 2" xfId="33377" xr:uid="{EA8BEC1C-3168-4EAF-A8F5-EF9A2257847F}"/>
    <cellStyle name="40% - Accent2 4 3" xfId="42376" xr:uid="{29B9321F-9339-4897-92E4-65BAE3C7F1D8}"/>
    <cellStyle name="40% - Accent2 5" xfId="26729" xr:uid="{00000000-0005-0000-0000-0000D6000000}"/>
    <cellStyle name="40% - Accent2 5 2" xfId="26730" xr:uid="{00000000-0005-0000-0000-0000D7000000}"/>
    <cellStyle name="40% - Accent2 5 2 2" xfId="26731" xr:uid="{00000000-0005-0000-0000-0000D8000000}"/>
    <cellStyle name="40% - Accent2 5 2 2 2" xfId="33380" xr:uid="{7F9565D2-9800-4DC9-A1FC-84888F37272A}"/>
    <cellStyle name="40% - Accent2 5 2 3" xfId="26732" xr:uid="{00000000-0005-0000-0000-0000D9000000}"/>
    <cellStyle name="40% - Accent2 5 2 3 2" xfId="33381" xr:uid="{322FA514-6BA5-4B74-802D-B157DC0E35B0}"/>
    <cellStyle name="40% - Accent2 5 2 4" xfId="33379" xr:uid="{D4377F13-1DBE-4FCD-B94A-DD28CC08805C}"/>
    <cellStyle name="40% - Accent2 5 3" xfId="26733" xr:uid="{00000000-0005-0000-0000-0000DA000000}"/>
    <cellStyle name="40% - Accent2 5 3 2" xfId="33382" xr:uid="{61AFFA84-754E-470F-9ECF-5C0DD54147FB}"/>
    <cellStyle name="40% - Accent2 5 4" xfId="26734" xr:uid="{00000000-0005-0000-0000-0000DB000000}"/>
    <cellStyle name="40% - Accent2 5 4 2" xfId="33383" xr:uid="{24B2D360-3FEE-4376-B87B-4F5FF6F4B8F5}"/>
    <cellStyle name="40% - Accent2 5 5" xfId="26735" xr:uid="{00000000-0005-0000-0000-0000DC000000}"/>
    <cellStyle name="40% - Accent2 5 5 2" xfId="33384" xr:uid="{B1F39412-F07E-4800-B93C-93D8B9C92A44}"/>
    <cellStyle name="40% - Accent2 5 6" xfId="33378" xr:uid="{7884FE7F-2A35-4E5B-BB7E-F965499161BB}"/>
    <cellStyle name="40% - Accent2 5 7" xfId="42135" xr:uid="{154B1D6D-B4BE-47F6-B331-CA70F57A7928}"/>
    <cellStyle name="40% - Accent2 6" xfId="26736" xr:uid="{00000000-0005-0000-0000-0000DD000000}"/>
    <cellStyle name="40% - Accent2 6 2" xfId="33385" xr:uid="{A406CB10-BBD5-4374-9726-4498ADE2AD75}"/>
    <cellStyle name="40% - Accent2 6 3" xfId="42353" xr:uid="{82C9F420-D72B-4741-9532-1E916233BBDA}"/>
    <cellStyle name="40% - Accent2 7" xfId="26737" xr:uid="{00000000-0005-0000-0000-0000DE000000}"/>
    <cellStyle name="40% - Accent2 7 2" xfId="33386" xr:uid="{A3942438-60A8-4892-A988-9E16C1A1D580}"/>
    <cellStyle name="40% - Accent2 7 3" xfId="32770" xr:uid="{0559F62F-A49F-4753-9388-677D4E94A90C}"/>
    <cellStyle name="40% - Accent2 8" xfId="26738" xr:uid="{00000000-0005-0000-0000-0000DF000000}"/>
    <cellStyle name="40% - Accent2 8 2" xfId="33387" xr:uid="{D1E91220-C529-4204-B136-DCBB58D51FB9}"/>
    <cellStyle name="40% - Accent2 8 3" xfId="33572" xr:uid="{F852C2C2-852B-4DF8-AB89-B6545DD2DB2C}"/>
    <cellStyle name="40% - Accent2 9" xfId="26739" xr:uid="{00000000-0005-0000-0000-0000E0000000}"/>
    <cellStyle name="40% - Accent2 9 2" xfId="33388" xr:uid="{3186381E-578B-4745-91FE-C94C89F55DC0}"/>
    <cellStyle name="40% - Accent2 9 3" xfId="42071" xr:uid="{1CD32761-734A-4180-9007-3473F8B6CF13}"/>
    <cellStyle name="40% - Accent3 10" xfId="42298" xr:uid="{D4DEFBF0-3ACA-439B-98CD-9840FAFE6979}"/>
    <cellStyle name="40% - Accent3 11" xfId="42285" xr:uid="{7D392E27-6155-42E2-A460-437AEBDF7E31}"/>
    <cellStyle name="40% - Accent3 12" xfId="42375" xr:uid="{6C19EEB2-FC08-49ED-B6CB-08D978801D1D}"/>
    <cellStyle name="40% - Accent3 13" xfId="42292" xr:uid="{96E67AAB-AB42-43A7-A82B-FD652DD57678}"/>
    <cellStyle name="40% - Accent3 14" xfId="42147" xr:uid="{4194747A-D5CF-468A-A6F8-C00C89693914}"/>
    <cellStyle name="40% - Accent3 15" xfId="42361" xr:uid="{0550E9A3-BE1E-404C-9FAE-E6DB4133E796}"/>
    <cellStyle name="40% - Accent3 16" xfId="42378" xr:uid="{7E6A1C17-D1F1-4791-8760-D8DBBAF14495}"/>
    <cellStyle name="40% - Accent3 17" xfId="42112" xr:uid="{B4CD3990-071D-443A-AE81-61999E23FD7C}"/>
    <cellStyle name="40% - Accent3 18" xfId="42164" xr:uid="{E9079ED8-8F65-4052-891B-E158ED875D15}"/>
    <cellStyle name="40% - Accent3 19" xfId="32682" xr:uid="{75058D59-31B6-4B89-BB19-6BE585C7AB2A}"/>
    <cellStyle name="40% - Accent3 2" xfId="27" xr:uid="{00000000-0005-0000-0000-0000E1000000}"/>
    <cellStyle name="40% - Accent3 2 2" xfId="28" xr:uid="{00000000-0005-0000-0000-0000E2000000}"/>
    <cellStyle name="40% - Accent3 2 2 2" xfId="25716" xr:uid="{00000000-0005-0000-0000-0000E3000000}"/>
    <cellStyle name="40% - Accent3 2 2 2 2" xfId="26010" xr:uid="{00000000-0005-0000-0000-0000E4000000}"/>
    <cellStyle name="40% - Accent3 2 2 3" xfId="25717" xr:uid="{00000000-0005-0000-0000-0000E5000000}"/>
    <cellStyle name="40% - Accent3 2 2 4" xfId="25718" xr:uid="{00000000-0005-0000-0000-0000E6000000}"/>
    <cellStyle name="40% - Accent3 2 2 5" xfId="25715" xr:uid="{00000000-0005-0000-0000-0000E7000000}"/>
    <cellStyle name="40% - Accent3 2 2 6" xfId="33389" xr:uid="{D2D1DF7D-4B4A-4A69-A8A6-297BF80AFA0B}"/>
    <cellStyle name="40% - Accent3 2 2 7" xfId="42006" xr:uid="{A7531CB1-4759-474A-9AB5-E432EE556CD4}"/>
    <cellStyle name="40% - Accent3 2 3" xfId="25719" xr:uid="{00000000-0005-0000-0000-0000E8000000}"/>
    <cellStyle name="40% - Accent3 2 3 2" xfId="26011" xr:uid="{00000000-0005-0000-0000-0000E9000000}"/>
    <cellStyle name="40% - Accent3 2 3 3" xfId="42163" xr:uid="{3B0C43C6-5F5C-489D-ADE6-F4F5550DAAFE}"/>
    <cellStyle name="40% - Accent3 2 4" xfId="25720" xr:uid="{00000000-0005-0000-0000-0000EA000000}"/>
    <cellStyle name="40% - Accent3 2 5" xfId="25721" xr:uid="{00000000-0005-0000-0000-0000EB000000}"/>
    <cellStyle name="40% - Accent3 2 6" xfId="26200" xr:uid="{00000000-0005-0000-0000-0000EC000000}"/>
    <cellStyle name="40% - Accent3 2 7" xfId="32808" xr:uid="{15A9F4CE-4258-4A5B-B4BC-DCFD335468F7}"/>
    <cellStyle name="40% - Accent3 2 8" xfId="42254" xr:uid="{3EA17BC1-C1B8-41DD-BEEA-5BE3D19595FC}"/>
    <cellStyle name="40% - Accent3 3" xfId="26740" xr:uid="{00000000-0005-0000-0000-0000ED000000}"/>
    <cellStyle name="40% - Accent3 3 2" xfId="33390" xr:uid="{F6EC3C63-EE86-4A7B-93E3-B53E610DC91B}"/>
    <cellStyle name="40% - Accent3 3 2 2" xfId="42335" xr:uid="{C23EE6F1-7512-4A28-A438-AC60F017AEE5}"/>
    <cellStyle name="40% - Accent3 4" xfId="26741" xr:uid="{00000000-0005-0000-0000-0000EE000000}"/>
    <cellStyle name="40% - Accent3 4 2" xfId="33391" xr:uid="{402792B2-C071-4351-99CE-F255CA6FC753}"/>
    <cellStyle name="40% - Accent3 4 2 2" xfId="32767" xr:uid="{775355A5-5711-4660-BE87-E1FF6FC66455}"/>
    <cellStyle name="40% - Accent3 4 3" xfId="32752" xr:uid="{6BF130C0-4ACC-404A-95F1-81EDBA5D6F1C}"/>
    <cellStyle name="40% - Accent3 5" xfId="26742" xr:uid="{00000000-0005-0000-0000-0000EF000000}"/>
    <cellStyle name="40% - Accent3 5 2" xfId="26743" xr:uid="{00000000-0005-0000-0000-0000F0000000}"/>
    <cellStyle name="40% - Accent3 5 2 2" xfId="26744" xr:uid="{00000000-0005-0000-0000-0000F1000000}"/>
    <cellStyle name="40% - Accent3 5 2 2 2" xfId="33394" xr:uid="{860BCD31-F557-467A-A283-A3FFD576AF54}"/>
    <cellStyle name="40% - Accent3 5 2 3" xfId="26745" xr:uid="{00000000-0005-0000-0000-0000F2000000}"/>
    <cellStyle name="40% - Accent3 5 2 3 2" xfId="33395" xr:uid="{C9FFA29C-42AA-4406-9B30-4D25499A43F2}"/>
    <cellStyle name="40% - Accent3 5 2 4" xfId="33393" xr:uid="{AA2AC75D-65F1-497E-8AED-746096652B33}"/>
    <cellStyle name="40% - Accent3 5 3" xfId="26746" xr:uid="{00000000-0005-0000-0000-0000F3000000}"/>
    <cellStyle name="40% - Accent3 5 3 2" xfId="33396" xr:uid="{37FC1175-6157-4C99-B11E-95ABEEE25FE6}"/>
    <cellStyle name="40% - Accent3 5 4" xfId="26747" xr:uid="{00000000-0005-0000-0000-0000F4000000}"/>
    <cellStyle name="40% - Accent3 5 4 2" xfId="33397" xr:uid="{D36BF2A7-1B7A-45DD-9A64-615EF31AD0C4}"/>
    <cellStyle name="40% - Accent3 5 5" xfId="26748" xr:uid="{00000000-0005-0000-0000-0000F5000000}"/>
    <cellStyle name="40% - Accent3 5 5 2" xfId="33398" xr:uid="{FDE0758F-3781-4BA9-AF06-D6EDB92ECC57}"/>
    <cellStyle name="40% - Accent3 5 6" xfId="33392" xr:uid="{48D122EE-DDCC-420C-9A30-C1688759A883}"/>
    <cellStyle name="40% - Accent3 5 7" xfId="42391" xr:uid="{181CE423-7101-40AD-81F2-E13C30D28F25}"/>
    <cellStyle name="40% - Accent3 6" xfId="26749" xr:uid="{00000000-0005-0000-0000-0000F6000000}"/>
    <cellStyle name="40% - Accent3 6 2" xfId="33399" xr:uid="{2AB2790F-52D2-4BA4-B3DC-1B6ED3B1C450}"/>
    <cellStyle name="40% - Accent3 6 3" xfId="42402" xr:uid="{D564E379-C892-4C07-BED8-50FC387C2132}"/>
    <cellStyle name="40% - Accent3 7" xfId="26750" xr:uid="{00000000-0005-0000-0000-0000F7000000}"/>
    <cellStyle name="40% - Accent3 7 2" xfId="33400" xr:uid="{A8EDC171-A03D-45EA-97E2-6FED15E82492}"/>
    <cellStyle name="40% - Accent3 7 3" xfId="33883" xr:uid="{D8E017EA-F974-4B54-B269-27AB6CF798E0}"/>
    <cellStyle name="40% - Accent3 8" xfId="26751" xr:uid="{00000000-0005-0000-0000-0000F8000000}"/>
    <cellStyle name="40% - Accent3 8 2" xfId="33401" xr:uid="{EC9BA0D2-211F-4922-A9F9-2476B967EDB2}"/>
    <cellStyle name="40% - Accent3 8 3" xfId="42356" xr:uid="{C8445C52-0D9A-44CB-A12B-DE9BA6C64323}"/>
    <cellStyle name="40% - Accent3 9" xfId="26752" xr:uid="{00000000-0005-0000-0000-0000F9000000}"/>
    <cellStyle name="40% - Accent3 9 2" xfId="33402" xr:uid="{B9971DAA-2E9E-4D88-A04A-C118C2D97696}"/>
    <cellStyle name="40% - Accent3 9 3" xfId="42119" xr:uid="{0FB7CB88-3EA7-49E1-86E5-D3AF9820BF74}"/>
    <cellStyle name="40% - Accent4 10" xfId="42016" xr:uid="{F2A95B6D-2C9C-4B9A-807F-C826BF58EDED}"/>
    <cellStyle name="40% - Accent4 11" xfId="42334" xr:uid="{37C06A58-5767-4EF2-8F96-2B38A7ECCEF8}"/>
    <cellStyle name="40% - Accent4 12" xfId="32791" xr:uid="{AE222C44-1D07-4AE4-8D1A-B5A2F02F428A}"/>
    <cellStyle name="40% - Accent4 13" xfId="42340" xr:uid="{A6AB3C17-E6D5-4895-B062-8A71EE8E8073}"/>
    <cellStyle name="40% - Accent4 14" xfId="42144" xr:uid="{C61DA90C-DC31-441C-B04F-17331DEC075F}"/>
    <cellStyle name="40% - Accent4 15" xfId="42410" xr:uid="{36F9F50A-5507-4B7C-B337-2315DF58B750}"/>
    <cellStyle name="40% - Accent4 16" xfId="32621" xr:uid="{A60B7198-29F3-424A-AF44-33DD14E2F955}"/>
    <cellStyle name="40% - Accent4 17" xfId="42369" xr:uid="{E66A3C5F-88C4-4B8E-B763-C7A4F565B6D0}"/>
    <cellStyle name="40% - Accent4 18" xfId="42162" xr:uid="{1D8F79D0-BC20-42F8-966D-D135AC620712}"/>
    <cellStyle name="40% - Accent4 19" xfId="34303" xr:uid="{604EEC62-D46D-411E-B2EA-C77E88D7E24F}"/>
    <cellStyle name="40% - Accent4 2" xfId="29" xr:uid="{00000000-0005-0000-0000-0000FA000000}"/>
    <cellStyle name="40% - Accent4 2 2" xfId="30" xr:uid="{00000000-0005-0000-0000-0000FB000000}"/>
    <cellStyle name="40% - Accent4 2 2 2" xfId="25724" xr:uid="{00000000-0005-0000-0000-0000FC000000}"/>
    <cellStyle name="40% - Accent4 2 2 2 2" xfId="26012" xr:uid="{00000000-0005-0000-0000-0000FD000000}"/>
    <cellStyle name="40% - Accent4 2 2 3" xfId="25725" xr:uid="{00000000-0005-0000-0000-0000FE000000}"/>
    <cellStyle name="40% - Accent4 2 2 4" xfId="25726" xr:uid="{00000000-0005-0000-0000-0000FF000000}"/>
    <cellStyle name="40% - Accent4 2 2 5" xfId="25723" xr:uid="{00000000-0005-0000-0000-000000010000}"/>
    <cellStyle name="40% - Accent4 2 2 6" xfId="33403" xr:uid="{BFB4638B-D5A1-42F6-A4FB-45F78CD40DE0}"/>
    <cellStyle name="40% - Accent4 2 2 7" xfId="42010" xr:uid="{E9046AD3-5862-4F18-BC21-47DD0797EF72}"/>
    <cellStyle name="40% - Accent4 2 3" xfId="25727" xr:uid="{00000000-0005-0000-0000-000001010000}"/>
    <cellStyle name="40% - Accent4 2 3 2" xfId="26013" xr:uid="{00000000-0005-0000-0000-000002010000}"/>
    <cellStyle name="40% - Accent4 2 3 3" xfId="42161" xr:uid="{97CAC477-221A-47D7-A61A-AB2ACDC22C99}"/>
    <cellStyle name="40% - Accent4 2 4" xfId="25728" xr:uid="{00000000-0005-0000-0000-000003010000}"/>
    <cellStyle name="40% - Accent4 2 5" xfId="25729" xr:uid="{00000000-0005-0000-0000-000004010000}"/>
    <cellStyle name="40% - Accent4 2 6" xfId="26201" xr:uid="{00000000-0005-0000-0000-000005010000}"/>
    <cellStyle name="40% - Accent4 2 7" xfId="25722" xr:uid="{00000000-0005-0000-0000-000006010000}"/>
    <cellStyle name="40% - Accent4 2 8" xfId="32809" xr:uid="{F54B52DB-CFD9-4E1D-B128-D274842E8AD2}"/>
    <cellStyle name="40% - Accent4 2 9" xfId="42253" xr:uid="{5D444E75-1FE9-41AD-A2E4-9542BCEFAF9D}"/>
    <cellStyle name="40% - Accent4 3" xfId="26753" xr:uid="{00000000-0005-0000-0000-000007010000}"/>
    <cellStyle name="40% - Accent4 3 2" xfId="33404" xr:uid="{5F2B2643-EF26-46E9-9A9D-90048A9B9BFF}"/>
    <cellStyle name="40% - Accent4 3 2 2" xfId="42055" xr:uid="{7F19E274-C01F-4F82-A375-A8D27BB47BCB}"/>
    <cellStyle name="40% - Accent4 4" xfId="26754" xr:uid="{00000000-0005-0000-0000-000008010000}"/>
    <cellStyle name="40% - Accent4 4 2" xfId="33405" xr:uid="{26981068-E285-429D-8417-18CBBEDD9DBD}"/>
    <cellStyle name="40% - Accent4 4 2 2" xfId="42068" xr:uid="{2C39FED8-9169-4001-93D5-B6913135696B}"/>
    <cellStyle name="40% - Accent4 4 3" xfId="32750" xr:uid="{282ABE15-258E-482A-A7B1-C9AD9C7E2498}"/>
    <cellStyle name="40% - Accent4 5" xfId="26755" xr:uid="{00000000-0005-0000-0000-000009010000}"/>
    <cellStyle name="40% - Accent4 5 2" xfId="26756" xr:uid="{00000000-0005-0000-0000-00000A010000}"/>
    <cellStyle name="40% - Accent4 5 2 2" xfId="26757" xr:uid="{00000000-0005-0000-0000-00000B010000}"/>
    <cellStyle name="40% - Accent4 5 2 2 2" xfId="33408" xr:uid="{5D9B73B7-81D5-4EC2-A583-9CBFF333EE15}"/>
    <cellStyle name="40% - Accent4 5 2 3" xfId="26758" xr:uid="{00000000-0005-0000-0000-00000C010000}"/>
    <cellStyle name="40% - Accent4 5 2 3 2" xfId="33409" xr:uid="{36EE0235-CF85-4C01-837C-6D8555B45B85}"/>
    <cellStyle name="40% - Accent4 5 2 4" xfId="33407" xr:uid="{786BAFF0-0709-4897-A7D1-457A55134568}"/>
    <cellStyle name="40% - Accent4 5 3" xfId="26759" xr:uid="{00000000-0005-0000-0000-00000D010000}"/>
    <cellStyle name="40% - Accent4 5 3 2" xfId="33410" xr:uid="{51938EEB-BC78-4294-B0FC-6BDB5FEB8BF3}"/>
    <cellStyle name="40% - Accent4 5 4" xfId="26760" xr:uid="{00000000-0005-0000-0000-00000E010000}"/>
    <cellStyle name="40% - Accent4 5 4 2" xfId="33411" xr:uid="{3A85F69D-E868-4AFD-881E-43D4C68CD96E}"/>
    <cellStyle name="40% - Accent4 5 5" xfId="26761" xr:uid="{00000000-0005-0000-0000-00000F010000}"/>
    <cellStyle name="40% - Accent4 5 5 2" xfId="33412" xr:uid="{2285377C-BA48-4312-B658-0AD6FE103979}"/>
    <cellStyle name="40% - Accent4 5 6" xfId="33406" xr:uid="{E8CFB150-BB3B-4918-B3E5-2B67634E6994}"/>
    <cellStyle name="40% - Accent4 5 7" xfId="42002" xr:uid="{14EEC41D-0C3D-4462-9A9B-3ACA67FF759D}"/>
    <cellStyle name="40% - Accent4 6" xfId="26762" xr:uid="{00000000-0005-0000-0000-000010010000}"/>
    <cellStyle name="40% - Accent4 6 2" xfId="33413" xr:uid="{80F054E7-4EF1-4E4E-B120-0A32B450115B}"/>
    <cellStyle name="40% - Accent4 6 3" xfId="42305" xr:uid="{01832EC4-B163-4F6C-9AD9-0AFA0157E981}"/>
    <cellStyle name="40% - Accent4 7" xfId="26763" xr:uid="{00000000-0005-0000-0000-000011010000}"/>
    <cellStyle name="40% - Accent4 7 2" xfId="33414" xr:uid="{ACEF2A65-E455-49DC-9EEB-0BEB4DCF37E5}"/>
    <cellStyle name="40% - Accent4 7 3" xfId="32965" xr:uid="{3ED808A7-54F4-4B7C-8F4C-35438ED23430}"/>
    <cellStyle name="40% - Accent4 8" xfId="26764" xr:uid="{00000000-0005-0000-0000-000012010000}"/>
    <cellStyle name="40% - Accent4 8 2" xfId="33415" xr:uid="{8F2F346E-EBA4-471F-9518-782062E991E0}"/>
    <cellStyle name="40% - Accent4 8 3" xfId="42405" xr:uid="{2F1B79B9-80A9-4887-964B-034329EC338B}"/>
    <cellStyle name="40% - Accent4 9" xfId="26765" xr:uid="{00000000-0005-0000-0000-000013010000}"/>
    <cellStyle name="40% - Accent4 9 2" xfId="33416" xr:uid="{B01490CC-95D8-4BFD-81B4-30F378E25160}"/>
    <cellStyle name="40% - Accent4 9 3" xfId="42374" xr:uid="{049845FA-9257-4FC3-B97D-6123733175E1}"/>
    <cellStyle name="40% - Accent5 10" xfId="42085" xr:uid="{C3768EDA-16E0-46BC-A424-873E3E7E8B6D}"/>
    <cellStyle name="40% - Accent5 11" xfId="42054" xr:uid="{C0D3A38E-8849-4AEF-826D-70BF2AF0A749}"/>
    <cellStyle name="40% - Accent5 12" xfId="42345" xr:uid="{1FE353C9-60A0-48C5-96E6-A903560C865D}"/>
    <cellStyle name="40% - Accent5 13" xfId="42060" xr:uid="{DC8885BA-92C7-466C-BB91-95BBB6568522}"/>
    <cellStyle name="40% - Accent5 14" xfId="42141" xr:uid="{C6160ADB-4266-43AC-80B5-52BF7CEF8E73}"/>
    <cellStyle name="40% - Accent5 15" xfId="42314" xr:uid="{06DD1DDC-2B4F-4C8A-8A0C-5703DB393729}"/>
    <cellStyle name="40% - Accent5 16" xfId="42069" xr:uid="{A1BD6BA5-B9F4-48DC-A06B-60BB6DE2E05C}"/>
    <cellStyle name="40% - Accent5 17" xfId="42291" xr:uid="{046ADD43-08AE-41EF-AC7E-4C7990A47CB9}"/>
    <cellStyle name="40% - Accent5 18" xfId="42160" xr:uid="{479219FD-46C1-4E1E-AB36-E95267BA595C}"/>
    <cellStyle name="40% - Accent5 19" xfId="34305" xr:uid="{3985C5B3-D24E-43C1-B578-A86CAD549C15}"/>
    <cellStyle name="40% - Accent5 2" xfId="31" xr:uid="{00000000-0005-0000-0000-000014010000}"/>
    <cellStyle name="40% - Accent5 2 2" xfId="32" xr:uid="{00000000-0005-0000-0000-000015010000}"/>
    <cellStyle name="40% - Accent5 2 2 2" xfId="25732" xr:uid="{00000000-0005-0000-0000-000016010000}"/>
    <cellStyle name="40% - Accent5 2 2 2 2" xfId="26015" xr:uid="{00000000-0005-0000-0000-000017010000}"/>
    <cellStyle name="40% - Accent5 2 2 3" xfId="26014" xr:uid="{00000000-0005-0000-0000-000018010000}"/>
    <cellStyle name="40% - Accent5 2 2 4" xfId="26766" xr:uid="{00000000-0005-0000-0000-000019010000}"/>
    <cellStyle name="40% - Accent5 2 2 5" xfId="25731" xr:uid="{00000000-0005-0000-0000-00001A010000}"/>
    <cellStyle name="40% - Accent5 2 2 6" xfId="33417" xr:uid="{AC70F95D-83BB-45EB-B765-EC2F6801DF79}"/>
    <cellStyle name="40% - Accent5 2 2 7" xfId="42007" xr:uid="{33257C5D-6781-41E6-9764-5E56324AAB81}"/>
    <cellStyle name="40% - Accent5 2 3" xfId="25733" xr:uid="{00000000-0005-0000-0000-00001B010000}"/>
    <cellStyle name="40% - Accent5 2 3 2" xfId="26016" xr:uid="{00000000-0005-0000-0000-00001C010000}"/>
    <cellStyle name="40% - Accent5 2 3 3" xfId="42159" xr:uid="{489F2548-C9F0-466F-9DD7-2E4B12E77F33}"/>
    <cellStyle name="40% - Accent5 2 4" xfId="25734" xr:uid="{00000000-0005-0000-0000-00001D010000}"/>
    <cellStyle name="40% - Accent5 2 5" xfId="26202" xr:uid="{00000000-0005-0000-0000-00001E010000}"/>
    <cellStyle name="40% - Accent5 2 6" xfId="25730" xr:uid="{00000000-0005-0000-0000-00001F010000}"/>
    <cellStyle name="40% - Accent5 2 7" xfId="32810" xr:uid="{6FC402C5-FB20-40B3-9912-42FFFE40923A}"/>
    <cellStyle name="40% - Accent5 2 8" xfId="32668" xr:uid="{C707F57F-7E77-49A4-84DA-22CE2F3D8C10}"/>
    <cellStyle name="40% - Accent5 3" xfId="26767" xr:uid="{00000000-0005-0000-0000-000020010000}"/>
    <cellStyle name="40% - Accent5 3 2" xfId="33418" xr:uid="{9F92FC60-0A74-4AC0-9B95-ABDD43519A7F}"/>
    <cellStyle name="40% - Accent5 3 2 2" xfId="42102" xr:uid="{AB83CCF5-D0BF-4335-A111-F6A47541EDEB}"/>
    <cellStyle name="40% - Accent5 4" xfId="26768" xr:uid="{00000000-0005-0000-0000-000021010000}"/>
    <cellStyle name="40% - Accent5 4 2" xfId="33419" xr:uid="{6F95C279-C022-47B9-89D4-095AC3D254E1}"/>
    <cellStyle name="40% - Accent5 4 2 2" xfId="42116" xr:uid="{1ED17456-7868-44A1-B787-18927008C390}"/>
    <cellStyle name="40% - Accent5 4 3" xfId="32799" xr:uid="{A69ECE61-B957-4910-AEA2-AE09029CFE0E}"/>
    <cellStyle name="40% - Accent5 5" xfId="26769" xr:uid="{00000000-0005-0000-0000-000022010000}"/>
    <cellStyle name="40% - Accent5 5 2" xfId="26770" xr:uid="{00000000-0005-0000-0000-000023010000}"/>
    <cellStyle name="40% - Accent5 5 2 2" xfId="26771" xr:uid="{00000000-0005-0000-0000-000024010000}"/>
    <cellStyle name="40% - Accent5 5 2 2 2" xfId="33422" xr:uid="{1B39A61E-689A-437A-BD45-B0C5B1EBD1AF}"/>
    <cellStyle name="40% - Accent5 5 2 3" xfId="26772" xr:uid="{00000000-0005-0000-0000-000025010000}"/>
    <cellStyle name="40% - Accent5 5 2 3 2" xfId="33423" xr:uid="{E07A7BCE-D428-4325-A0F1-D2DD5ACF3DB5}"/>
    <cellStyle name="40% - Accent5 5 2 4" xfId="33421" xr:uid="{04AE9911-ED45-42A3-B43A-C50E733F21C7}"/>
    <cellStyle name="40% - Accent5 5 3" xfId="26773" xr:uid="{00000000-0005-0000-0000-000026010000}"/>
    <cellStyle name="40% - Accent5 5 3 2" xfId="33424" xr:uid="{2D4B2E2B-F2B7-4A1D-9393-4008F6C1387C}"/>
    <cellStyle name="40% - Accent5 5 4" xfId="26774" xr:uid="{00000000-0005-0000-0000-000027010000}"/>
    <cellStyle name="40% - Accent5 5 4 2" xfId="33425" xr:uid="{AF4FE69E-4150-4EE4-B0D6-3C7C564BE229}"/>
    <cellStyle name="40% - Accent5 5 5" xfId="26775" xr:uid="{00000000-0005-0000-0000-000028010000}"/>
    <cellStyle name="40% - Accent5 5 5 2" xfId="33426" xr:uid="{1C585FB3-39B7-47D3-843A-476A953F4727}"/>
    <cellStyle name="40% - Accent5 5 6" xfId="33420" xr:uid="{C9538945-21BC-4C6A-93BD-177295F9F88B}"/>
    <cellStyle name="40% - Accent5 5 7" xfId="42080" xr:uid="{BAD40698-5AA8-4A5E-8CF0-A61579FC7DE3}"/>
    <cellStyle name="40% - Accent5 6" xfId="26776" xr:uid="{00000000-0005-0000-0000-000029010000}"/>
    <cellStyle name="40% - Accent5 6 2" xfId="33427" xr:uid="{62C3583C-9949-44CB-B8A5-E7D62E143056}"/>
    <cellStyle name="40% - Accent5 6 3" xfId="42022" xr:uid="{685EF0C2-CE0F-4887-B921-12C10E97EAD1}"/>
    <cellStyle name="40% - Accent5 7" xfId="26777" xr:uid="{00000000-0005-0000-0000-00002A010000}"/>
    <cellStyle name="40% - Accent5 7 2" xfId="33428" xr:uid="{0A34C0F9-5EA8-48D0-9C00-9784F5198C47}"/>
    <cellStyle name="40% - Accent5 7 3" xfId="32828" xr:uid="{45B3462A-CEA0-40F5-BDFB-1AD2571F330B}"/>
    <cellStyle name="40% - Accent5 8" xfId="26778" xr:uid="{00000000-0005-0000-0000-00002B010000}"/>
    <cellStyle name="40% - Accent5 8 2" xfId="33429" xr:uid="{E4C91E0B-F393-47E9-955D-FD0CD1612DC3}"/>
    <cellStyle name="40% - Accent5 8 3" xfId="42308" xr:uid="{E025AFA1-2CD1-45AA-9D71-5D8725DA4EF3}"/>
    <cellStyle name="40% - Accent5 9" xfId="26779" xr:uid="{00000000-0005-0000-0000-00002C010000}"/>
    <cellStyle name="40% - Accent5 9 2" xfId="33430" xr:uid="{F56D01B6-BC48-4389-867F-C54F845CB5B0}"/>
    <cellStyle name="40% - Accent5 9 3" xfId="32780" xr:uid="{E07A0698-5242-4436-AABC-9981B2BC3003}"/>
    <cellStyle name="40% - Accent6 10" xfId="42133" xr:uid="{A145DB02-E978-4448-A400-864AB235FA4A}"/>
    <cellStyle name="40% - Accent6 11" xfId="42101" xr:uid="{B934F149-19EE-4937-BFA7-68D88B950491}"/>
    <cellStyle name="40% - Accent6 12" xfId="42270" xr:uid="{9220569D-28E0-4DA4-BB21-6E8982BF39FB}"/>
    <cellStyle name="40% - Accent6 13" xfId="42108" xr:uid="{64BFDD39-0724-46AA-B880-FCB57C7686D9}"/>
    <cellStyle name="40% - Accent6 14" xfId="42138" xr:uid="{11D91030-F32A-476B-99A2-37A3E7EE42FC}"/>
    <cellStyle name="40% - Accent6 15" xfId="42034" xr:uid="{590437E7-CA5B-4AE7-A727-A81637ED989F}"/>
    <cellStyle name="40% - Accent6 16" xfId="42117" xr:uid="{61FC7E1F-6CEB-4A08-A91A-CF77C2E0732F}"/>
    <cellStyle name="40% - Accent6 17" xfId="42339" xr:uid="{B8B769EF-50FE-4639-8B29-4E190BB5CB01}"/>
    <cellStyle name="40% - Accent6 18" xfId="42158" xr:uid="{ECDD86CA-98DF-4118-AE65-6BF226115CE4}"/>
    <cellStyle name="40% - Accent6 19" xfId="34307" xr:uid="{7DF7E847-80C5-45D0-9CEF-5F06AEE8EE24}"/>
    <cellStyle name="40% - Accent6 2" xfId="33" xr:uid="{00000000-0005-0000-0000-00002D010000}"/>
    <cellStyle name="40% - Accent6 2 2" xfId="34" xr:uid="{00000000-0005-0000-0000-00002E010000}"/>
    <cellStyle name="40% - Accent6 2 2 2" xfId="25737" xr:uid="{00000000-0005-0000-0000-00002F010000}"/>
    <cellStyle name="40% - Accent6 2 2 2 2" xfId="26017" xr:uid="{00000000-0005-0000-0000-000030010000}"/>
    <cellStyle name="40% - Accent6 2 2 3" xfId="25738" xr:uid="{00000000-0005-0000-0000-000031010000}"/>
    <cellStyle name="40% - Accent6 2 2 4" xfId="25739" xr:uid="{00000000-0005-0000-0000-000032010000}"/>
    <cellStyle name="40% - Accent6 2 2 5" xfId="25736" xr:uid="{00000000-0005-0000-0000-000033010000}"/>
    <cellStyle name="40% - Accent6 2 2 6" xfId="33431" xr:uid="{78446D17-D902-482E-8E5B-2BB9040533E0}"/>
    <cellStyle name="40% - Accent6 2 2 7" xfId="42003" xr:uid="{6643EFF5-AA41-40EE-9D0B-45EE4ABCB711}"/>
    <cellStyle name="40% - Accent6 2 3" xfId="25740" xr:uid="{00000000-0005-0000-0000-000034010000}"/>
    <cellStyle name="40% - Accent6 2 3 2" xfId="26018" xr:uid="{00000000-0005-0000-0000-000035010000}"/>
    <cellStyle name="40% - Accent6 2 3 3" xfId="42157" xr:uid="{E5E0BED7-C7C7-46FC-B7F0-DA70D8FFB9B2}"/>
    <cellStyle name="40% - Accent6 2 4" xfId="25741" xr:uid="{00000000-0005-0000-0000-000036010000}"/>
    <cellStyle name="40% - Accent6 2 5" xfId="25742" xr:uid="{00000000-0005-0000-0000-000037010000}"/>
    <cellStyle name="40% - Accent6 2 6" xfId="26203" xr:uid="{00000000-0005-0000-0000-000038010000}"/>
    <cellStyle name="40% - Accent6 2 7" xfId="25735" xr:uid="{00000000-0005-0000-0000-000039010000}"/>
    <cellStyle name="40% - Accent6 2 8" xfId="32811" xr:uid="{3FF66036-AD74-41D8-8B8E-49A5411F94E9}"/>
    <cellStyle name="40% - Accent6 2 9" xfId="32669" xr:uid="{D082034C-73B6-47FF-9A27-75EA72778CE0}"/>
    <cellStyle name="40% - Accent6 3" xfId="26780" xr:uid="{00000000-0005-0000-0000-00003A010000}"/>
    <cellStyle name="40% - Accent6 3 2" xfId="33432" xr:uid="{AD2FBBC9-631C-42E5-AD22-DCB4EFF8142C}"/>
    <cellStyle name="40% - Accent6 3 2 2" xfId="42280" xr:uid="{0C3B8EF7-98F2-4F39-9D59-77A4448E8955}"/>
    <cellStyle name="40% - Accent6 4" xfId="26781" xr:uid="{00000000-0005-0000-0000-00003B010000}"/>
    <cellStyle name="40% - Accent6 4 2" xfId="33433" xr:uid="{8850F63C-2D31-4F47-B007-400305B9B392}"/>
    <cellStyle name="40% - Accent6 4 2 2" xfId="42372" xr:uid="{AD52B2AA-8803-43F2-8398-FCDEA436F0A1}"/>
    <cellStyle name="40% - Accent6 4 3" xfId="32868" xr:uid="{756E4AD0-D8A2-479B-89DB-5617C0200556}"/>
    <cellStyle name="40% - Accent6 5" xfId="26782" xr:uid="{00000000-0005-0000-0000-00003C010000}"/>
    <cellStyle name="40% - Accent6 5 2" xfId="26783" xr:uid="{00000000-0005-0000-0000-00003D010000}"/>
    <cellStyle name="40% - Accent6 5 2 2" xfId="26784" xr:uid="{00000000-0005-0000-0000-00003E010000}"/>
    <cellStyle name="40% - Accent6 5 2 2 2" xfId="33436" xr:uid="{0D371775-FFFA-4CCF-AEE3-D74BA7C05EC2}"/>
    <cellStyle name="40% - Accent6 5 2 3" xfId="26785" xr:uid="{00000000-0005-0000-0000-00003F010000}"/>
    <cellStyle name="40% - Accent6 5 2 3 2" xfId="33437" xr:uid="{AC682288-953C-4573-A28C-5E5D6566E674}"/>
    <cellStyle name="40% - Accent6 5 2 4" xfId="33435" xr:uid="{EE093E65-DDD9-47AE-9886-8C44419C5EB5}"/>
    <cellStyle name="40% - Accent6 5 3" xfId="26786" xr:uid="{00000000-0005-0000-0000-000040010000}"/>
    <cellStyle name="40% - Accent6 5 3 2" xfId="33438" xr:uid="{33413E41-4286-492F-BA6A-C4B271EF9625}"/>
    <cellStyle name="40% - Accent6 5 4" xfId="26787" xr:uid="{00000000-0005-0000-0000-000041010000}"/>
    <cellStyle name="40% - Accent6 5 4 2" xfId="33439" xr:uid="{99905C15-844C-42E2-B024-405B3EF4672E}"/>
    <cellStyle name="40% - Accent6 5 5" xfId="26788" xr:uid="{00000000-0005-0000-0000-000042010000}"/>
    <cellStyle name="40% - Accent6 5 5 2" xfId="33440" xr:uid="{6616F454-C762-4D1D-944D-0FBF69C481E9}"/>
    <cellStyle name="40% - Accent6 5 6" xfId="33434" xr:uid="{DF710D17-3F4F-4C18-B0B4-008DACB15359}"/>
    <cellStyle name="40% - Accent6 5 7" xfId="42127" xr:uid="{B59522B3-DCD0-4E80-B6D4-9A8BEFB5B861}"/>
    <cellStyle name="40% - Accent6 6" xfId="26789" xr:uid="{00000000-0005-0000-0000-000043010000}"/>
    <cellStyle name="40% - Accent6 6 2" xfId="33441" xr:uid="{49B28A25-B5D5-4F3F-873C-D8ABC42EC5B7}"/>
    <cellStyle name="40% - Accent6 6 3" xfId="42272" xr:uid="{8F4B162B-779E-449F-949E-C779A508EBF0}"/>
    <cellStyle name="40% - Accent6 7" xfId="26790" xr:uid="{00000000-0005-0000-0000-000044010000}"/>
    <cellStyle name="40% - Accent6 7 2" xfId="33442" xr:uid="{E5F1E7FB-876F-428D-A67B-307E460EE69E}"/>
    <cellStyle name="40% - Accent6 7 3" xfId="32772" xr:uid="{B4FD1AE9-060B-49E4-A99B-462E5A3A5B10}"/>
    <cellStyle name="40% - Accent6 8" xfId="26791" xr:uid="{00000000-0005-0000-0000-000045010000}"/>
    <cellStyle name="40% - Accent6 8 2" xfId="33443" xr:uid="{A9623AA6-0222-4BBD-BD3A-03F81999ED39}"/>
    <cellStyle name="40% - Accent6 8 3" xfId="42025" xr:uid="{8C6CACDE-E973-418E-8E63-25AE462A91ED}"/>
    <cellStyle name="40% - Accent6 9" xfId="26792" xr:uid="{00000000-0005-0000-0000-000046010000}"/>
    <cellStyle name="40% - Accent6 9 2" xfId="33444" xr:uid="{71FFFB24-AD59-4557-9D9F-10BE38A2AB02}"/>
    <cellStyle name="40% - Accent6 9 3" xfId="32783" xr:uid="{17731A0E-A87D-4B96-AA7B-483F29136216}"/>
    <cellStyle name="60% - Accent1 10" xfId="32638" xr:uid="{2F707920-094C-4C02-B514-8EEC3902BCC9}"/>
    <cellStyle name="60% - Accent1 11" xfId="42000" xr:uid="{90D2AA1C-F44F-4629-8DE7-B5F71FEB6BF5}"/>
    <cellStyle name="60% - Accent1 12" xfId="42328" xr:uid="{A2819518-F2B8-4CF1-B331-21088498052E}"/>
    <cellStyle name="60% - Accent1 13" xfId="42042" xr:uid="{6451DE54-01CD-4D89-B08C-2EF25EA3EF88}"/>
    <cellStyle name="60% - Accent1 14" xfId="32795" xr:uid="{F68DF9CF-D38F-4C60-BF19-40E0F8BCF9CF}"/>
    <cellStyle name="60% - Accent1 15" xfId="42295" xr:uid="{01074572-3B2C-41B3-8164-ADC54D61D956}"/>
    <cellStyle name="60% - Accent1 16" xfId="42331" xr:uid="{8BE40536-68E4-44B5-A6EA-1A4D0CE12595}"/>
    <cellStyle name="60% - Accent1 17" xfId="42269" xr:uid="{F3EFB06A-BF7B-4032-8DDB-C53E9AB61B3D}"/>
    <cellStyle name="60% - Accent1 18" xfId="42156" xr:uid="{75DB68B9-D492-4F72-892C-FF8FC2E51B40}"/>
    <cellStyle name="60% - Accent1 19" xfId="42315" xr:uid="{96A0946C-AD11-4F95-A91F-871B1C9ECE4A}"/>
    <cellStyle name="60% - Accent1 2" xfId="35" xr:uid="{00000000-0005-0000-0000-000047010000}"/>
    <cellStyle name="60% - Accent1 2 2" xfId="36" xr:uid="{00000000-0005-0000-0000-000048010000}"/>
    <cellStyle name="60% - Accent1 2 2 2" xfId="25744" xr:uid="{00000000-0005-0000-0000-000049010000}"/>
    <cellStyle name="60% - Accent1 2 2 3" xfId="33445" xr:uid="{343A2389-545A-4EB7-B132-FB6D855BFFF2}"/>
    <cellStyle name="60% - Accent1 2 2 4" xfId="42009" xr:uid="{F3438530-CAB4-4282-B323-30A07FB51DB8}"/>
    <cellStyle name="60% - Accent1 2 3" xfId="25745" xr:uid="{00000000-0005-0000-0000-00004A010000}"/>
    <cellStyle name="60% - Accent1 2 3 2" xfId="42155" xr:uid="{DEF7F89E-9F90-4EB0-839B-C8E1CD250ED8}"/>
    <cellStyle name="60% - Accent1 2 4" xfId="25746" xr:uid="{00000000-0005-0000-0000-00004B010000}"/>
    <cellStyle name="60% - Accent1 2 5" xfId="26204" xr:uid="{00000000-0005-0000-0000-00004C010000}"/>
    <cellStyle name="60% - Accent1 2 6" xfId="25743" xr:uid="{00000000-0005-0000-0000-00004D010000}"/>
    <cellStyle name="60% - Accent1 2 7" xfId="32812" xr:uid="{E6042363-1CD4-4386-8C39-A18FF3DA34A0}"/>
    <cellStyle name="60% - Accent1 2 8" xfId="42216" xr:uid="{A9832383-5C3A-4164-990B-751193480509}"/>
    <cellStyle name="60% - Accent1 20" xfId="42099" xr:uid="{C1EB15BA-61C1-4A05-9A5D-6A92E93D73D2}"/>
    <cellStyle name="60% - Accent1 3" xfId="26793" xr:uid="{00000000-0005-0000-0000-00004E010000}"/>
    <cellStyle name="60% - Accent1 3 2" xfId="33446" xr:uid="{AA6C1F7C-211B-4891-95B8-DA3FAB9839FB}"/>
    <cellStyle name="60% - Accent1 3 2 2" xfId="42029" xr:uid="{FD879AB9-C80B-47F4-9F40-5F173C6F58B7}"/>
    <cellStyle name="60% - Accent1 4" xfId="26794" xr:uid="{00000000-0005-0000-0000-00004F010000}"/>
    <cellStyle name="60% - Accent1 4 2" xfId="33447" xr:uid="{D93E9B28-955D-46DB-B4F6-F04EE67CDAC8}"/>
    <cellStyle name="60% - Accent1 4 2 2" xfId="42049" xr:uid="{CB208AD3-5F77-4665-A54D-3C0C063F449C}"/>
    <cellStyle name="60% - Accent1 4 3" xfId="34294" xr:uid="{1AE87FC2-E2EA-4F4A-859A-A8227EA2889E}"/>
    <cellStyle name="60% - Accent1 5" xfId="26795" xr:uid="{00000000-0005-0000-0000-000050010000}"/>
    <cellStyle name="60% - Accent1 5 2" xfId="33448" xr:uid="{04C94ED5-417E-4AF4-BBBC-F8EEFAA8FCD0}"/>
    <cellStyle name="60% - Accent1 5 3" xfId="42342" xr:uid="{507EC709-C9B2-4ED7-B68C-8DD5681D4C9B}"/>
    <cellStyle name="60% - Accent1 6" xfId="26796" xr:uid="{00000000-0005-0000-0000-000051010000}"/>
    <cellStyle name="60% - Accent1 6 2" xfId="33449" xr:uid="{EC692464-795E-4A4D-A5F7-8AB9F125E9F1}"/>
    <cellStyle name="60% - Accent1 6 3" xfId="32841" xr:uid="{94C1BABF-6F1D-4AB7-BE03-65F27CA7ECDD}"/>
    <cellStyle name="60% - Accent1 7" xfId="26797" xr:uid="{00000000-0005-0000-0000-000052010000}"/>
    <cellStyle name="60% - Accent1 7 2" xfId="33450" xr:uid="{0E9A455E-1DEE-4700-8047-120DB0951788}"/>
    <cellStyle name="60% - Accent1 7 3" xfId="42044" xr:uid="{BB26288F-1F3C-4075-9B06-08B8DBBD9367}"/>
    <cellStyle name="60% - Accent1 8" xfId="26798" xr:uid="{00000000-0005-0000-0000-000053010000}"/>
    <cellStyle name="60% - Accent1 8 2" xfId="33451" xr:uid="{2DFF1F7E-6687-4E03-A6F7-08436C42FE45}"/>
    <cellStyle name="60% - Accent1 8 3" xfId="32774" xr:uid="{EBF83636-7EF9-4170-9908-FDB10AF185FF}"/>
    <cellStyle name="60% - Accent1 9" xfId="26799" xr:uid="{00000000-0005-0000-0000-000054010000}"/>
    <cellStyle name="60% - Accent1 9 2" xfId="33452" xr:uid="{C5A913F0-16CF-4167-9226-262EA055B04C}"/>
    <cellStyle name="60% - Accent1 9 3" xfId="32777" xr:uid="{A4FBC6CE-3DCC-4931-8F58-F4943BC638B7}"/>
    <cellStyle name="60% - Accent2 10" xfId="42114" xr:uid="{7C22E40C-11B5-4252-8AE2-620F06F3686F}"/>
    <cellStyle name="60% - Accent2 11" xfId="33571" xr:uid="{500CA3FA-13EA-4B41-8ED1-024C5B54308B}"/>
    <cellStyle name="60% - Accent2 12" xfId="42048" xr:uid="{754EFDFE-638A-4A94-956D-BC50EFFFD07C}"/>
    <cellStyle name="60% - Accent2 13" xfId="42089" xr:uid="{96A62E6D-80E4-4AA7-9048-1DA7E1B8790C}"/>
    <cellStyle name="60% - Accent2 14" xfId="42149" xr:uid="{D603CF0D-87A3-424B-AF41-A7B2ABD1DEFD}"/>
    <cellStyle name="60% - Accent2 15" xfId="42013" xr:uid="{1E29DE26-9FAC-48AB-A28C-F67E1F3D0840}"/>
    <cellStyle name="60% - Accent2 16" xfId="42051" xr:uid="{BD8A341E-A177-454C-AC3B-2D98E763126E}"/>
    <cellStyle name="60% - Accent2 17" xfId="42320" xr:uid="{1687B270-23FF-4BE9-9360-A630F67D472F}"/>
    <cellStyle name="60% - Accent2 18" xfId="42154" xr:uid="{689ED0C8-DCEB-46EB-8A97-4467AD222365}"/>
    <cellStyle name="60% - Accent2 19" xfId="42387" xr:uid="{94B1D721-F25E-4A6C-A401-BCF7B88F1814}"/>
    <cellStyle name="60% - Accent2 2" xfId="37" xr:uid="{00000000-0005-0000-0000-000055010000}"/>
    <cellStyle name="60% - Accent2 2 2" xfId="38" xr:uid="{00000000-0005-0000-0000-000056010000}"/>
    <cellStyle name="60% - Accent2 2 2 2" xfId="26800" xr:uid="{00000000-0005-0000-0000-000057010000}"/>
    <cellStyle name="60% - Accent2 2 2 3" xfId="25748" xr:uid="{00000000-0005-0000-0000-000058010000}"/>
    <cellStyle name="60% - Accent2 2 2 4" xfId="33453" xr:uid="{ECE96C48-4A15-4CF8-852D-160898AA73AC}"/>
    <cellStyle name="60% - Accent2 2 2 5" xfId="42031" xr:uid="{B3E0D0D2-D0D8-422B-8060-53012B6E71C4}"/>
    <cellStyle name="60% - Accent2 2 3" xfId="25749" xr:uid="{00000000-0005-0000-0000-000059010000}"/>
    <cellStyle name="60% - Accent2 2 3 2" xfId="42153" xr:uid="{B6EBA7D1-CC4C-4D8A-AC67-D686A946A9C5}"/>
    <cellStyle name="60% - Accent2 2 4" xfId="26205" xr:uid="{00000000-0005-0000-0000-00005A010000}"/>
    <cellStyle name="60% - Accent2 2 5" xfId="25747" xr:uid="{00000000-0005-0000-0000-00005B010000}"/>
    <cellStyle name="60% - Accent2 2 6" xfId="32813" xr:uid="{82743496-59EE-4CE5-B97C-E1231F85E94C}"/>
    <cellStyle name="60% - Accent2 2 7" xfId="42215" xr:uid="{5847C72E-E955-4546-AC1E-3C33637EBC09}"/>
    <cellStyle name="60% - Accent2 20" xfId="42024" xr:uid="{90CF6440-6CC3-4432-95DD-32E27B27D5E2}"/>
    <cellStyle name="60% - Accent2 3" xfId="26801" xr:uid="{00000000-0005-0000-0000-00005C010000}"/>
    <cellStyle name="60% - Accent2 3 2" xfId="33454" xr:uid="{4965BEE8-BC67-4122-A218-27D9AE89AC55}"/>
    <cellStyle name="60% - Accent2 3 2 2" xfId="42358" xr:uid="{E2E9FF99-E7C1-4F20-AAC1-F51708830074}"/>
    <cellStyle name="60% - Accent2 4" xfId="26802" xr:uid="{00000000-0005-0000-0000-00005D010000}"/>
    <cellStyle name="60% - Accent2 4 2" xfId="33455" xr:uid="{0C6A3468-6A35-4E15-AB4A-B76E7C814116}"/>
    <cellStyle name="60% - Accent2 4 2 2" xfId="42096" xr:uid="{A5A66C88-0CAB-49C9-B182-F467CCA155AB}"/>
    <cellStyle name="60% - Accent2 4 3" xfId="32679" xr:uid="{421B6200-EC2E-4754-9BCC-145245E99D2A}"/>
    <cellStyle name="60% - Accent2 5" xfId="26803" xr:uid="{00000000-0005-0000-0000-00005E010000}"/>
    <cellStyle name="60% - Accent2 5 2" xfId="33456" xr:uid="{0867BD76-525C-446E-AD6E-509A84DFEC3F}"/>
    <cellStyle name="60% - Accent2 5 3" xfId="42063" xr:uid="{0C2F1FB5-646A-45FD-85C5-2BD7882FF242}"/>
    <cellStyle name="60% - Accent2 6" xfId="26804" xr:uid="{00000000-0005-0000-0000-00005F010000}"/>
    <cellStyle name="60% - Accent2 6 2" xfId="33457" xr:uid="{CAFF9118-C820-4937-A73A-F36D1FD671D0}"/>
    <cellStyle name="60% - Accent2 6 3" xfId="42074" xr:uid="{81178272-053A-4E8D-9259-AA35150DE44B}"/>
    <cellStyle name="60% - Accent2 7" xfId="26805" xr:uid="{00000000-0005-0000-0000-000060010000}"/>
    <cellStyle name="60% - Accent2 7 2" xfId="33458" xr:uid="{772D5DA1-8ABA-45B3-BEAE-7251850CAC27}"/>
    <cellStyle name="60% - Accent2 7 3" xfId="32771" xr:uid="{FCD77376-4DD6-4DCD-978E-29529BCA9B25}"/>
    <cellStyle name="60% - Accent2 8" xfId="26806" xr:uid="{00000000-0005-0000-0000-000061010000}"/>
    <cellStyle name="60% - Accent2 8 2" xfId="33459" xr:uid="{8FCA859C-C31C-4ACC-A018-CD51C8AE1FFE}"/>
    <cellStyle name="60% - Accent2 8 3" xfId="32775" xr:uid="{77E6493B-181B-4DA8-A852-D897B2839DE6}"/>
    <cellStyle name="60% - Accent2 9" xfId="26807" xr:uid="{00000000-0005-0000-0000-000062010000}"/>
    <cellStyle name="60% - Accent2 9 2" xfId="33460" xr:uid="{52C236E6-EDE6-411A-8188-53E93ACC7CF9}"/>
    <cellStyle name="60% - Accent2 9 3" xfId="42327" xr:uid="{9A7BB061-F315-42FA-B7C1-5461B721CAEA}"/>
    <cellStyle name="60% - Accent3 10" xfId="42371" xr:uid="{3681EA26-E4E4-45F9-AEDF-A64EE917D3C9}"/>
    <cellStyle name="60% - Accent3 11" xfId="42357" xr:uid="{5F77AF8C-EEA9-427F-96EF-04346A3DC09C}"/>
    <cellStyle name="60% - Accent3 12" xfId="42095" xr:uid="{0699538F-428C-4695-8285-31D8750A781A}"/>
    <cellStyle name="60% - Accent3 13" xfId="42363" xr:uid="{1B9219A0-609E-4D38-BC73-8FBC09B114E9}"/>
    <cellStyle name="60% - Accent3 14" xfId="42146" xr:uid="{4900A283-5936-4EFE-A4C2-897A8A9797D5}"/>
    <cellStyle name="60% - Accent3 15" xfId="42082" xr:uid="{1B231A40-168D-409F-8D42-144E2E6A20E0}"/>
    <cellStyle name="60% - Accent3 16" xfId="42098" xr:uid="{8D874D10-ADC7-4F44-A5DF-5B89E82F15B6}"/>
    <cellStyle name="60% - Accent3 17" xfId="42041" xr:uid="{08A53B58-E21D-4D73-B5A1-86F68B9CF53C}"/>
    <cellStyle name="60% - Accent3 18" xfId="42152" xr:uid="{94EE8C66-2BA3-4250-8AE2-980D917A80EA}"/>
    <cellStyle name="60% - Accent3 19" xfId="42107" xr:uid="{E3B520F4-55AA-4994-9F9D-5AEFB7A1DBA7}"/>
    <cellStyle name="60% - Accent3 2" xfId="39" xr:uid="{00000000-0005-0000-0000-000063010000}"/>
    <cellStyle name="60% - Accent3 2 2" xfId="40" xr:uid="{00000000-0005-0000-0000-000064010000}"/>
    <cellStyle name="60% - Accent3 2 2 2" xfId="25751" xr:uid="{00000000-0005-0000-0000-000065010000}"/>
    <cellStyle name="60% - Accent3 2 2 3" xfId="33461" xr:uid="{1AD5C814-4523-4E02-AAF0-5119048241DC}"/>
    <cellStyle name="60% - Accent3 2 2 4" xfId="41994" xr:uid="{DE89DDAC-9910-4BF4-927B-55AFCA40FF11}"/>
    <cellStyle name="60% - Accent3 2 3" xfId="25752" xr:uid="{00000000-0005-0000-0000-000066010000}"/>
    <cellStyle name="60% - Accent3 2 3 2" xfId="42151" xr:uid="{05B500BA-D191-41B3-80C2-B29E2B0896B0}"/>
    <cellStyle name="60% - Accent3 2 4" xfId="25753" xr:uid="{00000000-0005-0000-0000-000067010000}"/>
    <cellStyle name="60% - Accent3 2 5" xfId="26206" xr:uid="{00000000-0005-0000-0000-000068010000}"/>
    <cellStyle name="60% - Accent3 2 6" xfId="25750" xr:uid="{00000000-0005-0000-0000-000069010000}"/>
    <cellStyle name="60% - Accent3 2 7" xfId="32814" xr:uid="{53210D53-1BEF-4A56-9CBE-2D9FC235B524}"/>
    <cellStyle name="60% - Accent3 2 8" xfId="42214" xr:uid="{F9A25AA3-EF84-427A-B8AD-A7672D0E8B76}"/>
    <cellStyle name="60% - Accent3 20" xfId="32863" xr:uid="{8CC0C9B0-5BC7-468B-B80D-3CD04AF5886E}"/>
    <cellStyle name="60% - Accent3 3" xfId="26808" xr:uid="{00000000-0005-0000-0000-00006A010000}"/>
    <cellStyle name="60% - Accent3 3 2" xfId="33462" xr:uid="{153F4638-8B4A-4334-ACE8-297885FE13EA}"/>
    <cellStyle name="60% - Accent3 3 2 2" xfId="42407" xr:uid="{F4E0E5DE-6D5D-4A1D-A12D-C571F64A51B4}"/>
    <cellStyle name="60% - Accent3 4" xfId="26809" xr:uid="{00000000-0005-0000-0000-00006B010000}"/>
    <cellStyle name="60% - Accent3 4 2" xfId="33463" xr:uid="{E0890234-1C53-4D84-9EEF-78E849A1061D}"/>
    <cellStyle name="60% - Accent3 4 2 2" xfId="42273" xr:uid="{A52CC71A-84F0-414F-B5FB-7B47648A7938}"/>
    <cellStyle name="60% - Accent3 4 3" xfId="32845" xr:uid="{43720837-8B41-44C5-81D6-2A0F7F5FCAA2}"/>
    <cellStyle name="60% - Accent3 5" xfId="26810" xr:uid="{00000000-0005-0000-0000-00006C010000}"/>
    <cellStyle name="60% - Accent3 5 2" xfId="33464" xr:uid="{4231770E-B19D-4BC4-9433-3535B42E780A}"/>
    <cellStyle name="60% - Accent3 5 3" xfId="42111" xr:uid="{B682EA29-5600-46F1-B170-5E85872D9210}"/>
    <cellStyle name="60% - Accent3 6" xfId="26811" xr:uid="{00000000-0005-0000-0000-00006D010000}"/>
    <cellStyle name="60% - Accent3 6 2" xfId="33465" xr:uid="{3EE3BF2C-D043-4A01-89D0-99B7DD88E7B1}"/>
    <cellStyle name="60% - Accent3 6 3" xfId="42122" xr:uid="{F9F2B2AA-C349-485F-BCC7-B65A77049C2A}"/>
    <cellStyle name="60% - Accent3 7" xfId="26812" xr:uid="{00000000-0005-0000-0000-00006E010000}"/>
    <cellStyle name="60% - Accent3 7 2" xfId="33466" xr:uid="{A5D3A0CD-CDCC-4899-83B4-A9413D56AE17}"/>
    <cellStyle name="60% - Accent3 7 3" xfId="33581" xr:uid="{449A7968-5751-4E28-89EC-669CEE126366}"/>
    <cellStyle name="60% - Accent3 8" xfId="26813" xr:uid="{00000000-0005-0000-0000-00006F010000}"/>
    <cellStyle name="60% - Accent3 8 2" xfId="33467" xr:uid="{3A3D381B-D28C-4568-8E5F-C086922D3DF4}"/>
    <cellStyle name="60% - Accent3 8 3" xfId="42077" xr:uid="{61ED5B03-14A4-485F-9819-A45A5E9E0A74}"/>
    <cellStyle name="60% - Accent3 9" xfId="26814" xr:uid="{00000000-0005-0000-0000-000070010000}"/>
    <cellStyle name="60% - Accent3 9 2" xfId="33468" xr:uid="{E5102BAB-125D-4E89-91EF-D3DFD8E0210C}"/>
    <cellStyle name="60% - Accent3 9 3" xfId="42047" xr:uid="{01FBBD45-1E1C-41F7-B7AA-613A7A6C0768}"/>
    <cellStyle name="60% - Accent4 10" xfId="42293" xr:uid="{D7D22F02-C835-46D0-B844-5F10BCC1D698}"/>
    <cellStyle name="60% - Accent4 11" xfId="42406" xr:uid="{43EE74C6-F267-4031-A9F2-85469C182B71}"/>
    <cellStyle name="60% - Accent4 12" xfId="32637" xr:uid="{5E98D591-F339-4A33-83D0-DA7ABD71C5AE}"/>
    <cellStyle name="60% - Accent4 13" xfId="42412" xr:uid="{6655617B-DE41-4C24-A498-353F7D79997D}"/>
    <cellStyle name="60% - Accent4 14" xfId="42143" xr:uid="{23DA26B7-682D-4755-9F3F-B448BBC27BD2}"/>
    <cellStyle name="60% - Accent4 15" xfId="42130" xr:uid="{6D04DA09-1495-4A2F-8CE7-D9EACDCF5BF4}"/>
    <cellStyle name="60% - Accent4 16" xfId="42276" xr:uid="{3D519DA8-FD48-4457-A25E-E1A3FCF71641}"/>
    <cellStyle name="60% - Accent4 17" xfId="42088" xr:uid="{FFD1A304-F39E-4C86-8E65-256ACD67D080}"/>
    <cellStyle name="60% - Accent4 18" xfId="41987" xr:uid="{B37BA537-C9A4-406F-ABA6-7FDD9CDEC511}"/>
    <cellStyle name="60% - Accent4 19" xfId="42035" xr:uid="{C70BC94F-62C0-42CC-A05F-6B775D72773B}"/>
    <cellStyle name="60% - Accent4 2" xfId="41" xr:uid="{00000000-0005-0000-0000-000071010000}"/>
    <cellStyle name="60% - Accent4 2 2" xfId="42" xr:uid="{00000000-0005-0000-0000-000072010000}"/>
    <cellStyle name="60% - Accent4 2 2 2" xfId="25755" xr:uid="{00000000-0005-0000-0000-000073010000}"/>
    <cellStyle name="60% - Accent4 2 2 3" xfId="33469" xr:uid="{3DC9077A-179E-4C50-8C99-E52107F406CF}"/>
    <cellStyle name="60% - Accent4 2 2 4" xfId="42032" xr:uid="{B2782AC3-A80E-4AC9-9E9A-B7EC63210348}"/>
    <cellStyle name="60% - Accent4 2 3" xfId="25756" xr:uid="{00000000-0005-0000-0000-000074010000}"/>
    <cellStyle name="60% - Accent4 2 3 2" xfId="32580" xr:uid="{D82527D6-D4A1-48C7-9C9B-86D60951921A}"/>
    <cellStyle name="60% - Accent4 2 4" xfId="25757" xr:uid="{00000000-0005-0000-0000-000075010000}"/>
    <cellStyle name="60% - Accent4 2 5" xfId="26207" xr:uid="{00000000-0005-0000-0000-000076010000}"/>
    <cellStyle name="60% - Accent4 2 6" xfId="25754" xr:uid="{00000000-0005-0000-0000-000077010000}"/>
    <cellStyle name="60% - Accent4 2 7" xfId="32815" xr:uid="{46ACF2D2-7867-4BC8-8445-5D3A45F9A1EF}"/>
    <cellStyle name="60% - Accent4 2 8" xfId="42213" xr:uid="{21646A75-354F-41CB-93E2-17E32C247E24}"/>
    <cellStyle name="60% - Accent4 20" xfId="42277" xr:uid="{038BAB79-5525-4298-90BB-1B7A3BC29D87}"/>
    <cellStyle name="60% - Accent4 3" xfId="26815" xr:uid="{00000000-0005-0000-0000-000078010000}"/>
    <cellStyle name="60% - Accent4 3 2" xfId="33470" xr:uid="{7DA55781-6532-4487-8DB7-824BBE23ACB2}"/>
    <cellStyle name="60% - Accent4 3 2 2" xfId="42310" xr:uid="{D29A1667-E597-4810-8114-144639ED42CC}"/>
    <cellStyle name="60% - Accent4 4" xfId="26816" xr:uid="{00000000-0005-0000-0000-000079010000}"/>
    <cellStyle name="60% - Accent4 4 2" xfId="33471" xr:uid="{49E08463-2C71-4E84-A963-76DFFB76575A}"/>
    <cellStyle name="60% - Accent4 4 2 2" xfId="42324" xr:uid="{54C5945A-B014-4108-BCA2-58BB517FE04B}"/>
    <cellStyle name="60% - Accent4 4 3" xfId="32749" xr:uid="{FE3B5E37-0E95-43DC-9FD3-3E0FDEEB4F7F}"/>
    <cellStyle name="60% - Accent4 5" xfId="26817" xr:uid="{00000000-0005-0000-0000-00007A010000}"/>
    <cellStyle name="60% - Accent4 5 2" xfId="33472" xr:uid="{4DAC8B35-69C3-4B09-97F5-724DE5932BBD}"/>
    <cellStyle name="60% - Accent4 5 3" xfId="42287" xr:uid="{9D795F76-A16A-439F-9FC9-F305F6FEFED1}"/>
    <cellStyle name="60% - Accent4 6" xfId="26818" xr:uid="{00000000-0005-0000-0000-00007B010000}"/>
    <cellStyle name="60% - Accent4 6 2" xfId="33473" xr:uid="{CA7D620B-0ACD-47C2-92E1-F58C8C694FF4}"/>
    <cellStyle name="60% - Accent4 6 3" xfId="42377" xr:uid="{E70FB4EB-20EB-462D-B5F8-7448E9B76C2C}"/>
    <cellStyle name="60% - Accent4 7" xfId="26819" xr:uid="{00000000-0005-0000-0000-00007C010000}"/>
    <cellStyle name="60% - Accent4 7 2" xfId="33474" xr:uid="{BDBB1B5F-4308-416B-9B4A-CE37D8DD7F70}"/>
    <cellStyle name="60% - Accent4 7 3" xfId="32865" xr:uid="{616C3767-006A-4D0F-B754-359343D29310}"/>
    <cellStyle name="60% - Accent4 8" xfId="26820" xr:uid="{00000000-0005-0000-0000-00007D010000}"/>
    <cellStyle name="60% - Accent4 8 2" xfId="33475" xr:uid="{908809E2-89C0-4890-9D3E-DB2C645E2F74}"/>
    <cellStyle name="60% - Accent4 8 3" xfId="42124" xr:uid="{127F2C8C-8128-4F63-96B3-72ED0BBCF05D}"/>
    <cellStyle name="60% - Accent4 9" xfId="26821" xr:uid="{00000000-0005-0000-0000-00007E010000}"/>
    <cellStyle name="60% - Accent4 9 2" xfId="33476" xr:uid="{8F220B44-F006-4651-B43F-3C1588207E69}"/>
    <cellStyle name="60% - Accent4 9 3" xfId="42094" xr:uid="{B2E110EE-3E2B-4C8A-B5E4-0DCA961DC2FE}"/>
    <cellStyle name="60% - Accent5 10" xfId="42341" xr:uid="{5445DFC1-3758-46BA-A1D4-C911B2299B25}"/>
    <cellStyle name="60% - Accent5 11" xfId="42309" xr:uid="{F097922A-E9E7-40E6-8873-B03361FE3911}"/>
    <cellStyle name="60% - Accent5 12" xfId="42066" xr:uid="{5CFEF882-E5EC-4F0D-9F38-01F40CE4871A}"/>
    <cellStyle name="60% - Accent5 13" xfId="42316" xr:uid="{842E3C62-FD9B-4EB6-9F49-982BAB3757FF}"/>
    <cellStyle name="60% - Accent5 14" xfId="42140" xr:uid="{A915EE73-40F5-46A2-BE5A-6BF954D9BB53}"/>
    <cellStyle name="60% - Accent5 15" xfId="42386" xr:uid="{DCACBE88-38B5-45B4-AE35-2FFC85D8BA36}"/>
    <cellStyle name="60% - Accent5 16" xfId="42325" xr:uid="{F8C4BB59-AD87-4749-A787-28F8F9C05BA1}"/>
    <cellStyle name="60% - Accent5 17" xfId="42362" xr:uid="{6510F975-ECB5-4561-BE35-5C77D2A3B18A}"/>
    <cellStyle name="60% - Accent5 18" xfId="32836" xr:uid="{1B3D5BA3-3DD3-49E7-BD4D-25B59FFAC7F0}"/>
    <cellStyle name="60% - Accent5 19" xfId="41998" xr:uid="{746722F9-0731-4B6F-B53C-75A758D4A418}"/>
    <cellStyle name="60% - Accent5 2" xfId="43" xr:uid="{00000000-0005-0000-0000-00007F010000}"/>
    <cellStyle name="60% - Accent5 2 2" xfId="44" xr:uid="{00000000-0005-0000-0000-000080010000}"/>
    <cellStyle name="60% - Accent5 2 2 2" xfId="26822" xr:uid="{00000000-0005-0000-0000-000081010000}"/>
    <cellStyle name="60% - Accent5 2 2 3" xfId="25759" xr:uid="{00000000-0005-0000-0000-000082010000}"/>
    <cellStyle name="60% - Accent5 2 2 4" xfId="33477" xr:uid="{8A2136AE-1D0A-416A-A10A-51223097998A}"/>
    <cellStyle name="60% - Accent5 2 2 5" xfId="41995" xr:uid="{B93F49B4-3B02-4A47-8B8A-EBE03A6D2B7D}"/>
    <cellStyle name="60% - Accent5 2 3" xfId="25760" xr:uid="{00000000-0005-0000-0000-000083010000}"/>
    <cellStyle name="60% - Accent5 2 3 2" xfId="32599" xr:uid="{1E7988A3-7BA6-40A8-91A7-FFF3F9BEBFB0}"/>
    <cellStyle name="60% - Accent5 2 4" xfId="26208" xr:uid="{00000000-0005-0000-0000-000084010000}"/>
    <cellStyle name="60% - Accent5 2 5" xfId="25758" xr:uid="{00000000-0005-0000-0000-000085010000}"/>
    <cellStyle name="60% - Accent5 2 6" xfId="32816" xr:uid="{23C93DDD-88A0-4461-9402-692490F70D22}"/>
    <cellStyle name="60% - Accent5 2 7" xfId="42212" xr:uid="{38C4A541-15BD-4060-8095-4273272AA56E}"/>
    <cellStyle name="60% - Accent5 20" xfId="42349" xr:uid="{846833AF-BD04-4D8B-864D-CF2A3FBF58C1}"/>
    <cellStyle name="60% - Accent5 3" xfId="26823" xr:uid="{00000000-0005-0000-0000-000086010000}"/>
    <cellStyle name="60% - Accent5 3 2" xfId="33478" xr:uid="{E7ADFEDC-B0C0-47EF-9CF0-A0E64DB0D2DE}"/>
    <cellStyle name="60% - Accent5 3 2 2" xfId="42027" xr:uid="{A88DC7BA-EF92-471F-8F73-F0364AE1E7BF}"/>
    <cellStyle name="60% - Accent5 4" xfId="26824" xr:uid="{00000000-0005-0000-0000-000087010000}"/>
    <cellStyle name="60% - Accent5 4 2" xfId="33479" xr:uid="{5743188D-6ECA-499D-AF5B-6919FEA0765B}"/>
    <cellStyle name="60% - Accent5 4 2 2" xfId="42045" xr:uid="{D2AB3194-E3E9-46B7-84FB-9B119ACAE173}"/>
    <cellStyle name="60% - Accent5 4 3" xfId="32861" xr:uid="{6CCA1CDC-0267-4908-81A6-A12929B733FE}"/>
    <cellStyle name="60% - Accent5 5" xfId="26825" xr:uid="{00000000-0005-0000-0000-000088010000}"/>
    <cellStyle name="60% - Accent5 5 2" xfId="33480" xr:uid="{773EB853-8AE8-4B13-BBB9-35D1071114F0}"/>
    <cellStyle name="60% - Accent5 5 3" xfId="42336" xr:uid="{88CB46EF-030D-4E72-BD69-480E1D30FE38}"/>
    <cellStyle name="60% - Accent5 6" xfId="26826" xr:uid="{00000000-0005-0000-0000-000089010000}"/>
    <cellStyle name="60% - Accent5 6 2" xfId="33481" xr:uid="{FA83A33D-EA4B-456C-8549-C595ABA1EC1D}"/>
    <cellStyle name="60% - Accent5 6 3" xfId="32768" xr:uid="{D2E09A5E-B699-4FC1-8B80-DC7F0AAF90D9}"/>
    <cellStyle name="60% - Accent5 7" xfId="26827" xr:uid="{00000000-0005-0000-0000-00008A010000}"/>
    <cellStyle name="60% - Accent5 7 2" xfId="33482" xr:uid="{5649CF44-CF5E-43CA-8A5A-6559C32B5D6E}"/>
    <cellStyle name="60% - Accent5 7 3" xfId="32635" xr:uid="{692763A8-7854-41FF-B81D-DF5E35E2C2E5}"/>
    <cellStyle name="60% - Accent5 8" xfId="26828" xr:uid="{00000000-0005-0000-0000-00008B010000}"/>
    <cellStyle name="60% - Accent5 8 2" xfId="33483" xr:uid="{B37DC695-45DB-462D-B3EA-860B2CE4B952}"/>
    <cellStyle name="60% - Accent5 8 3" xfId="42380" xr:uid="{028DAF1C-571F-44E2-9537-7B31BDFD2336}"/>
    <cellStyle name="60% - Accent5 9" xfId="26829" xr:uid="{00000000-0005-0000-0000-00008C010000}"/>
    <cellStyle name="60% - Accent5 9 2" xfId="33484" xr:uid="{6111369A-99ED-4883-A63A-31E16E14E620}"/>
    <cellStyle name="60% - Accent5 9 3" xfId="32781" xr:uid="{6ECF77D9-2652-4497-AC12-F0FAE3CB804B}"/>
    <cellStyle name="60% - Accent6 10" xfId="42061" xr:uid="{06C44EB4-E05A-450C-AC16-306926AB136E}"/>
    <cellStyle name="60% - Accent6 11" xfId="42026" xr:uid="{CEC96851-F900-4356-A9C8-054152646C1C}"/>
    <cellStyle name="60% - Accent6 12" xfId="42344" xr:uid="{305AE2EB-75EB-497F-BD36-70E047B24462}"/>
    <cellStyle name="60% - Accent6 13" xfId="42036" xr:uid="{B0A288B9-BDE9-40F3-ACC1-5C8582F8FDBF}"/>
    <cellStyle name="60% - Accent6 14" xfId="42137" xr:uid="{C931316B-F68C-4FA6-BC55-F6240B12A124}"/>
    <cellStyle name="60% - Accent6 15" xfId="41997" xr:uid="{A6429E5A-72AC-4AB4-AEA2-82931A19CCAB}"/>
    <cellStyle name="60% - Accent6 16" xfId="42046" xr:uid="{6E8E132D-42F1-48EF-A725-9C261539F4C6}"/>
    <cellStyle name="60% - Accent6 17" xfId="42411" xr:uid="{0ED367B9-E15A-45B9-9F19-2364766A29DE}"/>
    <cellStyle name="60% - Accent6 18" xfId="32867" xr:uid="{F4A1CB48-68A6-442C-89AF-B51D39FAC3C5}"/>
    <cellStyle name="60% - Accent6 19" xfId="42283" xr:uid="{E44F1E89-7070-45D8-B11D-B1D3A7DCDAFB}"/>
    <cellStyle name="60% - Accent6 2" xfId="45" xr:uid="{00000000-0005-0000-0000-00008D010000}"/>
    <cellStyle name="60% - Accent6 2 2" xfId="46" xr:uid="{00000000-0005-0000-0000-00008E010000}"/>
    <cellStyle name="60% - Accent6 2 2 2" xfId="25762" xr:uid="{00000000-0005-0000-0000-00008F010000}"/>
    <cellStyle name="60% - Accent6 2 2 3" xfId="33485" xr:uid="{F70F161C-2FDD-4614-8239-846B008061C2}"/>
    <cellStyle name="60% - Accent6 2 2 4" xfId="42417" xr:uid="{DEBDFB0E-A346-4E91-8BF0-B3046D59BF68}"/>
    <cellStyle name="60% - Accent6 2 3" xfId="25763" xr:uid="{00000000-0005-0000-0000-000090010000}"/>
    <cellStyle name="60% - Accent6 2 3 2" xfId="32966" xr:uid="{4BC5F645-8BDF-45C7-A4EB-21AC46C15062}"/>
    <cellStyle name="60% - Accent6 2 4" xfId="25764" xr:uid="{00000000-0005-0000-0000-000091010000}"/>
    <cellStyle name="60% - Accent6 2 5" xfId="26209" xr:uid="{00000000-0005-0000-0000-000092010000}"/>
    <cellStyle name="60% - Accent6 2 6" xfId="25761" xr:uid="{00000000-0005-0000-0000-000093010000}"/>
    <cellStyle name="60% - Accent6 2 7" xfId="32817" xr:uid="{4287D3C7-6C66-406C-9CC0-5594E9190CD8}"/>
    <cellStyle name="60% - Accent6 2 8" xfId="42211" xr:uid="{CC624ACA-71AF-4007-93A6-FC46F4F79B30}"/>
    <cellStyle name="60% - Accent6 20" xfId="42070" xr:uid="{39CAC31A-3373-411E-A83D-2CB3558DA077}"/>
    <cellStyle name="60% - Accent6 3" xfId="26830" xr:uid="{00000000-0005-0000-0000-000094010000}"/>
    <cellStyle name="60% - Accent6 3 2" xfId="33486" xr:uid="{35A9509F-CA36-4074-ADA9-B5F9F298CCC0}"/>
    <cellStyle name="60% - Accent6 3 2 2" xfId="42352" xr:uid="{A226844A-E62A-44A6-8BBA-38B91F9F651C}"/>
    <cellStyle name="60% - Accent6 4" xfId="26831" xr:uid="{00000000-0005-0000-0000-000095010000}"/>
    <cellStyle name="60% - Accent6 4 2" xfId="33487" xr:uid="{2273E431-DC6A-43F3-9C94-0A12789CBA54}"/>
    <cellStyle name="60% - Accent6 4 2 2" xfId="42091" xr:uid="{F688F840-4CC0-42EB-AC32-53C672F72250}"/>
    <cellStyle name="60% - Accent6 4 3" xfId="32967" xr:uid="{A84444DB-B598-4545-901F-79178D031299}"/>
    <cellStyle name="60% - Accent6 5" xfId="26832" xr:uid="{00000000-0005-0000-0000-000096010000}"/>
    <cellStyle name="60% - Accent6 5 2" xfId="33488" xr:uid="{4B3B36FD-CF2A-4C50-A1E9-4CA8A695C3FB}"/>
    <cellStyle name="60% - Accent6 5 3" xfId="42056" xr:uid="{92724132-3307-4916-98D9-D6493C6D0F06}"/>
    <cellStyle name="60% - Accent6 6" xfId="26833" xr:uid="{00000000-0005-0000-0000-000097010000}"/>
    <cellStyle name="60% - Accent6 6 2" xfId="33489" xr:uid="{F3ED3AFE-605A-44ED-82A0-653EEC3D4845}"/>
    <cellStyle name="60% - Accent6 6 3" xfId="42346" xr:uid="{F9720CF1-E6F2-496E-BCCA-8A9EDB36296F}"/>
    <cellStyle name="60% - Accent6 7" xfId="26834" xr:uid="{00000000-0005-0000-0000-000098010000}"/>
    <cellStyle name="60% - Accent6 7 2" xfId="33490" xr:uid="{459921B6-9E8A-46F5-B217-9CF3C512F6C1}"/>
    <cellStyle name="60% - Accent6 7 3" xfId="32633" xr:uid="{FED23F64-6E16-4352-9225-BD42C4A1D278}"/>
    <cellStyle name="60% - Accent6 8" xfId="26835" xr:uid="{00000000-0005-0000-0000-000099010000}"/>
    <cellStyle name="60% - Accent6 8 2" xfId="33491" xr:uid="{418C3469-A873-4B06-8F23-6BA293F8CF9F}"/>
    <cellStyle name="60% - Accent6 8 3" xfId="32630" xr:uid="{1E40C27F-C9FB-42FB-940B-88C0754440A3}"/>
    <cellStyle name="60% - Accent6 9" xfId="26836" xr:uid="{00000000-0005-0000-0000-00009A010000}"/>
    <cellStyle name="60% - Accent6 9 2" xfId="33492" xr:uid="{8F0C481E-422F-4C01-8BB9-EE85D6522B8E}"/>
    <cellStyle name="60% - Accent6 9 3" xfId="32784" xr:uid="{74575DBB-A9E2-4D53-8C36-C353A42AB763}"/>
    <cellStyle name="A3 297 x 420 mm" xfId="1739" xr:uid="{00000000-0005-0000-0000-00009B010000}"/>
    <cellStyle name="A3 297 x 420 mm 2" xfId="47" xr:uid="{00000000-0005-0000-0000-00009C010000}"/>
    <cellStyle name="A3 297 x 420 mm 2 2" xfId="1740" xr:uid="{00000000-0005-0000-0000-00009D010000}"/>
    <cellStyle name="A3 297 x 420 mm 3" xfId="1741" xr:uid="{00000000-0005-0000-0000-00009E010000}"/>
    <cellStyle name="Accent1 - 20%" xfId="2903" xr:uid="{00000000-0005-0000-0000-00009F010000}"/>
    <cellStyle name="Accent1 - 40%" xfId="2904" xr:uid="{00000000-0005-0000-0000-0000A0010000}"/>
    <cellStyle name="Accent1 - 60%" xfId="2905" xr:uid="{00000000-0005-0000-0000-0000A1010000}"/>
    <cellStyle name="Accent1 2" xfId="48" xr:uid="{00000000-0005-0000-0000-0000A2010000}"/>
    <cellStyle name="Accent1 2 2" xfId="49" xr:uid="{00000000-0005-0000-0000-0000A3010000}"/>
    <cellStyle name="Accent1 2 2 2" xfId="25766" xr:uid="{00000000-0005-0000-0000-0000A4010000}"/>
    <cellStyle name="Accent1 2 2 3" xfId="33493" xr:uid="{EA0B1AE4-2D5B-48A1-9436-2C46B76F1541}"/>
    <cellStyle name="Accent1 2 3" xfId="2902" xr:uid="{00000000-0005-0000-0000-0000A5010000}"/>
    <cellStyle name="Accent1 2 3 2" xfId="25767" xr:uid="{00000000-0005-0000-0000-0000A6010000}"/>
    <cellStyle name="Accent1 2 4" xfId="25768" xr:uid="{00000000-0005-0000-0000-0000A7010000}"/>
    <cellStyle name="Accent1 2 5" xfId="26210" xr:uid="{00000000-0005-0000-0000-0000A8010000}"/>
    <cellStyle name="Accent1 2 6" xfId="25765" xr:uid="{00000000-0005-0000-0000-0000A9010000}"/>
    <cellStyle name="Accent1 2 7" xfId="32818" xr:uid="{0C4A2608-9A0A-4095-9D0E-1F7C3B7AD8A6}"/>
    <cellStyle name="Accent1 3" xfId="2985" xr:uid="{00000000-0005-0000-0000-0000AA010000}"/>
    <cellStyle name="Accent1 3 2" xfId="26837" xr:uid="{00000000-0005-0000-0000-0000AB010000}"/>
    <cellStyle name="Accent1 3 3" xfId="33494" xr:uid="{7671F826-97B3-40A1-9DB6-28D85B162B60}"/>
    <cellStyle name="Accent1 4" xfId="3000" xr:uid="{00000000-0005-0000-0000-0000AC010000}"/>
    <cellStyle name="Accent1 4 2" xfId="26838" xr:uid="{00000000-0005-0000-0000-0000AD010000}"/>
    <cellStyle name="Accent1 4 3" xfId="33495" xr:uid="{4F2F5A8B-7B57-4437-AF66-1D60EB46CD0D}"/>
    <cellStyle name="Accent1 5" xfId="3002" xr:uid="{00000000-0005-0000-0000-0000AE010000}"/>
    <cellStyle name="Accent1 5 2" xfId="26839" xr:uid="{00000000-0005-0000-0000-0000AF010000}"/>
    <cellStyle name="Accent1 5 3" xfId="33496" xr:uid="{5224FBE9-BC46-4E4B-8D88-0C38DE1369B0}"/>
    <cellStyle name="Accent1 6" xfId="26840" xr:uid="{00000000-0005-0000-0000-0000B0010000}"/>
    <cellStyle name="Accent1 6 2" xfId="33497" xr:uid="{4CA81838-F4EB-4D8F-B31A-EB0D7FCA4342}"/>
    <cellStyle name="Accent1 7" xfId="26841" xr:uid="{00000000-0005-0000-0000-0000B1010000}"/>
    <cellStyle name="Accent1 7 2" xfId="33498" xr:uid="{05B5D59E-997B-48AD-AE32-978D99C1CCFC}"/>
    <cellStyle name="Accent1 8" xfId="26842" xr:uid="{00000000-0005-0000-0000-0000B2010000}"/>
    <cellStyle name="Accent1 8 2" xfId="33499" xr:uid="{85C861DB-77B6-463C-B627-823B5C9A200C}"/>
    <cellStyle name="Accent1 9" xfId="26843" xr:uid="{00000000-0005-0000-0000-0000B3010000}"/>
    <cellStyle name="Accent1 9 2" xfId="33500" xr:uid="{E59A8992-56B5-48F2-8849-1572C85E8861}"/>
    <cellStyle name="Accent2 - 20%" xfId="2907" xr:uid="{00000000-0005-0000-0000-0000B4010000}"/>
    <cellStyle name="Accent2 - 40%" xfId="2908" xr:uid="{00000000-0005-0000-0000-0000B5010000}"/>
    <cellStyle name="Accent2 - 60%" xfId="2909" xr:uid="{00000000-0005-0000-0000-0000B6010000}"/>
    <cellStyle name="Accent2 2" xfId="50" xr:uid="{00000000-0005-0000-0000-0000B7010000}"/>
    <cellStyle name="Accent2 2 2" xfId="51" xr:uid="{00000000-0005-0000-0000-0000B8010000}"/>
    <cellStyle name="Accent2 2 2 2" xfId="26844" xr:uid="{00000000-0005-0000-0000-0000B9010000}"/>
    <cellStyle name="Accent2 2 2 3" xfId="25770" xr:uid="{00000000-0005-0000-0000-0000BA010000}"/>
    <cellStyle name="Accent2 2 2 4" xfId="33501" xr:uid="{E0385A15-2E47-4152-8801-598119F09390}"/>
    <cellStyle name="Accent2 2 3" xfId="2906" xr:uid="{00000000-0005-0000-0000-0000BB010000}"/>
    <cellStyle name="Accent2 2 3 2" xfId="25771" xr:uid="{00000000-0005-0000-0000-0000BC010000}"/>
    <cellStyle name="Accent2 2 4" xfId="26211" xr:uid="{00000000-0005-0000-0000-0000BD010000}"/>
    <cellStyle name="Accent2 2 5" xfId="25769" xr:uid="{00000000-0005-0000-0000-0000BE010000}"/>
    <cellStyle name="Accent2 2 6" xfId="32819" xr:uid="{8A1B9994-C530-4855-A655-A3F25B2F57FA}"/>
    <cellStyle name="Accent2 3" xfId="2986" xr:uid="{00000000-0005-0000-0000-0000BF010000}"/>
    <cellStyle name="Accent2 3 2" xfId="26845" xr:uid="{00000000-0005-0000-0000-0000C0010000}"/>
    <cellStyle name="Accent2 3 3" xfId="33502" xr:uid="{4C1413D4-264F-4D64-9DCB-9215577C4687}"/>
    <cellStyle name="Accent2 4" xfId="2999" xr:uid="{00000000-0005-0000-0000-0000C1010000}"/>
    <cellStyle name="Accent2 4 2" xfId="26846" xr:uid="{00000000-0005-0000-0000-0000C2010000}"/>
    <cellStyle name="Accent2 4 3" xfId="33503" xr:uid="{229471F7-2C41-4E90-8B9D-C764447EC217}"/>
    <cellStyle name="Accent2 5" xfId="3001" xr:uid="{00000000-0005-0000-0000-0000C3010000}"/>
    <cellStyle name="Accent2 5 2" xfId="26847" xr:uid="{00000000-0005-0000-0000-0000C4010000}"/>
    <cellStyle name="Accent2 5 3" xfId="33504" xr:uid="{34700794-C887-4D6A-917D-FD53F87172BF}"/>
    <cellStyle name="Accent2 6" xfId="26848" xr:uid="{00000000-0005-0000-0000-0000C5010000}"/>
    <cellStyle name="Accent2 6 2" xfId="33505" xr:uid="{1E6944AA-739E-456E-9471-90671F50899D}"/>
    <cellStyle name="Accent2 7" xfId="26849" xr:uid="{00000000-0005-0000-0000-0000C6010000}"/>
    <cellStyle name="Accent2 7 2" xfId="33506" xr:uid="{AB928333-C59D-4ED4-ABD0-F1D1EAB70143}"/>
    <cellStyle name="Accent2 8" xfId="26850" xr:uid="{00000000-0005-0000-0000-0000C7010000}"/>
    <cellStyle name="Accent2 8 2" xfId="33507" xr:uid="{59157CE3-EC70-4D8D-832F-0E0DC83E03AA}"/>
    <cellStyle name="Accent2 9" xfId="26851" xr:uid="{00000000-0005-0000-0000-0000C8010000}"/>
    <cellStyle name="Accent2 9 2" xfId="33508" xr:uid="{FAF2DD8C-8898-4046-A77A-3480FFDD1C46}"/>
    <cellStyle name="Accent3 - 20%" xfId="2911" xr:uid="{00000000-0005-0000-0000-0000C9010000}"/>
    <cellStyle name="Accent3 - 40%" xfId="2912" xr:uid="{00000000-0005-0000-0000-0000CA010000}"/>
    <cellStyle name="Accent3 - 60%" xfId="2913" xr:uid="{00000000-0005-0000-0000-0000CB010000}"/>
    <cellStyle name="Accent3 2" xfId="52" xr:uid="{00000000-0005-0000-0000-0000CC010000}"/>
    <cellStyle name="Accent3 2 2" xfId="53" xr:uid="{00000000-0005-0000-0000-0000CD010000}"/>
    <cellStyle name="Accent3 2 2 2" xfId="26852" xr:uid="{00000000-0005-0000-0000-0000CE010000}"/>
    <cellStyle name="Accent3 2 2 3" xfId="25773" xr:uid="{00000000-0005-0000-0000-0000CF010000}"/>
    <cellStyle name="Accent3 2 2 4" xfId="33509" xr:uid="{1AF37C0B-ABD4-4055-ACA2-DC06C1DCFBC4}"/>
    <cellStyle name="Accent3 2 3" xfId="2910" xr:uid="{00000000-0005-0000-0000-0000D0010000}"/>
    <cellStyle name="Accent3 2 3 2" xfId="25774" xr:uid="{00000000-0005-0000-0000-0000D1010000}"/>
    <cellStyle name="Accent3 2 4" xfId="26212" xr:uid="{00000000-0005-0000-0000-0000D2010000}"/>
    <cellStyle name="Accent3 2 5" xfId="25772" xr:uid="{00000000-0005-0000-0000-0000D3010000}"/>
    <cellStyle name="Accent3 2 6" xfId="32820" xr:uid="{5B04FA0D-46DB-48BD-BDEC-77002FFDA69E}"/>
    <cellStyle name="Accent3 3" xfId="2988" xr:uid="{00000000-0005-0000-0000-0000D4010000}"/>
    <cellStyle name="Accent3 3 2" xfId="26853" xr:uid="{00000000-0005-0000-0000-0000D5010000}"/>
    <cellStyle name="Accent3 3 3" xfId="33510" xr:uid="{08AA1341-9736-4B66-96C0-E6D24FC6B84C}"/>
    <cellStyle name="Accent3 4" xfId="2998" xr:uid="{00000000-0005-0000-0000-0000D6010000}"/>
    <cellStyle name="Accent3 4 2" xfId="26854" xr:uid="{00000000-0005-0000-0000-0000D7010000}"/>
    <cellStyle name="Accent3 4 3" xfId="33511" xr:uid="{E8360988-343C-4064-9FA2-2DC7F2CEDB3F}"/>
    <cellStyle name="Accent3 5" xfId="2987" xr:uid="{00000000-0005-0000-0000-0000D8010000}"/>
    <cellStyle name="Accent3 5 2" xfId="26855" xr:uid="{00000000-0005-0000-0000-0000D9010000}"/>
    <cellStyle name="Accent3 5 3" xfId="33512" xr:uid="{F2269045-43AF-49D6-B301-FEBFEAB9D2A3}"/>
    <cellStyle name="Accent3 6" xfId="26856" xr:uid="{00000000-0005-0000-0000-0000DA010000}"/>
    <cellStyle name="Accent3 6 2" xfId="33513" xr:uid="{875AC5AA-EB7A-4A2B-B59A-A99343BA83E1}"/>
    <cellStyle name="Accent3 7" xfId="26857" xr:uid="{00000000-0005-0000-0000-0000DB010000}"/>
    <cellStyle name="Accent3 7 2" xfId="33514" xr:uid="{2C450B5F-3F30-4590-9919-11BCA500354B}"/>
    <cellStyle name="Accent3 8" xfId="26858" xr:uid="{00000000-0005-0000-0000-0000DC010000}"/>
    <cellStyle name="Accent3 8 2" xfId="33515" xr:uid="{AA29362C-BF55-409A-9DB4-3E40D1C9A89F}"/>
    <cellStyle name="Accent3 9" xfId="26859" xr:uid="{00000000-0005-0000-0000-0000DD010000}"/>
    <cellStyle name="Accent3 9 2" xfId="33516" xr:uid="{EDBB3C54-A599-4578-88FC-BE9A5D709241}"/>
    <cellStyle name="Accent4 - 20%" xfId="2915" xr:uid="{00000000-0005-0000-0000-0000DE010000}"/>
    <cellStyle name="Accent4 - 40%" xfId="2916" xr:uid="{00000000-0005-0000-0000-0000DF010000}"/>
    <cellStyle name="Accent4 - 60%" xfId="2917" xr:uid="{00000000-0005-0000-0000-0000E0010000}"/>
    <cellStyle name="Accent4 2" xfId="54" xr:uid="{00000000-0005-0000-0000-0000E1010000}"/>
    <cellStyle name="Accent4 2 2" xfId="55" xr:uid="{00000000-0005-0000-0000-0000E2010000}"/>
    <cellStyle name="Accent4 2 2 2" xfId="25775" xr:uid="{00000000-0005-0000-0000-0000E3010000}"/>
    <cellStyle name="Accent4 2 2 3" xfId="33517" xr:uid="{B745BF52-9FC7-4C52-89AE-4CF6A54E0F8D}"/>
    <cellStyle name="Accent4 2 3" xfId="2914" xr:uid="{00000000-0005-0000-0000-0000E4010000}"/>
    <cellStyle name="Accent4 2 3 2" xfId="25776" xr:uid="{00000000-0005-0000-0000-0000E5010000}"/>
    <cellStyle name="Accent4 2 4" xfId="25777" xr:uid="{00000000-0005-0000-0000-0000E6010000}"/>
    <cellStyle name="Accent4 2 5" xfId="26213" xr:uid="{00000000-0005-0000-0000-0000E7010000}"/>
    <cellStyle name="Accent4 2 6" xfId="32821" xr:uid="{F93111A0-9318-41FD-83EC-9F9F76E0015B}"/>
    <cellStyle name="Accent4 3" xfId="2990" xr:uid="{00000000-0005-0000-0000-0000E8010000}"/>
    <cellStyle name="Accent4 3 2" xfId="26860" xr:uid="{00000000-0005-0000-0000-0000E9010000}"/>
    <cellStyle name="Accent4 3 3" xfId="33518" xr:uid="{E094AAD7-BDBF-4026-8C9F-75ED5055DC6C}"/>
    <cellStyle name="Accent4 4" xfId="2997" xr:uid="{00000000-0005-0000-0000-0000EA010000}"/>
    <cellStyle name="Accent4 4 2" xfId="26861" xr:uid="{00000000-0005-0000-0000-0000EB010000}"/>
    <cellStyle name="Accent4 4 3" xfId="33519" xr:uid="{847E3A35-0076-46E4-9C6D-9FBDE720A98D}"/>
    <cellStyle name="Accent4 5" xfId="2989" xr:uid="{00000000-0005-0000-0000-0000EC010000}"/>
    <cellStyle name="Accent4 5 2" xfId="26862" xr:uid="{00000000-0005-0000-0000-0000ED010000}"/>
    <cellStyle name="Accent4 5 3" xfId="33520" xr:uid="{3183874A-E9B6-4FEE-97E4-2B2203AD5455}"/>
    <cellStyle name="Accent4 6" xfId="26863" xr:uid="{00000000-0005-0000-0000-0000EE010000}"/>
    <cellStyle name="Accent4 6 2" xfId="33521" xr:uid="{9667851A-3F0B-4D59-9484-FF880781907F}"/>
    <cellStyle name="Accent4 7" xfId="26864" xr:uid="{00000000-0005-0000-0000-0000EF010000}"/>
    <cellStyle name="Accent4 7 2" xfId="33522" xr:uid="{07E87486-9393-4191-BE58-FC78FB352385}"/>
    <cellStyle name="Accent4 8" xfId="26865" xr:uid="{00000000-0005-0000-0000-0000F0010000}"/>
    <cellStyle name="Accent4 8 2" xfId="33523" xr:uid="{FA3DE490-0033-44EF-AB5F-A16860BE0536}"/>
    <cellStyle name="Accent4 9" xfId="26866" xr:uid="{00000000-0005-0000-0000-0000F1010000}"/>
    <cellStyle name="Accent4 9 2" xfId="33524" xr:uid="{426203DB-4689-4A55-A024-2B0B4A71615F}"/>
    <cellStyle name="Accent5 - 20%" xfId="2919" xr:uid="{00000000-0005-0000-0000-0000F2010000}"/>
    <cellStyle name="Accent5 - 40%" xfId="2920" xr:uid="{00000000-0005-0000-0000-0000F3010000}"/>
    <cellStyle name="Accent5 - 60%" xfId="2921" xr:uid="{00000000-0005-0000-0000-0000F4010000}"/>
    <cellStyle name="Accent5 2" xfId="56" xr:uid="{00000000-0005-0000-0000-0000F5010000}"/>
    <cellStyle name="Accent5 2 2" xfId="57" xr:uid="{00000000-0005-0000-0000-0000F6010000}"/>
    <cellStyle name="Accent5 2 2 2" xfId="26867" xr:uid="{00000000-0005-0000-0000-0000F7010000}"/>
    <cellStyle name="Accent5 2 2 3" xfId="25778" xr:uid="{00000000-0005-0000-0000-0000F8010000}"/>
    <cellStyle name="Accent5 2 2 4" xfId="33525" xr:uid="{E23E0D9D-C477-444E-B878-2DBBAB678EE0}"/>
    <cellStyle name="Accent5 2 3" xfId="2918" xr:uid="{00000000-0005-0000-0000-0000F9010000}"/>
    <cellStyle name="Accent5 2 3 2" xfId="25779" xr:uid="{00000000-0005-0000-0000-0000FA010000}"/>
    <cellStyle name="Accent5 2 4" xfId="26214" xr:uid="{00000000-0005-0000-0000-0000FB010000}"/>
    <cellStyle name="Accent5 2 5" xfId="32822" xr:uid="{A014460C-7DE6-42D2-953A-D1C1708A963B}"/>
    <cellStyle name="Accent5 3" xfId="2992" xr:uid="{00000000-0005-0000-0000-0000FC010000}"/>
    <cellStyle name="Accent5 3 2" xfId="26868" xr:uid="{00000000-0005-0000-0000-0000FD010000}"/>
    <cellStyle name="Accent5 3 3" xfId="33526" xr:uid="{BB15847A-9CC6-496E-B285-8AC417E21AF4}"/>
    <cellStyle name="Accent5 4" xfId="2996" xr:uid="{00000000-0005-0000-0000-0000FE010000}"/>
    <cellStyle name="Accent5 4 2" xfId="26869" xr:uid="{00000000-0005-0000-0000-0000FF010000}"/>
    <cellStyle name="Accent5 4 3" xfId="33527" xr:uid="{421B1821-B5A0-4929-B275-CDCD77313490}"/>
    <cellStyle name="Accent5 5" xfId="2991" xr:uid="{00000000-0005-0000-0000-000000020000}"/>
    <cellStyle name="Accent5 5 2" xfId="26870" xr:uid="{00000000-0005-0000-0000-000001020000}"/>
    <cellStyle name="Accent5 5 3" xfId="33528" xr:uid="{E3F96363-C853-421F-ABDC-1AD9F63E4729}"/>
    <cellStyle name="Accent5 6" xfId="26871" xr:uid="{00000000-0005-0000-0000-000002020000}"/>
    <cellStyle name="Accent5 6 2" xfId="33529" xr:uid="{FEDDFF84-37F8-4C3A-9793-538EC737A454}"/>
    <cellStyle name="Accent5 7" xfId="26872" xr:uid="{00000000-0005-0000-0000-000003020000}"/>
    <cellStyle name="Accent5 7 2" xfId="33530" xr:uid="{981D27F1-C630-4064-837C-2C55146A6871}"/>
    <cellStyle name="Accent5 8" xfId="26873" xr:uid="{00000000-0005-0000-0000-000004020000}"/>
    <cellStyle name="Accent5 8 2" xfId="33531" xr:uid="{74611EBE-DA95-4F46-92A8-D55F0E2FEE78}"/>
    <cellStyle name="Accent5 9" xfId="26874" xr:uid="{00000000-0005-0000-0000-000005020000}"/>
    <cellStyle name="Accent5 9 2" xfId="33532" xr:uid="{4F0AC8A2-613C-4789-ADAB-C7205499B2EE}"/>
    <cellStyle name="Accent6 - 20%" xfId="2923" xr:uid="{00000000-0005-0000-0000-000006020000}"/>
    <cellStyle name="Accent6 - 40%" xfId="2924" xr:uid="{00000000-0005-0000-0000-000007020000}"/>
    <cellStyle name="Accent6 - 60%" xfId="2925" xr:uid="{00000000-0005-0000-0000-000008020000}"/>
    <cellStyle name="Accent6 2" xfId="58" xr:uid="{00000000-0005-0000-0000-000009020000}"/>
    <cellStyle name="Accent6 2 2" xfId="59" xr:uid="{00000000-0005-0000-0000-00000A020000}"/>
    <cellStyle name="Accent6 2 2 2" xfId="26875" xr:uid="{00000000-0005-0000-0000-00000B020000}"/>
    <cellStyle name="Accent6 2 2 3" xfId="25781" xr:uid="{00000000-0005-0000-0000-00000C020000}"/>
    <cellStyle name="Accent6 2 2 4" xfId="33533" xr:uid="{78CA52CD-69DC-45BA-B7DD-4372CCECE5A3}"/>
    <cellStyle name="Accent6 2 3" xfId="2922" xr:uid="{00000000-0005-0000-0000-00000D020000}"/>
    <cellStyle name="Accent6 2 3 2" xfId="25782" xr:uid="{00000000-0005-0000-0000-00000E020000}"/>
    <cellStyle name="Accent6 2 4" xfId="26215" xr:uid="{00000000-0005-0000-0000-00000F020000}"/>
    <cellStyle name="Accent6 2 5" xfId="25780" xr:uid="{00000000-0005-0000-0000-000010020000}"/>
    <cellStyle name="Accent6 2 6" xfId="32823" xr:uid="{52D26C87-1EE8-4F8E-9E1B-4A942B5BF236}"/>
    <cellStyle name="Accent6 3" xfId="2993" xr:uid="{00000000-0005-0000-0000-000011020000}"/>
    <cellStyle name="Accent6 3 2" xfId="26876" xr:uid="{00000000-0005-0000-0000-000012020000}"/>
    <cellStyle name="Accent6 3 3" xfId="33534" xr:uid="{4840276E-722A-4F2F-98AA-128C5D33148A}"/>
    <cellStyle name="Accent6 4" xfId="2995" xr:uid="{00000000-0005-0000-0000-000013020000}"/>
    <cellStyle name="Accent6 4 2" xfId="26877" xr:uid="{00000000-0005-0000-0000-000014020000}"/>
    <cellStyle name="Accent6 4 3" xfId="33535" xr:uid="{D5BF56C2-FA85-420B-8CB9-47BE894280FE}"/>
    <cellStyle name="Accent6 5" xfId="2994" xr:uid="{00000000-0005-0000-0000-000015020000}"/>
    <cellStyle name="Accent6 5 2" xfId="26878" xr:uid="{00000000-0005-0000-0000-000016020000}"/>
    <cellStyle name="Accent6 5 3" xfId="33536" xr:uid="{4C4113BB-AB04-4AA5-9D68-7D94D061BF06}"/>
    <cellStyle name="Accent6 6" xfId="26879" xr:uid="{00000000-0005-0000-0000-000017020000}"/>
    <cellStyle name="Accent6 6 2" xfId="33537" xr:uid="{A78DCF7C-AD3E-4907-A485-EBD19A6B73C3}"/>
    <cellStyle name="Accent6 7" xfId="26880" xr:uid="{00000000-0005-0000-0000-000018020000}"/>
    <cellStyle name="Accent6 7 2" xfId="33538" xr:uid="{4E097C5C-11E4-4EAA-9613-85FB90888CAD}"/>
    <cellStyle name="Accent6 8" xfId="26881" xr:uid="{00000000-0005-0000-0000-000019020000}"/>
    <cellStyle name="Accent6 8 2" xfId="33539" xr:uid="{8F2BCB25-CCB2-4ED3-8D55-D7D6685C0060}"/>
    <cellStyle name="Accent6 9" xfId="26882" xr:uid="{00000000-0005-0000-0000-00001A020000}"/>
    <cellStyle name="Accent6 9 2" xfId="33540" xr:uid="{9A2B7795-97E7-4B61-9443-9C8BFD1518B7}"/>
    <cellStyle name="Bad 2" xfId="60" xr:uid="{00000000-0005-0000-0000-00001B020000}"/>
    <cellStyle name="Bad 2 2" xfId="61" xr:uid="{00000000-0005-0000-0000-00001C020000}"/>
    <cellStyle name="Bad 2 2 2" xfId="26883" xr:uid="{00000000-0005-0000-0000-00001D020000}"/>
    <cellStyle name="Bad 2 2 3" xfId="25784" xr:uid="{00000000-0005-0000-0000-00001E020000}"/>
    <cellStyle name="Bad 2 2 4" xfId="33541" xr:uid="{F6138598-A66C-4B32-A2C6-86FC175CFF98}"/>
    <cellStyle name="Bad 2 3" xfId="2926" xr:uid="{00000000-0005-0000-0000-00001F020000}"/>
    <cellStyle name="Bad 2 3 2" xfId="25785" xr:uid="{00000000-0005-0000-0000-000020020000}"/>
    <cellStyle name="Bad 2 4" xfId="26216" xr:uid="{00000000-0005-0000-0000-000021020000}"/>
    <cellStyle name="Bad 2 5" xfId="25783" xr:uid="{00000000-0005-0000-0000-000022020000}"/>
    <cellStyle name="Bad 2 6" xfId="32824" xr:uid="{EE5893B6-3AA2-4F7E-A0BC-0A6191A31DCC}"/>
    <cellStyle name="Bad 3" xfId="26884" xr:uid="{00000000-0005-0000-0000-000023020000}"/>
    <cellStyle name="Bad 3 2" xfId="33542" xr:uid="{E5559297-3435-4D2C-9978-2CFAD373E5FB}"/>
    <cellStyle name="Bad 4" xfId="26885" xr:uid="{00000000-0005-0000-0000-000024020000}"/>
    <cellStyle name="Bad 4 2" xfId="33543" xr:uid="{390731BC-2E3A-4F3A-B4A6-930AF3973F9B}"/>
    <cellStyle name="Bad 5" xfId="26886" xr:uid="{00000000-0005-0000-0000-000025020000}"/>
    <cellStyle name="Bad 5 2" xfId="33544" xr:uid="{820E74C3-4841-498D-AB4B-0CB3024B0E0D}"/>
    <cellStyle name="Bad 6" xfId="26887" xr:uid="{00000000-0005-0000-0000-000026020000}"/>
    <cellStyle name="Bad 6 2" xfId="33545" xr:uid="{8B2A8C2F-6E26-4A7F-85BF-83A45033CE5B}"/>
    <cellStyle name="Bad 7" xfId="26888" xr:uid="{00000000-0005-0000-0000-000027020000}"/>
    <cellStyle name="Bad 7 2" xfId="33546" xr:uid="{D5116233-C6E9-42C3-9C34-0402C0B3838F}"/>
    <cellStyle name="Bad 8" xfId="26889" xr:uid="{00000000-0005-0000-0000-000028020000}"/>
    <cellStyle name="Bad 8 2" xfId="33547" xr:uid="{350F4E2A-F8B7-461F-897D-DEACFA00441D}"/>
    <cellStyle name="Bad 9" xfId="26890" xr:uid="{00000000-0005-0000-0000-000029020000}"/>
    <cellStyle name="Bad 9 2" xfId="33548" xr:uid="{BE751B4D-E477-472D-AE90-7527794D66D8}"/>
    <cellStyle name="Basic" xfId="62" xr:uid="{00000000-0005-0000-0000-00002A020000}"/>
    <cellStyle name="black" xfId="63" xr:uid="{00000000-0005-0000-0000-00002B020000}"/>
    <cellStyle name="black 2" xfId="32591" xr:uid="{E11C13D3-48CA-40FE-8C00-2132467EB148}"/>
    <cellStyle name="blu" xfId="64" xr:uid="{00000000-0005-0000-0000-00002C020000}"/>
    <cellStyle name="blu 2" xfId="32589" xr:uid="{2279C2D0-1464-4AFD-90C6-C883112C0FDC}"/>
    <cellStyle name="bot" xfId="65" xr:uid="{00000000-0005-0000-0000-00002D020000}"/>
    <cellStyle name="bot 2" xfId="32586" xr:uid="{42D79548-3329-454D-AACA-3E0578DE64F8}"/>
    <cellStyle name="Bullet" xfId="66" xr:uid="{00000000-0005-0000-0000-00002E020000}"/>
    <cellStyle name="Bullet [0]" xfId="67" xr:uid="{00000000-0005-0000-0000-00002F020000}"/>
    <cellStyle name="Bullet [0] 2" xfId="32596" xr:uid="{FD55B44C-4EF9-4DEC-9ED9-BDA3773EAD77}"/>
    <cellStyle name="Bullet [2]" xfId="68" xr:uid="{00000000-0005-0000-0000-000030020000}"/>
    <cellStyle name="Bullet [2] 2" xfId="32598" xr:uid="{81F307BC-1263-44F0-BEF7-68B8591818DA}"/>
    <cellStyle name="Bullet [4]" xfId="69" xr:uid="{00000000-0005-0000-0000-000031020000}"/>
    <cellStyle name="Bullet [4] 2" xfId="32593" xr:uid="{54FDC1D6-D1FF-4CAC-A87B-90B0C48AB8AB}"/>
    <cellStyle name="c" xfId="70" xr:uid="{00000000-0005-0000-0000-000032020000}"/>
    <cellStyle name="c 2" xfId="32585" xr:uid="{4C8FA379-F9E5-4CEA-BF5D-D8FB81EAD585}"/>
    <cellStyle name="c," xfId="71" xr:uid="{00000000-0005-0000-0000-000033020000}"/>
    <cellStyle name="c_HardInc " xfId="72" xr:uid="{00000000-0005-0000-0000-000034020000}"/>
    <cellStyle name="c_HardInc _ITC Great Plains Formula 1-12-09a" xfId="73" xr:uid="{00000000-0005-0000-0000-000035020000}"/>
    <cellStyle name="C00A" xfId="74" xr:uid="{00000000-0005-0000-0000-000036020000}"/>
    <cellStyle name="C00B" xfId="75" xr:uid="{00000000-0005-0000-0000-000037020000}"/>
    <cellStyle name="C00L" xfId="76" xr:uid="{00000000-0005-0000-0000-000038020000}"/>
    <cellStyle name="C01A" xfId="77" xr:uid="{00000000-0005-0000-0000-000039020000}"/>
    <cellStyle name="C01A 2" xfId="32597" xr:uid="{BEC2EF52-4763-4643-80A9-34902D5AE07C}"/>
    <cellStyle name="C01B" xfId="78" xr:uid="{00000000-0005-0000-0000-00003A020000}"/>
    <cellStyle name="C01H" xfId="79" xr:uid="{00000000-0005-0000-0000-00003B020000}"/>
    <cellStyle name="C01L" xfId="80" xr:uid="{00000000-0005-0000-0000-00003C020000}"/>
    <cellStyle name="C02A" xfId="81" xr:uid="{00000000-0005-0000-0000-00003D020000}"/>
    <cellStyle name="C02A 2" xfId="82" xr:uid="{00000000-0005-0000-0000-00003E020000}"/>
    <cellStyle name="C02A 3" xfId="32539" xr:uid="{EA05F501-6EF4-4582-B44A-89E84145177F}"/>
    <cellStyle name="C02B" xfId="83" xr:uid="{00000000-0005-0000-0000-00003F020000}"/>
    <cellStyle name="C02H" xfId="84" xr:uid="{00000000-0005-0000-0000-000040020000}"/>
    <cellStyle name="C02L" xfId="85" xr:uid="{00000000-0005-0000-0000-000041020000}"/>
    <cellStyle name="C03A" xfId="86" xr:uid="{00000000-0005-0000-0000-000042020000}"/>
    <cellStyle name="C03B" xfId="87" xr:uid="{00000000-0005-0000-0000-000043020000}"/>
    <cellStyle name="C03B 2" xfId="32536" xr:uid="{D619D168-D91F-48C7-AE6B-63C9728B6E1A}"/>
    <cellStyle name="C03H" xfId="88" xr:uid="{00000000-0005-0000-0000-000044020000}"/>
    <cellStyle name="C03L" xfId="89" xr:uid="{00000000-0005-0000-0000-000045020000}"/>
    <cellStyle name="C04A" xfId="90" xr:uid="{00000000-0005-0000-0000-000046020000}"/>
    <cellStyle name="C04B" xfId="91" xr:uid="{00000000-0005-0000-0000-000047020000}"/>
    <cellStyle name="C04B 2" xfId="32588" xr:uid="{A2A2BF35-3425-47E2-AA05-EEC8135FBB9E}"/>
    <cellStyle name="C04H" xfId="92" xr:uid="{00000000-0005-0000-0000-000048020000}"/>
    <cellStyle name="C04L" xfId="93" xr:uid="{00000000-0005-0000-0000-000049020000}"/>
    <cellStyle name="C05A" xfId="94" xr:uid="{00000000-0005-0000-0000-00004A020000}"/>
    <cellStyle name="C05B" xfId="95" xr:uid="{00000000-0005-0000-0000-00004B020000}"/>
    <cellStyle name="C05B 2" xfId="32590" xr:uid="{B24479E7-8064-456F-A215-6A16AC81D7B0}"/>
    <cellStyle name="C05H" xfId="96" xr:uid="{00000000-0005-0000-0000-00004C020000}"/>
    <cellStyle name="C05L" xfId="97" xr:uid="{00000000-0005-0000-0000-00004D020000}"/>
    <cellStyle name="C05L 2" xfId="98" xr:uid="{00000000-0005-0000-0000-00004E020000}"/>
    <cellStyle name="C06A" xfId="99" xr:uid="{00000000-0005-0000-0000-00004F020000}"/>
    <cellStyle name="C06B" xfId="100" xr:uid="{00000000-0005-0000-0000-000050020000}"/>
    <cellStyle name="C06B 2" xfId="32592" xr:uid="{D75E3201-1883-442A-A1A5-17D145EA7A6B}"/>
    <cellStyle name="C06H" xfId="101" xr:uid="{00000000-0005-0000-0000-000051020000}"/>
    <cellStyle name="C06L" xfId="102" xr:uid="{00000000-0005-0000-0000-000052020000}"/>
    <cellStyle name="C07A" xfId="103" xr:uid="{00000000-0005-0000-0000-000053020000}"/>
    <cellStyle name="C07B" xfId="104" xr:uid="{00000000-0005-0000-0000-000054020000}"/>
    <cellStyle name="C07B 2" xfId="32595" xr:uid="{4B006CE9-2734-4958-9F90-FE768FB93DE0}"/>
    <cellStyle name="C07H" xfId="105" xr:uid="{00000000-0005-0000-0000-000055020000}"/>
    <cellStyle name="C07L" xfId="106" xr:uid="{00000000-0005-0000-0000-000056020000}"/>
    <cellStyle name="c1" xfId="107" xr:uid="{00000000-0005-0000-0000-000057020000}"/>
    <cellStyle name="c1 2" xfId="32601" xr:uid="{55A17BF1-1A88-4697-B739-C1FC6667A769}"/>
    <cellStyle name="c1," xfId="108" xr:uid="{00000000-0005-0000-0000-000058020000}"/>
    <cellStyle name="c1, 2" xfId="32602" xr:uid="{271082E0-6D41-4AE4-B0B5-2ECE13767AA0}"/>
    <cellStyle name="c2" xfId="109" xr:uid="{00000000-0005-0000-0000-000059020000}"/>
    <cellStyle name="c2," xfId="110" xr:uid="{00000000-0005-0000-0000-00005A020000}"/>
    <cellStyle name="c3" xfId="111" xr:uid="{00000000-0005-0000-0000-00005B020000}"/>
    <cellStyle name="Calculation 2" xfId="112" xr:uid="{00000000-0005-0000-0000-00005C020000}"/>
    <cellStyle name="Calculation 2 10" xfId="3416" xr:uid="{00000000-0005-0000-0000-00005D020000}"/>
    <cellStyle name="Calculation 2 10 2" xfId="5954" xr:uid="{00000000-0005-0000-0000-00005E020000}"/>
    <cellStyle name="Calculation 2 10 3" xfId="10056" xr:uid="{00000000-0005-0000-0000-00005F020000}"/>
    <cellStyle name="Calculation 2 10 4" xfId="11450" xr:uid="{00000000-0005-0000-0000-000060020000}"/>
    <cellStyle name="Calculation 2 10 5" xfId="13870" xr:uid="{00000000-0005-0000-0000-000061020000}"/>
    <cellStyle name="Calculation 2 10 6" xfId="16969" xr:uid="{00000000-0005-0000-0000-000062020000}"/>
    <cellStyle name="Calculation 2 10 7" xfId="18566" xr:uid="{00000000-0005-0000-0000-000063020000}"/>
    <cellStyle name="Calculation 2 10 8" xfId="21665" xr:uid="{00000000-0005-0000-0000-000064020000}"/>
    <cellStyle name="Calculation 2 10 9" xfId="23125" xr:uid="{00000000-0005-0000-0000-000065020000}"/>
    <cellStyle name="Calculation 2 11" xfId="3429" xr:uid="{00000000-0005-0000-0000-000066020000}"/>
    <cellStyle name="Calculation 2 11 2" xfId="5967" xr:uid="{00000000-0005-0000-0000-000067020000}"/>
    <cellStyle name="Calculation 2 11 3" xfId="8632" xr:uid="{00000000-0005-0000-0000-000068020000}"/>
    <cellStyle name="Calculation 2 11 4" xfId="10745" xr:uid="{00000000-0005-0000-0000-000069020000}"/>
    <cellStyle name="Calculation 2 11 5" xfId="14902" xr:uid="{00000000-0005-0000-0000-00006A020000}"/>
    <cellStyle name="Calculation 2 11 6" xfId="15965" xr:uid="{00000000-0005-0000-0000-00006B020000}"/>
    <cellStyle name="Calculation 2 11 7" xfId="19598" xr:uid="{00000000-0005-0000-0000-00006C020000}"/>
    <cellStyle name="Calculation 2 11 8" xfId="20661" xr:uid="{00000000-0005-0000-0000-00006D020000}"/>
    <cellStyle name="Calculation 2 11 9" xfId="24067" xr:uid="{00000000-0005-0000-0000-00006E020000}"/>
    <cellStyle name="Calculation 2 12" xfId="3332" xr:uid="{00000000-0005-0000-0000-00006F020000}"/>
    <cellStyle name="Calculation 2 12 2" xfId="5870" xr:uid="{00000000-0005-0000-0000-000070020000}"/>
    <cellStyle name="Calculation 2 12 3" xfId="9527" xr:uid="{00000000-0005-0000-0000-000071020000}"/>
    <cellStyle name="Calculation 2 12 4" xfId="12104" xr:uid="{00000000-0005-0000-0000-000072020000}"/>
    <cellStyle name="Calculation 2 12 5" xfId="14586" xr:uid="{00000000-0005-0000-0000-000073020000}"/>
    <cellStyle name="Calculation 2 12 6" xfId="16452" xr:uid="{00000000-0005-0000-0000-000074020000}"/>
    <cellStyle name="Calculation 2 12 7" xfId="19282" xr:uid="{00000000-0005-0000-0000-000075020000}"/>
    <cellStyle name="Calculation 2 12 8" xfId="21148" xr:uid="{00000000-0005-0000-0000-000076020000}"/>
    <cellStyle name="Calculation 2 12 9" xfId="23778" xr:uid="{00000000-0005-0000-0000-000077020000}"/>
    <cellStyle name="Calculation 2 13" xfId="3405" xr:uid="{00000000-0005-0000-0000-000078020000}"/>
    <cellStyle name="Calculation 2 13 2" xfId="5943" xr:uid="{00000000-0005-0000-0000-000079020000}"/>
    <cellStyle name="Calculation 2 13 3" xfId="9674" xr:uid="{00000000-0005-0000-0000-00007A020000}"/>
    <cellStyle name="Calculation 2 13 4" xfId="11459" xr:uid="{00000000-0005-0000-0000-00007B020000}"/>
    <cellStyle name="Calculation 2 13 5" xfId="13881" xr:uid="{00000000-0005-0000-0000-00007C020000}"/>
    <cellStyle name="Calculation 2 13 6" xfId="16466" xr:uid="{00000000-0005-0000-0000-00007D020000}"/>
    <cellStyle name="Calculation 2 13 7" xfId="18577" xr:uid="{00000000-0005-0000-0000-00007E020000}"/>
    <cellStyle name="Calculation 2 13 8" xfId="21162" xr:uid="{00000000-0005-0000-0000-00007F020000}"/>
    <cellStyle name="Calculation 2 13 9" xfId="23134" xr:uid="{00000000-0005-0000-0000-000080020000}"/>
    <cellStyle name="Calculation 2 14" xfId="3540" xr:uid="{00000000-0005-0000-0000-000081020000}"/>
    <cellStyle name="Calculation 2 14 2" xfId="6078" xr:uid="{00000000-0005-0000-0000-000082020000}"/>
    <cellStyle name="Calculation 2 14 3" xfId="9007" xr:uid="{00000000-0005-0000-0000-000083020000}"/>
    <cellStyle name="Calculation 2 14 4" xfId="10417" xr:uid="{00000000-0005-0000-0000-000084020000}"/>
    <cellStyle name="Calculation 2 14 5" xfId="12742" xr:uid="{00000000-0005-0000-0000-000085020000}"/>
    <cellStyle name="Calculation 2 14 6" xfId="16994" xr:uid="{00000000-0005-0000-0000-000086020000}"/>
    <cellStyle name="Calculation 2 14 7" xfId="17438" xr:uid="{00000000-0005-0000-0000-000087020000}"/>
    <cellStyle name="Calculation 2 14 8" xfId="21690" xr:uid="{00000000-0005-0000-0000-000088020000}"/>
    <cellStyle name="Calculation 2 14 9" xfId="22088" xr:uid="{00000000-0005-0000-0000-000089020000}"/>
    <cellStyle name="Calculation 2 15" xfId="3497" xr:uid="{00000000-0005-0000-0000-00008A020000}"/>
    <cellStyle name="Calculation 2 15 2" xfId="6035" xr:uid="{00000000-0005-0000-0000-00008B020000}"/>
    <cellStyle name="Calculation 2 15 3" xfId="5441" xr:uid="{00000000-0005-0000-0000-00008C020000}"/>
    <cellStyle name="Calculation 2 15 4" xfId="11563" xr:uid="{00000000-0005-0000-0000-00008D020000}"/>
    <cellStyle name="Calculation 2 15 5" xfId="13998" xr:uid="{00000000-0005-0000-0000-00008E020000}"/>
    <cellStyle name="Calculation 2 15 6" xfId="15101" xr:uid="{00000000-0005-0000-0000-00008F020000}"/>
    <cellStyle name="Calculation 2 15 7" xfId="18694" xr:uid="{00000000-0005-0000-0000-000090020000}"/>
    <cellStyle name="Calculation 2 15 8" xfId="19797" xr:uid="{00000000-0005-0000-0000-000091020000}"/>
    <cellStyle name="Calculation 2 15 9" xfId="23237" xr:uid="{00000000-0005-0000-0000-000092020000}"/>
    <cellStyle name="Calculation 2 16" xfId="3633" xr:uid="{00000000-0005-0000-0000-000093020000}"/>
    <cellStyle name="Calculation 2 16 2" xfId="6171" xr:uid="{00000000-0005-0000-0000-000094020000}"/>
    <cellStyle name="Calculation 2 16 3" xfId="8936" xr:uid="{00000000-0005-0000-0000-000095020000}"/>
    <cellStyle name="Calculation 2 16 4" xfId="8785" xr:uid="{00000000-0005-0000-0000-000096020000}"/>
    <cellStyle name="Calculation 2 16 5" xfId="14935" xr:uid="{00000000-0005-0000-0000-000097020000}"/>
    <cellStyle name="Calculation 2 16 6" xfId="16474" xr:uid="{00000000-0005-0000-0000-000098020000}"/>
    <cellStyle name="Calculation 2 16 7" xfId="19631" xr:uid="{00000000-0005-0000-0000-000099020000}"/>
    <cellStyle name="Calculation 2 16 8" xfId="21170" xr:uid="{00000000-0005-0000-0000-00009A020000}"/>
    <cellStyle name="Calculation 2 16 9" xfId="24098" xr:uid="{00000000-0005-0000-0000-00009B020000}"/>
    <cellStyle name="Calculation 2 17" xfId="3692" xr:uid="{00000000-0005-0000-0000-00009C020000}"/>
    <cellStyle name="Calculation 2 17 2" xfId="6230" xr:uid="{00000000-0005-0000-0000-00009D020000}"/>
    <cellStyle name="Calculation 2 17 3" xfId="8299" xr:uid="{00000000-0005-0000-0000-00009E020000}"/>
    <cellStyle name="Calculation 2 17 4" xfId="10976" xr:uid="{00000000-0005-0000-0000-00009F020000}"/>
    <cellStyle name="Calculation 2 17 5" xfId="13348" xr:uid="{00000000-0005-0000-0000-0000A0020000}"/>
    <cellStyle name="Calculation 2 17 6" xfId="16736" xr:uid="{00000000-0005-0000-0000-0000A1020000}"/>
    <cellStyle name="Calculation 2 17 7" xfId="18044" xr:uid="{00000000-0005-0000-0000-0000A2020000}"/>
    <cellStyle name="Calculation 2 17 8" xfId="21432" xr:uid="{00000000-0005-0000-0000-0000A3020000}"/>
    <cellStyle name="Calculation 2 17 9" xfId="22647" xr:uid="{00000000-0005-0000-0000-0000A4020000}"/>
    <cellStyle name="Calculation 2 18" xfId="3682" xr:uid="{00000000-0005-0000-0000-0000A5020000}"/>
    <cellStyle name="Calculation 2 18 2" xfId="6220" xr:uid="{00000000-0005-0000-0000-0000A6020000}"/>
    <cellStyle name="Calculation 2 18 3" xfId="9656" xr:uid="{00000000-0005-0000-0000-0000A7020000}"/>
    <cellStyle name="Calculation 2 18 4" xfId="10932" xr:uid="{00000000-0005-0000-0000-0000A8020000}"/>
    <cellStyle name="Calculation 2 18 5" xfId="12805" xr:uid="{00000000-0005-0000-0000-0000A9020000}"/>
    <cellStyle name="Calculation 2 18 6" xfId="15685" xr:uid="{00000000-0005-0000-0000-0000AA020000}"/>
    <cellStyle name="Calculation 2 18 7" xfId="17501" xr:uid="{00000000-0005-0000-0000-0000AB020000}"/>
    <cellStyle name="Calculation 2 18 8" xfId="20381" xr:uid="{00000000-0005-0000-0000-0000AC020000}"/>
    <cellStyle name="Calculation 2 18 9" xfId="22142" xr:uid="{00000000-0005-0000-0000-0000AD020000}"/>
    <cellStyle name="Calculation 2 19" xfId="3893" xr:uid="{00000000-0005-0000-0000-0000AE020000}"/>
    <cellStyle name="Calculation 2 19 2" xfId="6431" xr:uid="{00000000-0005-0000-0000-0000AF020000}"/>
    <cellStyle name="Calculation 2 19 3" xfId="9104" xr:uid="{00000000-0005-0000-0000-0000B0020000}"/>
    <cellStyle name="Calculation 2 19 4" xfId="12002" xr:uid="{00000000-0005-0000-0000-0000B1020000}"/>
    <cellStyle name="Calculation 2 19 5" xfId="14481" xr:uid="{00000000-0005-0000-0000-0000B2020000}"/>
    <cellStyle name="Calculation 2 19 6" xfId="16025" xr:uid="{00000000-0005-0000-0000-0000B3020000}"/>
    <cellStyle name="Calculation 2 19 7" xfId="19177" xr:uid="{00000000-0005-0000-0000-0000B4020000}"/>
    <cellStyle name="Calculation 2 19 8" xfId="20721" xr:uid="{00000000-0005-0000-0000-0000B5020000}"/>
    <cellStyle name="Calculation 2 19 9" xfId="23677" xr:uid="{00000000-0005-0000-0000-0000B6020000}"/>
    <cellStyle name="Calculation 2 2" xfId="113" xr:uid="{00000000-0005-0000-0000-0000B7020000}"/>
    <cellStyle name="Calculation 2 2 10" xfId="3045" xr:uid="{00000000-0005-0000-0000-0000B8020000}"/>
    <cellStyle name="Calculation 2 2 11" xfId="25787" xr:uid="{00000000-0005-0000-0000-0000B9020000}"/>
    <cellStyle name="Calculation 2 2 12" xfId="33549" xr:uid="{6605AB6A-64B3-424C-88CB-0699D65A4C9E}"/>
    <cellStyle name="Calculation 2 2 2" xfId="5584" xr:uid="{00000000-0005-0000-0000-0000BA020000}"/>
    <cellStyle name="Calculation 2 2 3" xfId="9863" xr:uid="{00000000-0005-0000-0000-0000BB020000}"/>
    <cellStyle name="Calculation 2 2 4" xfId="11955" xr:uid="{00000000-0005-0000-0000-0000BC020000}"/>
    <cellStyle name="Calculation 2 2 5" xfId="14430" xr:uid="{00000000-0005-0000-0000-0000BD020000}"/>
    <cellStyle name="Calculation 2 2 6" xfId="16169" xr:uid="{00000000-0005-0000-0000-0000BE020000}"/>
    <cellStyle name="Calculation 2 2 7" xfId="19126" xr:uid="{00000000-0005-0000-0000-0000BF020000}"/>
    <cellStyle name="Calculation 2 2 8" xfId="20865" xr:uid="{00000000-0005-0000-0000-0000C0020000}"/>
    <cellStyle name="Calculation 2 2 9" xfId="23630" xr:uid="{00000000-0005-0000-0000-0000C1020000}"/>
    <cellStyle name="Calculation 2 20" xfId="3936" xr:uid="{00000000-0005-0000-0000-0000C2020000}"/>
    <cellStyle name="Calculation 2 20 2" xfId="6474" xr:uid="{00000000-0005-0000-0000-0000C3020000}"/>
    <cellStyle name="Calculation 2 20 3" xfId="10075" xr:uid="{00000000-0005-0000-0000-0000C4020000}"/>
    <cellStyle name="Calculation 2 20 4" xfId="10353" xr:uid="{00000000-0005-0000-0000-0000C5020000}"/>
    <cellStyle name="Calculation 2 20 5" xfId="12675" xr:uid="{00000000-0005-0000-0000-0000C6020000}"/>
    <cellStyle name="Calculation 2 20 6" xfId="13984" xr:uid="{00000000-0005-0000-0000-0000C7020000}"/>
    <cellStyle name="Calculation 2 20 7" xfId="17371" xr:uid="{00000000-0005-0000-0000-0000C8020000}"/>
    <cellStyle name="Calculation 2 20 8" xfId="18680" xr:uid="{00000000-0005-0000-0000-0000C9020000}"/>
    <cellStyle name="Calculation 2 20 9" xfId="22024" xr:uid="{00000000-0005-0000-0000-0000CA020000}"/>
    <cellStyle name="Calculation 2 21" xfId="3903" xr:uid="{00000000-0005-0000-0000-0000CB020000}"/>
    <cellStyle name="Calculation 2 21 2" xfId="6441" xr:uid="{00000000-0005-0000-0000-0000CC020000}"/>
    <cellStyle name="Calculation 2 21 3" xfId="9748" xr:uid="{00000000-0005-0000-0000-0000CD020000}"/>
    <cellStyle name="Calculation 2 21 4" xfId="9641" xr:uid="{00000000-0005-0000-0000-0000CE020000}"/>
    <cellStyle name="Calculation 2 21 5" xfId="14924" xr:uid="{00000000-0005-0000-0000-0000CF020000}"/>
    <cellStyle name="Calculation 2 21 6" xfId="15561" xr:uid="{00000000-0005-0000-0000-0000D0020000}"/>
    <cellStyle name="Calculation 2 21 7" xfId="19620" xr:uid="{00000000-0005-0000-0000-0000D1020000}"/>
    <cellStyle name="Calculation 2 21 8" xfId="20257" xr:uid="{00000000-0005-0000-0000-0000D2020000}"/>
    <cellStyle name="Calculation 2 21 9" xfId="24087" xr:uid="{00000000-0005-0000-0000-0000D3020000}"/>
    <cellStyle name="Calculation 2 22" xfId="3861" xr:uid="{00000000-0005-0000-0000-0000D4020000}"/>
    <cellStyle name="Calculation 2 22 2" xfId="6399" xr:uid="{00000000-0005-0000-0000-0000D5020000}"/>
    <cellStyle name="Calculation 2 22 3" xfId="8514" xr:uid="{00000000-0005-0000-0000-0000D6020000}"/>
    <cellStyle name="Calculation 2 22 4" xfId="11175" xr:uid="{00000000-0005-0000-0000-0000D7020000}"/>
    <cellStyle name="Calculation 2 22 5" xfId="13572" xr:uid="{00000000-0005-0000-0000-0000D8020000}"/>
    <cellStyle name="Calculation 2 22 6" xfId="13486" xr:uid="{00000000-0005-0000-0000-0000D9020000}"/>
    <cellStyle name="Calculation 2 22 7" xfId="18268" xr:uid="{00000000-0005-0000-0000-0000DA020000}"/>
    <cellStyle name="Calculation 2 22 8" xfId="18182" xr:uid="{00000000-0005-0000-0000-0000DB020000}"/>
    <cellStyle name="Calculation 2 22 9" xfId="22848" xr:uid="{00000000-0005-0000-0000-0000DC020000}"/>
    <cellStyle name="Calculation 2 23" xfId="3858" xr:uid="{00000000-0005-0000-0000-0000DD020000}"/>
    <cellStyle name="Calculation 2 23 2" xfId="6396" xr:uid="{00000000-0005-0000-0000-0000DE020000}"/>
    <cellStyle name="Calculation 2 23 3" xfId="8740" xr:uid="{00000000-0005-0000-0000-0000DF020000}"/>
    <cellStyle name="Calculation 2 23 4" xfId="10479" xr:uid="{00000000-0005-0000-0000-0000E0020000}"/>
    <cellStyle name="Calculation 2 23 5" xfId="12813" xr:uid="{00000000-0005-0000-0000-0000E1020000}"/>
    <cellStyle name="Calculation 2 23 6" xfId="15895" xr:uid="{00000000-0005-0000-0000-0000E2020000}"/>
    <cellStyle name="Calculation 2 23 7" xfId="17509" xr:uid="{00000000-0005-0000-0000-0000E3020000}"/>
    <cellStyle name="Calculation 2 23 8" xfId="20591" xr:uid="{00000000-0005-0000-0000-0000E4020000}"/>
    <cellStyle name="Calculation 2 23 9" xfId="22149" xr:uid="{00000000-0005-0000-0000-0000E5020000}"/>
    <cellStyle name="Calculation 2 24" xfId="4127" xr:uid="{00000000-0005-0000-0000-0000E6020000}"/>
    <cellStyle name="Calculation 2 24 2" xfId="6665" xr:uid="{00000000-0005-0000-0000-0000E7020000}"/>
    <cellStyle name="Calculation 2 24 3" xfId="9060" xr:uid="{00000000-0005-0000-0000-0000E8020000}"/>
    <cellStyle name="Calculation 2 24 4" xfId="11249" xr:uid="{00000000-0005-0000-0000-0000E9020000}"/>
    <cellStyle name="Calculation 2 24 5" xfId="13654" xr:uid="{00000000-0005-0000-0000-0000EA020000}"/>
    <cellStyle name="Calculation 2 24 6" xfId="12730" xr:uid="{00000000-0005-0000-0000-0000EB020000}"/>
    <cellStyle name="Calculation 2 24 7" xfId="18350" xr:uid="{00000000-0005-0000-0000-0000EC020000}"/>
    <cellStyle name="Calculation 2 24 8" xfId="17426" xr:uid="{00000000-0005-0000-0000-0000ED020000}"/>
    <cellStyle name="Calculation 2 24 9" xfId="22923" xr:uid="{00000000-0005-0000-0000-0000EE020000}"/>
    <cellStyle name="Calculation 2 25" xfId="4170" xr:uid="{00000000-0005-0000-0000-0000EF020000}"/>
    <cellStyle name="Calculation 2 25 2" xfId="6708" xr:uid="{00000000-0005-0000-0000-0000F0020000}"/>
    <cellStyle name="Calculation 2 25 3" xfId="8538" xr:uid="{00000000-0005-0000-0000-0000F1020000}"/>
    <cellStyle name="Calculation 2 25 4" xfId="11005" xr:uid="{00000000-0005-0000-0000-0000F2020000}"/>
    <cellStyle name="Calculation 2 25 5" xfId="13380" xr:uid="{00000000-0005-0000-0000-0000F3020000}"/>
    <cellStyle name="Calculation 2 25 6" xfId="15219" xr:uid="{00000000-0005-0000-0000-0000F4020000}"/>
    <cellStyle name="Calculation 2 25 7" xfId="18076" xr:uid="{00000000-0005-0000-0000-0000F5020000}"/>
    <cellStyle name="Calculation 2 25 8" xfId="19915" xr:uid="{00000000-0005-0000-0000-0000F6020000}"/>
    <cellStyle name="Calculation 2 25 9" xfId="22678" xr:uid="{00000000-0005-0000-0000-0000F7020000}"/>
    <cellStyle name="Calculation 2 26" xfId="4215" xr:uid="{00000000-0005-0000-0000-0000F8020000}"/>
    <cellStyle name="Calculation 2 26 2" xfId="6753" xr:uid="{00000000-0005-0000-0000-0000F9020000}"/>
    <cellStyle name="Calculation 2 26 3" xfId="8731" xr:uid="{00000000-0005-0000-0000-0000FA020000}"/>
    <cellStyle name="Calculation 2 26 4" xfId="10681" xr:uid="{00000000-0005-0000-0000-0000FB020000}"/>
    <cellStyle name="Calculation 2 26 5" xfId="13032" xr:uid="{00000000-0005-0000-0000-0000FC020000}"/>
    <cellStyle name="Calculation 2 26 6" xfId="16011" xr:uid="{00000000-0005-0000-0000-0000FD020000}"/>
    <cellStyle name="Calculation 2 26 7" xfId="17728" xr:uid="{00000000-0005-0000-0000-0000FE020000}"/>
    <cellStyle name="Calculation 2 26 8" xfId="20707" xr:uid="{00000000-0005-0000-0000-0000FF020000}"/>
    <cellStyle name="Calculation 2 26 9" xfId="22354" xr:uid="{00000000-0005-0000-0000-000000030000}"/>
    <cellStyle name="Calculation 2 27" xfId="4255" xr:uid="{00000000-0005-0000-0000-000001030000}"/>
    <cellStyle name="Calculation 2 27 2" xfId="6793" xr:uid="{00000000-0005-0000-0000-000002030000}"/>
    <cellStyle name="Calculation 2 27 3" xfId="9155" xr:uid="{00000000-0005-0000-0000-000003030000}"/>
    <cellStyle name="Calculation 2 27 4" xfId="10680" xr:uid="{00000000-0005-0000-0000-000004030000}"/>
    <cellStyle name="Calculation 2 27 5" xfId="13030" xr:uid="{00000000-0005-0000-0000-000005030000}"/>
    <cellStyle name="Calculation 2 27 6" xfId="16163" xr:uid="{00000000-0005-0000-0000-000006030000}"/>
    <cellStyle name="Calculation 2 27 7" xfId="17726" xr:uid="{00000000-0005-0000-0000-000007030000}"/>
    <cellStyle name="Calculation 2 27 8" xfId="20859" xr:uid="{00000000-0005-0000-0000-000008030000}"/>
    <cellStyle name="Calculation 2 27 9" xfId="22353" xr:uid="{00000000-0005-0000-0000-000009030000}"/>
    <cellStyle name="Calculation 2 28" xfId="4298" xr:uid="{00000000-0005-0000-0000-00000A030000}"/>
    <cellStyle name="Calculation 2 28 2" xfId="6836" xr:uid="{00000000-0005-0000-0000-00000B030000}"/>
    <cellStyle name="Calculation 2 28 3" xfId="8571" xr:uid="{00000000-0005-0000-0000-00000C030000}"/>
    <cellStyle name="Calculation 2 28 4" xfId="10531" xr:uid="{00000000-0005-0000-0000-00000D030000}"/>
    <cellStyle name="Calculation 2 28 5" xfId="12873" xr:uid="{00000000-0005-0000-0000-00000E030000}"/>
    <cellStyle name="Calculation 2 28 6" xfId="16454" xr:uid="{00000000-0005-0000-0000-00000F030000}"/>
    <cellStyle name="Calculation 2 28 7" xfId="17569" xr:uid="{00000000-0005-0000-0000-000010030000}"/>
    <cellStyle name="Calculation 2 28 8" xfId="21150" xr:uid="{00000000-0005-0000-0000-000011030000}"/>
    <cellStyle name="Calculation 2 28 9" xfId="22202" xr:uid="{00000000-0005-0000-0000-000012030000}"/>
    <cellStyle name="Calculation 2 29" xfId="4341" xr:uid="{00000000-0005-0000-0000-000013030000}"/>
    <cellStyle name="Calculation 2 29 2" xfId="6879" xr:uid="{00000000-0005-0000-0000-000014030000}"/>
    <cellStyle name="Calculation 2 29 3" xfId="8018" xr:uid="{00000000-0005-0000-0000-000015030000}"/>
    <cellStyle name="Calculation 2 29 4" xfId="11327" xr:uid="{00000000-0005-0000-0000-000016030000}"/>
    <cellStyle name="Calculation 2 29 5" xfId="13736" xr:uid="{00000000-0005-0000-0000-000017030000}"/>
    <cellStyle name="Calculation 2 29 6" xfId="15822" xr:uid="{00000000-0005-0000-0000-000018030000}"/>
    <cellStyle name="Calculation 2 29 7" xfId="18432" xr:uid="{00000000-0005-0000-0000-000019030000}"/>
    <cellStyle name="Calculation 2 29 8" xfId="20518" xr:uid="{00000000-0005-0000-0000-00001A030000}"/>
    <cellStyle name="Calculation 2 29 9" xfId="23001" xr:uid="{00000000-0005-0000-0000-00001B030000}"/>
    <cellStyle name="Calculation 2 3" xfId="3042" xr:uid="{00000000-0005-0000-0000-00001C030000}"/>
    <cellStyle name="Calculation 2 3 10" xfId="25788" xr:uid="{00000000-0005-0000-0000-00001D030000}"/>
    <cellStyle name="Calculation 2 3 2" xfId="5581" xr:uid="{00000000-0005-0000-0000-00001E030000}"/>
    <cellStyle name="Calculation 2 3 3" xfId="8903" xr:uid="{00000000-0005-0000-0000-00001F030000}"/>
    <cellStyle name="Calculation 2 3 4" xfId="10335" xr:uid="{00000000-0005-0000-0000-000020030000}"/>
    <cellStyle name="Calculation 2 3 5" xfId="12654" xr:uid="{00000000-0005-0000-0000-000021030000}"/>
    <cellStyle name="Calculation 2 3 6" xfId="13974" xr:uid="{00000000-0005-0000-0000-000022030000}"/>
    <cellStyle name="Calculation 2 3 7" xfId="17350" xr:uid="{00000000-0005-0000-0000-000023030000}"/>
    <cellStyle name="Calculation 2 3 8" xfId="18670" xr:uid="{00000000-0005-0000-0000-000024030000}"/>
    <cellStyle name="Calculation 2 3 9" xfId="22006" xr:uid="{00000000-0005-0000-0000-000025030000}"/>
    <cellStyle name="Calculation 2 30" xfId="4384" xr:uid="{00000000-0005-0000-0000-000026030000}"/>
    <cellStyle name="Calculation 2 30 2" xfId="6922" xr:uid="{00000000-0005-0000-0000-000027030000}"/>
    <cellStyle name="Calculation 2 30 3" xfId="9945" xr:uid="{00000000-0005-0000-0000-000028030000}"/>
    <cellStyle name="Calculation 2 30 4" xfId="11341" xr:uid="{00000000-0005-0000-0000-000029030000}"/>
    <cellStyle name="Calculation 2 30 5" xfId="13752" xr:uid="{00000000-0005-0000-0000-00002A030000}"/>
    <cellStyle name="Calculation 2 30 6" xfId="15236" xr:uid="{00000000-0005-0000-0000-00002B030000}"/>
    <cellStyle name="Calculation 2 30 7" xfId="18448" xr:uid="{00000000-0005-0000-0000-00002C030000}"/>
    <cellStyle name="Calculation 2 30 8" xfId="19932" xr:uid="{00000000-0005-0000-0000-00002D030000}"/>
    <cellStyle name="Calculation 2 30 9" xfId="23015" xr:uid="{00000000-0005-0000-0000-00002E030000}"/>
    <cellStyle name="Calculation 2 31" xfId="4427" xr:uid="{00000000-0005-0000-0000-00002F030000}"/>
    <cellStyle name="Calculation 2 31 2" xfId="6965" xr:uid="{00000000-0005-0000-0000-000030030000}"/>
    <cellStyle name="Calculation 2 31 3" xfId="9296" xr:uid="{00000000-0005-0000-0000-000031030000}"/>
    <cellStyle name="Calculation 2 31 4" xfId="11659" xr:uid="{00000000-0005-0000-0000-000032030000}"/>
    <cellStyle name="Calculation 2 31 5" xfId="14106" xr:uid="{00000000-0005-0000-0000-000033030000}"/>
    <cellStyle name="Calculation 2 31 6" xfId="16417" xr:uid="{00000000-0005-0000-0000-000034030000}"/>
    <cellStyle name="Calculation 2 31 7" xfId="18802" xr:uid="{00000000-0005-0000-0000-000035030000}"/>
    <cellStyle name="Calculation 2 31 8" xfId="21113" xr:uid="{00000000-0005-0000-0000-000036030000}"/>
    <cellStyle name="Calculation 2 31 9" xfId="23334" xr:uid="{00000000-0005-0000-0000-000037030000}"/>
    <cellStyle name="Calculation 2 32" xfId="4441" xr:uid="{00000000-0005-0000-0000-000038030000}"/>
    <cellStyle name="Calculation 2 32 2" xfId="6979" xr:uid="{00000000-0005-0000-0000-000039030000}"/>
    <cellStyle name="Calculation 2 32 3" xfId="9880" xr:uid="{00000000-0005-0000-0000-00003A030000}"/>
    <cellStyle name="Calculation 2 32 4" xfId="11727" xr:uid="{00000000-0005-0000-0000-00003B030000}"/>
    <cellStyle name="Calculation 2 32 5" xfId="14178" xr:uid="{00000000-0005-0000-0000-00003C030000}"/>
    <cellStyle name="Calculation 2 32 6" xfId="16887" xr:uid="{00000000-0005-0000-0000-00003D030000}"/>
    <cellStyle name="Calculation 2 32 7" xfId="18874" xr:uid="{00000000-0005-0000-0000-00003E030000}"/>
    <cellStyle name="Calculation 2 32 8" xfId="21583" xr:uid="{00000000-0005-0000-0000-00003F030000}"/>
    <cellStyle name="Calculation 2 32 9" xfId="23401" xr:uid="{00000000-0005-0000-0000-000040030000}"/>
    <cellStyle name="Calculation 2 33" xfId="4385" xr:uid="{00000000-0005-0000-0000-000041030000}"/>
    <cellStyle name="Calculation 2 33 2" xfId="6923" xr:uid="{00000000-0005-0000-0000-000042030000}"/>
    <cellStyle name="Calculation 2 33 3" xfId="9980" xr:uid="{00000000-0005-0000-0000-000043030000}"/>
    <cellStyle name="Calculation 2 33 4" xfId="10390" xr:uid="{00000000-0005-0000-0000-000044030000}"/>
    <cellStyle name="Calculation 2 33 5" xfId="14476" xr:uid="{00000000-0005-0000-0000-000045030000}"/>
    <cellStyle name="Calculation 2 33 6" xfId="16236" xr:uid="{00000000-0005-0000-0000-000046030000}"/>
    <cellStyle name="Calculation 2 33 7" xfId="19172" xr:uid="{00000000-0005-0000-0000-000047030000}"/>
    <cellStyle name="Calculation 2 33 8" xfId="20932" xr:uid="{00000000-0005-0000-0000-000048030000}"/>
    <cellStyle name="Calculation 2 33 9" xfId="23673" xr:uid="{00000000-0005-0000-0000-000049030000}"/>
    <cellStyle name="Calculation 2 34" xfId="4343" xr:uid="{00000000-0005-0000-0000-00004A030000}"/>
    <cellStyle name="Calculation 2 34 2" xfId="6881" xr:uid="{00000000-0005-0000-0000-00004B030000}"/>
    <cellStyle name="Calculation 2 34 3" xfId="8341" xr:uid="{00000000-0005-0000-0000-00004C030000}"/>
    <cellStyle name="Calculation 2 34 4" xfId="10910" xr:uid="{00000000-0005-0000-0000-00004D030000}"/>
    <cellStyle name="Calculation 2 34 5" xfId="13280" xr:uid="{00000000-0005-0000-0000-00004E030000}"/>
    <cellStyle name="Calculation 2 34 6" xfId="16202" xr:uid="{00000000-0005-0000-0000-00004F030000}"/>
    <cellStyle name="Calculation 2 34 7" xfId="17976" xr:uid="{00000000-0005-0000-0000-000050030000}"/>
    <cellStyle name="Calculation 2 34 8" xfId="20898" xr:uid="{00000000-0005-0000-0000-000051030000}"/>
    <cellStyle name="Calculation 2 34 9" xfId="22581" xr:uid="{00000000-0005-0000-0000-000052030000}"/>
    <cellStyle name="Calculation 2 35" xfId="4599" xr:uid="{00000000-0005-0000-0000-000053030000}"/>
    <cellStyle name="Calculation 2 35 2" xfId="7137" xr:uid="{00000000-0005-0000-0000-000054030000}"/>
    <cellStyle name="Calculation 2 35 3" xfId="8305" xr:uid="{00000000-0005-0000-0000-000055030000}"/>
    <cellStyle name="Calculation 2 35 4" xfId="11975" xr:uid="{00000000-0005-0000-0000-000056030000}"/>
    <cellStyle name="Calculation 2 35 5" xfId="14452" xr:uid="{00000000-0005-0000-0000-000057030000}"/>
    <cellStyle name="Calculation 2 35 6" xfId="15575" xr:uid="{00000000-0005-0000-0000-000058030000}"/>
    <cellStyle name="Calculation 2 35 7" xfId="19148" xr:uid="{00000000-0005-0000-0000-000059030000}"/>
    <cellStyle name="Calculation 2 35 8" xfId="20271" xr:uid="{00000000-0005-0000-0000-00005A030000}"/>
    <cellStyle name="Calculation 2 35 9" xfId="23650" xr:uid="{00000000-0005-0000-0000-00005B030000}"/>
    <cellStyle name="Calculation 2 36" xfId="4642" xr:uid="{00000000-0005-0000-0000-00005C030000}"/>
    <cellStyle name="Calculation 2 36 2" xfId="7180" xr:uid="{00000000-0005-0000-0000-00005D030000}"/>
    <cellStyle name="Calculation 2 36 3" xfId="7799" xr:uid="{00000000-0005-0000-0000-00005E030000}"/>
    <cellStyle name="Calculation 2 36 4" xfId="10826" xr:uid="{00000000-0005-0000-0000-00005F030000}"/>
    <cellStyle name="Calculation 2 36 5" xfId="12850" xr:uid="{00000000-0005-0000-0000-000060030000}"/>
    <cellStyle name="Calculation 2 36 6" xfId="16364" xr:uid="{00000000-0005-0000-0000-000061030000}"/>
    <cellStyle name="Calculation 2 36 7" xfId="17546" xr:uid="{00000000-0005-0000-0000-000062030000}"/>
    <cellStyle name="Calculation 2 36 8" xfId="21060" xr:uid="{00000000-0005-0000-0000-000063030000}"/>
    <cellStyle name="Calculation 2 36 9" xfId="22181" xr:uid="{00000000-0005-0000-0000-000064030000}"/>
    <cellStyle name="Calculation 2 37" xfId="4684" xr:uid="{00000000-0005-0000-0000-000065030000}"/>
    <cellStyle name="Calculation 2 37 2" xfId="7222" xr:uid="{00000000-0005-0000-0000-000066030000}"/>
    <cellStyle name="Calculation 2 37 3" xfId="9499" xr:uid="{00000000-0005-0000-0000-000067030000}"/>
    <cellStyle name="Calculation 2 37 4" xfId="11694" xr:uid="{00000000-0005-0000-0000-000068030000}"/>
    <cellStyle name="Calculation 2 37 5" xfId="14143" xr:uid="{00000000-0005-0000-0000-000069030000}"/>
    <cellStyle name="Calculation 2 37 6" xfId="16002" xr:uid="{00000000-0005-0000-0000-00006A030000}"/>
    <cellStyle name="Calculation 2 37 7" xfId="18839" xr:uid="{00000000-0005-0000-0000-00006B030000}"/>
    <cellStyle name="Calculation 2 37 8" xfId="20698" xr:uid="{00000000-0005-0000-0000-00006C030000}"/>
    <cellStyle name="Calculation 2 37 9" xfId="23368" xr:uid="{00000000-0005-0000-0000-00006D030000}"/>
    <cellStyle name="Calculation 2 38" xfId="4652" xr:uid="{00000000-0005-0000-0000-00006E030000}"/>
    <cellStyle name="Calculation 2 38 2" xfId="7190" xr:uid="{00000000-0005-0000-0000-00006F030000}"/>
    <cellStyle name="Calculation 2 38 3" xfId="8485" xr:uid="{00000000-0005-0000-0000-000070030000}"/>
    <cellStyle name="Calculation 2 38 4" xfId="10685" xr:uid="{00000000-0005-0000-0000-000071030000}"/>
    <cellStyle name="Calculation 2 38 5" xfId="13037" xr:uid="{00000000-0005-0000-0000-000072030000}"/>
    <cellStyle name="Calculation 2 38 6" xfId="16152" xr:uid="{00000000-0005-0000-0000-000073030000}"/>
    <cellStyle name="Calculation 2 38 7" xfId="17733" xr:uid="{00000000-0005-0000-0000-000074030000}"/>
    <cellStyle name="Calculation 2 38 8" xfId="20848" xr:uid="{00000000-0005-0000-0000-000075030000}"/>
    <cellStyle name="Calculation 2 38 9" xfId="22358" xr:uid="{00000000-0005-0000-0000-000076030000}"/>
    <cellStyle name="Calculation 2 39" xfId="4789" xr:uid="{00000000-0005-0000-0000-000077030000}"/>
    <cellStyle name="Calculation 2 39 2" xfId="7327" xr:uid="{00000000-0005-0000-0000-000078030000}"/>
    <cellStyle name="Calculation 2 39 3" xfId="8540" xr:uid="{00000000-0005-0000-0000-000079030000}"/>
    <cellStyle name="Calculation 2 39 4" xfId="11597" xr:uid="{00000000-0005-0000-0000-00007A030000}"/>
    <cellStyle name="Calculation 2 39 5" xfId="14035" xr:uid="{00000000-0005-0000-0000-00007B030000}"/>
    <cellStyle name="Calculation 2 39 6" xfId="15312" xr:uid="{00000000-0005-0000-0000-00007C030000}"/>
    <cellStyle name="Calculation 2 39 7" xfId="18731" xr:uid="{00000000-0005-0000-0000-00007D030000}"/>
    <cellStyle name="Calculation 2 39 8" xfId="20008" xr:uid="{00000000-0005-0000-0000-00007E030000}"/>
    <cellStyle name="Calculation 2 39 9" xfId="23271" xr:uid="{00000000-0005-0000-0000-00007F030000}"/>
    <cellStyle name="Calculation 2 4" xfId="3158" xr:uid="{00000000-0005-0000-0000-000080030000}"/>
    <cellStyle name="Calculation 2 4 10" xfId="25789" xr:uid="{00000000-0005-0000-0000-000081030000}"/>
    <cellStyle name="Calculation 2 4 2" xfId="5696" xr:uid="{00000000-0005-0000-0000-000082030000}"/>
    <cellStyle name="Calculation 2 4 3" xfId="8495" xr:uid="{00000000-0005-0000-0000-000083030000}"/>
    <cellStyle name="Calculation 2 4 4" xfId="11104" xr:uid="{00000000-0005-0000-0000-000084030000}"/>
    <cellStyle name="Calculation 2 4 5" xfId="13497" xr:uid="{00000000-0005-0000-0000-000085030000}"/>
    <cellStyle name="Calculation 2 4 6" xfId="16812" xr:uid="{00000000-0005-0000-0000-000086030000}"/>
    <cellStyle name="Calculation 2 4 7" xfId="18193" xr:uid="{00000000-0005-0000-0000-000087030000}"/>
    <cellStyle name="Calculation 2 4 8" xfId="21508" xr:uid="{00000000-0005-0000-0000-000088030000}"/>
    <cellStyle name="Calculation 2 4 9" xfId="22777" xr:uid="{00000000-0005-0000-0000-000089030000}"/>
    <cellStyle name="Calculation 2 40" xfId="4832" xr:uid="{00000000-0005-0000-0000-00008A030000}"/>
    <cellStyle name="Calculation 2 40 2" xfId="7370" xr:uid="{00000000-0005-0000-0000-00008B030000}"/>
    <cellStyle name="Calculation 2 40 3" xfId="10098" xr:uid="{00000000-0005-0000-0000-00008C030000}"/>
    <cellStyle name="Calculation 2 40 4" xfId="10305" xr:uid="{00000000-0005-0000-0000-00008D030000}"/>
    <cellStyle name="Calculation 2 40 5" xfId="14075" xr:uid="{00000000-0005-0000-0000-00008E030000}"/>
    <cellStyle name="Calculation 2 40 6" xfId="16227" xr:uid="{00000000-0005-0000-0000-00008F030000}"/>
    <cellStyle name="Calculation 2 40 7" xfId="18771" xr:uid="{00000000-0005-0000-0000-000090030000}"/>
    <cellStyle name="Calculation 2 40 8" xfId="20923" xr:uid="{00000000-0005-0000-0000-000091030000}"/>
    <cellStyle name="Calculation 2 40 9" xfId="23307" xr:uid="{00000000-0005-0000-0000-000092030000}"/>
    <cellStyle name="Calculation 2 41" xfId="4846" xr:uid="{00000000-0005-0000-0000-000093030000}"/>
    <cellStyle name="Calculation 2 41 2" xfId="7384" xr:uid="{00000000-0005-0000-0000-000094030000}"/>
    <cellStyle name="Calculation 2 41 3" xfId="5442" xr:uid="{00000000-0005-0000-0000-000095030000}"/>
    <cellStyle name="Calculation 2 41 4" xfId="11803" xr:uid="{00000000-0005-0000-0000-000096030000}"/>
    <cellStyle name="Calculation 2 41 5" xfId="14260" xr:uid="{00000000-0005-0000-0000-000097030000}"/>
    <cellStyle name="Calculation 2 41 6" xfId="12657" xr:uid="{00000000-0005-0000-0000-000098030000}"/>
    <cellStyle name="Calculation 2 41 7" xfId="18956" xr:uid="{00000000-0005-0000-0000-000099030000}"/>
    <cellStyle name="Calculation 2 41 8" xfId="17353" xr:uid="{00000000-0005-0000-0000-00009A030000}"/>
    <cellStyle name="Calculation 2 41 9" xfId="23478" xr:uid="{00000000-0005-0000-0000-00009B030000}"/>
    <cellStyle name="Calculation 2 42" xfId="4790" xr:uid="{00000000-0005-0000-0000-00009C030000}"/>
    <cellStyle name="Calculation 2 42 2" xfId="7328" xr:uid="{00000000-0005-0000-0000-00009D030000}"/>
    <cellStyle name="Calculation 2 42 3" xfId="9644" xr:uid="{00000000-0005-0000-0000-00009E030000}"/>
    <cellStyle name="Calculation 2 42 4" xfId="12173" xr:uid="{00000000-0005-0000-0000-00009F030000}"/>
    <cellStyle name="Calculation 2 42 5" xfId="14814" xr:uid="{00000000-0005-0000-0000-0000A0030000}"/>
    <cellStyle name="Calculation 2 42 6" xfId="15519" xr:uid="{00000000-0005-0000-0000-0000A1030000}"/>
    <cellStyle name="Calculation 2 42 7" xfId="19510" xr:uid="{00000000-0005-0000-0000-0000A2030000}"/>
    <cellStyle name="Calculation 2 42 8" xfId="20215" xr:uid="{00000000-0005-0000-0000-0000A3030000}"/>
    <cellStyle name="Calculation 2 42 9" xfId="23998" xr:uid="{00000000-0005-0000-0000-0000A4030000}"/>
    <cellStyle name="Calculation 2 43" xfId="4904" xr:uid="{00000000-0005-0000-0000-0000A5030000}"/>
    <cellStyle name="Calculation 2 43 2" xfId="7442" xr:uid="{00000000-0005-0000-0000-0000A6030000}"/>
    <cellStyle name="Calculation 2 43 3" xfId="9554" xr:uid="{00000000-0005-0000-0000-0000A7030000}"/>
    <cellStyle name="Calculation 2 43 4" xfId="10478" xr:uid="{00000000-0005-0000-0000-0000A8030000}"/>
    <cellStyle name="Calculation 2 43 5" xfId="12812" xr:uid="{00000000-0005-0000-0000-0000A9030000}"/>
    <cellStyle name="Calculation 2 43 6" xfId="16261" xr:uid="{00000000-0005-0000-0000-0000AA030000}"/>
    <cellStyle name="Calculation 2 43 7" xfId="17508" xr:uid="{00000000-0005-0000-0000-0000AB030000}"/>
    <cellStyle name="Calculation 2 43 8" xfId="20957" xr:uid="{00000000-0005-0000-0000-0000AC030000}"/>
    <cellStyle name="Calculation 2 43 9" xfId="22148" xr:uid="{00000000-0005-0000-0000-0000AD030000}"/>
    <cellStyle name="Calculation 2 44" xfId="4992" xr:uid="{00000000-0005-0000-0000-0000AE030000}"/>
    <cellStyle name="Calculation 2 44 2" xfId="7530" xr:uid="{00000000-0005-0000-0000-0000AF030000}"/>
    <cellStyle name="Calculation 2 44 3" xfId="8437" xr:uid="{00000000-0005-0000-0000-0000B0030000}"/>
    <cellStyle name="Calculation 2 44 4" xfId="11774" xr:uid="{00000000-0005-0000-0000-0000B1030000}"/>
    <cellStyle name="Calculation 2 44 5" xfId="14227" xr:uid="{00000000-0005-0000-0000-0000B2030000}"/>
    <cellStyle name="Calculation 2 44 6" xfId="16782" xr:uid="{00000000-0005-0000-0000-0000B3030000}"/>
    <cellStyle name="Calculation 2 44 7" xfId="18923" xr:uid="{00000000-0005-0000-0000-0000B4030000}"/>
    <cellStyle name="Calculation 2 44 8" xfId="21478" xr:uid="{00000000-0005-0000-0000-0000B5030000}"/>
    <cellStyle name="Calculation 2 44 9" xfId="23448" xr:uid="{00000000-0005-0000-0000-0000B6030000}"/>
    <cellStyle name="Calculation 2 45" xfId="5030" xr:uid="{00000000-0005-0000-0000-0000B7030000}"/>
    <cellStyle name="Calculation 2 45 2" xfId="7568" xr:uid="{00000000-0005-0000-0000-0000B8030000}"/>
    <cellStyle name="Calculation 2 45 3" xfId="8856" xr:uid="{00000000-0005-0000-0000-0000B9030000}"/>
    <cellStyle name="Calculation 2 45 4" xfId="10638" xr:uid="{00000000-0005-0000-0000-0000BA030000}"/>
    <cellStyle name="Calculation 2 45 5" xfId="12987" xr:uid="{00000000-0005-0000-0000-0000BB030000}"/>
    <cellStyle name="Calculation 2 45 6" xfId="16122" xr:uid="{00000000-0005-0000-0000-0000BC030000}"/>
    <cellStyle name="Calculation 2 45 7" xfId="17683" xr:uid="{00000000-0005-0000-0000-0000BD030000}"/>
    <cellStyle name="Calculation 2 45 8" xfId="20818" xr:uid="{00000000-0005-0000-0000-0000BE030000}"/>
    <cellStyle name="Calculation 2 45 9" xfId="22311" xr:uid="{00000000-0005-0000-0000-0000BF030000}"/>
    <cellStyle name="Calculation 2 46" xfId="5062" xr:uid="{00000000-0005-0000-0000-0000C0030000}"/>
    <cellStyle name="Calculation 2 46 2" xfId="7600" xr:uid="{00000000-0005-0000-0000-0000C1030000}"/>
    <cellStyle name="Calculation 2 46 3" xfId="9236" xr:uid="{00000000-0005-0000-0000-0000C2030000}"/>
    <cellStyle name="Calculation 2 46 4" xfId="12066" xr:uid="{00000000-0005-0000-0000-0000C3030000}"/>
    <cellStyle name="Calculation 2 46 5" xfId="14546" xr:uid="{00000000-0005-0000-0000-0000C4030000}"/>
    <cellStyle name="Calculation 2 46 6" xfId="14297" xr:uid="{00000000-0005-0000-0000-0000C5030000}"/>
    <cellStyle name="Calculation 2 46 7" xfId="19242" xr:uid="{00000000-0005-0000-0000-0000C6030000}"/>
    <cellStyle name="Calculation 2 46 8" xfId="18993" xr:uid="{00000000-0005-0000-0000-0000C7030000}"/>
    <cellStyle name="Calculation 2 46 9" xfId="23738" xr:uid="{00000000-0005-0000-0000-0000C8030000}"/>
    <cellStyle name="Calculation 2 47" xfId="5092" xr:uid="{00000000-0005-0000-0000-0000C9030000}"/>
    <cellStyle name="Calculation 2 47 2" xfId="7630" xr:uid="{00000000-0005-0000-0000-0000CA030000}"/>
    <cellStyle name="Calculation 2 47 3" xfId="8828" xr:uid="{00000000-0005-0000-0000-0000CB030000}"/>
    <cellStyle name="Calculation 2 47 4" xfId="8154" xr:uid="{00000000-0005-0000-0000-0000CC030000}"/>
    <cellStyle name="Calculation 2 47 5" xfId="12546" xr:uid="{00000000-0005-0000-0000-0000CD030000}"/>
    <cellStyle name="Calculation 2 47 6" xfId="14996" xr:uid="{00000000-0005-0000-0000-0000CE030000}"/>
    <cellStyle name="Calculation 2 47 7" xfId="17242" xr:uid="{00000000-0005-0000-0000-0000CF030000}"/>
    <cellStyle name="Calculation 2 47 8" xfId="19692" xr:uid="{00000000-0005-0000-0000-0000D0030000}"/>
    <cellStyle name="Calculation 2 47 9" xfId="21908" xr:uid="{00000000-0005-0000-0000-0000D1030000}"/>
    <cellStyle name="Calculation 2 48" xfId="5118" xr:uid="{00000000-0005-0000-0000-0000D2030000}"/>
    <cellStyle name="Calculation 2 48 2" xfId="7656" xr:uid="{00000000-0005-0000-0000-0000D3030000}"/>
    <cellStyle name="Calculation 2 48 3" xfId="9770" xr:uid="{00000000-0005-0000-0000-0000D4030000}"/>
    <cellStyle name="Calculation 2 48 4" xfId="11003" xr:uid="{00000000-0005-0000-0000-0000D5030000}"/>
    <cellStyle name="Calculation 2 48 5" xfId="13378" xr:uid="{00000000-0005-0000-0000-0000D6030000}"/>
    <cellStyle name="Calculation 2 48 6" xfId="15524" xr:uid="{00000000-0005-0000-0000-0000D7030000}"/>
    <cellStyle name="Calculation 2 48 7" xfId="18074" xr:uid="{00000000-0005-0000-0000-0000D8030000}"/>
    <cellStyle name="Calculation 2 48 8" xfId="20220" xr:uid="{00000000-0005-0000-0000-0000D9030000}"/>
    <cellStyle name="Calculation 2 48 9" xfId="22676" xr:uid="{00000000-0005-0000-0000-0000DA030000}"/>
    <cellStyle name="Calculation 2 49" xfId="5187" xr:uid="{00000000-0005-0000-0000-0000DB030000}"/>
    <cellStyle name="Calculation 2 49 2" xfId="7726" xr:uid="{00000000-0005-0000-0000-0000DC030000}"/>
    <cellStyle name="Calculation 2 49 3" xfId="9541" xr:uid="{00000000-0005-0000-0000-0000DD030000}"/>
    <cellStyle name="Calculation 2 49 4" xfId="11167" xr:uid="{00000000-0005-0000-0000-0000DE030000}"/>
    <cellStyle name="Calculation 2 49 5" xfId="13563" xr:uid="{00000000-0005-0000-0000-0000DF030000}"/>
    <cellStyle name="Calculation 2 49 6" xfId="16312" xr:uid="{00000000-0005-0000-0000-0000E0030000}"/>
    <cellStyle name="Calculation 2 49 7" xfId="18259" xr:uid="{00000000-0005-0000-0000-0000E1030000}"/>
    <cellStyle name="Calculation 2 49 8" xfId="21008" xr:uid="{00000000-0005-0000-0000-0000E2030000}"/>
    <cellStyle name="Calculation 2 49 9" xfId="22840" xr:uid="{00000000-0005-0000-0000-0000E3030000}"/>
    <cellStyle name="Calculation 2 5" xfId="3201" xr:uid="{00000000-0005-0000-0000-0000E4030000}"/>
    <cellStyle name="Calculation 2 5 10" xfId="26217" xr:uid="{00000000-0005-0000-0000-0000E5030000}"/>
    <cellStyle name="Calculation 2 5 2" xfId="5739" xr:uid="{00000000-0005-0000-0000-0000E6030000}"/>
    <cellStyle name="Calculation 2 5 3" xfId="8664" xr:uid="{00000000-0005-0000-0000-0000E7030000}"/>
    <cellStyle name="Calculation 2 5 4" xfId="11360" xr:uid="{00000000-0005-0000-0000-0000E8030000}"/>
    <cellStyle name="Calculation 2 5 5" xfId="13773" xr:uid="{00000000-0005-0000-0000-0000E9030000}"/>
    <cellStyle name="Calculation 2 5 6" xfId="16698" xr:uid="{00000000-0005-0000-0000-0000EA030000}"/>
    <cellStyle name="Calculation 2 5 7" xfId="18469" xr:uid="{00000000-0005-0000-0000-0000EB030000}"/>
    <cellStyle name="Calculation 2 5 8" xfId="21394" xr:uid="{00000000-0005-0000-0000-0000EC030000}"/>
    <cellStyle name="Calculation 2 5 9" xfId="23034" xr:uid="{00000000-0005-0000-0000-0000ED030000}"/>
    <cellStyle name="Calculation 2 50" xfId="5186" xr:uid="{00000000-0005-0000-0000-0000EE030000}"/>
    <cellStyle name="Calculation 2 50 2" xfId="8264" xr:uid="{00000000-0005-0000-0000-0000EF030000}"/>
    <cellStyle name="Calculation 2 50 3" xfId="10817" xr:uid="{00000000-0005-0000-0000-0000F0030000}"/>
    <cellStyle name="Calculation 2 50 4" xfId="13180" xr:uid="{00000000-0005-0000-0000-0000F1030000}"/>
    <cellStyle name="Calculation 2 50 5" xfId="16060" xr:uid="{00000000-0005-0000-0000-0000F2030000}"/>
    <cellStyle name="Calculation 2 50 6" xfId="17876" xr:uid="{00000000-0005-0000-0000-0000F3030000}"/>
    <cellStyle name="Calculation 2 50 7" xfId="20756" xr:uid="{00000000-0005-0000-0000-0000F4030000}"/>
    <cellStyle name="Calculation 2 50 8" xfId="22488" xr:uid="{00000000-0005-0000-0000-0000F5030000}"/>
    <cellStyle name="Calculation 2 51" xfId="9351" xr:uid="{00000000-0005-0000-0000-0000F6030000}"/>
    <cellStyle name="Calculation 2 52" xfId="12205" xr:uid="{00000000-0005-0000-0000-0000F7030000}"/>
    <cellStyle name="Calculation 2 53" xfId="12405" xr:uid="{00000000-0005-0000-0000-0000F8030000}"/>
    <cellStyle name="Calculation 2 54" xfId="13744" xr:uid="{00000000-0005-0000-0000-0000F9030000}"/>
    <cellStyle name="Calculation 2 55" xfId="17101" xr:uid="{00000000-0005-0000-0000-0000FA030000}"/>
    <cellStyle name="Calculation 2 56" xfId="18440" xr:uid="{00000000-0005-0000-0000-0000FB030000}"/>
    <cellStyle name="Calculation 2 57" xfId="21787" xr:uid="{00000000-0005-0000-0000-0000FC030000}"/>
    <cellStyle name="Calculation 2 58" xfId="2927" xr:uid="{00000000-0005-0000-0000-0000FD030000}"/>
    <cellStyle name="Calculation 2 59" xfId="25786" xr:uid="{00000000-0005-0000-0000-0000FE030000}"/>
    <cellStyle name="Calculation 2 6" xfId="3244" xr:uid="{00000000-0005-0000-0000-0000FF030000}"/>
    <cellStyle name="Calculation 2 6 2" xfId="5782" xr:uid="{00000000-0005-0000-0000-000000040000}"/>
    <cellStyle name="Calculation 2 6 3" xfId="9401" xr:uid="{00000000-0005-0000-0000-000001040000}"/>
    <cellStyle name="Calculation 2 6 4" xfId="10717" xr:uid="{00000000-0005-0000-0000-000002040000}"/>
    <cellStyle name="Calculation 2 6 5" xfId="13071" xr:uid="{00000000-0005-0000-0000-000003040000}"/>
    <cellStyle name="Calculation 2 6 6" xfId="13478" xr:uid="{00000000-0005-0000-0000-000004040000}"/>
    <cellStyle name="Calculation 2 6 7" xfId="17767" xr:uid="{00000000-0005-0000-0000-000005040000}"/>
    <cellStyle name="Calculation 2 6 8" xfId="18174" xr:uid="{00000000-0005-0000-0000-000006040000}"/>
    <cellStyle name="Calculation 2 6 9" xfId="22390" xr:uid="{00000000-0005-0000-0000-000007040000}"/>
    <cellStyle name="Calculation 2 60" xfId="32825" xr:uid="{415B4B94-32B0-453F-AFC4-A64C5C253177}"/>
    <cellStyle name="Calculation 2 7" xfId="3287" xr:uid="{00000000-0005-0000-0000-000008040000}"/>
    <cellStyle name="Calculation 2 7 2" xfId="5825" xr:uid="{00000000-0005-0000-0000-000009040000}"/>
    <cellStyle name="Calculation 2 7 3" xfId="8055" xr:uid="{00000000-0005-0000-0000-00000A040000}"/>
    <cellStyle name="Calculation 2 7 4" xfId="11475" xr:uid="{00000000-0005-0000-0000-00000B040000}"/>
    <cellStyle name="Calculation 2 7 5" xfId="13898" xr:uid="{00000000-0005-0000-0000-00000C040000}"/>
    <cellStyle name="Calculation 2 7 6" xfId="12478" xr:uid="{00000000-0005-0000-0000-00000D040000}"/>
    <cellStyle name="Calculation 2 7 7" xfId="18594" xr:uid="{00000000-0005-0000-0000-00000E040000}"/>
    <cellStyle name="Calculation 2 7 8" xfId="17174" xr:uid="{00000000-0005-0000-0000-00000F040000}"/>
    <cellStyle name="Calculation 2 7 9" xfId="23150" xr:uid="{00000000-0005-0000-0000-000010040000}"/>
    <cellStyle name="Calculation 2 8" xfId="3330" xr:uid="{00000000-0005-0000-0000-000011040000}"/>
    <cellStyle name="Calculation 2 8 2" xfId="5868" xr:uid="{00000000-0005-0000-0000-000012040000}"/>
    <cellStyle name="Calculation 2 8 3" xfId="9858" xr:uid="{00000000-0005-0000-0000-000013040000}"/>
    <cellStyle name="Calculation 2 8 4" xfId="12156" xr:uid="{00000000-0005-0000-0000-000014040000}"/>
    <cellStyle name="Calculation 2 8 5" xfId="14639" xr:uid="{00000000-0005-0000-0000-000015040000}"/>
    <cellStyle name="Calculation 2 8 6" xfId="15927" xr:uid="{00000000-0005-0000-0000-000016040000}"/>
    <cellStyle name="Calculation 2 8 7" xfId="19335" xr:uid="{00000000-0005-0000-0000-000017040000}"/>
    <cellStyle name="Calculation 2 8 8" xfId="20623" xr:uid="{00000000-0005-0000-0000-000018040000}"/>
    <cellStyle name="Calculation 2 8 9" xfId="23830" xr:uid="{00000000-0005-0000-0000-000019040000}"/>
    <cellStyle name="Calculation 2 9" xfId="3373" xr:uid="{00000000-0005-0000-0000-00001A040000}"/>
    <cellStyle name="Calculation 2 9 2" xfId="5911" xr:uid="{00000000-0005-0000-0000-00001B040000}"/>
    <cellStyle name="Calculation 2 9 3" xfId="7796" xr:uid="{00000000-0005-0000-0000-00001C040000}"/>
    <cellStyle name="Calculation 2 9 4" xfId="11287" xr:uid="{00000000-0005-0000-0000-00001D040000}"/>
    <cellStyle name="Calculation 2 9 5" xfId="13693" xr:uid="{00000000-0005-0000-0000-00001E040000}"/>
    <cellStyle name="Calculation 2 9 6" xfId="15209" xr:uid="{00000000-0005-0000-0000-00001F040000}"/>
    <cellStyle name="Calculation 2 9 7" xfId="18389" xr:uid="{00000000-0005-0000-0000-000020040000}"/>
    <cellStyle name="Calculation 2 9 8" xfId="19905" xr:uid="{00000000-0005-0000-0000-000021040000}"/>
    <cellStyle name="Calculation 2 9 9" xfId="22961" xr:uid="{00000000-0005-0000-0000-000022040000}"/>
    <cellStyle name="Calculation 3" xfId="26891" xr:uid="{00000000-0005-0000-0000-000023040000}"/>
    <cellStyle name="Calculation 3 2" xfId="33550" xr:uid="{D988203E-F5B5-41C3-A9EF-AA3EF3E4C559}"/>
    <cellStyle name="Calculation 4" xfId="26892" xr:uid="{00000000-0005-0000-0000-000024040000}"/>
    <cellStyle name="Calculation 4 2" xfId="33551" xr:uid="{B3A29BA2-0266-4B26-B52D-6F670ECA8173}"/>
    <cellStyle name="Calculation 5" xfId="26893" xr:uid="{00000000-0005-0000-0000-000025040000}"/>
    <cellStyle name="Calculation 5 2" xfId="33552" xr:uid="{C0041B38-3F36-4127-AE04-0AC9188F01A8}"/>
    <cellStyle name="Calculation 6" xfId="26894" xr:uid="{00000000-0005-0000-0000-000026040000}"/>
    <cellStyle name="Calculation 6 2" xfId="33553" xr:uid="{9EE6E263-6BC9-4167-8276-0E51DAC9C24D}"/>
    <cellStyle name="Calculation 7" xfId="26895" xr:uid="{00000000-0005-0000-0000-000027040000}"/>
    <cellStyle name="Calculation 7 2" xfId="33554" xr:uid="{0F74552E-2208-4663-BF85-75F2454F541B}"/>
    <cellStyle name="Calculation 8" xfId="26896" xr:uid="{00000000-0005-0000-0000-000028040000}"/>
    <cellStyle name="Calculation 8 2" xfId="33555" xr:uid="{32B0E361-06A0-4B67-B225-90C2A6F5C031}"/>
    <cellStyle name="Calculation 9" xfId="26897" xr:uid="{00000000-0005-0000-0000-000029040000}"/>
    <cellStyle name="Calculation 9 2" xfId="33556" xr:uid="{3C0761C2-1E7A-4592-AB84-11B9A8D3B352}"/>
    <cellStyle name="cas" xfId="114" xr:uid="{00000000-0005-0000-0000-00002A040000}"/>
    <cellStyle name="cas 2" xfId="32603" xr:uid="{AB24EA0B-C2B5-41A3-BDCA-21F88D4C3D5C}"/>
    <cellStyle name="Centered Heading" xfId="115" xr:uid="{00000000-0005-0000-0000-00002B040000}"/>
    <cellStyle name="Centered Heading 2" xfId="32604" xr:uid="{808F9185-8F26-4631-A3FE-1056EE3F5A49}"/>
    <cellStyle name="Check Cell 2" xfId="116" xr:uid="{00000000-0005-0000-0000-00002C040000}"/>
    <cellStyle name="Check Cell 2 2" xfId="117" xr:uid="{00000000-0005-0000-0000-00002D040000}"/>
    <cellStyle name="Check Cell 2 2 2" xfId="26898" xr:uid="{00000000-0005-0000-0000-00002E040000}"/>
    <cellStyle name="Check Cell 2 2 3" xfId="25790" xr:uid="{00000000-0005-0000-0000-00002F040000}"/>
    <cellStyle name="Check Cell 2 2 4" xfId="33557" xr:uid="{2BB17BC4-A267-44C9-A13A-5243C8BF6C8C}"/>
    <cellStyle name="Check Cell 2 3" xfId="2928" xr:uid="{00000000-0005-0000-0000-000030040000}"/>
    <cellStyle name="Check Cell 2 3 2" xfId="25791" xr:uid="{00000000-0005-0000-0000-000031040000}"/>
    <cellStyle name="Check Cell 2 4" xfId="26218" xr:uid="{00000000-0005-0000-0000-000032040000}"/>
    <cellStyle name="Check Cell 2 5" xfId="32826" xr:uid="{DE5DAFB6-B358-4486-B8C5-3E08FDA3F6D1}"/>
    <cellStyle name="Check Cell 3" xfId="26899" xr:uid="{00000000-0005-0000-0000-000033040000}"/>
    <cellStyle name="Check Cell 3 2" xfId="33558" xr:uid="{280C911C-7111-4AC2-88E8-4306CCAC6F1D}"/>
    <cellStyle name="Check Cell 4" xfId="26900" xr:uid="{00000000-0005-0000-0000-000034040000}"/>
    <cellStyle name="Check Cell 4 2" xfId="33559" xr:uid="{2CF36161-B33B-4770-90FF-CEB174CF7A98}"/>
    <cellStyle name="Check Cell 5" xfId="26901" xr:uid="{00000000-0005-0000-0000-000035040000}"/>
    <cellStyle name="Check Cell 5 2" xfId="33560" xr:uid="{635EB1CB-9288-4C8E-A4F1-9261E9AC062A}"/>
    <cellStyle name="Check Cell 6" xfId="26902" xr:uid="{00000000-0005-0000-0000-000036040000}"/>
    <cellStyle name="Check Cell 6 2" xfId="33561" xr:uid="{A3E976BD-24FE-44E5-96A8-76E31108BE1D}"/>
    <cellStyle name="Check Cell 7" xfId="26903" xr:uid="{00000000-0005-0000-0000-000037040000}"/>
    <cellStyle name="Check Cell 7 2" xfId="33562" xr:uid="{B6FCE0B0-A55D-40F0-8FA8-0872AB7FC730}"/>
    <cellStyle name="Check Cell 8" xfId="26904" xr:uid="{00000000-0005-0000-0000-000038040000}"/>
    <cellStyle name="Check Cell 8 2" xfId="33563" xr:uid="{9376E508-4B99-4927-8A68-05468BA2EF07}"/>
    <cellStyle name="Check Cell 9" xfId="26905" xr:uid="{00000000-0005-0000-0000-000039040000}"/>
    <cellStyle name="Check Cell 9 2" xfId="33564" xr:uid="{7A851F30-957D-463B-9090-F0569937DAEB}"/>
    <cellStyle name="Comma" xfId="3" builtinId="3"/>
    <cellStyle name="Comma  - Style1" xfId="118" xr:uid="{00000000-0005-0000-0000-00003B040000}"/>
    <cellStyle name="Comma  - Style2" xfId="119" xr:uid="{00000000-0005-0000-0000-00003C040000}"/>
    <cellStyle name="Comma  - Style2 2" xfId="32606" xr:uid="{EBEB3640-75E3-4E0F-971D-E0784F24AF55}"/>
    <cellStyle name="Comma  - Style3" xfId="120" xr:uid="{00000000-0005-0000-0000-00003D040000}"/>
    <cellStyle name="Comma  - Style3 2" xfId="32607" xr:uid="{8294768F-F751-4202-8121-6E44B33A9F8D}"/>
    <cellStyle name="Comma  - Style4" xfId="121" xr:uid="{00000000-0005-0000-0000-00003E040000}"/>
    <cellStyle name="Comma  - Style4 2" xfId="32608" xr:uid="{5C88AC56-8AEE-47FE-9EAC-8C5C827280CE}"/>
    <cellStyle name="Comma  - Style5" xfId="122" xr:uid="{00000000-0005-0000-0000-00003F040000}"/>
    <cellStyle name="Comma  - Style5 2" xfId="32609" xr:uid="{6847DDFE-20BD-48E9-92EA-47EDF43129B5}"/>
    <cellStyle name="Comma  - Style6" xfId="123" xr:uid="{00000000-0005-0000-0000-000040040000}"/>
    <cellStyle name="Comma  - Style6 2" xfId="32610" xr:uid="{449052EE-8B58-4FC8-A5FD-C54804C06463}"/>
    <cellStyle name="Comma  - Style7" xfId="124" xr:uid="{00000000-0005-0000-0000-000041040000}"/>
    <cellStyle name="Comma  - Style7 2" xfId="32611" xr:uid="{23393198-BA75-4D11-896C-DAED9EEB1CB6}"/>
    <cellStyle name="Comma  - Style8" xfId="125" xr:uid="{00000000-0005-0000-0000-000042040000}"/>
    <cellStyle name="Comma  - Style8 2" xfId="32612" xr:uid="{176A3969-900A-4AD6-84BB-36FC5CBA2F35}"/>
    <cellStyle name="Comma [0] 2" xfId="126" xr:uid="{00000000-0005-0000-0000-000043040000}"/>
    <cellStyle name="Comma [0] 2 2" xfId="26086" xr:uid="{00000000-0005-0000-0000-000044040000}"/>
    <cellStyle name="Comma [0] 2 2 2" xfId="41982" xr:uid="{4508BF87-5E7F-46B2-AD16-60481C81A21C}"/>
    <cellStyle name="Comma [0] 2 3" xfId="42210" xr:uid="{E5A2B6B4-8DA6-493F-93C7-201C26FFC540}"/>
    <cellStyle name="Comma [0] 3" xfId="41985" xr:uid="{D55B30EC-4E65-4E92-B0E8-A0EEFE239044}"/>
    <cellStyle name="Comma [0] 3 2" xfId="127" xr:uid="{00000000-0005-0000-0000-000045040000}"/>
    <cellStyle name="Comma [0] 3 2 2" xfId="128" xr:uid="{00000000-0005-0000-0000-000046040000}"/>
    <cellStyle name="Comma [0] 3 2 2 2" xfId="129" xr:uid="{00000000-0005-0000-0000-000047040000}"/>
    <cellStyle name="Comma [0] 3 2 2 2 2" xfId="1803" xr:uid="{00000000-0005-0000-0000-000048040000}"/>
    <cellStyle name="Comma [0] 3 2 2 2 2 2" xfId="24903" xr:uid="{00000000-0005-0000-0000-000049040000}"/>
    <cellStyle name="Comma [0] 3 2 2 2 2 2 2" xfId="25626" xr:uid="{00000000-0005-0000-0000-00004A040000}"/>
    <cellStyle name="Comma [0] 3 2 2 2 2 3" xfId="24524" xr:uid="{00000000-0005-0000-0000-00004B040000}"/>
    <cellStyle name="Comma [0] 3 2 2 2 2 4" xfId="25269" xr:uid="{00000000-0005-0000-0000-00004C040000}"/>
    <cellStyle name="Comma [0] 3 2 2 2 3" xfId="24723" xr:uid="{00000000-0005-0000-0000-00004D040000}"/>
    <cellStyle name="Comma [0] 3 2 2 2 3 2" xfId="25446" xr:uid="{00000000-0005-0000-0000-00004E040000}"/>
    <cellStyle name="Comma [0] 3 2 2 2 4" xfId="24344" xr:uid="{00000000-0005-0000-0000-00004F040000}"/>
    <cellStyle name="Comma [0] 3 2 2 2 5" xfId="25089" xr:uid="{00000000-0005-0000-0000-000050040000}"/>
    <cellStyle name="Comma [0] 3 2 2 3" xfId="1802" xr:uid="{00000000-0005-0000-0000-000051040000}"/>
    <cellStyle name="Comma [0] 3 2 2 3 2" xfId="24815" xr:uid="{00000000-0005-0000-0000-000052040000}"/>
    <cellStyle name="Comma [0] 3 2 2 3 2 2" xfId="25538" xr:uid="{00000000-0005-0000-0000-000053040000}"/>
    <cellStyle name="Comma [0] 3 2 2 3 3" xfId="24436" xr:uid="{00000000-0005-0000-0000-000054040000}"/>
    <cellStyle name="Comma [0] 3 2 2 3 4" xfId="25181" xr:uid="{00000000-0005-0000-0000-000055040000}"/>
    <cellStyle name="Comma [0] 3 2 2 4" xfId="24635" xr:uid="{00000000-0005-0000-0000-000056040000}"/>
    <cellStyle name="Comma [0] 3 2 2 4 2" xfId="25358" xr:uid="{00000000-0005-0000-0000-000057040000}"/>
    <cellStyle name="Comma [0] 3 2 2 5" xfId="24256" xr:uid="{00000000-0005-0000-0000-000058040000}"/>
    <cellStyle name="Comma [0] 3 2 2 6" xfId="25001" xr:uid="{00000000-0005-0000-0000-000059040000}"/>
    <cellStyle name="Comma [0] 3 2 3" xfId="130" xr:uid="{00000000-0005-0000-0000-00005A040000}"/>
    <cellStyle name="Comma [0] 3 2 3 2" xfId="1804" xr:uid="{00000000-0005-0000-0000-00005B040000}"/>
    <cellStyle name="Comma [0] 3 2 3 2 2" xfId="24859" xr:uid="{00000000-0005-0000-0000-00005C040000}"/>
    <cellStyle name="Comma [0] 3 2 3 2 2 2" xfId="25582" xr:uid="{00000000-0005-0000-0000-00005D040000}"/>
    <cellStyle name="Comma [0] 3 2 3 2 3" xfId="24480" xr:uid="{00000000-0005-0000-0000-00005E040000}"/>
    <cellStyle name="Comma [0] 3 2 3 2 4" xfId="25225" xr:uid="{00000000-0005-0000-0000-00005F040000}"/>
    <cellStyle name="Comma [0] 3 2 3 3" xfId="24679" xr:uid="{00000000-0005-0000-0000-000060040000}"/>
    <cellStyle name="Comma [0] 3 2 3 3 2" xfId="25402" xr:uid="{00000000-0005-0000-0000-000061040000}"/>
    <cellStyle name="Comma [0] 3 2 3 4" xfId="24300" xr:uid="{00000000-0005-0000-0000-000062040000}"/>
    <cellStyle name="Comma [0] 3 2 3 5" xfId="25045" xr:uid="{00000000-0005-0000-0000-000063040000}"/>
    <cellStyle name="Comma [0] 3 2 4" xfId="1801" xr:uid="{00000000-0005-0000-0000-000064040000}"/>
    <cellStyle name="Comma [0] 3 2 4 2" xfId="24771" xr:uid="{00000000-0005-0000-0000-000065040000}"/>
    <cellStyle name="Comma [0] 3 2 4 2 2" xfId="25494" xr:uid="{00000000-0005-0000-0000-000066040000}"/>
    <cellStyle name="Comma [0] 3 2 4 3" xfId="24392" xr:uid="{00000000-0005-0000-0000-000067040000}"/>
    <cellStyle name="Comma [0] 3 2 4 4" xfId="25137" xr:uid="{00000000-0005-0000-0000-000068040000}"/>
    <cellStyle name="Comma [0] 3 2 5" xfId="24591" xr:uid="{00000000-0005-0000-0000-000069040000}"/>
    <cellStyle name="Comma [0] 3 2 5 2" xfId="25314" xr:uid="{00000000-0005-0000-0000-00006A040000}"/>
    <cellStyle name="Comma [0] 3 2 6" xfId="24212" xr:uid="{00000000-0005-0000-0000-00006B040000}"/>
    <cellStyle name="Comma [0] 3 2 7" xfId="24957" xr:uid="{00000000-0005-0000-0000-00006C040000}"/>
    <cellStyle name="Comma [0] 3 2 8" xfId="26093" xr:uid="{00000000-0005-0000-0000-00006D040000}"/>
    <cellStyle name="Comma [1]" xfId="131" xr:uid="{00000000-0005-0000-0000-00006E040000}"/>
    <cellStyle name="Comma [1] 2" xfId="32613" xr:uid="{6CBDCCEB-2E37-40F3-BA34-6276CFF0899B}"/>
    <cellStyle name="Comma [2]" xfId="132" xr:uid="{00000000-0005-0000-0000-00006F040000}"/>
    <cellStyle name="Comma [2] 2" xfId="32614" xr:uid="{C4017256-626D-4B69-88F2-EB7E7C27666F}"/>
    <cellStyle name="Comma [3]" xfId="133" xr:uid="{00000000-0005-0000-0000-000070040000}"/>
    <cellStyle name="Comma [3] 2" xfId="32615" xr:uid="{CE86C817-76A3-4FAF-B098-99D950CB821D}"/>
    <cellStyle name="Comma 0.0" xfId="134" xr:uid="{00000000-0005-0000-0000-000071040000}"/>
    <cellStyle name="Comma 0.00" xfId="135" xr:uid="{00000000-0005-0000-0000-000072040000}"/>
    <cellStyle name="Comma 0.000" xfId="136" xr:uid="{00000000-0005-0000-0000-000073040000}"/>
    <cellStyle name="Comma 0.0000" xfId="137" xr:uid="{00000000-0005-0000-0000-000074040000}"/>
    <cellStyle name="Comma 0.0000 2" xfId="32616" xr:uid="{68697B99-C51C-4ADF-B108-61307A603CCC}"/>
    <cellStyle name="Comma 10" xfId="138" xr:uid="{00000000-0005-0000-0000-000075040000}"/>
    <cellStyle name="Comma 10 2" xfId="139" xr:uid="{00000000-0005-0000-0000-000076040000}"/>
    <cellStyle name="Comma 10 2 2" xfId="25983" xr:uid="{00000000-0005-0000-0000-000077040000}"/>
    <cellStyle name="Comma 10 2 2 2" xfId="26906" xr:uid="{00000000-0005-0000-0000-000078040000}"/>
    <cellStyle name="Comma 10 2 2 3" xfId="32512" xr:uid="{00000000-0005-0000-0000-000079040000}"/>
    <cellStyle name="Comma 10 3" xfId="26019" xr:uid="{00000000-0005-0000-0000-00007A040000}"/>
    <cellStyle name="Comma 10 3 2" xfId="26907" xr:uid="{00000000-0005-0000-0000-00007B040000}"/>
    <cellStyle name="Comma 10 4" xfId="25792" xr:uid="{00000000-0005-0000-0000-00007C040000}"/>
    <cellStyle name="Comma 100" xfId="2898" xr:uid="{00000000-0005-0000-0000-00007D040000}"/>
    <cellStyle name="Comma 101" xfId="2896" xr:uid="{00000000-0005-0000-0000-00007E040000}"/>
    <cellStyle name="Comma 102" xfId="24159" xr:uid="{00000000-0005-0000-0000-00007F040000}"/>
    <cellStyle name="Comma 103" xfId="24162" xr:uid="{00000000-0005-0000-0000-000080040000}"/>
    <cellStyle name="Comma 104" xfId="24168" xr:uid="{00000000-0005-0000-0000-000081040000}"/>
    <cellStyle name="Comma 105" xfId="24172" xr:uid="{00000000-0005-0000-0000-000082040000}"/>
    <cellStyle name="Comma 106" xfId="24913" xr:uid="{00000000-0005-0000-0000-000083040000}"/>
    <cellStyle name="Comma 107" xfId="25276" xr:uid="{00000000-0005-0000-0000-000084040000}"/>
    <cellStyle name="Comma 108" xfId="24914" xr:uid="{00000000-0005-0000-0000-000085040000}"/>
    <cellStyle name="Comma 109" xfId="25636" xr:uid="{00000000-0005-0000-0000-000086040000}"/>
    <cellStyle name="Comma 11" xfId="140" xr:uid="{00000000-0005-0000-0000-000087040000}"/>
    <cellStyle name="Comma 11 2" xfId="141" xr:uid="{00000000-0005-0000-0000-000088040000}"/>
    <cellStyle name="Comma 11 3" xfId="26111" xr:uid="{00000000-0005-0000-0000-000089040000}"/>
    <cellStyle name="Comma 11 4" xfId="32617" xr:uid="{7F12AB8E-0E82-46A1-8A7C-DB19F3C63173}"/>
    <cellStyle name="Comma 11 5" xfId="42326" xr:uid="{304EDF6D-AE9F-4E37-A58A-51C618A5A7F2}"/>
    <cellStyle name="Comma 110" xfId="32495" xr:uid="{00000000-0005-0000-0000-00008A040000}"/>
    <cellStyle name="Comma 111" xfId="32505" xr:uid="{00000000-0005-0000-0000-00008B040000}"/>
    <cellStyle name="Comma 112" xfId="32506" xr:uid="{00000000-0005-0000-0000-00008C040000}"/>
    <cellStyle name="Comma 113" xfId="32519" xr:uid="{00000000-0005-0000-0000-00008D040000}"/>
    <cellStyle name="Comma 114" xfId="32524" xr:uid="{00000000-0005-0000-0000-00008E040000}"/>
    <cellStyle name="Comma 115" xfId="32525" xr:uid="{00000000-0005-0000-0000-00008F040000}"/>
    <cellStyle name="Comma 116" xfId="32532" xr:uid="{435FDA24-C7BF-40DE-B81E-A831D2122A2A}"/>
    <cellStyle name="Comma 117" xfId="32540" xr:uid="{5A95444B-84E7-45CC-A25B-6CFCC96E59D9}"/>
    <cellStyle name="Comma 118" xfId="32605" xr:uid="{59FEC34E-C263-4577-BCD8-451E9BA0573E}"/>
    <cellStyle name="Comma 119" xfId="32706" xr:uid="{E19D3F48-7DB4-48A2-8676-95C68625F08C}"/>
    <cellStyle name="Comma 12" xfId="142" xr:uid="{00000000-0005-0000-0000-000090040000}"/>
    <cellStyle name="Comma 12 2" xfId="143" xr:uid="{00000000-0005-0000-0000-000091040000}"/>
    <cellStyle name="Comma 12 2 2" xfId="144" xr:uid="{00000000-0005-0000-0000-000092040000}"/>
    <cellStyle name="Comma 12 2 2 2" xfId="1807" xr:uid="{00000000-0005-0000-0000-000093040000}"/>
    <cellStyle name="Comma 12 2 2 2 2" xfId="24893" xr:uid="{00000000-0005-0000-0000-000094040000}"/>
    <cellStyle name="Comma 12 2 2 2 2 2" xfId="25616" xr:uid="{00000000-0005-0000-0000-000095040000}"/>
    <cellStyle name="Comma 12 2 2 2 3" xfId="24514" xr:uid="{00000000-0005-0000-0000-000096040000}"/>
    <cellStyle name="Comma 12 2 2 2 4" xfId="25259" xr:uid="{00000000-0005-0000-0000-000097040000}"/>
    <cellStyle name="Comma 12 2 2 3" xfId="24713" xr:uid="{00000000-0005-0000-0000-000098040000}"/>
    <cellStyle name="Comma 12 2 2 3 2" xfId="25436" xr:uid="{00000000-0005-0000-0000-000099040000}"/>
    <cellStyle name="Comma 12 2 2 4" xfId="24334" xr:uid="{00000000-0005-0000-0000-00009A040000}"/>
    <cellStyle name="Comma 12 2 2 5" xfId="25079" xr:uid="{00000000-0005-0000-0000-00009B040000}"/>
    <cellStyle name="Comma 12 2 2 6" xfId="41978" xr:uid="{B1F51991-5DC3-41DE-BDAF-E2363C94FC6E}"/>
    <cellStyle name="Comma 12 2 3" xfId="1806" xr:uid="{00000000-0005-0000-0000-00009C040000}"/>
    <cellStyle name="Comma 12 2 3 2" xfId="24805" xr:uid="{00000000-0005-0000-0000-00009D040000}"/>
    <cellStyle name="Comma 12 2 3 2 2" xfId="25528" xr:uid="{00000000-0005-0000-0000-00009E040000}"/>
    <cellStyle name="Comma 12 2 3 3" xfId="24426" xr:uid="{00000000-0005-0000-0000-00009F040000}"/>
    <cellStyle name="Comma 12 2 3 4" xfId="25171" xr:uid="{00000000-0005-0000-0000-0000A0040000}"/>
    <cellStyle name="Comma 12 2 3 5" xfId="26633" xr:uid="{00000000-0005-0000-0000-0000A1040000}"/>
    <cellStyle name="Comma 12 2 4" xfId="24625" xr:uid="{00000000-0005-0000-0000-0000A2040000}"/>
    <cellStyle name="Comma 12 2 4 2" xfId="25348" xr:uid="{00000000-0005-0000-0000-0000A3040000}"/>
    <cellStyle name="Comma 12 2 5" xfId="24246" xr:uid="{00000000-0005-0000-0000-0000A4040000}"/>
    <cellStyle name="Comma 12 2 6" xfId="24991" xr:uid="{00000000-0005-0000-0000-0000A5040000}"/>
    <cellStyle name="Comma 12 2 7" xfId="25793" xr:uid="{00000000-0005-0000-0000-0000A6040000}"/>
    <cellStyle name="Comma 12 2 8" xfId="33276" xr:uid="{EBC1E0A4-7253-4D2E-9DFF-6EF37A7404BE}"/>
    <cellStyle name="Comma 12 3" xfId="145" xr:uid="{00000000-0005-0000-0000-0000A7040000}"/>
    <cellStyle name="Comma 12 3 2" xfId="146" xr:uid="{00000000-0005-0000-0000-0000A8040000}"/>
    <cellStyle name="Comma 12 3 3" xfId="147" xr:uid="{00000000-0005-0000-0000-0000A9040000}"/>
    <cellStyle name="Comma 12 3 3 2" xfId="148" xr:uid="{00000000-0005-0000-0000-0000AA040000}"/>
    <cellStyle name="Comma 12 3 3 2 2" xfId="1810" xr:uid="{00000000-0005-0000-0000-0000AB040000}"/>
    <cellStyle name="Comma 12 3 3 2 2 2" xfId="24900" xr:uid="{00000000-0005-0000-0000-0000AC040000}"/>
    <cellStyle name="Comma 12 3 3 2 2 2 2" xfId="25623" xr:uid="{00000000-0005-0000-0000-0000AD040000}"/>
    <cellStyle name="Comma 12 3 3 2 2 3" xfId="24521" xr:uid="{00000000-0005-0000-0000-0000AE040000}"/>
    <cellStyle name="Comma 12 3 3 2 2 4" xfId="25266" xr:uid="{00000000-0005-0000-0000-0000AF040000}"/>
    <cellStyle name="Comma 12 3 3 2 3" xfId="24720" xr:uid="{00000000-0005-0000-0000-0000B0040000}"/>
    <cellStyle name="Comma 12 3 3 2 3 2" xfId="25443" xr:uid="{00000000-0005-0000-0000-0000B1040000}"/>
    <cellStyle name="Comma 12 3 3 2 4" xfId="24341" xr:uid="{00000000-0005-0000-0000-0000B2040000}"/>
    <cellStyle name="Comma 12 3 3 2 5" xfId="25086" xr:uid="{00000000-0005-0000-0000-0000B3040000}"/>
    <cellStyle name="Comma 12 3 3 3" xfId="1809" xr:uid="{00000000-0005-0000-0000-0000B4040000}"/>
    <cellStyle name="Comma 12 3 3 3 2" xfId="24812" xr:uid="{00000000-0005-0000-0000-0000B5040000}"/>
    <cellStyle name="Comma 12 3 3 3 2 2" xfId="25535" xr:uid="{00000000-0005-0000-0000-0000B6040000}"/>
    <cellStyle name="Comma 12 3 3 3 3" xfId="24433" xr:uid="{00000000-0005-0000-0000-0000B7040000}"/>
    <cellStyle name="Comma 12 3 3 3 4" xfId="25178" xr:uid="{00000000-0005-0000-0000-0000B8040000}"/>
    <cellStyle name="Comma 12 3 3 4" xfId="24632" xr:uid="{00000000-0005-0000-0000-0000B9040000}"/>
    <cellStyle name="Comma 12 3 3 4 2" xfId="25355" xr:uid="{00000000-0005-0000-0000-0000BA040000}"/>
    <cellStyle name="Comma 12 3 3 5" xfId="24253" xr:uid="{00000000-0005-0000-0000-0000BB040000}"/>
    <cellStyle name="Comma 12 3 3 6" xfId="24998" xr:uid="{00000000-0005-0000-0000-0000BC040000}"/>
    <cellStyle name="Comma 12 3 4" xfId="149" xr:uid="{00000000-0005-0000-0000-0000BD040000}"/>
    <cellStyle name="Comma 12 3 4 2" xfId="1811" xr:uid="{00000000-0005-0000-0000-0000BE040000}"/>
    <cellStyle name="Comma 12 3 4 2 2" xfId="24856" xr:uid="{00000000-0005-0000-0000-0000BF040000}"/>
    <cellStyle name="Comma 12 3 4 2 2 2" xfId="25579" xr:uid="{00000000-0005-0000-0000-0000C0040000}"/>
    <cellStyle name="Comma 12 3 4 2 3" xfId="24477" xr:uid="{00000000-0005-0000-0000-0000C1040000}"/>
    <cellStyle name="Comma 12 3 4 2 4" xfId="25222" xr:uid="{00000000-0005-0000-0000-0000C2040000}"/>
    <cellStyle name="Comma 12 3 4 3" xfId="24676" xr:uid="{00000000-0005-0000-0000-0000C3040000}"/>
    <cellStyle name="Comma 12 3 4 3 2" xfId="25399" xr:uid="{00000000-0005-0000-0000-0000C4040000}"/>
    <cellStyle name="Comma 12 3 4 4" xfId="24297" xr:uid="{00000000-0005-0000-0000-0000C5040000}"/>
    <cellStyle name="Comma 12 3 4 5" xfId="25042" xr:uid="{00000000-0005-0000-0000-0000C6040000}"/>
    <cellStyle name="Comma 12 3 5" xfId="1808" xr:uid="{00000000-0005-0000-0000-0000C7040000}"/>
    <cellStyle name="Comma 12 3 5 2" xfId="24768" xr:uid="{00000000-0005-0000-0000-0000C8040000}"/>
    <cellStyle name="Comma 12 3 5 2 2" xfId="25491" xr:uid="{00000000-0005-0000-0000-0000C9040000}"/>
    <cellStyle name="Comma 12 3 5 3" xfId="24389" xr:uid="{00000000-0005-0000-0000-0000CA040000}"/>
    <cellStyle name="Comma 12 3 5 4" xfId="25134" xr:uid="{00000000-0005-0000-0000-0000CB040000}"/>
    <cellStyle name="Comma 12 3 6" xfId="24588" xr:uid="{00000000-0005-0000-0000-0000CC040000}"/>
    <cellStyle name="Comma 12 3 6 2" xfId="25311" xr:uid="{00000000-0005-0000-0000-0000CD040000}"/>
    <cellStyle name="Comma 12 3 7" xfId="24209" xr:uid="{00000000-0005-0000-0000-0000CE040000}"/>
    <cellStyle name="Comma 12 3 8" xfId="24954" xr:uid="{00000000-0005-0000-0000-0000CF040000}"/>
    <cellStyle name="Comma 12 4" xfId="150" xr:uid="{00000000-0005-0000-0000-0000D0040000}"/>
    <cellStyle name="Comma 12 4 2" xfId="1812" xr:uid="{00000000-0005-0000-0000-0000D1040000}"/>
    <cellStyle name="Comma 12 4 2 2" xfId="24849" xr:uid="{00000000-0005-0000-0000-0000D2040000}"/>
    <cellStyle name="Comma 12 4 2 2 2" xfId="25572" xr:uid="{00000000-0005-0000-0000-0000D3040000}"/>
    <cellStyle name="Comma 12 4 2 3" xfId="24470" xr:uid="{00000000-0005-0000-0000-0000D4040000}"/>
    <cellStyle name="Comma 12 4 2 4" xfId="25215" xr:uid="{00000000-0005-0000-0000-0000D5040000}"/>
    <cellStyle name="Comma 12 4 3" xfId="24669" xr:uid="{00000000-0005-0000-0000-0000D6040000}"/>
    <cellStyle name="Comma 12 4 3 2" xfId="25392" xr:uid="{00000000-0005-0000-0000-0000D7040000}"/>
    <cellStyle name="Comma 12 4 4" xfId="24290" xr:uid="{00000000-0005-0000-0000-0000D8040000}"/>
    <cellStyle name="Comma 12 4 5" xfId="25035" xr:uid="{00000000-0005-0000-0000-0000D9040000}"/>
    <cellStyle name="Comma 12 5" xfId="151" xr:uid="{00000000-0005-0000-0000-0000DA040000}"/>
    <cellStyle name="Comma 12 5 2" xfId="24761" xr:uid="{00000000-0005-0000-0000-0000DB040000}"/>
    <cellStyle name="Comma 12 5 2 2" xfId="25484" xr:uid="{00000000-0005-0000-0000-0000DC040000}"/>
    <cellStyle name="Comma 12 5 3" xfId="24382" xr:uid="{00000000-0005-0000-0000-0000DD040000}"/>
    <cellStyle name="Comma 12 5 4" xfId="25127" xr:uid="{00000000-0005-0000-0000-0000DE040000}"/>
    <cellStyle name="Comma 12 6" xfId="1805" xr:uid="{00000000-0005-0000-0000-0000DF040000}"/>
    <cellStyle name="Comma 12 6 2" xfId="24581" xr:uid="{00000000-0005-0000-0000-0000E0040000}"/>
    <cellStyle name="Comma 12 6 3" xfId="25304" xr:uid="{00000000-0005-0000-0000-0000E1040000}"/>
    <cellStyle name="Comma 12 7" xfId="24202" xr:uid="{00000000-0005-0000-0000-0000E2040000}"/>
    <cellStyle name="Comma 12 8" xfId="24947" xr:uid="{00000000-0005-0000-0000-0000E3040000}"/>
    <cellStyle name="Comma 120" xfId="32650" xr:uid="{0BF6997A-CA79-45E5-86E3-E4A0A6AA4EE1}"/>
    <cellStyle name="Comma 121" xfId="34272" xr:uid="{A34AE0E6-B619-4989-B80F-1EBE2F774970}"/>
    <cellStyle name="Comma 13" xfId="152" xr:uid="{00000000-0005-0000-0000-0000E4040000}"/>
    <cellStyle name="Comma 13 2" xfId="153" xr:uid="{00000000-0005-0000-0000-0000E5040000}"/>
    <cellStyle name="Comma 13 2 10" xfId="33565" xr:uid="{0A92F483-2D5A-4548-88FA-DCDDD320E540}"/>
    <cellStyle name="Comma 13 2 2" xfId="154" xr:uid="{00000000-0005-0000-0000-0000E6040000}"/>
    <cellStyle name="Comma 13 2 2 2" xfId="26909" xr:uid="{00000000-0005-0000-0000-0000E7040000}"/>
    <cellStyle name="Comma 13 2 2 3" xfId="33566" xr:uid="{514D5002-BD28-4481-8660-4B4467F1F3C8}"/>
    <cellStyle name="Comma 13 2 3" xfId="155" xr:uid="{00000000-0005-0000-0000-0000E8040000}"/>
    <cellStyle name="Comma 13 2 3 2" xfId="156" xr:uid="{00000000-0005-0000-0000-0000E9040000}"/>
    <cellStyle name="Comma 13 2 3 2 2" xfId="1815" xr:uid="{00000000-0005-0000-0000-0000EA040000}"/>
    <cellStyle name="Comma 13 2 3 2 2 2" xfId="24902" xr:uid="{00000000-0005-0000-0000-0000EB040000}"/>
    <cellStyle name="Comma 13 2 3 2 2 2 2" xfId="25625" xr:uid="{00000000-0005-0000-0000-0000EC040000}"/>
    <cellStyle name="Comma 13 2 3 2 2 3" xfId="24523" xr:uid="{00000000-0005-0000-0000-0000ED040000}"/>
    <cellStyle name="Comma 13 2 3 2 2 4" xfId="25268" xr:uid="{00000000-0005-0000-0000-0000EE040000}"/>
    <cellStyle name="Comma 13 2 3 2 3" xfId="24722" xr:uid="{00000000-0005-0000-0000-0000EF040000}"/>
    <cellStyle name="Comma 13 2 3 2 3 2" xfId="25445" xr:uid="{00000000-0005-0000-0000-0000F0040000}"/>
    <cellStyle name="Comma 13 2 3 2 4" xfId="24343" xr:uid="{00000000-0005-0000-0000-0000F1040000}"/>
    <cellStyle name="Comma 13 2 3 2 5" xfId="25088" xr:uid="{00000000-0005-0000-0000-0000F2040000}"/>
    <cellStyle name="Comma 13 2 3 3" xfId="1814" xr:uid="{00000000-0005-0000-0000-0000F3040000}"/>
    <cellStyle name="Comma 13 2 3 3 2" xfId="24814" xr:uid="{00000000-0005-0000-0000-0000F4040000}"/>
    <cellStyle name="Comma 13 2 3 3 2 2" xfId="25537" xr:uid="{00000000-0005-0000-0000-0000F5040000}"/>
    <cellStyle name="Comma 13 2 3 3 3" xfId="24435" xr:uid="{00000000-0005-0000-0000-0000F6040000}"/>
    <cellStyle name="Comma 13 2 3 3 4" xfId="25180" xr:uid="{00000000-0005-0000-0000-0000F7040000}"/>
    <cellStyle name="Comma 13 2 3 4" xfId="24634" xr:uid="{00000000-0005-0000-0000-0000F8040000}"/>
    <cellStyle name="Comma 13 2 3 4 2" xfId="25357" xr:uid="{00000000-0005-0000-0000-0000F9040000}"/>
    <cellStyle name="Comma 13 2 3 5" xfId="24255" xr:uid="{00000000-0005-0000-0000-0000FA040000}"/>
    <cellStyle name="Comma 13 2 3 6" xfId="25000" xr:uid="{00000000-0005-0000-0000-0000FB040000}"/>
    <cellStyle name="Comma 13 2 3 7" xfId="26910" xr:uid="{00000000-0005-0000-0000-0000FC040000}"/>
    <cellStyle name="Comma 13 2 3 8" xfId="33567" xr:uid="{C8EBABC7-0824-4A3D-B2F3-5F3C0E4F42F4}"/>
    <cellStyle name="Comma 13 2 4" xfId="157" xr:uid="{00000000-0005-0000-0000-0000FD040000}"/>
    <cellStyle name="Comma 13 2 4 2" xfId="1816" xr:uid="{00000000-0005-0000-0000-0000FE040000}"/>
    <cellStyle name="Comma 13 2 4 2 2" xfId="24858" xr:uid="{00000000-0005-0000-0000-0000FF040000}"/>
    <cellStyle name="Comma 13 2 4 2 2 2" xfId="25581" xr:uid="{00000000-0005-0000-0000-000000050000}"/>
    <cellStyle name="Comma 13 2 4 2 3" xfId="24479" xr:uid="{00000000-0005-0000-0000-000001050000}"/>
    <cellStyle name="Comma 13 2 4 2 4" xfId="25224" xr:uid="{00000000-0005-0000-0000-000002050000}"/>
    <cellStyle name="Comma 13 2 4 3" xfId="24678" xr:uid="{00000000-0005-0000-0000-000003050000}"/>
    <cellStyle name="Comma 13 2 4 3 2" xfId="25401" xr:uid="{00000000-0005-0000-0000-000004050000}"/>
    <cellStyle name="Comma 13 2 4 4" xfId="24299" xr:uid="{00000000-0005-0000-0000-000005050000}"/>
    <cellStyle name="Comma 13 2 4 5" xfId="25044" xr:uid="{00000000-0005-0000-0000-000006050000}"/>
    <cellStyle name="Comma 13 2 4 6" xfId="26908" xr:uid="{00000000-0005-0000-0000-000007050000}"/>
    <cellStyle name="Comma 13 2 5" xfId="1813" xr:uid="{00000000-0005-0000-0000-000008050000}"/>
    <cellStyle name="Comma 13 2 5 2" xfId="24770" xr:uid="{00000000-0005-0000-0000-000009050000}"/>
    <cellStyle name="Comma 13 2 5 2 2" xfId="25493" xr:uid="{00000000-0005-0000-0000-00000A050000}"/>
    <cellStyle name="Comma 13 2 5 3" xfId="24391" xr:uid="{00000000-0005-0000-0000-00000B050000}"/>
    <cellStyle name="Comma 13 2 5 4" xfId="25136" xr:uid="{00000000-0005-0000-0000-00000C050000}"/>
    <cellStyle name="Comma 13 2 6" xfId="24590" xr:uid="{00000000-0005-0000-0000-00000D050000}"/>
    <cellStyle name="Comma 13 2 6 2" xfId="25313" xr:uid="{00000000-0005-0000-0000-00000E050000}"/>
    <cellStyle name="Comma 13 2 7" xfId="24211" xr:uid="{00000000-0005-0000-0000-00000F050000}"/>
    <cellStyle name="Comma 13 2 8" xfId="24956" xr:uid="{00000000-0005-0000-0000-000010050000}"/>
    <cellStyle name="Comma 13 2 9" xfId="25794" xr:uid="{00000000-0005-0000-0000-000011050000}"/>
    <cellStyle name="Comma 13 3" xfId="26911" xr:uid="{00000000-0005-0000-0000-000012050000}"/>
    <cellStyle name="Comma 13 3 2" xfId="33568" xr:uid="{CD38D56D-F1A6-4651-8429-A038498140B4}"/>
    <cellStyle name="Comma 13 4" xfId="26912" xr:uid="{00000000-0005-0000-0000-000013050000}"/>
    <cellStyle name="Comma 13 4 2" xfId="33569" xr:uid="{E48D7A4F-F135-4AE6-A89A-9ABF5CB78B9B}"/>
    <cellStyle name="Comma 13 5" xfId="26913" xr:uid="{00000000-0005-0000-0000-000014050000}"/>
    <cellStyle name="Comma 13 5 2" xfId="33570" xr:uid="{2CAC3188-6E66-4DED-940E-73D796A40985}"/>
    <cellStyle name="Comma 14" xfId="158" xr:uid="{00000000-0005-0000-0000-000015050000}"/>
    <cellStyle name="Comma 14 2" xfId="26052" xr:uid="{00000000-0005-0000-0000-000016050000}"/>
    <cellStyle name="Comma 14 3" xfId="26191" xr:uid="{00000000-0005-0000-0000-000017050000}"/>
    <cellStyle name="Comma 14 4" xfId="25962" xr:uid="{00000000-0005-0000-0000-000018050000}"/>
    <cellStyle name="Comma 15" xfId="159" xr:uid="{00000000-0005-0000-0000-000019050000}"/>
    <cellStyle name="Comma 15 2" xfId="26054" xr:uid="{00000000-0005-0000-0000-00001A050000}"/>
    <cellStyle name="Comma 15 3" xfId="26190" xr:uid="{00000000-0005-0000-0000-00001B050000}"/>
    <cellStyle name="Comma 15 4" xfId="25964" xr:uid="{00000000-0005-0000-0000-00001C050000}"/>
    <cellStyle name="Comma 158" xfId="24553" xr:uid="{00000000-0005-0000-0000-00001D050000}"/>
    <cellStyle name="Comma 16" xfId="160" xr:uid="{00000000-0005-0000-0000-00001E050000}"/>
    <cellStyle name="Comma 16 2" xfId="26056" xr:uid="{00000000-0005-0000-0000-00001F050000}"/>
    <cellStyle name="Comma 16 3" xfId="26189" xr:uid="{00000000-0005-0000-0000-000020050000}"/>
    <cellStyle name="Comma 16 4" xfId="25966" xr:uid="{00000000-0005-0000-0000-000021050000}"/>
    <cellStyle name="Comma 17" xfId="161" xr:uid="{00000000-0005-0000-0000-000022050000}"/>
    <cellStyle name="Comma 17 2" xfId="26188" xr:uid="{00000000-0005-0000-0000-000023050000}"/>
    <cellStyle name="Comma 17 3" xfId="26072" xr:uid="{00000000-0005-0000-0000-000024050000}"/>
    <cellStyle name="Comma 18" xfId="162" xr:uid="{00000000-0005-0000-0000-000025050000}"/>
    <cellStyle name="Comma 18 2" xfId="26187" xr:uid="{00000000-0005-0000-0000-000026050000}"/>
    <cellStyle name="Comma 18 3" xfId="26106" xr:uid="{00000000-0005-0000-0000-000027050000}"/>
    <cellStyle name="Comma 19" xfId="163" xr:uid="{00000000-0005-0000-0000-000028050000}"/>
    <cellStyle name="Comma 19 2" xfId="26186" xr:uid="{00000000-0005-0000-0000-000029050000}"/>
    <cellStyle name="Comma 19 3" xfId="26105" xr:uid="{00000000-0005-0000-0000-00002A050000}"/>
    <cellStyle name="Comma 2" xfId="164" xr:uid="{00000000-0005-0000-0000-00002B050000}"/>
    <cellStyle name="Comma 2 10" xfId="26089" xr:uid="{00000000-0005-0000-0000-00002C050000}"/>
    <cellStyle name="Comma 2 11" xfId="32560" xr:uid="{F95E349E-667D-48B4-B29A-7F20FBD66E8B}"/>
    <cellStyle name="Comma 2 2" xfId="165" xr:uid="{00000000-0005-0000-0000-00002D050000}"/>
    <cellStyle name="Comma 2 2 2" xfId="2900" xr:uid="{00000000-0005-0000-0000-00002E050000}"/>
    <cellStyle name="Comma 2 2 2 2" xfId="5283" xr:uid="{00000000-0005-0000-0000-00002F050000}"/>
    <cellStyle name="Comma 2 2 2 2 2" xfId="5284" xr:uid="{00000000-0005-0000-0000-000030050000}"/>
    <cellStyle name="Comma 2 2 2 2 2 2" xfId="7824" xr:uid="{00000000-0005-0000-0000-000031050000}"/>
    <cellStyle name="Comma 2 2 2 2 2 3" xfId="14698" xr:uid="{00000000-0005-0000-0000-000032050000}"/>
    <cellStyle name="Comma 2 2 2 2 2 4" xfId="19394" xr:uid="{00000000-0005-0000-0000-000033050000}"/>
    <cellStyle name="Comma 2 2 2 2 2 5" xfId="23885" xr:uid="{00000000-0005-0000-0000-000034050000}"/>
    <cellStyle name="Comma 2 2 2 2 3" xfId="7823" xr:uid="{00000000-0005-0000-0000-000035050000}"/>
    <cellStyle name="Comma 2 2 2 2 4" xfId="14697" xr:uid="{00000000-0005-0000-0000-000036050000}"/>
    <cellStyle name="Comma 2 2 2 2 5" xfId="19393" xr:uid="{00000000-0005-0000-0000-000037050000}"/>
    <cellStyle name="Comma 2 2 2 2 6" xfId="23884" xr:uid="{00000000-0005-0000-0000-000038050000}"/>
    <cellStyle name="Comma 2 2 2 2 7" xfId="25797" xr:uid="{00000000-0005-0000-0000-000039050000}"/>
    <cellStyle name="Comma 2 2 2 3" xfId="5285" xr:uid="{00000000-0005-0000-0000-00003A050000}"/>
    <cellStyle name="Comma 2 2 2 3 2" xfId="26020" xr:uid="{00000000-0005-0000-0000-00003B050000}"/>
    <cellStyle name="Comma 2 2 2 4" xfId="5286" xr:uid="{00000000-0005-0000-0000-00003C050000}"/>
    <cellStyle name="Comma 2 2 2 4 2" xfId="7826" xr:uid="{00000000-0005-0000-0000-00003D050000}"/>
    <cellStyle name="Comma 2 2 2 4 3" xfId="14700" xr:uid="{00000000-0005-0000-0000-00003E050000}"/>
    <cellStyle name="Comma 2 2 2 4 4" xfId="19396" xr:uid="{00000000-0005-0000-0000-00003F050000}"/>
    <cellStyle name="Comma 2 2 2 4 5" xfId="23887" xr:uid="{00000000-0005-0000-0000-000040050000}"/>
    <cellStyle name="Comma 2 2 2 4 6" xfId="26081" xr:uid="{00000000-0005-0000-0000-000041050000}"/>
    <cellStyle name="Comma 2 2 2 5" xfId="25796" xr:uid="{00000000-0005-0000-0000-000042050000}"/>
    <cellStyle name="Comma 2 2 3" xfId="5287" xr:uid="{00000000-0005-0000-0000-000043050000}"/>
    <cellStyle name="Comma 2 2 3 2" xfId="5288" xr:uid="{00000000-0005-0000-0000-000044050000}"/>
    <cellStyle name="Comma 2 2 3 2 2" xfId="7828" xr:uid="{00000000-0005-0000-0000-000045050000}"/>
    <cellStyle name="Comma 2 2 3 2 3" xfId="14702" xr:uid="{00000000-0005-0000-0000-000046050000}"/>
    <cellStyle name="Comma 2 2 3 2 4" xfId="19398" xr:uid="{00000000-0005-0000-0000-000047050000}"/>
    <cellStyle name="Comma 2 2 3 2 5" xfId="23889" xr:uid="{00000000-0005-0000-0000-000048050000}"/>
    <cellStyle name="Comma 2 2 3 2 6" xfId="26021" xr:uid="{00000000-0005-0000-0000-000049050000}"/>
    <cellStyle name="Comma 2 2 3 3" xfId="7827" xr:uid="{00000000-0005-0000-0000-00004A050000}"/>
    <cellStyle name="Comma 2 2 3 4" xfId="14701" xr:uid="{00000000-0005-0000-0000-00004B050000}"/>
    <cellStyle name="Comma 2 2 3 5" xfId="19397" xr:uid="{00000000-0005-0000-0000-00004C050000}"/>
    <cellStyle name="Comma 2 2 3 6" xfId="23888" xr:uid="{00000000-0005-0000-0000-00004D050000}"/>
    <cellStyle name="Comma 2 2 3 7" xfId="25798" xr:uid="{00000000-0005-0000-0000-00004E050000}"/>
    <cellStyle name="Comma 2 2 3 8" xfId="42265" xr:uid="{6DDE0764-DFCD-4D3A-9723-44FF93CAEB8D}"/>
    <cellStyle name="Comma 2 2 4" xfId="5289" xr:uid="{00000000-0005-0000-0000-00004F050000}"/>
    <cellStyle name="Comma 2 2 4 2" xfId="5290" xr:uid="{00000000-0005-0000-0000-000050050000}"/>
    <cellStyle name="Comma 2 2 4 2 2" xfId="7830" xr:uid="{00000000-0005-0000-0000-000051050000}"/>
    <cellStyle name="Comma 2 2 4 2 3" xfId="14704" xr:uid="{00000000-0005-0000-0000-000052050000}"/>
    <cellStyle name="Comma 2 2 4 2 4" xfId="19400" xr:uid="{00000000-0005-0000-0000-000053050000}"/>
    <cellStyle name="Comma 2 2 4 2 5" xfId="23891" xr:uid="{00000000-0005-0000-0000-000054050000}"/>
    <cellStyle name="Comma 2 2 4 3" xfId="7829" xr:uid="{00000000-0005-0000-0000-000055050000}"/>
    <cellStyle name="Comma 2 2 4 4" xfId="14703" xr:uid="{00000000-0005-0000-0000-000056050000}"/>
    <cellStyle name="Comma 2 2 4 5" xfId="19399" xr:uid="{00000000-0005-0000-0000-000057050000}"/>
    <cellStyle name="Comma 2 2 4 6" xfId="23890" xr:uid="{00000000-0005-0000-0000-000058050000}"/>
    <cellStyle name="Comma 2 2 4 7" xfId="25799" xr:uid="{00000000-0005-0000-0000-000059050000}"/>
    <cellStyle name="Comma 2 2 5" xfId="5291" xr:uid="{00000000-0005-0000-0000-00005A050000}"/>
    <cellStyle name="Comma 2 2 5 2" xfId="5292" xr:uid="{00000000-0005-0000-0000-00005B050000}"/>
    <cellStyle name="Comma 2 2 5 2 2" xfId="7832" xr:uid="{00000000-0005-0000-0000-00005C050000}"/>
    <cellStyle name="Comma 2 2 5 2 3" xfId="14706" xr:uid="{00000000-0005-0000-0000-00005D050000}"/>
    <cellStyle name="Comma 2 2 5 2 4" xfId="19402" xr:uid="{00000000-0005-0000-0000-00005E050000}"/>
    <cellStyle name="Comma 2 2 5 2 5" xfId="23893" xr:uid="{00000000-0005-0000-0000-00005F050000}"/>
    <cellStyle name="Comma 2 2 5 3" xfId="7831" xr:uid="{00000000-0005-0000-0000-000060050000}"/>
    <cellStyle name="Comma 2 2 5 4" xfId="14705" xr:uid="{00000000-0005-0000-0000-000061050000}"/>
    <cellStyle name="Comma 2 2 5 5" xfId="19401" xr:uid="{00000000-0005-0000-0000-000062050000}"/>
    <cellStyle name="Comma 2 2 5 6" xfId="23892" xr:uid="{00000000-0005-0000-0000-000063050000}"/>
    <cellStyle name="Comma 2 2 5 7" xfId="26074" xr:uid="{00000000-0005-0000-0000-000064050000}"/>
    <cellStyle name="Comma 2 2 6" xfId="5293" xr:uid="{00000000-0005-0000-0000-000065050000}"/>
    <cellStyle name="Comma 2 2 6 2" xfId="7833" xr:uid="{00000000-0005-0000-0000-000066050000}"/>
    <cellStyle name="Comma 2 2 6 3" xfId="14707" xr:uid="{00000000-0005-0000-0000-000067050000}"/>
    <cellStyle name="Comma 2 2 6 4" xfId="19403" xr:uid="{00000000-0005-0000-0000-000068050000}"/>
    <cellStyle name="Comma 2 2 6 5" xfId="23894" xr:uid="{00000000-0005-0000-0000-000069050000}"/>
    <cellStyle name="Comma 2 2 6 6" xfId="26112" xr:uid="{00000000-0005-0000-0000-00006A050000}"/>
    <cellStyle name="Comma 2 2 7" xfId="25795" xr:uid="{00000000-0005-0000-0000-00006B050000}"/>
    <cellStyle name="Comma 2 3" xfId="166" xr:uid="{00000000-0005-0000-0000-00006C050000}"/>
    <cellStyle name="Comma 2 3 2" xfId="1744" xr:uid="{00000000-0005-0000-0000-00006D050000}"/>
    <cellStyle name="Comma 2 3 2 2" xfId="5294" xr:uid="{00000000-0005-0000-0000-00006E050000}"/>
    <cellStyle name="Comma 2 3 3" xfId="1743" xr:uid="{00000000-0005-0000-0000-00006F050000}"/>
    <cellStyle name="Comma 2 3 4" xfId="26098" xr:uid="{00000000-0005-0000-0000-000070050000}"/>
    <cellStyle name="Comma 2 3 5" xfId="32568" xr:uid="{B3B03A9A-E412-4942-9F1B-924CD35545B3}"/>
    <cellStyle name="Comma 2 4" xfId="167" xr:uid="{00000000-0005-0000-0000-000071050000}"/>
    <cellStyle name="Comma 2 4 10" xfId="25800" xr:uid="{00000000-0005-0000-0000-000072050000}"/>
    <cellStyle name="Comma 2 4 11" xfId="32575" xr:uid="{0AAA4E95-512C-49AA-A2AA-D5E770AC5415}"/>
    <cellStyle name="Comma 2 4 2" xfId="5296" xr:uid="{00000000-0005-0000-0000-000073050000}"/>
    <cellStyle name="Comma 2 4 2 2" xfId="5297" xr:uid="{00000000-0005-0000-0000-000074050000}"/>
    <cellStyle name="Comma 2 4 2 2 2" xfId="7838" xr:uid="{00000000-0005-0000-0000-000075050000}"/>
    <cellStyle name="Comma 2 4 2 2 3" xfId="14712" xr:uid="{00000000-0005-0000-0000-000076050000}"/>
    <cellStyle name="Comma 2 4 2 2 4" xfId="19408" xr:uid="{00000000-0005-0000-0000-000077050000}"/>
    <cellStyle name="Comma 2 4 2 2 5" xfId="23898" xr:uid="{00000000-0005-0000-0000-000078050000}"/>
    <cellStyle name="Comma 2 4 2 3" xfId="7837" xr:uid="{00000000-0005-0000-0000-000079050000}"/>
    <cellStyle name="Comma 2 4 2 4" xfId="14711" xr:uid="{00000000-0005-0000-0000-00007A050000}"/>
    <cellStyle name="Comma 2 4 2 5" xfId="19407" xr:uid="{00000000-0005-0000-0000-00007B050000}"/>
    <cellStyle name="Comma 2 4 2 6" xfId="23897" xr:uid="{00000000-0005-0000-0000-00007C050000}"/>
    <cellStyle name="Comma 2 4 2 7" xfId="26224" xr:uid="{00000000-0005-0000-0000-00007D050000}"/>
    <cellStyle name="Comma 2 4 3" xfId="5298" xr:uid="{00000000-0005-0000-0000-00007E050000}"/>
    <cellStyle name="Comma 2 4 3 2" xfId="5299" xr:uid="{00000000-0005-0000-0000-00007F050000}"/>
    <cellStyle name="Comma 2 4 3 2 2" xfId="7840" xr:uid="{00000000-0005-0000-0000-000080050000}"/>
    <cellStyle name="Comma 2 4 3 2 3" xfId="14714" xr:uid="{00000000-0005-0000-0000-000081050000}"/>
    <cellStyle name="Comma 2 4 3 2 4" xfId="19410" xr:uid="{00000000-0005-0000-0000-000082050000}"/>
    <cellStyle name="Comma 2 4 3 2 5" xfId="23900" xr:uid="{00000000-0005-0000-0000-000083050000}"/>
    <cellStyle name="Comma 2 4 3 3" xfId="7839" xr:uid="{00000000-0005-0000-0000-000084050000}"/>
    <cellStyle name="Comma 2 4 3 4" xfId="14713" xr:uid="{00000000-0005-0000-0000-000085050000}"/>
    <cellStyle name="Comma 2 4 3 5" xfId="19409" xr:uid="{00000000-0005-0000-0000-000086050000}"/>
    <cellStyle name="Comma 2 4 3 6" xfId="23899" xr:uid="{00000000-0005-0000-0000-000087050000}"/>
    <cellStyle name="Comma 2 4 4" xfId="5300" xr:uid="{00000000-0005-0000-0000-000088050000}"/>
    <cellStyle name="Comma 2 4 4 2" xfId="7841" xr:uid="{00000000-0005-0000-0000-000089050000}"/>
    <cellStyle name="Comma 2 4 4 3" xfId="14715" xr:uid="{00000000-0005-0000-0000-00008A050000}"/>
    <cellStyle name="Comma 2 4 4 4" xfId="19411" xr:uid="{00000000-0005-0000-0000-00008B050000}"/>
    <cellStyle name="Comma 2 4 4 5" xfId="23901" xr:uid="{00000000-0005-0000-0000-00008C050000}"/>
    <cellStyle name="Comma 2 4 5" xfId="7836" xr:uid="{00000000-0005-0000-0000-00008D050000}"/>
    <cellStyle name="Comma 2 4 6" xfId="14710" xr:uid="{00000000-0005-0000-0000-00008E050000}"/>
    <cellStyle name="Comma 2 4 7" xfId="19406" xr:uid="{00000000-0005-0000-0000-00008F050000}"/>
    <cellStyle name="Comma 2 4 8" xfId="23896" xr:uid="{00000000-0005-0000-0000-000090050000}"/>
    <cellStyle name="Comma 2 4 9" xfId="5295" xr:uid="{00000000-0005-0000-0000-000091050000}"/>
    <cellStyle name="Comma 2 5" xfId="168" xr:uid="{00000000-0005-0000-0000-000092050000}"/>
    <cellStyle name="Comma 2 5 2" xfId="1817" xr:uid="{00000000-0005-0000-0000-000093050000}"/>
    <cellStyle name="Comma 2 5 2 2" xfId="7843" xr:uid="{00000000-0005-0000-0000-000094050000}"/>
    <cellStyle name="Comma 2 5 2 3" xfId="14717" xr:uid="{00000000-0005-0000-0000-000095050000}"/>
    <cellStyle name="Comma 2 5 2 4" xfId="19413" xr:uid="{00000000-0005-0000-0000-000096050000}"/>
    <cellStyle name="Comma 2 5 2 5" xfId="23903" xr:uid="{00000000-0005-0000-0000-000097050000}"/>
    <cellStyle name="Comma 2 5 2 6" xfId="5302" xr:uid="{00000000-0005-0000-0000-000098050000}"/>
    <cellStyle name="Comma 2 5 2 7" xfId="25802" xr:uid="{00000000-0005-0000-0000-000099050000}"/>
    <cellStyle name="Comma 2 5 3" xfId="7842" xr:uid="{00000000-0005-0000-0000-00009A050000}"/>
    <cellStyle name="Comma 2 5 4" xfId="14716" xr:uid="{00000000-0005-0000-0000-00009B050000}"/>
    <cellStyle name="Comma 2 5 5" xfId="19412" xr:uid="{00000000-0005-0000-0000-00009C050000}"/>
    <cellStyle name="Comma 2 5 6" xfId="23902" xr:uid="{00000000-0005-0000-0000-00009D050000}"/>
    <cellStyle name="Comma 2 5 7" xfId="5301" xr:uid="{00000000-0005-0000-0000-00009E050000}"/>
    <cellStyle name="Comma 2 5 8" xfId="25801" xr:uid="{00000000-0005-0000-0000-00009F050000}"/>
    <cellStyle name="Comma 2 6" xfId="5303" xr:uid="{00000000-0005-0000-0000-0000A0050000}"/>
    <cellStyle name="Comma 2 6 2" xfId="5304" xr:uid="{00000000-0005-0000-0000-0000A1050000}"/>
    <cellStyle name="Comma 2 6 2 2" xfId="7845" xr:uid="{00000000-0005-0000-0000-0000A2050000}"/>
    <cellStyle name="Comma 2 6 2 3" xfId="14719" xr:uid="{00000000-0005-0000-0000-0000A3050000}"/>
    <cellStyle name="Comma 2 6 2 4" xfId="19415" xr:uid="{00000000-0005-0000-0000-0000A4050000}"/>
    <cellStyle name="Comma 2 6 2 5" xfId="23905" xr:uid="{00000000-0005-0000-0000-0000A5050000}"/>
    <cellStyle name="Comma 2 6 2 6" xfId="26022" xr:uid="{00000000-0005-0000-0000-0000A6050000}"/>
    <cellStyle name="Comma 2 6 3" xfId="7844" xr:uid="{00000000-0005-0000-0000-0000A7050000}"/>
    <cellStyle name="Comma 2 6 4" xfId="14718" xr:uid="{00000000-0005-0000-0000-0000A8050000}"/>
    <cellStyle name="Comma 2 6 5" xfId="19414" xr:uid="{00000000-0005-0000-0000-0000A9050000}"/>
    <cellStyle name="Comma 2 6 6" xfId="23904" xr:uid="{00000000-0005-0000-0000-0000AA050000}"/>
    <cellStyle name="Comma 2 6 7" xfId="25803" xr:uid="{00000000-0005-0000-0000-0000AB050000}"/>
    <cellStyle name="Comma 2 7" xfId="5305" xr:uid="{00000000-0005-0000-0000-0000AC050000}"/>
    <cellStyle name="Comma 2 7 2" xfId="5306" xr:uid="{00000000-0005-0000-0000-0000AD050000}"/>
    <cellStyle name="Comma 2 7 2 2" xfId="7847" xr:uid="{00000000-0005-0000-0000-0000AE050000}"/>
    <cellStyle name="Comma 2 7 2 3" xfId="14721" xr:uid="{00000000-0005-0000-0000-0000AF050000}"/>
    <cellStyle name="Comma 2 7 2 4" xfId="19417" xr:uid="{00000000-0005-0000-0000-0000B0050000}"/>
    <cellStyle name="Comma 2 7 2 5" xfId="23907" xr:uid="{00000000-0005-0000-0000-0000B1050000}"/>
    <cellStyle name="Comma 2 7 3" xfId="7846" xr:uid="{00000000-0005-0000-0000-0000B2050000}"/>
    <cellStyle name="Comma 2 7 4" xfId="14720" xr:uid="{00000000-0005-0000-0000-0000B3050000}"/>
    <cellStyle name="Comma 2 7 5" xfId="19416" xr:uid="{00000000-0005-0000-0000-0000B4050000}"/>
    <cellStyle name="Comma 2 7 6" xfId="23906" xr:uid="{00000000-0005-0000-0000-0000B5050000}"/>
    <cellStyle name="Comma 2 7 7" xfId="25804" xr:uid="{00000000-0005-0000-0000-0000B6050000}"/>
    <cellStyle name="Comma 2 8" xfId="5307" xr:uid="{00000000-0005-0000-0000-0000B7050000}"/>
    <cellStyle name="Comma 2 8 2" xfId="7848" xr:uid="{00000000-0005-0000-0000-0000B8050000}"/>
    <cellStyle name="Comma 2 8 3" xfId="14722" xr:uid="{00000000-0005-0000-0000-0000B9050000}"/>
    <cellStyle name="Comma 2 8 4" xfId="19418" xr:uid="{00000000-0005-0000-0000-0000BA050000}"/>
    <cellStyle name="Comma 2 8 5" xfId="23908" xr:uid="{00000000-0005-0000-0000-0000BB050000}"/>
    <cellStyle name="Comma 2 9" xfId="24167" xr:uid="{00000000-0005-0000-0000-0000BC050000}"/>
    <cellStyle name="Comma 2_TPIS Report_April_2013" xfId="25805" xr:uid="{00000000-0005-0000-0000-0000BD050000}"/>
    <cellStyle name="Comma 20" xfId="169" xr:uid="{00000000-0005-0000-0000-0000BE050000}"/>
    <cellStyle name="Comma 20 2" xfId="26185" xr:uid="{00000000-0005-0000-0000-0000BF050000}"/>
    <cellStyle name="Comma 20 3" xfId="26108" xr:uid="{00000000-0005-0000-0000-0000C0050000}"/>
    <cellStyle name="Comma 21" xfId="170" xr:uid="{00000000-0005-0000-0000-0000C1050000}"/>
    <cellStyle name="Comma 21 2 2" xfId="32554" xr:uid="{BBE0DCBE-5CB7-4C3E-9D55-A2E89F40EC7C}"/>
    <cellStyle name="Comma 21 2 3" xfId="32567" xr:uid="{87FAED5A-0C1C-4456-9BC3-7899DA1AB762}"/>
    <cellStyle name="Comma 22" xfId="171" xr:uid="{00000000-0005-0000-0000-0000C2050000}"/>
    <cellStyle name="Comma 23" xfId="172" xr:uid="{00000000-0005-0000-0000-0000C3050000}"/>
    <cellStyle name="Comma 24" xfId="173" xr:uid="{00000000-0005-0000-0000-0000C4050000}"/>
    <cellStyle name="Comma 25" xfId="174" xr:uid="{00000000-0005-0000-0000-0000C5050000}"/>
    <cellStyle name="Comma 26" xfId="175" xr:uid="{00000000-0005-0000-0000-0000C6050000}"/>
    <cellStyle name="Comma 27" xfId="176" xr:uid="{00000000-0005-0000-0000-0000C7050000}"/>
    <cellStyle name="Comma 27 2 2" xfId="32552" xr:uid="{B345F740-3204-45DA-A144-E0AC5795A254}"/>
    <cellStyle name="Comma 27 2 3" xfId="32565" xr:uid="{F7B0A7B7-795E-4182-B417-53E6A6458F8E}"/>
    <cellStyle name="Comma 28" xfId="177" xr:uid="{00000000-0005-0000-0000-0000C8050000}"/>
    <cellStyle name="Comma 29" xfId="178" xr:uid="{00000000-0005-0000-0000-0000C9050000}"/>
    <cellStyle name="Comma 3" xfId="179" xr:uid="{00000000-0005-0000-0000-0000CA050000}"/>
    <cellStyle name="Comma 3 2" xfId="180" xr:uid="{00000000-0005-0000-0000-0000CB050000}"/>
    <cellStyle name="Comma 3 2 2" xfId="181" xr:uid="{00000000-0005-0000-0000-0000CC050000}"/>
    <cellStyle name="Comma 3 2 2 10" xfId="5411" xr:uid="{00000000-0005-0000-0000-0000CD050000}"/>
    <cellStyle name="Comma 3 2 2 11" xfId="25807" xr:uid="{00000000-0005-0000-0000-0000CE050000}"/>
    <cellStyle name="Comma 3 2 2 12" xfId="32798" xr:uid="{EE4A4E22-C5CA-44C2-8B65-EDA0B6966383}"/>
    <cellStyle name="Comma 3 2 2 2" xfId="182" xr:uid="{00000000-0005-0000-0000-0000CF050000}"/>
    <cellStyle name="Comma 3 2 2 2 2" xfId="183" xr:uid="{00000000-0005-0000-0000-0000D0050000}"/>
    <cellStyle name="Comma 3 2 2 2 2 2" xfId="184" xr:uid="{00000000-0005-0000-0000-0000D1050000}"/>
    <cellStyle name="Comma 3 2 2 2 2 2 2" xfId="185" xr:uid="{00000000-0005-0000-0000-0000D2050000}"/>
    <cellStyle name="Comma 3 2 2 2 2 2 2 2" xfId="1822" xr:uid="{00000000-0005-0000-0000-0000D3050000}"/>
    <cellStyle name="Comma 3 2 2 2 2 2 2 3" xfId="41874" xr:uid="{4372491B-BF76-43A4-9492-F066BF260512}"/>
    <cellStyle name="Comma 3 2 2 2 2 2 3" xfId="1821" xr:uid="{00000000-0005-0000-0000-0000D4050000}"/>
    <cellStyle name="Comma 3 2 2 2 2 2 4" xfId="26529" xr:uid="{00000000-0005-0000-0000-0000D5050000}"/>
    <cellStyle name="Comma 3 2 2 2 2 2 5" xfId="33172" xr:uid="{FB20762A-3C36-4510-AA51-A7ABA10D6713}"/>
    <cellStyle name="Comma 3 2 2 2 2 3" xfId="186" xr:uid="{00000000-0005-0000-0000-0000D6050000}"/>
    <cellStyle name="Comma 3 2 2 2 2 3 2" xfId="1823" xr:uid="{00000000-0005-0000-0000-0000D7050000}"/>
    <cellStyle name="Comma 3 2 2 2 2 3 3" xfId="41658" xr:uid="{9CCAAE25-BB30-4B17-A1A6-0D85BBA62891}"/>
    <cellStyle name="Comma 3 2 2 2 2 4" xfId="1820" xr:uid="{00000000-0005-0000-0000-0000D8050000}"/>
    <cellStyle name="Comma 3 2 2 2 2 5" xfId="26313" xr:uid="{00000000-0005-0000-0000-0000D9050000}"/>
    <cellStyle name="Comma 3 2 2 2 2 6" xfId="32950" xr:uid="{E693C97E-78D0-4274-9430-F3DC4020F31C}"/>
    <cellStyle name="Comma 3 2 2 2 3" xfId="187" xr:uid="{00000000-0005-0000-0000-0000DA050000}"/>
    <cellStyle name="Comma 3 2 2 2 3 2" xfId="188" xr:uid="{00000000-0005-0000-0000-0000DB050000}"/>
    <cellStyle name="Comma 3 2 2 2 3 2 2" xfId="189" xr:uid="{00000000-0005-0000-0000-0000DC050000}"/>
    <cellStyle name="Comma 3 2 2 2 3 2 2 2" xfId="1826" xr:uid="{00000000-0005-0000-0000-0000DD050000}"/>
    <cellStyle name="Comma 3 2 2 2 3 2 2 3" xfId="41946" xr:uid="{A5429040-6D1D-4666-A469-BFE08B3B2B37}"/>
    <cellStyle name="Comma 3 2 2 2 3 2 3" xfId="1825" xr:uid="{00000000-0005-0000-0000-0000DE050000}"/>
    <cellStyle name="Comma 3 2 2 2 3 2 4" xfId="26601" xr:uid="{00000000-0005-0000-0000-0000DF050000}"/>
    <cellStyle name="Comma 3 2 2 2 3 2 5" xfId="33244" xr:uid="{21CF311E-E996-4361-8BE6-B94D6B27759C}"/>
    <cellStyle name="Comma 3 2 2 2 3 3" xfId="190" xr:uid="{00000000-0005-0000-0000-0000E0050000}"/>
    <cellStyle name="Comma 3 2 2 2 3 3 2" xfId="1827" xr:uid="{00000000-0005-0000-0000-0000E1050000}"/>
    <cellStyle name="Comma 3 2 2 2 3 3 3" xfId="41730" xr:uid="{DEE5CFF5-A23D-44E3-854E-40EA6FCECD1C}"/>
    <cellStyle name="Comma 3 2 2 2 3 4" xfId="1824" xr:uid="{00000000-0005-0000-0000-0000E2050000}"/>
    <cellStyle name="Comma 3 2 2 2 3 5" xfId="26385" xr:uid="{00000000-0005-0000-0000-0000E3050000}"/>
    <cellStyle name="Comma 3 2 2 2 3 6" xfId="33028" xr:uid="{122A3101-6A7A-45DC-B852-7D0AF120F82A}"/>
    <cellStyle name="Comma 3 2 2 2 4" xfId="191" xr:uid="{00000000-0005-0000-0000-0000E4050000}"/>
    <cellStyle name="Comma 3 2 2 2 4 2" xfId="192" xr:uid="{00000000-0005-0000-0000-0000E5050000}"/>
    <cellStyle name="Comma 3 2 2 2 4 2 2" xfId="1829" xr:uid="{00000000-0005-0000-0000-0000E6050000}"/>
    <cellStyle name="Comma 3 2 2 2 4 2 3" xfId="41802" xr:uid="{49D2B5DE-6E52-46AC-B68A-B28D21EAEE01}"/>
    <cellStyle name="Comma 3 2 2 2 4 3" xfId="1828" xr:uid="{00000000-0005-0000-0000-0000E7050000}"/>
    <cellStyle name="Comma 3 2 2 2 4 4" xfId="26457" xr:uid="{00000000-0005-0000-0000-0000E8050000}"/>
    <cellStyle name="Comma 3 2 2 2 4 5" xfId="33100" xr:uid="{AF1C72F6-F49C-41A0-9A01-4F5442BF1A5E}"/>
    <cellStyle name="Comma 3 2 2 2 5" xfId="193" xr:uid="{00000000-0005-0000-0000-0000E9050000}"/>
    <cellStyle name="Comma 3 2 2 2 5 2" xfId="1830" xr:uid="{00000000-0005-0000-0000-0000EA050000}"/>
    <cellStyle name="Comma 3 2 2 2 5 3" xfId="41586" xr:uid="{53F07813-1304-4636-8636-1CF0888FFA10}"/>
    <cellStyle name="Comma 3 2 2 2 6" xfId="1819" xr:uid="{00000000-0005-0000-0000-0000EB050000}"/>
    <cellStyle name="Comma 3 2 2 2 7" xfId="26230" xr:uid="{00000000-0005-0000-0000-0000EC050000}"/>
    <cellStyle name="Comma 3 2 2 2 8" xfId="32834" xr:uid="{E99613F9-897F-4B26-A52D-7F9114032F6A}"/>
    <cellStyle name="Comma 3 2 2 3" xfId="194" xr:uid="{00000000-0005-0000-0000-0000ED050000}"/>
    <cellStyle name="Comma 3 2 2 3 2" xfId="195" xr:uid="{00000000-0005-0000-0000-0000EE050000}"/>
    <cellStyle name="Comma 3 2 2 3 2 2" xfId="196" xr:uid="{00000000-0005-0000-0000-0000EF050000}"/>
    <cellStyle name="Comma 3 2 2 3 2 2 2" xfId="197" xr:uid="{00000000-0005-0000-0000-0000F0050000}"/>
    <cellStyle name="Comma 3 2 2 3 2 2 2 2" xfId="1834" xr:uid="{00000000-0005-0000-0000-0000F1050000}"/>
    <cellStyle name="Comma 3 2 2 3 2 2 2 3" xfId="41880" xr:uid="{674B43C1-8E4C-4473-BC3B-AF10D26AF8B4}"/>
    <cellStyle name="Comma 3 2 2 3 2 2 3" xfId="1833" xr:uid="{00000000-0005-0000-0000-0000F2050000}"/>
    <cellStyle name="Comma 3 2 2 3 2 2 4" xfId="26535" xr:uid="{00000000-0005-0000-0000-0000F3050000}"/>
    <cellStyle name="Comma 3 2 2 3 2 2 5" xfId="33178" xr:uid="{26AD900C-637E-4455-8CED-8FEC36CE1222}"/>
    <cellStyle name="Comma 3 2 2 3 2 3" xfId="198" xr:uid="{00000000-0005-0000-0000-0000F4050000}"/>
    <cellStyle name="Comma 3 2 2 3 2 3 2" xfId="1835" xr:uid="{00000000-0005-0000-0000-0000F5050000}"/>
    <cellStyle name="Comma 3 2 2 3 2 3 3" xfId="41664" xr:uid="{C7E50F27-AAC3-4850-9D0E-0EDA4660387D}"/>
    <cellStyle name="Comma 3 2 2 3 2 4" xfId="1832" xr:uid="{00000000-0005-0000-0000-0000F6050000}"/>
    <cellStyle name="Comma 3 2 2 3 2 5" xfId="26319" xr:uid="{00000000-0005-0000-0000-0000F7050000}"/>
    <cellStyle name="Comma 3 2 2 3 2 6" xfId="32956" xr:uid="{7CFDBC0E-DBB8-4A9D-8E98-EBD6BDDD51F0}"/>
    <cellStyle name="Comma 3 2 2 3 3" xfId="199" xr:uid="{00000000-0005-0000-0000-0000F8050000}"/>
    <cellStyle name="Comma 3 2 2 3 3 2" xfId="200" xr:uid="{00000000-0005-0000-0000-0000F9050000}"/>
    <cellStyle name="Comma 3 2 2 3 3 2 2" xfId="201" xr:uid="{00000000-0005-0000-0000-0000FA050000}"/>
    <cellStyle name="Comma 3 2 2 3 3 2 2 2" xfId="1838" xr:uid="{00000000-0005-0000-0000-0000FB050000}"/>
    <cellStyle name="Comma 3 2 2 3 3 2 2 3" xfId="41952" xr:uid="{8DDD7DCA-AE43-41AA-AB4C-FC639311B950}"/>
    <cellStyle name="Comma 3 2 2 3 3 2 3" xfId="1837" xr:uid="{00000000-0005-0000-0000-0000FC050000}"/>
    <cellStyle name="Comma 3 2 2 3 3 2 4" xfId="26607" xr:uid="{00000000-0005-0000-0000-0000FD050000}"/>
    <cellStyle name="Comma 3 2 2 3 3 2 5" xfId="33250" xr:uid="{12E75D56-64D1-4737-86B2-E523EE6A31DE}"/>
    <cellStyle name="Comma 3 2 2 3 3 3" xfId="202" xr:uid="{00000000-0005-0000-0000-0000FE050000}"/>
    <cellStyle name="Comma 3 2 2 3 3 3 2" xfId="1839" xr:uid="{00000000-0005-0000-0000-0000FF050000}"/>
    <cellStyle name="Comma 3 2 2 3 3 3 3" xfId="41736" xr:uid="{C389C5BF-A530-4AB8-A5A7-45C7D6320083}"/>
    <cellStyle name="Comma 3 2 2 3 3 4" xfId="1836" xr:uid="{00000000-0005-0000-0000-000000060000}"/>
    <cellStyle name="Comma 3 2 2 3 3 5" xfId="26391" xr:uid="{00000000-0005-0000-0000-000001060000}"/>
    <cellStyle name="Comma 3 2 2 3 3 6" xfId="33034" xr:uid="{6FFBA93C-9A18-4A35-B2AE-215351FB019B}"/>
    <cellStyle name="Comma 3 2 2 3 4" xfId="203" xr:uid="{00000000-0005-0000-0000-000002060000}"/>
    <cellStyle name="Comma 3 2 2 3 4 2" xfId="204" xr:uid="{00000000-0005-0000-0000-000003060000}"/>
    <cellStyle name="Comma 3 2 2 3 4 2 2" xfId="1841" xr:uid="{00000000-0005-0000-0000-000004060000}"/>
    <cellStyle name="Comma 3 2 2 3 4 2 3" xfId="41808" xr:uid="{39D23F3C-C20F-4F2A-B93D-288DFD7328E1}"/>
    <cellStyle name="Comma 3 2 2 3 4 3" xfId="1840" xr:uid="{00000000-0005-0000-0000-000005060000}"/>
    <cellStyle name="Comma 3 2 2 3 4 4" xfId="26463" xr:uid="{00000000-0005-0000-0000-000006060000}"/>
    <cellStyle name="Comma 3 2 2 3 4 5" xfId="33106" xr:uid="{D8B41066-ABF8-4615-BE6E-DE65229B6596}"/>
    <cellStyle name="Comma 3 2 2 3 5" xfId="205" xr:uid="{00000000-0005-0000-0000-000007060000}"/>
    <cellStyle name="Comma 3 2 2 3 5 2" xfId="1842" xr:uid="{00000000-0005-0000-0000-000008060000}"/>
    <cellStyle name="Comma 3 2 2 3 5 3" xfId="41592" xr:uid="{F7AC4D63-EE99-4C4D-9B62-2B289A877431}"/>
    <cellStyle name="Comma 3 2 2 3 6" xfId="1831" xr:uid="{00000000-0005-0000-0000-000009060000}"/>
    <cellStyle name="Comma 3 2 2 3 7" xfId="26246" xr:uid="{00000000-0005-0000-0000-00000A060000}"/>
    <cellStyle name="Comma 3 2 2 3 8" xfId="32853" xr:uid="{00CB6601-E4DE-488C-9249-24DD9983BDB3}"/>
    <cellStyle name="Comma 3 2 2 4" xfId="206" xr:uid="{00000000-0005-0000-0000-00000B060000}"/>
    <cellStyle name="Comma 3 2 2 4 2" xfId="207" xr:uid="{00000000-0005-0000-0000-00000C060000}"/>
    <cellStyle name="Comma 3 2 2 4 2 2" xfId="208" xr:uid="{00000000-0005-0000-0000-00000D060000}"/>
    <cellStyle name="Comma 3 2 2 4 2 2 2" xfId="209" xr:uid="{00000000-0005-0000-0000-00000E060000}"/>
    <cellStyle name="Comma 3 2 2 4 2 2 2 2" xfId="1846" xr:uid="{00000000-0005-0000-0000-00000F060000}"/>
    <cellStyle name="Comma 3 2 2 4 2 2 2 3" xfId="41899" xr:uid="{FA1A26F7-65EB-44E9-99BC-10F6A23D04CC}"/>
    <cellStyle name="Comma 3 2 2 4 2 2 3" xfId="1845" xr:uid="{00000000-0005-0000-0000-000010060000}"/>
    <cellStyle name="Comma 3 2 2 4 2 2 4" xfId="26554" xr:uid="{00000000-0005-0000-0000-000011060000}"/>
    <cellStyle name="Comma 3 2 2 4 2 2 5" xfId="33197" xr:uid="{29AA3C4D-D8E3-4139-BB2E-B29223E80E27}"/>
    <cellStyle name="Comma 3 2 2 4 2 3" xfId="210" xr:uid="{00000000-0005-0000-0000-000012060000}"/>
    <cellStyle name="Comma 3 2 2 4 2 3 2" xfId="1847" xr:uid="{00000000-0005-0000-0000-000013060000}"/>
    <cellStyle name="Comma 3 2 2 4 2 3 3" xfId="41683" xr:uid="{3D5F4123-103B-4B52-BD04-BF5063916915}"/>
    <cellStyle name="Comma 3 2 2 4 2 4" xfId="1844" xr:uid="{00000000-0005-0000-0000-000014060000}"/>
    <cellStyle name="Comma 3 2 2 4 2 5" xfId="26338" xr:uid="{00000000-0005-0000-0000-000015060000}"/>
    <cellStyle name="Comma 3 2 2 4 2 6" xfId="32981" xr:uid="{482A0D5C-FB22-415E-995E-D529690C9198}"/>
    <cellStyle name="Comma 3 2 2 4 3" xfId="211" xr:uid="{00000000-0005-0000-0000-000016060000}"/>
    <cellStyle name="Comma 3 2 2 4 3 2" xfId="212" xr:uid="{00000000-0005-0000-0000-000017060000}"/>
    <cellStyle name="Comma 3 2 2 4 3 2 2" xfId="213" xr:uid="{00000000-0005-0000-0000-000018060000}"/>
    <cellStyle name="Comma 3 2 2 4 3 2 2 2" xfId="1850" xr:uid="{00000000-0005-0000-0000-000019060000}"/>
    <cellStyle name="Comma 3 2 2 4 3 2 2 3" xfId="41971" xr:uid="{8A397CF0-A5AD-47E8-97EF-C868AC916979}"/>
    <cellStyle name="Comma 3 2 2 4 3 2 3" xfId="1849" xr:uid="{00000000-0005-0000-0000-00001A060000}"/>
    <cellStyle name="Comma 3 2 2 4 3 2 4" xfId="26626" xr:uid="{00000000-0005-0000-0000-00001B060000}"/>
    <cellStyle name="Comma 3 2 2 4 3 2 5" xfId="33269" xr:uid="{F4551769-3A3B-46E2-BC83-C7C98BEC8628}"/>
    <cellStyle name="Comma 3 2 2 4 3 3" xfId="214" xr:uid="{00000000-0005-0000-0000-00001C060000}"/>
    <cellStyle name="Comma 3 2 2 4 3 3 2" xfId="1851" xr:uid="{00000000-0005-0000-0000-00001D060000}"/>
    <cellStyle name="Comma 3 2 2 4 3 3 3" xfId="41755" xr:uid="{98ECEDF7-2046-425B-B6D8-54796FD46F22}"/>
    <cellStyle name="Comma 3 2 2 4 3 4" xfId="1848" xr:uid="{00000000-0005-0000-0000-00001E060000}"/>
    <cellStyle name="Comma 3 2 2 4 3 5" xfId="26410" xr:uid="{00000000-0005-0000-0000-00001F060000}"/>
    <cellStyle name="Comma 3 2 2 4 3 6" xfId="33053" xr:uid="{75108B82-3655-42F3-B4F7-F41FB70B5EE9}"/>
    <cellStyle name="Comma 3 2 2 4 4" xfId="215" xr:uid="{00000000-0005-0000-0000-000020060000}"/>
    <cellStyle name="Comma 3 2 2 4 4 2" xfId="216" xr:uid="{00000000-0005-0000-0000-000021060000}"/>
    <cellStyle name="Comma 3 2 2 4 4 2 2" xfId="1853" xr:uid="{00000000-0005-0000-0000-000022060000}"/>
    <cellStyle name="Comma 3 2 2 4 4 2 3" xfId="41827" xr:uid="{F6FECA8B-23F7-4483-AB22-43917462FF49}"/>
    <cellStyle name="Comma 3 2 2 4 4 3" xfId="1852" xr:uid="{00000000-0005-0000-0000-000023060000}"/>
    <cellStyle name="Comma 3 2 2 4 4 4" xfId="26482" xr:uid="{00000000-0005-0000-0000-000024060000}"/>
    <cellStyle name="Comma 3 2 2 4 4 5" xfId="33125" xr:uid="{BE8A7060-0005-4EF6-8FB8-B5611250B9D2}"/>
    <cellStyle name="Comma 3 2 2 4 5" xfId="217" xr:uid="{00000000-0005-0000-0000-000025060000}"/>
    <cellStyle name="Comma 3 2 2 4 5 2" xfId="1854" xr:uid="{00000000-0005-0000-0000-000026060000}"/>
    <cellStyle name="Comma 3 2 2 4 5 3" xfId="41611" xr:uid="{BB795C08-252E-4F88-B771-81F44F155EF2}"/>
    <cellStyle name="Comma 3 2 2 4 6" xfId="1843" xr:uid="{00000000-0005-0000-0000-000027060000}"/>
    <cellStyle name="Comma 3 2 2 4 7" xfId="26266" xr:uid="{00000000-0005-0000-0000-000028060000}"/>
    <cellStyle name="Comma 3 2 2 4 8" xfId="32885" xr:uid="{CE3E1178-85AB-4009-AA10-FF698AE1A226}"/>
    <cellStyle name="Comma 3 2 2 5" xfId="218" xr:uid="{00000000-0005-0000-0000-000029060000}"/>
    <cellStyle name="Comma 3 2 2 5 2" xfId="219" xr:uid="{00000000-0005-0000-0000-00002A060000}"/>
    <cellStyle name="Comma 3 2 2 5 2 2" xfId="220" xr:uid="{00000000-0005-0000-0000-00002B060000}"/>
    <cellStyle name="Comma 3 2 2 5 2 2 2" xfId="1857" xr:uid="{00000000-0005-0000-0000-00002C060000}"/>
    <cellStyle name="Comma 3 2 2 5 2 2 3" xfId="41873" xr:uid="{EEBA3DB4-0766-40F6-9F38-076E5D2F021F}"/>
    <cellStyle name="Comma 3 2 2 5 2 3" xfId="1856" xr:uid="{00000000-0005-0000-0000-00002D060000}"/>
    <cellStyle name="Comma 3 2 2 5 2 4" xfId="26528" xr:uid="{00000000-0005-0000-0000-00002E060000}"/>
    <cellStyle name="Comma 3 2 2 5 2 5" xfId="33171" xr:uid="{42A70D0D-62A7-4810-B051-59757C707B0C}"/>
    <cellStyle name="Comma 3 2 2 5 3" xfId="221" xr:uid="{00000000-0005-0000-0000-00002F060000}"/>
    <cellStyle name="Comma 3 2 2 5 3 2" xfId="1858" xr:uid="{00000000-0005-0000-0000-000030060000}"/>
    <cellStyle name="Comma 3 2 2 5 3 3" xfId="41657" xr:uid="{06CAE08D-5421-4AAA-B546-F58DD72F311F}"/>
    <cellStyle name="Comma 3 2 2 5 4" xfId="1855" xr:uid="{00000000-0005-0000-0000-000031060000}"/>
    <cellStyle name="Comma 3 2 2 5 5" xfId="26312" xr:uid="{00000000-0005-0000-0000-000032060000}"/>
    <cellStyle name="Comma 3 2 2 5 6" xfId="32949" xr:uid="{AA864E31-1389-490F-A904-14733EA41A38}"/>
    <cellStyle name="Comma 3 2 2 6" xfId="222" xr:uid="{00000000-0005-0000-0000-000033060000}"/>
    <cellStyle name="Comma 3 2 2 6 2" xfId="223" xr:uid="{00000000-0005-0000-0000-000034060000}"/>
    <cellStyle name="Comma 3 2 2 6 2 2" xfId="224" xr:uid="{00000000-0005-0000-0000-000035060000}"/>
    <cellStyle name="Comma 3 2 2 6 2 2 2" xfId="1861" xr:uid="{00000000-0005-0000-0000-000036060000}"/>
    <cellStyle name="Comma 3 2 2 6 2 2 3" xfId="41945" xr:uid="{ADF0ADD5-1E16-41F5-8E6E-965A13369174}"/>
    <cellStyle name="Comma 3 2 2 6 2 3" xfId="1860" xr:uid="{00000000-0005-0000-0000-000037060000}"/>
    <cellStyle name="Comma 3 2 2 6 2 4" xfId="26600" xr:uid="{00000000-0005-0000-0000-000038060000}"/>
    <cellStyle name="Comma 3 2 2 6 2 5" xfId="33243" xr:uid="{64EC5808-D220-41D2-BC96-523A9D1A15A1}"/>
    <cellStyle name="Comma 3 2 2 6 3" xfId="225" xr:uid="{00000000-0005-0000-0000-000039060000}"/>
    <cellStyle name="Comma 3 2 2 6 3 2" xfId="1862" xr:uid="{00000000-0005-0000-0000-00003A060000}"/>
    <cellStyle name="Comma 3 2 2 6 3 3" xfId="41729" xr:uid="{72B50D2D-6E18-487F-967C-295A2DEDD47B}"/>
    <cellStyle name="Comma 3 2 2 6 4" xfId="1859" xr:uid="{00000000-0005-0000-0000-00003B060000}"/>
    <cellStyle name="Comma 3 2 2 6 5" xfId="26384" xr:uid="{00000000-0005-0000-0000-00003C060000}"/>
    <cellStyle name="Comma 3 2 2 6 6" xfId="33027" xr:uid="{B33BFDFF-94F1-464D-ACDE-0A77B18769E7}"/>
    <cellStyle name="Comma 3 2 2 7" xfId="226" xr:uid="{00000000-0005-0000-0000-00003D060000}"/>
    <cellStyle name="Comma 3 2 2 7 2" xfId="227" xr:uid="{00000000-0005-0000-0000-00003E060000}"/>
    <cellStyle name="Comma 3 2 2 7 2 2" xfId="1864" xr:uid="{00000000-0005-0000-0000-00003F060000}"/>
    <cellStyle name="Comma 3 2 2 7 2 3" xfId="41801" xr:uid="{57A8A224-DCBB-42F6-AD45-76F6B106AC68}"/>
    <cellStyle name="Comma 3 2 2 7 3" xfId="1863" xr:uid="{00000000-0005-0000-0000-000040060000}"/>
    <cellStyle name="Comma 3 2 2 7 4" xfId="26456" xr:uid="{00000000-0005-0000-0000-000041060000}"/>
    <cellStyle name="Comma 3 2 2 7 5" xfId="33099" xr:uid="{8E574C9E-17FF-4C45-9094-777A43FD61CE}"/>
    <cellStyle name="Comma 3 2 2 8" xfId="228" xr:uid="{00000000-0005-0000-0000-000042060000}"/>
    <cellStyle name="Comma 3 2 2 8 2" xfId="1865" xr:uid="{00000000-0005-0000-0000-000043060000}"/>
    <cellStyle name="Comma 3 2 2 8 3" xfId="41585" xr:uid="{87D7C2DA-7567-44D2-AAD4-01A8B3DAFE2F}"/>
    <cellStyle name="Comma 3 2 2 9" xfId="1818" xr:uid="{00000000-0005-0000-0000-000044060000}"/>
    <cellStyle name="Comma 3 2 2 9 2" xfId="26184" xr:uid="{00000000-0005-0000-0000-000045060000}"/>
    <cellStyle name="Comma 3 2 3" xfId="5308" xr:uid="{00000000-0005-0000-0000-000046060000}"/>
    <cellStyle name="Comma 3 2 3 2" xfId="25808" xr:uid="{00000000-0005-0000-0000-000047060000}"/>
    <cellStyle name="Comma 3 2 3 3" xfId="32670" xr:uid="{54DB2CE4-F580-489C-8E82-FA954D054AE7}"/>
    <cellStyle name="Comma 3 2 4" xfId="25806" xr:uid="{00000000-0005-0000-0000-000048060000}"/>
    <cellStyle name="Comma 3 2 5" xfId="32550" xr:uid="{FFD329DF-8DB0-4717-B8B5-6E6A665828D9}"/>
    <cellStyle name="Comma 3 3" xfId="229" xr:uid="{00000000-0005-0000-0000-000049060000}"/>
    <cellStyle name="Comma 3 4" xfId="230" xr:uid="{00000000-0005-0000-0000-00004A060000}"/>
    <cellStyle name="Comma 3 4 2" xfId="26219" xr:uid="{00000000-0005-0000-0000-00004B060000}"/>
    <cellStyle name="Comma 3 4 3" xfId="25809" xr:uid="{00000000-0005-0000-0000-00004C060000}"/>
    <cellStyle name="Comma 3 5" xfId="231" xr:uid="{00000000-0005-0000-0000-00004D060000}"/>
    <cellStyle name="Comma 3 5 2" xfId="232" xr:uid="{00000000-0005-0000-0000-00004E060000}"/>
    <cellStyle name="Comma 3 5 3" xfId="26252" xr:uid="{00000000-0005-0000-0000-00004F060000}"/>
    <cellStyle name="Comma 3 5 4" xfId="26077" xr:uid="{00000000-0005-0000-0000-000050060000}"/>
    <cellStyle name="Comma 3 6" xfId="32545" xr:uid="{82796F74-A1F7-4E2C-B301-FC22C49A5E38}"/>
    <cellStyle name="Comma 30" xfId="233" xr:uid="{00000000-0005-0000-0000-000051060000}"/>
    <cellStyle name="Comma 31" xfId="234" xr:uid="{00000000-0005-0000-0000-000052060000}"/>
    <cellStyle name="Comma 32" xfId="235" xr:uid="{00000000-0005-0000-0000-000053060000}"/>
    <cellStyle name="Comma 33" xfId="236" xr:uid="{00000000-0005-0000-0000-000054060000}"/>
    <cellStyle name="Comma 34" xfId="237" xr:uid="{00000000-0005-0000-0000-000055060000}"/>
    <cellStyle name="Comma 35" xfId="238" xr:uid="{00000000-0005-0000-0000-000056060000}"/>
    <cellStyle name="Comma 36" xfId="239" xr:uid="{00000000-0005-0000-0000-000057060000}"/>
    <cellStyle name="Comma 37" xfId="240" xr:uid="{00000000-0005-0000-0000-000058060000}"/>
    <cellStyle name="Comma 38" xfId="241" xr:uid="{00000000-0005-0000-0000-000059060000}"/>
    <cellStyle name="Comma 39" xfId="242" xr:uid="{00000000-0005-0000-0000-00005A060000}"/>
    <cellStyle name="Comma 4" xfId="243" xr:uid="{00000000-0005-0000-0000-00005B060000}"/>
    <cellStyle name="Comma 4 10" xfId="21805" xr:uid="{00000000-0005-0000-0000-00005C060000}"/>
    <cellStyle name="Comma 4 11" xfId="24117" xr:uid="{00000000-0005-0000-0000-00005D060000}"/>
    <cellStyle name="Comma 4 12" xfId="3003" xr:uid="{00000000-0005-0000-0000-00005E060000}"/>
    <cellStyle name="Comma 4 13" xfId="32573" xr:uid="{04A04D4E-E3B6-40FF-B85C-B17D88971A1A}"/>
    <cellStyle name="Comma 4 2" xfId="244" xr:uid="{00000000-0005-0000-0000-00005F060000}"/>
    <cellStyle name="Comma 4 2 10" xfId="21806" xr:uid="{00000000-0005-0000-0000-000060060000}"/>
    <cellStyle name="Comma 4 2 11" xfId="24118" xr:uid="{00000000-0005-0000-0000-000061060000}"/>
    <cellStyle name="Comma 4 2 12" xfId="3004" xr:uid="{00000000-0005-0000-0000-000062060000}"/>
    <cellStyle name="Comma 4 2 13" xfId="24163" xr:uid="{00000000-0005-0000-0000-000063060000}"/>
    <cellStyle name="Comma 4 2 2" xfId="3127" xr:uid="{00000000-0005-0000-0000-000064060000}"/>
    <cellStyle name="Comma 4 2 2 2" xfId="5163" xr:uid="{00000000-0005-0000-0000-000065060000}"/>
    <cellStyle name="Comma 4 2 2 2 2" xfId="5164" xr:uid="{00000000-0005-0000-0000-000066060000}"/>
    <cellStyle name="Comma 4 2 2 2 2 2" xfId="7702" xr:uid="{00000000-0005-0000-0000-000067060000}"/>
    <cellStyle name="Comma 4 2 2 2 2 3" xfId="14577" xr:uid="{00000000-0005-0000-0000-000068060000}"/>
    <cellStyle name="Comma 4 2 2 2 2 4" xfId="19273" xr:uid="{00000000-0005-0000-0000-000069060000}"/>
    <cellStyle name="Comma 4 2 2 2 2 5" xfId="23769" xr:uid="{00000000-0005-0000-0000-00006A060000}"/>
    <cellStyle name="Comma 4 2 2 2 2 6" xfId="24129" xr:uid="{00000000-0005-0000-0000-00006B060000}"/>
    <cellStyle name="Comma 4 2 2 2 3" xfId="5249" xr:uid="{00000000-0005-0000-0000-00006C060000}"/>
    <cellStyle name="Comma 4 2 2 2 3 2" xfId="7788" xr:uid="{00000000-0005-0000-0000-00006D060000}"/>
    <cellStyle name="Comma 4 2 2 2 3 3" xfId="14662" xr:uid="{00000000-0005-0000-0000-00006E060000}"/>
    <cellStyle name="Comma 4 2 2 2 3 4" xfId="19358" xr:uid="{00000000-0005-0000-0000-00006F060000}"/>
    <cellStyle name="Comma 4 2 2 2 3 5" xfId="23853" xr:uid="{00000000-0005-0000-0000-000070060000}"/>
    <cellStyle name="Comma 4 2 2 2 3 6" xfId="24145" xr:uid="{00000000-0005-0000-0000-000071060000}"/>
    <cellStyle name="Comma 4 2 2 2 4" xfId="7701" xr:uid="{00000000-0005-0000-0000-000072060000}"/>
    <cellStyle name="Comma 4 2 2 2 5" xfId="14576" xr:uid="{00000000-0005-0000-0000-000073060000}"/>
    <cellStyle name="Comma 4 2 2 2 6" xfId="19272" xr:uid="{00000000-0005-0000-0000-000074060000}"/>
    <cellStyle name="Comma 4 2 2 2 7" xfId="23768" xr:uid="{00000000-0005-0000-0000-000075060000}"/>
    <cellStyle name="Comma 4 2 2 2 8" xfId="24128" xr:uid="{00000000-0005-0000-0000-000076060000}"/>
    <cellStyle name="Comma 4 2 2 3" xfId="5242" xr:uid="{00000000-0005-0000-0000-000077060000}"/>
    <cellStyle name="Comma 4 2 2 3 2" xfId="7781" xr:uid="{00000000-0005-0000-0000-000078060000}"/>
    <cellStyle name="Comma 4 2 2 3 3" xfId="14655" xr:uid="{00000000-0005-0000-0000-000079060000}"/>
    <cellStyle name="Comma 4 2 2 3 4" xfId="19351" xr:uid="{00000000-0005-0000-0000-00007A060000}"/>
    <cellStyle name="Comma 4 2 2 3 5" xfId="23846" xr:uid="{00000000-0005-0000-0000-00007B060000}"/>
    <cellStyle name="Comma 4 2 2 3 6" xfId="24138" xr:uid="{00000000-0005-0000-0000-00007C060000}"/>
    <cellStyle name="Comma 4 2 2 4" xfId="5665" xr:uid="{00000000-0005-0000-0000-00007D060000}"/>
    <cellStyle name="Comma 4 2 2 5" xfId="12549" xr:uid="{00000000-0005-0000-0000-00007E060000}"/>
    <cellStyle name="Comma 4 2 2 6" xfId="17245" xr:uid="{00000000-0005-0000-0000-00007F060000}"/>
    <cellStyle name="Comma 4 2 2 7" xfId="21911" xr:uid="{00000000-0005-0000-0000-000080060000}"/>
    <cellStyle name="Comma 4 2 2 8" xfId="24121" xr:uid="{00000000-0005-0000-0000-000081060000}"/>
    <cellStyle name="Comma 4 2 2 9" xfId="24164" xr:uid="{00000000-0005-0000-0000-000082060000}"/>
    <cellStyle name="Comma 4 2 3" xfId="3126" xr:uid="{00000000-0005-0000-0000-000083060000}"/>
    <cellStyle name="Comma 4 2 3 2" xfId="5664" xr:uid="{00000000-0005-0000-0000-000084060000}"/>
    <cellStyle name="Comma 4 2 3 3" xfId="12548" xr:uid="{00000000-0005-0000-0000-000085060000}"/>
    <cellStyle name="Comma 4 2 3 4" xfId="17244" xr:uid="{00000000-0005-0000-0000-000086060000}"/>
    <cellStyle name="Comma 4 2 3 5" xfId="21910" xr:uid="{00000000-0005-0000-0000-000087060000}"/>
    <cellStyle name="Comma 4 2 3 6" xfId="24120" xr:uid="{00000000-0005-0000-0000-000088060000}"/>
    <cellStyle name="Comma 4 2 3 7" xfId="26097" xr:uid="{00000000-0005-0000-0000-000089060000}"/>
    <cellStyle name="Comma 4 2 4" xfId="5162" xr:uid="{00000000-0005-0000-0000-00008A060000}"/>
    <cellStyle name="Comma 4 2 4 2" xfId="7700" xr:uid="{00000000-0005-0000-0000-00008B060000}"/>
    <cellStyle name="Comma 4 2 4 3" xfId="14575" xr:uid="{00000000-0005-0000-0000-00008C060000}"/>
    <cellStyle name="Comma 4 2 4 4" xfId="19271" xr:uid="{00000000-0005-0000-0000-00008D060000}"/>
    <cellStyle name="Comma 4 2 4 5" xfId="23767" xr:uid="{00000000-0005-0000-0000-00008E060000}"/>
    <cellStyle name="Comma 4 2 4 6" xfId="24127" xr:uid="{00000000-0005-0000-0000-00008F060000}"/>
    <cellStyle name="Comma 4 2 4 7" xfId="26183" xr:uid="{00000000-0005-0000-0000-000090060000}"/>
    <cellStyle name="Comma 4 2 5" xfId="5241" xr:uid="{00000000-0005-0000-0000-000091060000}"/>
    <cellStyle name="Comma 4 2 5 2" xfId="7780" xr:uid="{00000000-0005-0000-0000-000092060000}"/>
    <cellStyle name="Comma 4 2 5 3" xfId="14654" xr:uid="{00000000-0005-0000-0000-000093060000}"/>
    <cellStyle name="Comma 4 2 5 4" xfId="19350" xr:uid="{00000000-0005-0000-0000-000094060000}"/>
    <cellStyle name="Comma 4 2 5 5" xfId="23845" xr:uid="{00000000-0005-0000-0000-000095060000}"/>
    <cellStyle name="Comma 4 2 5 6" xfId="24137" xr:uid="{00000000-0005-0000-0000-000096060000}"/>
    <cellStyle name="Comma 4 2 6" xfId="5403" xr:uid="{00000000-0005-0000-0000-000097060000}"/>
    <cellStyle name="Comma 4 2 7" xfId="5543" xr:uid="{00000000-0005-0000-0000-000098060000}"/>
    <cellStyle name="Comma 4 2 8" xfId="12426" xr:uid="{00000000-0005-0000-0000-000099060000}"/>
    <cellStyle name="Comma 4 2 9" xfId="17122" xr:uid="{00000000-0005-0000-0000-00009A060000}"/>
    <cellStyle name="Comma 4 3" xfId="245" xr:uid="{00000000-0005-0000-0000-00009B060000}"/>
    <cellStyle name="Comma 4 3 10" xfId="3125" xr:uid="{00000000-0005-0000-0000-00009C060000}"/>
    <cellStyle name="Comma 4 3 11" xfId="25810" xr:uid="{00000000-0005-0000-0000-00009D060000}"/>
    <cellStyle name="Comma 4 3 12" xfId="32797" xr:uid="{0E5DBD32-7ED0-433E-AEF5-57046853A782}"/>
    <cellStyle name="Comma 4 3 2" xfId="246" xr:uid="{00000000-0005-0000-0000-00009E060000}"/>
    <cellStyle name="Comma 4 3 2 2" xfId="247" xr:uid="{00000000-0005-0000-0000-00009F060000}"/>
    <cellStyle name="Comma 4 3 2 2 2" xfId="248" xr:uid="{00000000-0005-0000-0000-0000A0060000}"/>
    <cellStyle name="Comma 4 3 2 2 2 2" xfId="249" xr:uid="{00000000-0005-0000-0000-0000A1060000}"/>
    <cellStyle name="Comma 4 3 2 2 2 2 2" xfId="1870" xr:uid="{00000000-0005-0000-0000-0000A2060000}"/>
    <cellStyle name="Comma 4 3 2 2 2 2 3" xfId="41875" xr:uid="{2D0415B5-8141-462B-A4DB-1D14C7A97DFE}"/>
    <cellStyle name="Comma 4 3 2 2 2 3" xfId="1869" xr:uid="{00000000-0005-0000-0000-0000A3060000}"/>
    <cellStyle name="Comma 4 3 2 2 2 4" xfId="26530" xr:uid="{00000000-0005-0000-0000-0000A4060000}"/>
    <cellStyle name="Comma 4 3 2 2 2 5" xfId="33173" xr:uid="{3483776F-0028-4927-B49C-8C12F6065588}"/>
    <cellStyle name="Comma 4 3 2 2 3" xfId="250" xr:uid="{00000000-0005-0000-0000-0000A5060000}"/>
    <cellStyle name="Comma 4 3 2 2 3 2" xfId="1871" xr:uid="{00000000-0005-0000-0000-0000A6060000}"/>
    <cellStyle name="Comma 4 3 2 2 3 3" xfId="41659" xr:uid="{DE2646C4-1F39-49E5-819C-7BF58E507449}"/>
    <cellStyle name="Comma 4 3 2 2 4" xfId="1868" xr:uid="{00000000-0005-0000-0000-0000A7060000}"/>
    <cellStyle name="Comma 4 3 2 2 5" xfId="7850" xr:uid="{00000000-0005-0000-0000-0000A8060000}"/>
    <cellStyle name="Comma 4 3 2 2 6" xfId="26314" xr:uid="{00000000-0005-0000-0000-0000A9060000}"/>
    <cellStyle name="Comma 4 3 2 2 7" xfId="32951" xr:uid="{C21EEFF3-ACBB-4C7C-AB49-B218575C5328}"/>
    <cellStyle name="Comma 4 3 2 3" xfId="251" xr:uid="{00000000-0005-0000-0000-0000AA060000}"/>
    <cellStyle name="Comma 4 3 2 3 2" xfId="252" xr:uid="{00000000-0005-0000-0000-0000AB060000}"/>
    <cellStyle name="Comma 4 3 2 3 2 2" xfId="253" xr:uid="{00000000-0005-0000-0000-0000AC060000}"/>
    <cellStyle name="Comma 4 3 2 3 2 2 2" xfId="1874" xr:uid="{00000000-0005-0000-0000-0000AD060000}"/>
    <cellStyle name="Comma 4 3 2 3 2 2 3" xfId="41947" xr:uid="{E0AD1B73-A4AA-4372-9BB7-3DFA3498B076}"/>
    <cellStyle name="Comma 4 3 2 3 2 3" xfId="1873" xr:uid="{00000000-0005-0000-0000-0000AE060000}"/>
    <cellStyle name="Comma 4 3 2 3 2 4" xfId="26602" xr:uid="{00000000-0005-0000-0000-0000AF060000}"/>
    <cellStyle name="Comma 4 3 2 3 2 5" xfId="33245" xr:uid="{C47A3EBA-384D-4B4B-9AC8-E709C881E706}"/>
    <cellStyle name="Comma 4 3 2 3 3" xfId="254" xr:uid="{00000000-0005-0000-0000-0000B0060000}"/>
    <cellStyle name="Comma 4 3 2 3 3 2" xfId="1875" xr:uid="{00000000-0005-0000-0000-0000B1060000}"/>
    <cellStyle name="Comma 4 3 2 3 3 3" xfId="41731" xr:uid="{A060DE8D-2412-45C0-B8F6-99DFDD0E3A73}"/>
    <cellStyle name="Comma 4 3 2 3 4" xfId="1872" xr:uid="{00000000-0005-0000-0000-0000B2060000}"/>
    <cellStyle name="Comma 4 3 2 3 5" xfId="14724" xr:uid="{00000000-0005-0000-0000-0000B3060000}"/>
    <cellStyle name="Comma 4 3 2 3 6" xfId="26386" xr:uid="{00000000-0005-0000-0000-0000B4060000}"/>
    <cellStyle name="Comma 4 3 2 3 7" xfId="33029" xr:uid="{10EE92F3-5828-4887-A86E-231CA1231782}"/>
    <cellStyle name="Comma 4 3 2 4" xfId="255" xr:uid="{00000000-0005-0000-0000-0000B5060000}"/>
    <cellStyle name="Comma 4 3 2 4 2" xfId="256" xr:uid="{00000000-0005-0000-0000-0000B6060000}"/>
    <cellStyle name="Comma 4 3 2 4 2 2" xfId="1877" xr:uid="{00000000-0005-0000-0000-0000B7060000}"/>
    <cellStyle name="Comma 4 3 2 4 2 3" xfId="41803" xr:uid="{872D0007-64CF-44C2-9E04-58AAD6316B5C}"/>
    <cellStyle name="Comma 4 3 2 4 3" xfId="1876" xr:uid="{00000000-0005-0000-0000-0000B8060000}"/>
    <cellStyle name="Comma 4 3 2 4 4" xfId="19420" xr:uid="{00000000-0005-0000-0000-0000B9060000}"/>
    <cellStyle name="Comma 4 3 2 4 5" xfId="26458" xr:uid="{00000000-0005-0000-0000-0000BA060000}"/>
    <cellStyle name="Comma 4 3 2 4 6" xfId="33101" xr:uid="{3C02C4B7-8F68-4ECC-824C-78828EB92B1C}"/>
    <cellStyle name="Comma 4 3 2 5" xfId="257" xr:uid="{00000000-0005-0000-0000-0000BB060000}"/>
    <cellStyle name="Comma 4 3 2 5 2" xfId="1878" xr:uid="{00000000-0005-0000-0000-0000BC060000}"/>
    <cellStyle name="Comma 4 3 2 5 3" xfId="23910" xr:uid="{00000000-0005-0000-0000-0000BD060000}"/>
    <cellStyle name="Comma 4 3 2 5 4" xfId="41587" xr:uid="{D80D966E-94F6-4E7D-A684-DB85351F92AA}"/>
    <cellStyle name="Comma 4 3 2 6" xfId="1867" xr:uid="{00000000-0005-0000-0000-0000BE060000}"/>
    <cellStyle name="Comma 4 3 2 7" xfId="5309" xr:uid="{00000000-0005-0000-0000-0000BF060000}"/>
    <cellStyle name="Comma 4 3 2 8" xfId="26232" xr:uid="{00000000-0005-0000-0000-0000C0060000}"/>
    <cellStyle name="Comma 4 3 2 9" xfId="32837" xr:uid="{3B13EAED-B5EF-41DA-B85E-F0AF41F0C2EF}"/>
    <cellStyle name="Comma 4 3 3" xfId="258" xr:uid="{00000000-0005-0000-0000-0000C1060000}"/>
    <cellStyle name="Comma 4 3 3 2" xfId="259" xr:uid="{00000000-0005-0000-0000-0000C2060000}"/>
    <cellStyle name="Comma 4 3 3 2 2" xfId="260" xr:uid="{00000000-0005-0000-0000-0000C3060000}"/>
    <cellStyle name="Comma 4 3 3 2 2 2" xfId="261" xr:uid="{00000000-0005-0000-0000-0000C4060000}"/>
    <cellStyle name="Comma 4 3 3 2 2 2 2" xfId="1882" xr:uid="{00000000-0005-0000-0000-0000C5060000}"/>
    <cellStyle name="Comma 4 3 3 2 2 2 3" xfId="41881" xr:uid="{1CADE74F-47A9-4F19-9FB4-5837C061454B}"/>
    <cellStyle name="Comma 4 3 3 2 2 3" xfId="1881" xr:uid="{00000000-0005-0000-0000-0000C6060000}"/>
    <cellStyle name="Comma 4 3 3 2 2 4" xfId="26536" xr:uid="{00000000-0005-0000-0000-0000C7060000}"/>
    <cellStyle name="Comma 4 3 3 2 2 5" xfId="33179" xr:uid="{1DB14681-90B4-40FB-A43B-DF04CFE2D33B}"/>
    <cellStyle name="Comma 4 3 3 2 3" xfId="262" xr:uid="{00000000-0005-0000-0000-0000C8060000}"/>
    <cellStyle name="Comma 4 3 3 2 3 2" xfId="1883" xr:uid="{00000000-0005-0000-0000-0000C9060000}"/>
    <cellStyle name="Comma 4 3 3 2 3 3" xfId="41665" xr:uid="{A26A09E2-59FD-474D-A7A2-62603D7C8D77}"/>
    <cellStyle name="Comma 4 3 3 2 4" xfId="1880" xr:uid="{00000000-0005-0000-0000-0000CA060000}"/>
    <cellStyle name="Comma 4 3 3 2 5" xfId="26320" xr:uid="{00000000-0005-0000-0000-0000CB060000}"/>
    <cellStyle name="Comma 4 3 3 2 6" xfId="32957" xr:uid="{617591FE-20FA-44D7-8C1C-3157321155E2}"/>
    <cellStyle name="Comma 4 3 3 3" xfId="263" xr:uid="{00000000-0005-0000-0000-0000CC060000}"/>
    <cellStyle name="Comma 4 3 3 3 2" xfId="264" xr:uid="{00000000-0005-0000-0000-0000CD060000}"/>
    <cellStyle name="Comma 4 3 3 3 2 2" xfId="265" xr:uid="{00000000-0005-0000-0000-0000CE060000}"/>
    <cellStyle name="Comma 4 3 3 3 2 2 2" xfId="1886" xr:uid="{00000000-0005-0000-0000-0000CF060000}"/>
    <cellStyle name="Comma 4 3 3 3 2 2 3" xfId="41953" xr:uid="{6E90909F-1C58-4C97-BD2C-2A82D9B66E3F}"/>
    <cellStyle name="Comma 4 3 3 3 2 3" xfId="1885" xr:uid="{00000000-0005-0000-0000-0000D0060000}"/>
    <cellStyle name="Comma 4 3 3 3 2 4" xfId="26608" xr:uid="{00000000-0005-0000-0000-0000D1060000}"/>
    <cellStyle name="Comma 4 3 3 3 2 5" xfId="33251" xr:uid="{DD1075F5-B426-4FC1-9B77-4D05A8FB0CC9}"/>
    <cellStyle name="Comma 4 3 3 3 3" xfId="266" xr:uid="{00000000-0005-0000-0000-0000D2060000}"/>
    <cellStyle name="Comma 4 3 3 3 3 2" xfId="1887" xr:uid="{00000000-0005-0000-0000-0000D3060000}"/>
    <cellStyle name="Comma 4 3 3 3 3 3" xfId="41737" xr:uid="{0399A574-0950-4087-89D0-83C6112E7338}"/>
    <cellStyle name="Comma 4 3 3 3 4" xfId="1884" xr:uid="{00000000-0005-0000-0000-0000D4060000}"/>
    <cellStyle name="Comma 4 3 3 3 5" xfId="26392" xr:uid="{00000000-0005-0000-0000-0000D5060000}"/>
    <cellStyle name="Comma 4 3 3 3 6" xfId="33035" xr:uid="{5517B955-07DF-402D-9698-61A3DF3B8CEE}"/>
    <cellStyle name="Comma 4 3 3 4" xfId="267" xr:uid="{00000000-0005-0000-0000-0000D6060000}"/>
    <cellStyle name="Comma 4 3 3 4 2" xfId="268" xr:uid="{00000000-0005-0000-0000-0000D7060000}"/>
    <cellStyle name="Comma 4 3 3 4 2 2" xfId="1889" xr:uid="{00000000-0005-0000-0000-0000D8060000}"/>
    <cellStyle name="Comma 4 3 3 4 2 3" xfId="41809" xr:uid="{F886C5A6-AF29-4501-B87C-79C618AA1481}"/>
    <cellStyle name="Comma 4 3 3 4 3" xfId="1888" xr:uid="{00000000-0005-0000-0000-0000D9060000}"/>
    <cellStyle name="Comma 4 3 3 4 4" xfId="26464" xr:uid="{00000000-0005-0000-0000-0000DA060000}"/>
    <cellStyle name="Comma 4 3 3 4 5" xfId="33107" xr:uid="{5BDD64FE-9FAE-456C-8AD5-BB0D545F5A34}"/>
    <cellStyle name="Comma 4 3 3 5" xfId="269" xr:uid="{00000000-0005-0000-0000-0000DB060000}"/>
    <cellStyle name="Comma 4 3 3 5 2" xfId="1890" xr:uid="{00000000-0005-0000-0000-0000DC060000}"/>
    <cellStyle name="Comma 4 3 3 5 3" xfId="41593" xr:uid="{7D64CB96-8B7B-4DD3-B687-3862D6ACD5B0}"/>
    <cellStyle name="Comma 4 3 3 6" xfId="1879" xr:uid="{00000000-0005-0000-0000-0000DD060000}"/>
    <cellStyle name="Comma 4 3 3 7" xfId="5663" xr:uid="{00000000-0005-0000-0000-0000DE060000}"/>
    <cellStyle name="Comma 4 3 3 8" xfId="26247" xr:uid="{00000000-0005-0000-0000-0000DF060000}"/>
    <cellStyle name="Comma 4 3 3 9" xfId="32854" xr:uid="{207A3054-FEFA-4051-8459-A0AE3DD96B66}"/>
    <cellStyle name="Comma 4 3 4" xfId="270" xr:uid="{00000000-0005-0000-0000-0000E0060000}"/>
    <cellStyle name="Comma 4 3 4 2" xfId="271" xr:uid="{00000000-0005-0000-0000-0000E1060000}"/>
    <cellStyle name="Comma 4 3 4 2 2" xfId="272" xr:uid="{00000000-0005-0000-0000-0000E2060000}"/>
    <cellStyle name="Comma 4 3 4 2 2 2" xfId="273" xr:uid="{00000000-0005-0000-0000-0000E3060000}"/>
    <cellStyle name="Comma 4 3 4 2 2 2 2" xfId="1894" xr:uid="{00000000-0005-0000-0000-0000E4060000}"/>
    <cellStyle name="Comma 4 3 4 2 2 2 3" xfId="41900" xr:uid="{6B0ACEBE-B5EE-4137-A481-3829175D9D52}"/>
    <cellStyle name="Comma 4 3 4 2 2 3" xfId="1893" xr:uid="{00000000-0005-0000-0000-0000E5060000}"/>
    <cellStyle name="Comma 4 3 4 2 2 4" xfId="26555" xr:uid="{00000000-0005-0000-0000-0000E6060000}"/>
    <cellStyle name="Comma 4 3 4 2 2 5" xfId="33198" xr:uid="{930454E5-8B1E-456C-9932-7257EBB1D0AE}"/>
    <cellStyle name="Comma 4 3 4 2 3" xfId="274" xr:uid="{00000000-0005-0000-0000-0000E7060000}"/>
    <cellStyle name="Comma 4 3 4 2 3 2" xfId="1895" xr:uid="{00000000-0005-0000-0000-0000E8060000}"/>
    <cellStyle name="Comma 4 3 4 2 3 3" xfId="41684" xr:uid="{781A53DB-42B4-47E4-AC5D-52F771F1A85A}"/>
    <cellStyle name="Comma 4 3 4 2 4" xfId="1892" xr:uid="{00000000-0005-0000-0000-0000E9060000}"/>
    <cellStyle name="Comma 4 3 4 2 5" xfId="26339" xr:uid="{00000000-0005-0000-0000-0000EA060000}"/>
    <cellStyle name="Comma 4 3 4 2 6" xfId="32982" xr:uid="{347C29E1-3709-4F5D-A149-45E4A9B8B063}"/>
    <cellStyle name="Comma 4 3 4 3" xfId="275" xr:uid="{00000000-0005-0000-0000-0000EB060000}"/>
    <cellStyle name="Comma 4 3 4 3 2" xfId="276" xr:uid="{00000000-0005-0000-0000-0000EC060000}"/>
    <cellStyle name="Comma 4 3 4 3 2 2" xfId="277" xr:uid="{00000000-0005-0000-0000-0000ED060000}"/>
    <cellStyle name="Comma 4 3 4 3 2 2 2" xfId="1898" xr:uid="{00000000-0005-0000-0000-0000EE060000}"/>
    <cellStyle name="Comma 4 3 4 3 2 2 3" xfId="41972" xr:uid="{4A58C2D2-B6C5-408A-B707-E27C93D2B141}"/>
    <cellStyle name="Comma 4 3 4 3 2 3" xfId="1897" xr:uid="{00000000-0005-0000-0000-0000EF060000}"/>
    <cellStyle name="Comma 4 3 4 3 2 4" xfId="26627" xr:uid="{00000000-0005-0000-0000-0000F0060000}"/>
    <cellStyle name="Comma 4 3 4 3 2 5" xfId="33270" xr:uid="{BF7709AD-80D3-4FBE-AE25-8C7F687FB0A3}"/>
    <cellStyle name="Comma 4 3 4 3 3" xfId="278" xr:uid="{00000000-0005-0000-0000-0000F1060000}"/>
    <cellStyle name="Comma 4 3 4 3 3 2" xfId="1899" xr:uid="{00000000-0005-0000-0000-0000F2060000}"/>
    <cellStyle name="Comma 4 3 4 3 3 3" xfId="41756" xr:uid="{B6FDE7D1-3FB2-4F38-AF52-86258C23CAEB}"/>
    <cellStyle name="Comma 4 3 4 3 4" xfId="1896" xr:uid="{00000000-0005-0000-0000-0000F3060000}"/>
    <cellStyle name="Comma 4 3 4 3 5" xfId="26411" xr:uid="{00000000-0005-0000-0000-0000F4060000}"/>
    <cellStyle name="Comma 4 3 4 3 6" xfId="33054" xr:uid="{A3AD82E6-2E4B-4DF4-B746-B4EE9FF324C4}"/>
    <cellStyle name="Comma 4 3 4 4" xfId="279" xr:uid="{00000000-0005-0000-0000-0000F5060000}"/>
    <cellStyle name="Comma 4 3 4 4 2" xfId="280" xr:uid="{00000000-0005-0000-0000-0000F6060000}"/>
    <cellStyle name="Comma 4 3 4 4 2 2" xfId="1901" xr:uid="{00000000-0005-0000-0000-0000F7060000}"/>
    <cellStyle name="Comma 4 3 4 4 2 3" xfId="41828" xr:uid="{72E7EF9C-B95F-4F3A-9795-1BBC29ED894D}"/>
    <cellStyle name="Comma 4 3 4 4 3" xfId="1900" xr:uid="{00000000-0005-0000-0000-0000F8060000}"/>
    <cellStyle name="Comma 4 3 4 4 4" xfId="26483" xr:uid="{00000000-0005-0000-0000-0000F9060000}"/>
    <cellStyle name="Comma 4 3 4 4 5" xfId="33126" xr:uid="{4993352F-BDAC-4174-9688-8E435AFBFC43}"/>
    <cellStyle name="Comma 4 3 4 5" xfId="281" xr:uid="{00000000-0005-0000-0000-0000FA060000}"/>
    <cellStyle name="Comma 4 3 4 5 2" xfId="1902" xr:uid="{00000000-0005-0000-0000-0000FB060000}"/>
    <cellStyle name="Comma 4 3 4 5 3" xfId="41612" xr:uid="{1B366D35-EAC6-4802-BD45-5BF83F5DF9D6}"/>
    <cellStyle name="Comma 4 3 4 6" xfId="1891" xr:uid="{00000000-0005-0000-0000-0000FC060000}"/>
    <cellStyle name="Comma 4 3 4 7" xfId="12547" xr:uid="{00000000-0005-0000-0000-0000FD060000}"/>
    <cellStyle name="Comma 4 3 4 8" xfId="26267" xr:uid="{00000000-0005-0000-0000-0000FE060000}"/>
    <cellStyle name="Comma 4 3 4 9" xfId="32888" xr:uid="{B0D31FD0-E2C4-46C1-AA5E-5C59A86D5B8A}"/>
    <cellStyle name="Comma 4 3 5" xfId="282" xr:uid="{00000000-0005-0000-0000-0000FF060000}"/>
    <cellStyle name="Comma 4 3 5 2" xfId="283" xr:uid="{00000000-0005-0000-0000-000000070000}"/>
    <cellStyle name="Comma 4 3 5 2 2" xfId="284" xr:uid="{00000000-0005-0000-0000-000001070000}"/>
    <cellStyle name="Comma 4 3 5 2 2 2" xfId="1905" xr:uid="{00000000-0005-0000-0000-000002070000}"/>
    <cellStyle name="Comma 4 3 5 2 2 3" xfId="41872" xr:uid="{B54438E4-5318-4AD1-BBE1-6599CF0D84C7}"/>
    <cellStyle name="Comma 4 3 5 2 3" xfId="1904" xr:uid="{00000000-0005-0000-0000-000003070000}"/>
    <cellStyle name="Comma 4 3 5 2 4" xfId="26527" xr:uid="{00000000-0005-0000-0000-000004070000}"/>
    <cellStyle name="Comma 4 3 5 2 5" xfId="33170" xr:uid="{05443B89-40FD-4AAE-9142-5035D53D502C}"/>
    <cellStyle name="Comma 4 3 5 3" xfId="285" xr:uid="{00000000-0005-0000-0000-000005070000}"/>
    <cellStyle name="Comma 4 3 5 3 2" xfId="1906" xr:uid="{00000000-0005-0000-0000-000006070000}"/>
    <cellStyle name="Comma 4 3 5 3 3" xfId="41656" xr:uid="{B69F99F5-2ACB-4ACE-AAAA-96CA1B290600}"/>
    <cellStyle name="Comma 4 3 5 4" xfId="1903" xr:uid="{00000000-0005-0000-0000-000007070000}"/>
    <cellStyle name="Comma 4 3 5 5" xfId="17243" xr:uid="{00000000-0005-0000-0000-000008070000}"/>
    <cellStyle name="Comma 4 3 5 6" xfId="26311" xr:uid="{00000000-0005-0000-0000-000009070000}"/>
    <cellStyle name="Comma 4 3 5 7" xfId="32948" xr:uid="{53FEE2E1-6F57-4AB4-8AC0-060C4F181D84}"/>
    <cellStyle name="Comma 4 3 6" xfId="286" xr:uid="{00000000-0005-0000-0000-00000A070000}"/>
    <cellStyle name="Comma 4 3 6 2" xfId="287" xr:uid="{00000000-0005-0000-0000-00000B070000}"/>
    <cellStyle name="Comma 4 3 6 2 2" xfId="288" xr:uid="{00000000-0005-0000-0000-00000C070000}"/>
    <cellStyle name="Comma 4 3 6 2 2 2" xfId="1909" xr:uid="{00000000-0005-0000-0000-00000D070000}"/>
    <cellStyle name="Comma 4 3 6 2 2 3" xfId="41944" xr:uid="{749E7D1D-D2DF-4977-AA8B-D9CB5538E6D0}"/>
    <cellStyle name="Comma 4 3 6 2 3" xfId="1908" xr:uid="{00000000-0005-0000-0000-00000E070000}"/>
    <cellStyle name="Comma 4 3 6 2 4" xfId="26599" xr:uid="{00000000-0005-0000-0000-00000F070000}"/>
    <cellStyle name="Comma 4 3 6 2 5" xfId="33242" xr:uid="{502F1C2B-3BCF-487E-A026-6ED50AB7AF4B}"/>
    <cellStyle name="Comma 4 3 6 3" xfId="289" xr:uid="{00000000-0005-0000-0000-000010070000}"/>
    <cellStyle name="Comma 4 3 6 3 2" xfId="1910" xr:uid="{00000000-0005-0000-0000-000011070000}"/>
    <cellStyle name="Comma 4 3 6 3 3" xfId="41728" xr:uid="{45A12C8C-176E-45B2-865D-CC62BDD0191F}"/>
    <cellStyle name="Comma 4 3 6 4" xfId="1907" xr:uid="{00000000-0005-0000-0000-000012070000}"/>
    <cellStyle name="Comma 4 3 6 5" xfId="21909" xr:uid="{00000000-0005-0000-0000-000013070000}"/>
    <cellStyle name="Comma 4 3 6 6" xfId="26383" xr:uid="{00000000-0005-0000-0000-000014070000}"/>
    <cellStyle name="Comma 4 3 6 7" xfId="33026" xr:uid="{2FF2AC9A-77DE-405A-9BFA-6C46AF0FA3AC}"/>
    <cellStyle name="Comma 4 3 7" xfId="290" xr:uid="{00000000-0005-0000-0000-000015070000}"/>
    <cellStyle name="Comma 4 3 7 2" xfId="291" xr:uid="{00000000-0005-0000-0000-000016070000}"/>
    <cellStyle name="Comma 4 3 7 2 2" xfId="1912" xr:uid="{00000000-0005-0000-0000-000017070000}"/>
    <cellStyle name="Comma 4 3 7 2 3" xfId="41800" xr:uid="{F47CF3CE-9E52-464F-827C-66C4929A50F4}"/>
    <cellStyle name="Comma 4 3 7 3" xfId="1911" xr:uid="{00000000-0005-0000-0000-000018070000}"/>
    <cellStyle name="Comma 4 3 7 4" xfId="24119" xr:uid="{00000000-0005-0000-0000-000019070000}"/>
    <cellStyle name="Comma 4 3 7 5" xfId="26455" xr:uid="{00000000-0005-0000-0000-00001A070000}"/>
    <cellStyle name="Comma 4 3 7 6" xfId="33098" xr:uid="{C5423549-6947-4B00-B0D4-A3381AD79576}"/>
    <cellStyle name="Comma 4 3 8" xfId="292" xr:uid="{00000000-0005-0000-0000-00001B070000}"/>
    <cellStyle name="Comma 4 3 8 2" xfId="1913" xr:uid="{00000000-0005-0000-0000-00001C070000}"/>
    <cellStyle name="Comma 4 3 8 3" xfId="41584" xr:uid="{BB03703F-2D2A-4CDE-B3FD-886545E0FA22}"/>
    <cellStyle name="Comma 4 3 9" xfId="1866" xr:uid="{00000000-0005-0000-0000-00001D070000}"/>
    <cellStyle name="Comma 4 3 9 2" xfId="26182" xr:uid="{00000000-0005-0000-0000-00001E070000}"/>
    <cellStyle name="Comma 4 4" xfId="1745" xr:uid="{00000000-0005-0000-0000-00001F070000}"/>
    <cellStyle name="Comma 4 4 2" xfId="7699" xr:uid="{00000000-0005-0000-0000-000020070000}"/>
    <cellStyle name="Comma 4 4 2 2" xfId="26914" xr:uid="{00000000-0005-0000-0000-000021070000}"/>
    <cellStyle name="Comma 4 4 3" xfId="14574" xr:uid="{00000000-0005-0000-0000-000022070000}"/>
    <cellStyle name="Comma 4 4 4" xfId="19270" xr:uid="{00000000-0005-0000-0000-000023070000}"/>
    <cellStyle name="Comma 4 4 5" xfId="23766" xr:uid="{00000000-0005-0000-0000-000024070000}"/>
    <cellStyle name="Comma 4 4 6" xfId="24126" xr:uid="{00000000-0005-0000-0000-000025070000}"/>
    <cellStyle name="Comma 4 4 7" xfId="5161" xr:uid="{00000000-0005-0000-0000-000026070000}"/>
    <cellStyle name="Comma 4 4 8" xfId="25811" xr:uid="{00000000-0005-0000-0000-000027070000}"/>
    <cellStyle name="Comma 4 5" xfId="5240" xr:uid="{00000000-0005-0000-0000-000028070000}"/>
    <cellStyle name="Comma 4 5 2" xfId="7779" xr:uid="{00000000-0005-0000-0000-000029070000}"/>
    <cellStyle name="Comma 4 5 3" xfId="14653" xr:uid="{00000000-0005-0000-0000-00002A070000}"/>
    <cellStyle name="Comma 4 5 4" xfId="19349" xr:uid="{00000000-0005-0000-0000-00002B070000}"/>
    <cellStyle name="Comma 4 5 5" xfId="23844" xr:uid="{00000000-0005-0000-0000-00002C070000}"/>
    <cellStyle name="Comma 4 5 6" xfId="24136" xr:uid="{00000000-0005-0000-0000-00002D070000}"/>
    <cellStyle name="Comma 4 5 7" xfId="26092" xr:uid="{00000000-0005-0000-0000-00002E070000}"/>
    <cellStyle name="Comma 4 6" xfId="5416" xr:uid="{00000000-0005-0000-0000-00002F070000}"/>
    <cellStyle name="Comma 4 7" xfId="5542" xr:uid="{00000000-0005-0000-0000-000030070000}"/>
    <cellStyle name="Comma 4 8" xfId="12425" xr:uid="{00000000-0005-0000-0000-000031070000}"/>
    <cellStyle name="Comma 4 9" xfId="17121" xr:uid="{00000000-0005-0000-0000-000032070000}"/>
    <cellStyle name="Comma 40" xfId="293" xr:uid="{00000000-0005-0000-0000-000033070000}"/>
    <cellStyle name="Comma 41" xfId="294" xr:uid="{00000000-0005-0000-0000-000034070000}"/>
    <cellStyle name="Comma 42" xfId="295" xr:uid="{00000000-0005-0000-0000-000035070000}"/>
    <cellStyle name="Comma 43" xfId="296" xr:uid="{00000000-0005-0000-0000-000036070000}"/>
    <cellStyle name="Comma 44" xfId="297" xr:uid="{00000000-0005-0000-0000-000037070000}"/>
    <cellStyle name="Comma 45" xfId="298" xr:uid="{00000000-0005-0000-0000-000038070000}"/>
    <cellStyle name="Comma 46" xfId="299" xr:uid="{00000000-0005-0000-0000-000039070000}"/>
    <cellStyle name="Comma 47" xfId="300" xr:uid="{00000000-0005-0000-0000-00003A070000}"/>
    <cellStyle name="Comma 48" xfId="301" xr:uid="{00000000-0005-0000-0000-00003B070000}"/>
    <cellStyle name="Comma 49" xfId="302" xr:uid="{00000000-0005-0000-0000-00003C070000}"/>
    <cellStyle name="Comma 5" xfId="303" xr:uid="{00000000-0005-0000-0000-00003D070000}"/>
    <cellStyle name="Comma 5 10" xfId="5114" xr:uid="{00000000-0005-0000-0000-00003E070000}"/>
    <cellStyle name="Comma 5 10 2" xfId="26065" xr:uid="{00000000-0005-0000-0000-00003F070000}"/>
    <cellStyle name="Comma 5 10 3" xfId="25980" xr:uid="{00000000-0005-0000-0000-000040070000}"/>
    <cellStyle name="Comma 5 11" xfId="25987" xr:uid="{00000000-0005-0000-0000-000041070000}"/>
    <cellStyle name="Comma 5 12" xfId="25641" xr:uid="{00000000-0005-0000-0000-000042070000}"/>
    <cellStyle name="Comma 5 13" xfId="32578" xr:uid="{0B849B1F-3BFA-4BA8-ABDE-E88CCDCD662B}"/>
    <cellStyle name="Comma 5 2" xfId="304" xr:uid="{00000000-0005-0000-0000-000043070000}"/>
    <cellStyle name="Comma 5 2 2" xfId="1747" xr:uid="{00000000-0005-0000-0000-000044070000}"/>
    <cellStyle name="Comma 5 2 2 2" xfId="2850" xr:uid="{00000000-0005-0000-0000-000045070000}"/>
    <cellStyle name="Comma 5 2 2 3" xfId="7782" xr:uid="{00000000-0005-0000-0000-000046070000}"/>
    <cellStyle name="Comma 5 2 2 4" xfId="25812" xr:uid="{00000000-0005-0000-0000-000047070000}"/>
    <cellStyle name="Comma 5 2 3" xfId="1777" xr:uid="{00000000-0005-0000-0000-000048070000}"/>
    <cellStyle name="Comma 5 2 3 2" xfId="2873" xr:uid="{00000000-0005-0000-0000-000049070000}"/>
    <cellStyle name="Comma 5 2 3 2 2" xfId="25814" xr:uid="{00000000-0005-0000-0000-00004A070000}"/>
    <cellStyle name="Comma 5 2 3 3" xfId="14656" xr:uid="{00000000-0005-0000-0000-00004B070000}"/>
    <cellStyle name="Comma 5 2 3 4" xfId="25813" xr:uid="{00000000-0005-0000-0000-00004C070000}"/>
    <cellStyle name="Comma 5 2 4" xfId="19352" xr:uid="{00000000-0005-0000-0000-00004D070000}"/>
    <cellStyle name="Comma 5 2 4 2" xfId="26023" xr:uid="{00000000-0005-0000-0000-00004E070000}"/>
    <cellStyle name="Comma 5 2 4 3" xfId="25815" xr:uid="{00000000-0005-0000-0000-00004F070000}"/>
    <cellStyle name="Comma 5 2 5" xfId="23847" xr:uid="{00000000-0005-0000-0000-000050070000}"/>
    <cellStyle name="Comma 5 2 5 2" xfId="25816" xr:uid="{00000000-0005-0000-0000-000051070000}"/>
    <cellStyle name="Comma 5 2 6" xfId="24139" xr:uid="{00000000-0005-0000-0000-000052070000}"/>
    <cellStyle name="Comma 5 2 6 2" xfId="26915" xr:uid="{00000000-0005-0000-0000-000053070000}"/>
    <cellStyle name="Comma 5 2 7" xfId="5243" xr:uid="{00000000-0005-0000-0000-000054070000}"/>
    <cellStyle name="Comma 5 3" xfId="1746" xr:uid="{00000000-0005-0000-0000-000055070000}"/>
    <cellStyle name="Comma 5 3 2" xfId="2849" xr:uid="{00000000-0005-0000-0000-000056070000}"/>
    <cellStyle name="Comma 5 3 2 2" xfId="7851" xr:uid="{00000000-0005-0000-0000-000057070000}"/>
    <cellStyle name="Comma 5 3 2 2 2" xfId="25819" xr:uid="{00000000-0005-0000-0000-000058070000}"/>
    <cellStyle name="Comma 5 3 2 3" xfId="26024" xr:uid="{00000000-0005-0000-0000-000059070000}"/>
    <cellStyle name="Comma 5 3 2 4" xfId="25818" xr:uid="{00000000-0005-0000-0000-00005A070000}"/>
    <cellStyle name="Comma 5 3 3" xfId="14725" xr:uid="{00000000-0005-0000-0000-00005B070000}"/>
    <cellStyle name="Comma 5 3 3 2" xfId="26025" xr:uid="{00000000-0005-0000-0000-00005C070000}"/>
    <cellStyle name="Comma 5 3 3 3" xfId="25820" xr:uid="{00000000-0005-0000-0000-00005D070000}"/>
    <cellStyle name="Comma 5 3 4" xfId="19421" xr:uid="{00000000-0005-0000-0000-00005E070000}"/>
    <cellStyle name="Comma 5 3 4 2" xfId="25821" xr:uid="{00000000-0005-0000-0000-00005F070000}"/>
    <cellStyle name="Comma 5 3 5" xfId="23911" xr:uid="{00000000-0005-0000-0000-000060070000}"/>
    <cellStyle name="Comma 5 3 5 2" xfId="26916" xr:uid="{00000000-0005-0000-0000-000061070000}"/>
    <cellStyle name="Comma 5 3 6" xfId="5310" xr:uid="{00000000-0005-0000-0000-000062070000}"/>
    <cellStyle name="Comma 5 3 7" xfId="25817" xr:uid="{00000000-0005-0000-0000-000063070000}"/>
    <cellStyle name="Comma 5 4" xfId="1776" xr:uid="{00000000-0005-0000-0000-000064070000}"/>
    <cellStyle name="Comma 5 4 2" xfId="2872" xr:uid="{00000000-0005-0000-0000-000065070000}"/>
    <cellStyle name="Comma 5 4 2 2" xfId="26917" xr:uid="{00000000-0005-0000-0000-000066070000}"/>
    <cellStyle name="Comma 5 4 3" xfId="5417" xr:uid="{00000000-0005-0000-0000-000067070000}"/>
    <cellStyle name="Comma 5 4 4" xfId="25822" xr:uid="{00000000-0005-0000-0000-000068070000}"/>
    <cellStyle name="Comma 5 5" xfId="1914" xr:uid="{00000000-0005-0000-0000-000069070000}"/>
    <cellStyle name="Comma 5 5 2" xfId="7652" xr:uid="{00000000-0005-0000-0000-00006A070000}"/>
    <cellStyle name="Comma 5 5 2 2" xfId="25824" xr:uid="{00000000-0005-0000-0000-00006B070000}"/>
    <cellStyle name="Comma 5 5 3" xfId="26026" xr:uid="{00000000-0005-0000-0000-00006C070000}"/>
    <cellStyle name="Comma 5 5 4" xfId="25823" xr:uid="{00000000-0005-0000-0000-00006D070000}"/>
    <cellStyle name="Comma 5 6" xfId="14527" xr:uid="{00000000-0005-0000-0000-00006E070000}"/>
    <cellStyle name="Comma 5 6 2" xfId="26027" xr:uid="{00000000-0005-0000-0000-00006F070000}"/>
    <cellStyle name="Comma 5 6 3" xfId="25825" xr:uid="{00000000-0005-0000-0000-000070070000}"/>
    <cellStyle name="Comma 5 7" xfId="19223" xr:uid="{00000000-0005-0000-0000-000071070000}"/>
    <cellStyle name="Comma 5 7 2" xfId="25826" xr:uid="{00000000-0005-0000-0000-000072070000}"/>
    <cellStyle name="Comma 5 8" xfId="23720" xr:uid="{00000000-0005-0000-0000-000073070000}"/>
    <cellStyle name="Comma 5 8 2" xfId="26048" xr:uid="{00000000-0005-0000-0000-000074070000}"/>
    <cellStyle name="Comma 5 8 3" xfId="25958" xr:uid="{00000000-0005-0000-0000-000075070000}"/>
    <cellStyle name="Comma 5 9" xfId="24123" xr:uid="{00000000-0005-0000-0000-000076070000}"/>
    <cellStyle name="Comma 5 9 2" xfId="26060" xr:uid="{00000000-0005-0000-0000-000077070000}"/>
    <cellStyle name="Comma 5 9 3" xfId="25974" xr:uid="{00000000-0005-0000-0000-000078070000}"/>
    <cellStyle name="Comma 50" xfId="305" xr:uid="{00000000-0005-0000-0000-000079070000}"/>
    <cellStyle name="Comma 51" xfId="306" xr:uid="{00000000-0005-0000-0000-00007A070000}"/>
    <cellStyle name="Comma 52" xfId="307" xr:uid="{00000000-0005-0000-0000-00007B070000}"/>
    <cellStyle name="Comma 53" xfId="308" xr:uid="{00000000-0005-0000-0000-00007C070000}"/>
    <cellStyle name="Comma 54" xfId="309" xr:uid="{00000000-0005-0000-0000-00007D070000}"/>
    <cellStyle name="Comma 55" xfId="310" xr:uid="{00000000-0005-0000-0000-00007E070000}"/>
    <cellStyle name="Comma 56" xfId="311" xr:uid="{00000000-0005-0000-0000-00007F070000}"/>
    <cellStyle name="Comma 57" xfId="312" xr:uid="{00000000-0005-0000-0000-000080070000}"/>
    <cellStyle name="Comma 58" xfId="313" xr:uid="{00000000-0005-0000-0000-000081070000}"/>
    <cellStyle name="Comma 59" xfId="314" xr:uid="{00000000-0005-0000-0000-000082070000}"/>
    <cellStyle name="Comma 6" xfId="315" xr:uid="{00000000-0005-0000-0000-000083070000}"/>
    <cellStyle name="Comma 6 2" xfId="316" xr:uid="{00000000-0005-0000-0000-000084070000}"/>
    <cellStyle name="Comma 6 2 10" xfId="42131" xr:uid="{C13FE630-9611-4571-AE92-048B58C97D54}"/>
    <cellStyle name="Comma 6 2 2" xfId="317" xr:uid="{00000000-0005-0000-0000-000085070000}"/>
    <cellStyle name="Comma 6 2 2 2" xfId="318" xr:uid="{00000000-0005-0000-0000-000086070000}"/>
    <cellStyle name="Comma 6 2 2 2 2" xfId="1917" xr:uid="{00000000-0005-0000-0000-000087070000}"/>
    <cellStyle name="Comma 6 2 2 2 2 2" xfId="24896" xr:uid="{00000000-0005-0000-0000-000088070000}"/>
    <cellStyle name="Comma 6 2 2 2 2 2 2" xfId="25619" xr:uid="{00000000-0005-0000-0000-000089070000}"/>
    <cellStyle name="Comma 6 2 2 2 2 3" xfId="24517" xr:uid="{00000000-0005-0000-0000-00008A070000}"/>
    <cellStyle name="Comma 6 2 2 2 2 4" xfId="25262" xr:uid="{00000000-0005-0000-0000-00008B070000}"/>
    <cellStyle name="Comma 6 2 2 2 3" xfId="24716" xr:uid="{00000000-0005-0000-0000-00008C070000}"/>
    <cellStyle name="Comma 6 2 2 2 3 2" xfId="25439" xr:uid="{00000000-0005-0000-0000-00008D070000}"/>
    <cellStyle name="Comma 6 2 2 2 4" xfId="24337" xr:uid="{00000000-0005-0000-0000-00008E070000}"/>
    <cellStyle name="Comma 6 2 2 2 5" xfId="25082" xr:uid="{00000000-0005-0000-0000-00008F070000}"/>
    <cellStyle name="Comma 6 2 2 3" xfId="1916" xr:uid="{00000000-0005-0000-0000-000090070000}"/>
    <cellStyle name="Comma 6 2 2 3 2" xfId="24808" xr:uid="{00000000-0005-0000-0000-000091070000}"/>
    <cellStyle name="Comma 6 2 2 3 2 2" xfId="25531" xr:uid="{00000000-0005-0000-0000-000092070000}"/>
    <cellStyle name="Comma 6 2 2 3 3" xfId="24429" xr:uid="{00000000-0005-0000-0000-000093070000}"/>
    <cellStyle name="Comma 6 2 2 3 4" xfId="25174" xr:uid="{00000000-0005-0000-0000-000094070000}"/>
    <cellStyle name="Comma 6 2 2 4" xfId="7784" xr:uid="{00000000-0005-0000-0000-000095070000}"/>
    <cellStyle name="Comma 6 2 2 4 2" xfId="24628" xr:uid="{00000000-0005-0000-0000-000096070000}"/>
    <cellStyle name="Comma 6 2 2 4 3" xfId="25351" xr:uid="{00000000-0005-0000-0000-000097070000}"/>
    <cellStyle name="Comma 6 2 2 5" xfId="24249" xr:uid="{00000000-0005-0000-0000-000098070000}"/>
    <cellStyle name="Comma 6 2 2 6" xfId="24994" xr:uid="{00000000-0005-0000-0000-000099070000}"/>
    <cellStyle name="Comma 6 2 3" xfId="319" xr:uid="{00000000-0005-0000-0000-00009A070000}"/>
    <cellStyle name="Comma 6 2 3 2" xfId="1918" xr:uid="{00000000-0005-0000-0000-00009B070000}"/>
    <cellStyle name="Comma 6 2 3 2 2" xfId="24852" xr:uid="{00000000-0005-0000-0000-00009C070000}"/>
    <cellStyle name="Comma 6 2 3 2 2 2" xfId="25575" xr:uid="{00000000-0005-0000-0000-00009D070000}"/>
    <cellStyle name="Comma 6 2 3 2 3" xfId="24473" xr:uid="{00000000-0005-0000-0000-00009E070000}"/>
    <cellStyle name="Comma 6 2 3 2 4" xfId="25218" xr:uid="{00000000-0005-0000-0000-00009F070000}"/>
    <cellStyle name="Comma 6 2 3 3" xfId="14658" xr:uid="{00000000-0005-0000-0000-0000A0070000}"/>
    <cellStyle name="Comma 6 2 3 3 2" xfId="24672" xr:uid="{00000000-0005-0000-0000-0000A1070000}"/>
    <cellStyle name="Comma 6 2 3 3 3" xfId="25395" xr:uid="{00000000-0005-0000-0000-0000A2070000}"/>
    <cellStyle name="Comma 6 2 3 4" xfId="24293" xr:uid="{00000000-0005-0000-0000-0000A3070000}"/>
    <cellStyle name="Comma 6 2 3 5" xfId="25038" xr:uid="{00000000-0005-0000-0000-0000A4070000}"/>
    <cellStyle name="Comma 6 2 4" xfId="320" xr:uid="{00000000-0005-0000-0000-0000A5070000}"/>
    <cellStyle name="Comma 6 2 4 2" xfId="19354" xr:uid="{00000000-0005-0000-0000-0000A6070000}"/>
    <cellStyle name="Comma 6 2 4 2 2" xfId="24764" xr:uid="{00000000-0005-0000-0000-0000A7070000}"/>
    <cellStyle name="Comma 6 2 4 2 3" xfId="25487" xr:uid="{00000000-0005-0000-0000-0000A8070000}"/>
    <cellStyle name="Comma 6 2 4 3" xfId="24385" xr:uid="{00000000-0005-0000-0000-0000A9070000}"/>
    <cellStyle name="Comma 6 2 4 4" xfId="25130" xr:uid="{00000000-0005-0000-0000-0000AA070000}"/>
    <cellStyle name="Comma 6 2 5" xfId="1915" xr:uid="{00000000-0005-0000-0000-0000AB070000}"/>
    <cellStyle name="Comma 6 2 5 2" xfId="23849" xr:uid="{00000000-0005-0000-0000-0000AC070000}"/>
    <cellStyle name="Comma 6 2 5 3" xfId="24584" xr:uid="{00000000-0005-0000-0000-0000AD070000}"/>
    <cellStyle name="Comma 6 2 5 4" xfId="25307" xr:uid="{00000000-0005-0000-0000-0000AE070000}"/>
    <cellStyle name="Comma 6 2 6" xfId="24141" xr:uid="{00000000-0005-0000-0000-0000AF070000}"/>
    <cellStyle name="Comma 6 2 7" xfId="5245" xr:uid="{00000000-0005-0000-0000-0000B0070000}"/>
    <cellStyle name="Comma 6 2 8" xfId="24205" xr:uid="{00000000-0005-0000-0000-0000B1070000}"/>
    <cellStyle name="Comma 6 2 9" xfId="24950" xr:uid="{00000000-0005-0000-0000-0000B2070000}"/>
    <cellStyle name="Comma 6 3" xfId="321" xr:uid="{00000000-0005-0000-0000-0000B3070000}"/>
    <cellStyle name="Comma 6 3 2" xfId="322" xr:uid="{00000000-0005-0000-0000-0000B4070000}"/>
    <cellStyle name="Comma 6 3 2 2" xfId="26050" xr:uid="{00000000-0005-0000-0000-0000B5070000}"/>
    <cellStyle name="Comma 6 3 3" xfId="7655" xr:uid="{00000000-0005-0000-0000-0000B6070000}"/>
    <cellStyle name="Comma 6 3 3 2" xfId="26236" xr:uid="{00000000-0005-0000-0000-0000B7070000}"/>
    <cellStyle name="Comma 6 3 4" xfId="25960" xr:uid="{00000000-0005-0000-0000-0000B8070000}"/>
    <cellStyle name="Comma 6 3 5" xfId="32840" xr:uid="{966939B4-32AF-4EA7-A12C-33F22E92659C}"/>
    <cellStyle name="Comma 6 4" xfId="1748" xr:uid="{00000000-0005-0000-0000-0000B9070000}"/>
    <cellStyle name="Comma 6 4 2" xfId="14530" xr:uid="{00000000-0005-0000-0000-0000BA070000}"/>
    <cellStyle name="Comma 6 4 2 2" xfId="26062" xr:uid="{00000000-0005-0000-0000-0000BB070000}"/>
    <cellStyle name="Comma 6 4 3" xfId="25976" xr:uid="{00000000-0005-0000-0000-0000BC070000}"/>
    <cellStyle name="Comma 6 5" xfId="19226" xr:uid="{00000000-0005-0000-0000-0000BD070000}"/>
    <cellStyle name="Comma 6 5 2" xfId="26067" xr:uid="{00000000-0005-0000-0000-0000BE070000}"/>
    <cellStyle name="Comma 6 5 3" xfId="25982" xr:uid="{00000000-0005-0000-0000-0000BF070000}"/>
    <cellStyle name="Comma 6 6" xfId="23723" xr:uid="{00000000-0005-0000-0000-0000C0070000}"/>
    <cellStyle name="Comma 6 6 2" xfId="25989" xr:uid="{00000000-0005-0000-0000-0000C1070000}"/>
    <cellStyle name="Comma 6 7" xfId="24125" xr:uid="{00000000-0005-0000-0000-0000C2070000}"/>
    <cellStyle name="Comma 6 8" xfId="5117" xr:uid="{00000000-0005-0000-0000-0000C3070000}"/>
    <cellStyle name="Comma 6 9" xfId="25643" xr:uid="{00000000-0005-0000-0000-0000C4070000}"/>
    <cellStyle name="Comma 60" xfId="323" xr:uid="{00000000-0005-0000-0000-0000C5070000}"/>
    <cellStyle name="Comma 61" xfId="324" xr:uid="{00000000-0005-0000-0000-0000C6070000}"/>
    <cellStyle name="Comma 62" xfId="325" xr:uid="{00000000-0005-0000-0000-0000C7070000}"/>
    <cellStyle name="Comma 63" xfId="326" xr:uid="{00000000-0005-0000-0000-0000C8070000}"/>
    <cellStyle name="Comma 64" xfId="327" xr:uid="{00000000-0005-0000-0000-0000C9070000}"/>
    <cellStyle name="Comma 65" xfId="328" xr:uid="{00000000-0005-0000-0000-0000CA070000}"/>
    <cellStyle name="Comma 66" xfId="329" xr:uid="{00000000-0005-0000-0000-0000CB070000}"/>
    <cellStyle name="Comma 67" xfId="330" xr:uid="{00000000-0005-0000-0000-0000CC070000}"/>
    <cellStyle name="Comma 68" xfId="331" xr:uid="{00000000-0005-0000-0000-0000CD070000}"/>
    <cellStyle name="Comma 69" xfId="332" xr:uid="{00000000-0005-0000-0000-0000CE070000}"/>
    <cellStyle name="Comma 7" xfId="333" xr:uid="{00000000-0005-0000-0000-0000CF070000}"/>
    <cellStyle name="Comma 7 2" xfId="5247" xr:uid="{00000000-0005-0000-0000-0000D0070000}"/>
    <cellStyle name="Comma 7 2 2" xfId="7786" xr:uid="{00000000-0005-0000-0000-0000D1070000}"/>
    <cellStyle name="Comma 7 2 2 2" xfId="26918" xr:uid="{00000000-0005-0000-0000-0000D2070000}"/>
    <cellStyle name="Comma 7 2 3" xfId="14660" xr:uid="{00000000-0005-0000-0000-0000D3070000}"/>
    <cellStyle name="Comma 7 2 4" xfId="19356" xr:uid="{00000000-0005-0000-0000-0000D4070000}"/>
    <cellStyle name="Comma 7 2 5" xfId="23851" xr:uid="{00000000-0005-0000-0000-0000D5070000}"/>
    <cellStyle name="Comma 7 2 6" xfId="24143" xr:uid="{00000000-0005-0000-0000-0000D6070000}"/>
    <cellStyle name="Comma 7 2 7" xfId="25827" xr:uid="{00000000-0005-0000-0000-0000D7070000}"/>
    <cellStyle name="Comma 7 3" xfId="7703" xr:uid="{00000000-0005-0000-0000-0000D8070000}"/>
    <cellStyle name="Comma 7 3 2" xfId="25829" xr:uid="{00000000-0005-0000-0000-0000D9070000}"/>
    <cellStyle name="Comma 7 3 3" xfId="25828" xr:uid="{00000000-0005-0000-0000-0000DA070000}"/>
    <cellStyle name="Comma 7 4" xfId="14578" xr:uid="{00000000-0005-0000-0000-0000DB070000}"/>
    <cellStyle name="Comma 7 4 2" xfId="25991" xr:uid="{00000000-0005-0000-0000-0000DC070000}"/>
    <cellStyle name="Comma 7 5" xfId="19274" xr:uid="{00000000-0005-0000-0000-0000DD070000}"/>
    <cellStyle name="Comma 7 6" xfId="23770" xr:uid="{00000000-0005-0000-0000-0000DE070000}"/>
    <cellStyle name="Comma 7 7" xfId="24130" xr:uid="{00000000-0005-0000-0000-0000DF070000}"/>
    <cellStyle name="Comma 7 8" xfId="5165" xr:uid="{00000000-0005-0000-0000-0000E0070000}"/>
    <cellStyle name="Comma 7 9" xfId="25645" xr:uid="{00000000-0005-0000-0000-0000E1070000}"/>
    <cellStyle name="Comma 70" xfId="334" xr:uid="{00000000-0005-0000-0000-0000E2070000}"/>
    <cellStyle name="Comma 71" xfId="335" xr:uid="{00000000-0005-0000-0000-0000E3070000}"/>
    <cellStyle name="Comma 72" xfId="336" xr:uid="{00000000-0005-0000-0000-0000E4070000}"/>
    <cellStyle name="Comma 73" xfId="337" xr:uid="{00000000-0005-0000-0000-0000E5070000}"/>
    <cellStyle name="Comma 74" xfId="338" xr:uid="{00000000-0005-0000-0000-0000E6070000}"/>
    <cellStyle name="Comma 75" xfId="339" xr:uid="{00000000-0005-0000-0000-0000E7070000}"/>
    <cellStyle name="Comma 76" xfId="340" xr:uid="{00000000-0005-0000-0000-0000E8070000}"/>
    <cellStyle name="Comma 77" xfId="341" xr:uid="{00000000-0005-0000-0000-0000E9070000}"/>
    <cellStyle name="Comma 78" xfId="342" xr:uid="{00000000-0005-0000-0000-0000EA070000}"/>
    <cellStyle name="Comma 79" xfId="343" xr:uid="{00000000-0005-0000-0000-0000EB070000}"/>
    <cellStyle name="Comma 8" xfId="344" xr:uid="{00000000-0005-0000-0000-0000EC070000}"/>
    <cellStyle name="Comma 8 2" xfId="345" xr:uid="{00000000-0005-0000-0000-0000ED070000}"/>
    <cellStyle name="Comma 8 2 2" xfId="346" xr:uid="{00000000-0005-0000-0000-0000EE070000}"/>
    <cellStyle name="Comma 8 2 3" xfId="5398" xr:uid="{00000000-0005-0000-0000-0000EF070000}"/>
    <cellStyle name="Comma 8 2 4" xfId="42355" xr:uid="{B5687590-6330-49AD-808D-92349BB76551}"/>
    <cellStyle name="Comma 8 3" xfId="347" xr:uid="{00000000-0005-0000-0000-0000F0070000}"/>
    <cellStyle name="Comma 8 3 2" xfId="7821" xr:uid="{00000000-0005-0000-0000-0000F1070000}"/>
    <cellStyle name="Comma 8 4" xfId="14695" xr:uid="{00000000-0005-0000-0000-0000F2070000}"/>
    <cellStyle name="Comma 8 4 2" xfId="26113" xr:uid="{00000000-0005-0000-0000-0000F3070000}"/>
    <cellStyle name="Comma 8 5" xfId="19391" xr:uid="{00000000-0005-0000-0000-0000F4070000}"/>
    <cellStyle name="Comma 8 6" xfId="23882" xr:uid="{00000000-0005-0000-0000-0000F5070000}"/>
    <cellStyle name="Comma 8 7" xfId="5281" xr:uid="{00000000-0005-0000-0000-0000F6070000}"/>
    <cellStyle name="Comma 80" xfId="348" xr:uid="{00000000-0005-0000-0000-0000F7070000}"/>
    <cellStyle name="Comma 81" xfId="349" xr:uid="{00000000-0005-0000-0000-0000F8070000}"/>
    <cellStyle name="Comma 82" xfId="350" xr:uid="{00000000-0005-0000-0000-0000F9070000}"/>
    <cellStyle name="Comma 83" xfId="351" xr:uid="{00000000-0005-0000-0000-0000FA070000}"/>
    <cellStyle name="Comma 84" xfId="352" xr:uid="{00000000-0005-0000-0000-0000FB070000}"/>
    <cellStyle name="Comma 84 2" xfId="353" xr:uid="{00000000-0005-0000-0000-0000FC070000}"/>
    <cellStyle name="Comma 85" xfId="354" xr:uid="{00000000-0005-0000-0000-0000FD070000}"/>
    <cellStyle name="Comma 85 2" xfId="355" xr:uid="{00000000-0005-0000-0000-0000FE070000}"/>
    <cellStyle name="Comma 86" xfId="356" xr:uid="{00000000-0005-0000-0000-0000FF070000}"/>
    <cellStyle name="Comma 87" xfId="357" xr:uid="{00000000-0005-0000-0000-000000080000}"/>
    <cellStyle name="Comma 88" xfId="358" xr:uid="{00000000-0005-0000-0000-000001080000}"/>
    <cellStyle name="Comma 88 2" xfId="32542" xr:uid="{F8C13ECB-F048-4BB4-B16D-51D4BC9811D3}"/>
    <cellStyle name="Comma 88 2 2 2" xfId="32547" xr:uid="{1C26228B-8727-4F8D-8FC9-08EEF2CC7296}"/>
    <cellStyle name="Comma 89" xfId="359" xr:uid="{00000000-0005-0000-0000-000002080000}"/>
    <cellStyle name="Comma 9" xfId="360" xr:uid="{00000000-0005-0000-0000-000003080000}"/>
    <cellStyle name="Comma 9 2" xfId="361" xr:uid="{00000000-0005-0000-0000-000004080000}"/>
    <cellStyle name="Comma 9 2 2" xfId="24152" xr:uid="{00000000-0005-0000-0000-000005080000}"/>
    <cellStyle name="Comma 9 2 2 2" xfId="24148" xr:uid="{00000000-0005-0000-0000-000006080000}"/>
    <cellStyle name="Comma 9 2 2 2 2" xfId="32510" xr:uid="{00000000-0005-0000-0000-000007080000}"/>
    <cellStyle name="Comma 9 2 2 3" xfId="26144" xr:uid="{00000000-0005-0000-0000-000008080000}"/>
    <cellStyle name="Comma 9 2 3" xfId="24151" xr:uid="{00000000-0005-0000-0000-000009080000}"/>
    <cellStyle name="Comma 9 2 4" xfId="25830" xr:uid="{00000000-0005-0000-0000-00000A080000}"/>
    <cellStyle name="Comma 9 3" xfId="362" xr:uid="{00000000-0005-0000-0000-00000B080000}"/>
    <cellStyle name="Comma 9 3 2" xfId="24153" xr:uid="{00000000-0005-0000-0000-00000C080000}"/>
    <cellStyle name="Comma 9 4" xfId="5402" xr:uid="{00000000-0005-0000-0000-00000D080000}"/>
    <cellStyle name="Comma 9 4 2" xfId="26114" xr:uid="{00000000-0005-0000-0000-00000E080000}"/>
    <cellStyle name="Comma 90" xfId="1742" xr:uid="{00000000-0005-0000-0000-00000F080000}"/>
    <cellStyle name="Comma 90 2" xfId="2848" xr:uid="{00000000-0005-0000-0000-000010080000}"/>
    <cellStyle name="Comma 91" xfId="1765" xr:uid="{00000000-0005-0000-0000-000011080000}"/>
    <cellStyle name="Comma 91 2" xfId="2861" xr:uid="{00000000-0005-0000-0000-000012080000}"/>
    <cellStyle name="Comma 92" xfId="1770" xr:uid="{00000000-0005-0000-0000-000013080000}"/>
    <cellStyle name="Comma 92 2" xfId="2866" xr:uid="{00000000-0005-0000-0000-000014080000}"/>
    <cellStyle name="Comma 93" xfId="1757" xr:uid="{00000000-0005-0000-0000-000015080000}"/>
    <cellStyle name="Comma 93 2" xfId="2855" xr:uid="{00000000-0005-0000-0000-000016080000}"/>
    <cellStyle name="Comma 94" xfId="1771" xr:uid="{00000000-0005-0000-0000-000017080000}"/>
    <cellStyle name="Comma 94 2" xfId="2867" xr:uid="{00000000-0005-0000-0000-000018080000}"/>
    <cellStyle name="Comma 95" xfId="1775" xr:uid="{00000000-0005-0000-0000-000019080000}"/>
    <cellStyle name="Comma 95 2" xfId="2871" xr:uid="{00000000-0005-0000-0000-00001A080000}"/>
    <cellStyle name="Comma 96" xfId="1786" xr:uid="{00000000-0005-0000-0000-00001B080000}"/>
    <cellStyle name="Comma 96 2" xfId="2882" xr:uid="{00000000-0005-0000-0000-00001C080000}"/>
    <cellStyle name="Comma 97" xfId="1789" xr:uid="{00000000-0005-0000-0000-00001D080000}"/>
    <cellStyle name="Comma 97 2" xfId="2885" xr:uid="{00000000-0005-0000-0000-00001E080000}"/>
    <cellStyle name="Comma 98" xfId="1800" xr:uid="{00000000-0005-0000-0000-00001F080000}"/>
    <cellStyle name="Comma 99" xfId="2894" xr:uid="{00000000-0005-0000-0000-000020080000}"/>
    <cellStyle name="Comma Input" xfId="363" xr:uid="{00000000-0005-0000-0000-000021080000}"/>
    <cellStyle name="Comma0" xfId="364" xr:uid="{00000000-0005-0000-0000-000022080000}"/>
    <cellStyle name="Comma0 2" xfId="26919" xr:uid="{00000000-0005-0000-0000-000023080000}"/>
    <cellStyle name="Comma0 3" xfId="26115" xr:uid="{00000000-0005-0000-0000-000024080000}"/>
    <cellStyle name="Comma0 4" xfId="25831" xr:uid="{00000000-0005-0000-0000-000025080000}"/>
    <cellStyle name="Company Name" xfId="365" xr:uid="{00000000-0005-0000-0000-000026080000}"/>
    <cellStyle name="Company Name 2" xfId="32623" xr:uid="{4D9701A3-60EA-4868-83BC-DE7372DF046A}"/>
    <cellStyle name="Config Data" xfId="366" xr:uid="{00000000-0005-0000-0000-000027080000}"/>
    <cellStyle name="Config Data 2" xfId="32624" xr:uid="{4B39E1D9-F115-4949-915D-74688AD83D7E}"/>
    <cellStyle name="Currency" xfId="2" builtinId="4"/>
    <cellStyle name="Currency [0] 2" xfId="24551" xr:uid="{00000000-0005-0000-0000-000029080000}"/>
    <cellStyle name="Currency [1]" xfId="367" xr:uid="{00000000-0005-0000-0000-00002A080000}"/>
    <cellStyle name="Currency [1] 2" xfId="32626" xr:uid="{D7A0471A-7F67-4ADB-9114-95C6BFF3963C}"/>
    <cellStyle name="Currency [2]" xfId="368" xr:uid="{00000000-0005-0000-0000-00002B080000}"/>
    <cellStyle name="Currency [2] 2" xfId="32627" xr:uid="{1D86DDAD-E1E2-4270-B519-C40C238B35CA}"/>
    <cellStyle name="Currency [3]" xfId="369" xr:uid="{00000000-0005-0000-0000-00002C080000}"/>
    <cellStyle name="Currency [3] 2" xfId="32628" xr:uid="{91D7E7CF-381D-4704-ACAD-E7DB18B2300B}"/>
    <cellStyle name="Currency 0.0" xfId="370" xr:uid="{00000000-0005-0000-0000-00002D080000}"/>
    <cellStyle name="Currency 0.00" xfId="371" xr:uid="{00000000-0005-0000-0000-00002E080000}"/>
    <cellStyle name="Currency 0.000" xfId="372" xr:uid="{00000000-0005-0000-0000-00002F080000}"/>
    <cellStyle name="Currency 0.0000" xfId="373" xr:uid="{00000000-0005-0000-0000-000030080000}"/>
    <cellStyle name="Currency 0.0000 2" xfId="32632" xr:uid="{F2BC31AF-CE6A-4788-8599-D4FD513D4728}"/>
    <cellStyle name="Currency 10" xfId="374" xr:uid="{00000000-0005-0000-0000-000031080000}"/>
    <cellStyle name="Currency 10 2" xfId="26080" xr:uid="{00000000-0005-0000-0000-000032080000}"/>
    <cellStyle name="Currency 10 3" xfId="26073" xr:uid="{00000000-0005-0000-0000-000033080000}"/>
    <cellStyle name="Currency 100" xfId="26920" xr:uid="{00000000-0005-0000-0000-000034080000}"/>
    <cellStyle name="Currency 100 2" xfId="26921" xr:uid="{00000000-0005-0000-0000-000035080000}"/>
    <cellStyle name="Currency 11" xfId="375" xr:uid="{00000000-0005-0000-0000-000036080000}"/>
    <cellStyle name="Currency 12" xfId="376" xr:uid="{00000000-0005-0000-0000-000037080000}"/>
    <cellStyle name="Currency 13" xfId="377" xr:uid="{00000000-0005-0000-0000-000038080000}"/>
    <cellStyle name="Currency 13 2" xfId="24539" xr:uid="{00000000-0005-0000-0000-000039080000}"/>
    <cellStyle name="Currency 13 3" xfId="32842" xr:uid="{9431E966-64FC-437E-9DAA-C72402E48FC0}"/>
    <cellStyle name="Currency 14" xfId="378" xr:uid="{00000000-0005-0000-0000-00003A080000}"/>
    <cellStyle name="Currency 14 2" xfId="24547" xr:uid="{00000000-0005-0000-0000-00003B080000}"/>
    <cellStyle name="Currency 14 3" xfId="32850" xr:uid="{279D2143-6651-49AF-A2CC-AB35A110DF4D}"/>
    <cellStyle name="Currency 15" xfId="379" xr:uid="{00000000-0005-0000-0000-00003C080000}"/>
    <cellStyle name="Currency 15 2" xfId="24543" xr:uid="{00000000-0005-0000-0000-00003D080000}"/>
    <cellStyle name="Currency 15 3" xfId="32855" xr:uid="{9B7E3DDF-5F9A-492F-8B4A-938FB5CEC41B}"/>
    <cellStyle name="Currency 16" xfId="380" xr:uid="{00000000-0005-0000-0000-00003E080000}"/>
    <cellStyle name="Currency 16 2" xfId="381" xr:uid="{00000000-0005-0000-0000-00003F080000}"/>
    <cellStyle name="Currency 17" xfId="382" xr:uid="{00000000-0005-0000-0000-000040080000}"/>
    <cellStyle name="Currency 17 2" xfId="383" xr:uid="{00000000-0005-0000-0000-000041080000}"/>
    <cellStyle name="Currency 18" xfId="384" xr:uid="{00000000-0005-0000-0000-000042080000}"/>
    <cellStyle name="Currency 18 2" xfId="32889" xr:uid="{6A664254-9E0A-48CE-9BF9-E034D8385AE9}"/>
    <cellStyle name="Currency 19" xfId="385" xr:uid="{00000000-0005-0000-0000-000043080000}"/>
    <cellStyle name="Currency 19 2" xfId="32897" xr:uid="{C852A36D-BFC2-41EA-9AC1-D7B82642709D}"/>
    <cellStyle name="Currency 2" xfId="386" xr:uid="{00000000-0005-0000-0000-000044080000}"/>
    <cellStyle name="Currency 2 2" xfId="387" xr:uid="{00000000-0005-0000-0000-000045080000}"/>
    <cellStyle name="Currency 2 2 2" xfId="5412" xr:uid="{00000000-0005-0000-0000-000046080000}"/>
    <cellStyle name="Currency 2 2 2 2" xfId="26083" xr:uid="{00000000-0005-0000-0000-000047080000}"/>
    <cellStyle name="Currency 2 2 2 3" xfId="32963" xr:uid="{E1134DE9-E561-4EB9-B33A-00C23AFFDF47}"/>
    <cellStyle name="Currency 2 2 3" xfId="5397" xr:uid="{00000000-0005-0000-0000-000048080000}"/>
    <cellStyle name="Currency 2 2 4" xfId="32579" xr:uid="{3C77BA8A-99A2-412F-BBFC-82149937EAB1}"/>
    <cellStyle name="Currency 2 3" xfId="388" xr:uid="{00000000-0005-0000-0000-000049080000}"/>
    <cellStyle name="Currency 2 3 2" xfId="25832" xr:uid="{00000000-0005-0000-0000-00004A080000}"/>
    <cellStyle name="Currency 2 3 3" xfId="42367" xr:uid="{BA7E7AED-FE94-452C-A07D-B497775C766D}"/>
    <cellStyle name="Currency 2 4" xfId="1749" xr:uid="{00000000-0005-0000-0000-00004B080000}"/>
    <cellStyle name="Currency 2 4 2" xfId="7820" xr:uid="{00000000-0005-0000-0000-00004C080000}"/>
    <cellStyle name="Currency 2 4 3" xfId="25833" xr:uid="{00000000-0005-0000-0000-00004D080000}"/>
    <cellStyle name="Currency 2 5" xfId="1920" xr:uid="{00000000-0005-0000-0000-00004E080000}"/>
    <cellStyle name="Currency 2 5 2" xfId="14694" xr:uid="{00000000-0005-0000-0000-00004F080000}"/>
    <cellStyle name="Currency 2 6" xfId="1796" xr:uid="{00000000-0005-0000-0000-000050080000}"/>
    <cellStyle name="Currency 2 6 2" xfId="19390" xr:uid="{00000000-0005-0000-0000-000051080000}"/>
    <cellStyle name="Currency 2 7" xfId="23881" xr:uid="{00000000-0005-0000-0000-000052080000}"/>
    <cellStyle name="Currency 2 8" xfId="5280" xr:uid="{00000000-0005-0000-0000-000053080000}"/>
    <cellStyle name="Currency 2 9" xfId="32572" xr:uid="{0CB34555-F3CD-4CD6-80B7-14E35F46F0A2}"/>
    <cellStyle name="Currency 20" xfId="389" xr:uid="{00000000-0005-0000-0000-000054080000}"/>
    <cellStyle name="Currency 20 2" xfId="32890" xr:uid="{AE33A6B2-FAFE-476B-A2D0-7964F42A3F4F}"/>
    <cellStyle name="Currency 21" xfId="390" xr:uid="{00000000-0005-0000-0000-000055080000}"/>
    <cellStyle name="Currency 21 2" xfId="32902" xr:uid="{10790269-C9ED-4D58-87E1-4BC2601891C2}"/>
    <cellStyle name="Currency 22" xfId="391" xr:uid="{00000000-0005-0000-0000-000056080000}"/>
    <cellStyle name="Currency 22 2" xfId="32891" xr:uid="{9078EF74-8298-4C1E-8E7D-9DAF78077CF8}"/>
    <cellStyle name="Currency 23" xfId="392" xr:uid="{00000000-0005-0000-0000-000057080000}"/>
    <cellStyle name="Currency 23 2" xfId="32901" xr:uid="{7BCFD6F2-0D87-49AC-950F-4B9D81FD775A}"/>
    <cellStyle name="Currency 24" xfId="393" xr:uid="{00000000-0005-0000-0000-000058080000}"/>
    <cellStyle name="Currency 24 2" xfId="32892" xr:uid="{9EB2F47B-278D-4BF3-8279-4709FF95B2D7}"/>
    <cellStyle name="Currency 25" xfId="394" xr:uid="{00000000-0005-0000-0000-000059080000}"/>
    <cellStyle name="Currency 25 2" xfId="32900" xr:uid="{E00E2A71-2227-4DF3-A05D-60A7F18D2D56}"/>
    <cellStyle name="Currency 26" xfId="395" xr:uid="{00000000-0005-0000-0000-00005A080000}"/>
    <cellStyle name="Currency 26 2" xfId="32893" xr:uid="{CA4D46FA-AEE8-4A16-810A-49A8D5279268}"/>
    <cellStyle name="Currency 27" xfId="396" xr:uid="{00000000-0005-0000-0000-00005B080000}"/>
    <cellStyle name="Currency 27 2" xfId="32899" xr:uid="{C29D0D34-56AC-4ABF-BBBE-8EA293667294}"/>
    <cellStyle name="Currency 28" xfId="397" xr:uid="{00000000-0005-0000-0000-00005C080000}"/>
    <cellStyle name="Currency 29" xfId="398" xr:uid="{00000000-0005-0000-0000-00005D080000}"/>
    <cellStyle name="Currency 3" xfId="399" xr:uid="{00000000-0005-0000-0000-00005E080000}"/>
    <cellStyle name="Currency 3 2" xfId="400" xr:uid="{00000000-0005-0000-0000-00005F080000}"/>
    <cellStyle name="Currency 3 2 2" xfId="26102" xr:uid="{00000000-0005-0000-0000-000060080000}"/>
    <cellStyle name="Currency 3 3" xfId="401" xr:uid="{00000000-0005-0000-0000-000061080000}"/>
    <cellStyle name="Currency 3 3 2" xfId="26220" xr:uid="{00000000-0005-0000-0000-000062080000}"/>
    <cellStyle name="Currency 3 3 3" xfId="26088" xr:uid="{00000000-0005-0000-0000-000063080000}"/>
    <cellStyle name="Currency 3 4" xfId="402" xr:uid="{00000000-0005-0000-0000-000064080000}"/>
    <cellStyle name="Currency 3 4 2" xfId="26221" xr:uid="{00000000-0005-0000-0000-000065080000}"/>
    <cellStyle name="Currency 3 4 3" xfId="26076" xr:uid="{00000000-0005-0000-0000-000066080000}"/>
    <cellStyle name="Currency 3 5" xfId="403" xr:uid="{00000000-0005-0000-0000-000067080000}"/>
    <cellStyle name="Currency 3 5 2" xfId="404" xr:uid="{00000000-0005-0000-0000-000068080000}"/>
    <cellStyle name="Currency 3 6" xfId="5405" xr:uid="{00000000-0005-0000-0000-000069080000}"/>
    <cellStyle name="Currency 3 7" xfId="32577" xr:uid="{0800E84A-1FE3-4C01-9A5C-E3C8BC13D5F5}"/>
    <cellStyle name="Currency 30" xfId="405" xr:uid="{00000000-0005-0000-0000-00006A080000}"/>
    <cellStyle name="Currency 30 2" xfId="1921" xr:uid="{00000000-0005-0000-0000-00006B080000}"/>
    <cellStyle name="Currency 31" xfId="406" xr:uid="{00000000-0005-0000-0000-00006C080000}"/>
    <cellStyle name="Currency 31 2" xfId="1922" xr:uid="{00000000-0005-0000-0000-00006D080000}"/>
    <cellStyle name="Currency 32" xfId="407" xr:uid="{00000000-0005-0000-0000-00006E080000}"/>
    <cellStyle name="Currency 32 2" xfId="1923" xr:uid="{00000000-0005-0000-0000-00006F080000}"/>
    <cellStyle name="Currency 33" xfId="408" xr:uid="{00000000-0005-0000-0000-000070080000}"/>
    <cellStyle name="Currency 33 2" xfId="1924" xr:uid="{00000000-0005-0000-0000-000071080000}"/>
    <cellStyle name="Currency 34" xfId="409" xr:uid="{00000000-0005-0000-0000-000072080000}"/>
    <cellStyle name="Currency 34 2" xfId="1925" xr:uid="{00000000-0005-0000-0000-000073080000}"/>
    <cellStyle name="Currency 35" xfId="410" xr:uid="{00000000-0005-0000-0000-000074080000}"/>
    <cellStyle name="Currency 35 2" xfId="1926" xr:uid="{00000000-0005-0000-0000-000075080000}"/>
    <cellStyle name="Currency 36" xfId="411" xr:uid="{00000000-0005-0000-0000-000076080000}"/>
    <cellStyle name="Currency 36 2" xfId="1927" xr:uid="{00000000-0005-0000-0000-000077080000}"/>
    <cellStyle name="Currency 37" xfId="412" xr:uid="{00000000-0005-0000-0000-000078080000}"/>
    <cellStyle name="Currency 37 2" xfId="1928" xr:uid="{00000000-0005-0000-0000-000079080000}"/>
    <cellStyle name="Currency 38" xfId="413" xr:uid="{00000000-0005-0000-0000-00007A080000}"/>
    <cellStyle name="Currency 38 2" xfId="1929" xr:uid="{00000000-0005-0000-0000-00007B080000}"/>
    <cellStyle name="Currency 39" xfId="414" xr:uid="{00000000-0005-0000-0000-00007C080000}"/>
    <cellStyle name="Currency 39 2" xfId="1930" xr:uid="{00000000-0005-0000-0000-00007D080000}"/>
    <cellStyle name="Currency 4" xfId="415" xr:uid="{00000000-0005-0000-0000-00007E080000}"/>
    <cellStyle name="Currency 4 10" xfId="26922" xr:uid="{00000000-0005-0000-0000-00007F080000}"/>
    <cellStyle name="Currency 4 10 2" xfId="26923" xr:uid="{00000000-0005-0000-0000-000080080000}"/>
    <cellStyle name="Currency 4 10 2 2" xfId="26924" xr:uid="{00000000-0005-0000-0000-000081080000}"/>
    <cellStyle name="Currency 4 10 2 2 2" xfId="33576" xr:uid="{B2A6C53B-99B7-447A-B443-7A3B5FCD8CC8}"/>
    <cellStyle name="Currency 4 10 2 3" xfId="26925" xr:uid="{00000000-0005-0000-0000-000082080000}"/>
    <cellStyle name="Currency 4 10 2 3 2" xfId="33577" xr:uid="{DB8DE11E-6D05-43E3-9B03-1A058D4B6198}"/>
    <cellStyle name="Currency 4 10 2 4" xfId="33575" xr:uid="{ED5F8762-63EB-438E-B001-B270D4F5925E}"/>
    <cellStyle name="Currency 4 10 3" xfId="26926" xr:uid="{00000000-0005-0000-0000-000083080000}"/>
    <cellStyle name="Currency 4 10 3 2" xfId="33578" xr:uid="{9AE6C0FB-A8E7-4243-B210-55950199C570}"/>
    <cellStyle name="Currency 4 10 4" xfId="26927" xr:uid="{00000000-0005-0000-0000-000084080000}"/>
    <cellStyle name="Currency 4 10 4 2" xfId="33579" xr:uid="{FECD136A-19EE-4B34-9C1D-4A792E38B8BC}"/>
    <cellStyle name="Currency 4 10 5" xfId="26928" xr:uid="{00000000-0005-0000-0000-000085080000}"/>
    <cellStyle name="Currency 4 10 5 2" xfId="33580" xr:uid="{A9055C0B-E4C1-4779-9736-FAFC5E00253A}"/>
    <cellStyle name="Currency 4 10 6" xfId="33574" xr:uid="{3EF71721-10A5-4F48-A973-AD35542FB248}"/>
    <cellStyle name="Currency 4 11" xfId="26929" xr:uid="{00000000-0005-0000-0000-000086080000}"/>
    <cellStyle name="Currency 4 2" xfId="416" xr:uid="{00000000-0005-0000-0000-000087080000}"/>
    <cellStyle name="Currency 4 2 10" xfId="26931" xr:uid="{00000000-0005-0000-0000-000088080000}"/>
    <cellStyle name="Currency 4 2 10 2" xfId="26932" xr:uid="{00000000-0005-0000-0000-000089080000}"/>
    <cellStyle name="Currency 4 2 10 2 2" xfId="33584" xr:uid="{0DF0C32B-88AC-4E83-B3D1-683C997E9649}"/>
    <cellStyle name="Currency 4 2 10 3" xfId="26933" xr:uid="{00000000-0005-0000-0000-00008A080000}"/>
    <cellStyle name="Currency 4 2 10 3 2" xfId="33585" xr:uid="{B4B41563-8C57-47A7-BF6C-66D1009BAAA6}"/>
    <cellStyle name="Currency 4 2 10 4" xfId="33583" xr:uid="{B32DE464-7A3D-4590-AFD9-5043152A674F}"/>
    <cellStyle name="Currency 4 2 11" xfId="26934" xr:uid="{00000000-0005-0000-0000-00008B080000}"/>
    <cellStyle name="Currency 4 2 11 2" xfId="33586" xr:uid="{EC7B71F4-AC58-4729-A6C4-1FB269C759B2}"/>
    <cellStyle name="Currency 4 2 12" xfId="26935" xr:uid="{00000000-0005-0000-0000-00008C080000}"/>
    <cellStyle name="Currency 4 2 12 2" xfId="33587" xr:uid="{71D50020-B9C2-4415-A499-09388F8649E1}"/>
    <cellStyle name="Currency 4 2 13" xfId="26936" xr:uid="{00000000-0005-0000-0000-00008D080000}"/>
    <cellStyle name="Currency 4 2 13 2" xfId="33588" xr:uid="{B984FD8B-CA57-4FEA-A333-F45C999F5B72}"/>
    <cellStyle name="Currency 4 2 14" xfId="26930" xr:uid="{00000000-0005-0000-0000-00008E080000}"/>
    <cellStyle name="Currency 4 2 15" xfId="33582" xr:uid="{3A31D73F-241D-4494-9944-D8AE7A8415A1}"/>
    <cellStyle name="Currency 4 2 2" xfId="26937" xr:uid="{00000000-0005-0000-0000-00008F080000}"/>
    <cellStyle name="Currency 4 2 2 10" xfId="33589" xr:uid="{551D7FDF-8A23-4836-B3B5-9B4C66FC40BD}"/>
    <cellStyle name="Currency 4 2 2 2" xfId="26938" xr:uid="{00000000-0005-0000-0000-000090080000}"/>
    <cellStyle name="Currency 4 2 2 2 2" xfId="26939" xr:uid="{00000000-0005-0000-0000-000091080000}"/>
    <cellStyle name="Currency 4 2 2 2 2 2" xfId="26940" xr:uid="{00000000-0005-0000-0000-000092080000}"/>
    <cellStyle name="Currency 4 2 2 2 2 2 2" xfId="26941" xr:uid="{00000000-0005-0000-0000-000093080000}"/>
    <cellStyle name="Currency 4 2 2 2 2 2 2 2" xfId="26942" xr:uid="{00000000-0005-0000-0000-000094080000}"/>
    <cellStyle name="Currency 4 2 2 2 2 2 2 2 2" xfId="33594" xr:uid="{22C5F90E-30C1-4072-9769-F8A7B75B82F6}"/>
    <cellStyle name="Currency 4 2 2 2 2 2 2 3" xfId="26943" xr:uid="{00000000-0005-0000-0000-000095080000}"/>
    <cellStyle name="Currency 4 2 2 2 2 2 2 3 2" xfId="33595" xr:uid="{53AAAD15-144C-4693-AC58-3C7413B8C043}"/>
    <cellStyle name="Currency 4 2 2 2 2 2 2 4" xfId="33593" xr:uid="{EECC89B5-E567-419C-8B4C-243094466160}"/>
    <cellStyle name="Currency 4 2 2 2 2 2 3" xfId="26944" xr:uid="{00000000-0005-0000-0000-000096080000}"/>
    <cellStyle name="Currency 4 2 2 2 2 2 3 2" xfId="33596" xr:uid="{CABF2E9E-D321-42F7-8E98-193224C6CA73}"/>
    <cellStyle name="Currency 4 2 2 2 2 2 4" xfId="26945" xr:uid="{00000000-0005-0000-0000-000097080000}"/>
    <cellStyle name="Currency 4 2 2 2 2 2 4 2" xfId="33597" xr:uid="{002DC9EB-254F-431B-8BC9-F1E8BDB06234}"/>
    <cellStyle name="Currency 4 2 2 2 2 2 5" xfId="26946" xr:uid="{00000000-0005-0000-0000-000098080000}"/>
    <cellStyle name="Currency 4 2 2 2 2 2 5 2" xfId="33598" xr:uid="{60B13C53-04DD-4A9D-AB3B-3A8F1FA30232}"/>
    <cellStyle name="Currency 4 2 2 2 2 2 6" xfId="33592" xr:uid="{B7EB609C-7CA8-41BB-8E31-37B408842F53}"/>
    <cellStyle name="Currency 4 2 2 2 2 3" xfId="26947" xr:uid="{00000000-0005-0000-0000-000099080000}"/>
    <cellStyle name="Currency 4 2 2 2 2 3 2" xfId="26948" xr:uid="{00000000-0005-0000-0000-00009A080000}"/>
    <cellStyle name="Currency 4 2 2 2 2 3 2 2" xfId="26949" xr:uid="{00000000-0005-0000-0000-00009B080000}"/>
    <cellStyle name="Currency 4 2 2 2 2 3 2 2 2" xfId="33601" xr:uid="{8E05D5B9-A16E-459F-AA64-9CC0AB7E46F6}"/>
    <cellStyle name="Currency 4 2 2 2 2 3 2 3" xfId="26950" xr:uid="{00000000-0005-0000-0000-00009C080000}"/>
    <cellStyle name="Currency 4 2 2 2 2 3 2 3 2" xfId="33602" xr:uid="{7B78380C-6DA4-4F7B-8D0A-A7C9C9F9A1A5}"/>
    <cellStyle name="Currency 4 2 2 2 2 3 2 4" xfId="33600" xr:uid="{7757BB70-447B-41AB-A7B8-F6396AD74BF3}"/>
    <cellStyle name="Currency 4 2 2 2 2 3 3" xfId="26951" xr:uid="{00000000-0005-0000-0000-00009D080000}"/>
    <cellStyle name="Currency 4 2 2 2 2 3 3 2" xfId="33603" xr:uid="{466EC86A-1C84-4B9B-B3EC-80F7B4D16366}"/>
    <cellStyle name="Currency 4 2 2 2 2 3 4" xfId="26952" xr:uid="{00000000-0005-0000-0000-00009E080000}"/>
    <cellStyle name="Currency 4 2 2 2 2 3 4 2" xfId="33604" xr:uid="{5FB0F19E-A1CC-4C96-A246-2878168890D7}"/>
    <cellStyle name="Currency 4 2 2 2 2 3 5" xfId="26953" xr:uid="{00000000-0005-0000-0000-00009F080000}"/>
    <cellStyle name="Currency 4 2 2 2 2 3 5 2" xfId="33605" xr:uid="{23F37970-6A79-419E-A060-283F1DE23340}"/>
    <cellStyle name="Currency 4 2 2 2 2 3 6" xfId="33599" xr:uid="{B3231E68-733D-43F0-8FB9-46D491C808CC}"/>
    <cellStyle name="Currency 4 2 2 2 2 4" xfId="26954" xr:uid="{00000000-0005-0000-0000-0000A0080000}"/>
    <cellStyle name="Currency 4 2 2 2 2 4 2" xfId="26955" xr:uid="{00000000-0005-0000-0000-0000A1080000}"/>
    <cellStyle name="Currency 4 2 2 2 2 4 2 2" xfId="33607" xr:uid="{27FEAA38-8525-4AD4-A576-FCAD7E265170}"/>
    <cellStyle name="Currency 4 2 2 2 2 4 3" xfId="26956" xr:uid="{00000000-0005-0000-0000-0000A2080000}"/>
    <cellStyle name="Currency 4 2 2 2 2 4 3 2" xfId="33608" xr:uid="{F37FD4F0-521D-462B-A865-4CBFE4DFECE5}"/>
    <cellStyle name="Currency 4 2 2 2 2 4 4" xfId="33606" xr:uid="{46B07729-9D07-4112-85C3-E7B8A5E3BB69}"/>
    <cellStyle name="Currency 4 2 2 2 2 5" xfId="26957" xr:uid="{00000000-0005-0000-0000-0000A3080000}"/>
    <cellStyle name="Currency 4 2 2 2 2 5 2" xfId="33609" xr:uid="{B5DAF607-F5F0-4A86-9373-C927ECCB6783}"/>
    <cellStyle name="Currency 4 2 2 2 2 6" xfId="26958" xr:uid="{00000000-0005-0000-0000-0000A4080000}"/>
    <cellStyle name="Currency 4 2 2 2 2 6 2" xfId="33610" xr:uid="{93F43A9D-07E6-484C-AEAD-407E6CB1A875}"/>
    <cellStyle name="Currency 4 2 2 2 2 7" xfId="26959" xr:uid="{00000000-0005-0000-0000-0000A5080000}"/>
    <cellStyle name="Currency 4 2 2 2 2 7 2" xfId="33611" xr:uid="{9375C6BF-EC2C-4CE5-9785-E4AB6B53730A}"/>
    <cellStyle name="Currency 4 2 2 2 2 8" xfId="33591" xr:uid="{A5EF3E5F-A5FC-47EA-B63B-F8438A600E32}"/>
    <cellStyle name="Currency 4 2 2 2 3" xfId="26960" xr:uid="{00000000-0005-0000-0000-0000A6080000}"/>
    <cellStyle name="Currency 4 2 2 2 3 2" xfId="26961" xr:uid="{00000000-0005-0000-0000-0000A7080000}"/>
    <cellStyle name="Currency 4 2 2 2 3 2 2" xfId="26962" xr:uid="{00000000-0005-0000-0000-0000A8080000}"/>
    <cellStyle name="Currency 4 2 2 2 3 2 2 2" xfId="33614" xr:uid="{9726786D-4176-4236-ABF5-8180DF1ECCCE}"/>
    <cellStyle name="Currency 4 2 2 2 3 2 3" xfId="26963" xr:uid="{00000000-0005-0000-0000-0000A9080000}"/>
    <cellStyle name="Currency 4 2 2 2 3 2 3 2" xfId="33615" xr:uid="{3F4C3003-6390-4171-BB64-988587506628}"/>
    <cellStyle name="Currency 4 2 2 2 3 2 4" xfId="33613" xr:uid="{A210D628-E802-4E6B-9C35-9B7E667C1DEB}"/>
    <cellStyle name="Currency 4 2 2 2 3 3" xfId="26964" xr:uid="{00000000-0005-0000-0000-0000AA080000}"/>
    <cellStyle name="Currency 4 2 2 2 3 3 2" xfId="33616" xr:uid="{85BEB7D1-2768-46FF-92C6-2579F188F663}"/>
    <cellStyle name="Currency 4 2 2 2 3 4" xfId="26965" xr:uid="{00000000-0005-0000-0000-0000AB080000}"/>
    <cellStyle name="Currency 4 2 2 2 3 4 2" xfId="33617" xr:uid="{18AF806C-9188-4403-91E3-ACFFF60E0C93}"/>
    <cellStyle name="Currency 4 2 2 2 3 5" xfId="26966" xr:uid="{00000000-0005-0000-0000-0000AC080000}"/>
    <cellStyle name="Currency 4 2 2 2 3 5 2" xfId="33618" xr:uid="{D83D2E1F-AB11-464F-B2FD-5FB7DAD18E8B}"/>
    <cellStyle name="Currency 4 2 2 2 3 6" xfId="33612" xr:uid="{CE5F576F-0363-4625-BB61-A678C3C9C637}"/>
    <cellStyle name="Currency 4 2 2 2 4" xfId="26967" xr:uid="{00000000-0005-0000-0000-0000AD080000}"/>
    <cellStyle name="Currency 4 2 2 2 4 2" xfId="26968" xr:uid="{00000000-0005-0000-0000-0000AE080000}"/>
    <cellStyle name="Currency 4 2 2 2 4 2 2" xfId="26969" xr:uid="{00000000-0005-0000-0000-0000AF080000}"/>
    <cellStyle name="Currency 4 2 2 2 4 2 2 2" xfId="33621" xr:uid="{10CCDEFE-3FC5-4BCE-8A11-DD3BCE4B796E}"/>
    <cellStyle name="Currency 4 2 2 2 4 2 3" xfId="26970" xr:uid="{00000000-0005-0000-0000-0000B0080000}"/>
    <cellStyle name="Currency 4 2 2 2 4 2 3 2" xfId="33622" xr:uid="{02830DC9-A65D-4102-AEE1-C56AC4FCA771}"/>
    <cellStyle name="Currency 4 2 2 2 4 2 4" xfId="33620" xr:uid="{72FD9CD1-B94A-475E-94EC-5AAFE2EE6628}"/>
    <cellStyle name="Currency 4 2 2 2 4 3" xfId="26971" xr:uid="{00000000-0005-0000-0000-0000B1080000}"/>
    <cellStyle name="Currency 4 2 2 2 4 3 2" xfId="33623" xr:uid="{DEA0E2CC-3332-47BE-B1A2-970B599B79BB}"/>
    <cellStyle name="Currency 4 2 2 2 4 4" xfId="26972" xr:uid="{00000000-0005-0000-0000-0000B2080000}"/>
    <cellStyle name="Currency 4 2 2 2 4 4 2" xfId="33624" xr:uid="{BBCF27EB-501F-4F2A-80B3-DAD2B926A52F}"/>
    <cellStyle name="Currency 4 2 2 2 4 5" xfId="26973" xr:uid="{00000000-0005-0000-0000-0000B3080000}"/>
    <cellStyle name="Currency 4 2 2 2 4 5 2" xfId="33625" xr:uid="{29BF2E01-4DD0-4250-A9C6-C1955C457C70}"/>
    <cellStyle name="Currency 4 2 2 2 4 6" xfId="33619" xr:uid="{E3DD0E65-A458-4E6D-9F23-3E78333B10E0}"/>
    <cellStyle name="Currency 4 2 2 2 5" xfId="26974" xr:uid="{00000000-0005-0000-0000-0000B4080000}"/>
    <cellStyle name="Currency 4 2 2 2 5 2" xfId="26975" xr:uid="{00000000-0005-0000-0000-0000B5080000}"/>
    <cellStyle name="Currency 4 2 2 2 5 2 2" xfId="33627" xr:uid="{D39864FC-09D6-4506-A6AF-194C6F3B8CCC}"/>
    <cellStyle name="Currency 4 2 2 2 5 3" xfId="26976" xr:uid="{00000000-0005-0000-0000-0000B6080000}"/>
    <cellStyle name="Currency 4 2 2 2 5 3 2" xfId="33628" xr:uid="{63F8FC80-8D05-402E-9A37-139F531C91DC}"/>
    <cellStyle name="Currency 4 2 2 2 5 4" xfId="33626" xr:uid="{1BDFF050-F75F-4772-BE28-30FD310BFBB0}"/>
    <cellStyle name="Currency 4 2 2 2 6" xfId="26977" xr:uid="{00000000-0005-0000-0000-0000B7080000}"/>
    <cellStyle name="Currency 4 2 2 2 6 2" xfId="33629" xr:uid="{7C6CD7EC-5AB2-4A5D-A1C4-887286C3A956}"/>
    <cellStyle name="Currency 4 2 2 2 7" xfId="26978" xr:uid="{00000000-0005-0000-0000-0000B8080000}"/>
    <cellStyle name="Currency 4 2 2 2 7 2" xfId="33630" xr:uid="{7B05724B-1F4E-4945-9D2D-95686FE0D298}"/>
    <cellStyle name="Currency 4 2 2 2 8" xfId="26979" xr:uid="{00000000-0005-0000-0000-0000B9080000}"/>
    <cellStyle name="Currency 4 2 2 2 8 2" xfId="33631" xr:uid="{0116B49F-E9F0-4CF2-8476-BD0BF3F89EE2}"/>
    <cellStyle name="Currency 4 2 2 2 9" xfId="33590" xr:uid="{732155B6-D084-4D7A-B73E-58F626D595B3}"/>
    <cellStyle name="Currency 4 2 2 3" xfId="26980" xr:uid="{00000000-0005-0000-0000-0000BA080000}"/>
    <cellStyle name="Currency 4 2 2 3 2" xfId="26981" xr:uid="{00000000-0005-0000-0000-0000BB080000}"/>
    <cellStyle name="Currency 4 2 2 3 2 2" xfId="26982" xr:uid="{00000000-0005-0000-0000-0000BC080000}"/>
    <cellStyle name="Currency 4 2 2 3 2 2 2" xfId="26983" xr:uid="{00000000-0005-0000-0000-0000BD080000}"/>
    <cellStyle name="Currency 4 2 2 3 2 2 2 2" xfId="33635" xr:uid="{777619CB-08C7-4C36-9A2C-9C5E45123D6A}"/>
    <cellStyle name="Currency 4 2 2 3 2 2 3" xfId="26984" xr:uid="{00000000-0005-0000-0000-0000BE080000}"/>
    <cellStyle name="Currency 4 2 2 3 2 2 3 2" xfId="33636" xr:uid="{3644FCF8-686C-48A2-ABF7-5233B106AAFB}"/>
    <cellStyle name="Currency 4 2 2 3 2 2 4" xfId="33634" xr:uid="{53219D9C-A4C2-45B9-ACD0-69FFB7C9437F}"/>
    <cellStyle name="Currency 4 2 2 3 2 3" xfId="26985" xr:uid="{00000000-0005-0000-0000-0000BF080000}"/>
    <cellStyle name="Currency 4 2 2 3 2 3 2" xfId="33637" xr:uid="{4A15BF20-DAC0-4908-A609-0A8D7419C02D}"/>
    <cellStyle name="Currency 4 2 2 3 2 4" xfId="26986" xr:uid="{00000000-0005-0000-0000-0000C0080000}"/>
    <cellStyle name="Currency 4 2 2 3 2 4 2" xfId="33638" xr:uid="{FD7E37E6-5695-4958-B343-0332A33E5E56}"/>
    <cellStyle name="Currency 4 2 2 3 2 5" xfId="26987" xr:uid="{00000000-0005-0000-0000-0000C1080000}"/>
    <cellStyle name="Currency 4 2 2 3 2 5 2" xfId="33639" xr:uid="{40C5DE2D-6171-45C7-8325-FB700E9D68FB}"/>
    <cellStyle name="Currency 4 2 2 3 2 6" xfId="33633" xr:uid="{F501BB12-FC82-41D1-A71F-4B117CEFCC38}"/>
    <cellStyle name="Currency 4 2 2 3 3" xfId="26988" xr:uid="{00000000-0005-0000-0000-0000C2080000}"/>
    <cellStyle name="Currency 4 2 2 3 3 2" xfId="26989" xr:uid="{00000000-0005-0000-0000-0000C3080000}"/>
    <cellStyle name="Currency 4 2 2 3 3 2 2" xfId="26990" xr:uid="{00000000-0005-0000-0000-0000C4080000}"/>
    <cellStyle name="Currency 4 2 2 3 3 2 2 2" xfId="33642" xr:uid="{B4C827A1-DC0A-40F9-9A2B-C1E7B8FD7CC1}"/>
    <cellStyle name="Currency 4 2 2 3 3 2 3" xfId="26991" xr:uid="{00000000-0005-0000-0000-0000C5080000}"/>
    <cellStyle name="Currency 4 2 2 3 3 2 3 2" xfId="33643" xr:uid="{29433735-C36E-4747-9AD6-855F2454818C}"/>
    <cellStyle name="Currency 4 2 2 3 3 2 4" xfId="33641" xr:uid="{5F9B5782-0C1E-4EBD-8710-64FE445674E9}"/>
    <cellStyle name="Currency 4 2 2 3 3 3" xfId="26992" xr:uid="{00000000-0005-0000-0000-0000C6080000}"/>
    <cellStyle name="Currency 4 2 2 3 3 3 2" xfId="33644" xr:uid="{3700BFC6-0DCE-4E6E-8B87-298833BF3E5D}"/>
    <cellStyle name="Currency 4 2 2 3 3 4" xfId="26993" xr:uid="{00000000-0005-0000-0000-0000C7080000}"/>
    <cellStyle name="Currency 4 2 2 3 3 4 2" xfId="33645" xr:uid="{B11A6962-F960-4EED-A0F2-C616AE6C32A6}"/>
    <cellStyle name="Currency 4 2 2 3 3 5" xfId="26994" xr:uid="{00000000-0005-0000-0000-0000C8080000}"/>
    <cellStyle name="Currency 4 2 2 3 3 5 2" xfId="33646" xr:uid="{FB372BDA-DB99-459F-AEB5-F7ED1E4C1DCB}"/>
    <cellStyle name="Currency 4 2 2 3 3 6" xfId="33640" xr:uid="{C81AFF3D-75EF-4BE7-8A78-5FECC0AB17DC}"/>
    <cellStyle name="Currency 4 2 2 3 4" xfId="26995" xr:uid="{00000000-0005-0000-0000-0000C9080000}"/>
    <cellStyle name="Currency 4 2 2 3 4 2" xfId="26996" xr:uid="{00000000-0005-0000-0000-0000CA080000}"/>
    <cellStyle name="Currency 4 2 2 3 4 2 2" xfId="33648" xr:uid="{2214B99C-3586-4083-9250-2CB37F94E155}"/>
    <cellStyle name="Currency 4 2 2 3 4 3" xfId="26997" xr:uid="{00000000-0005-0000-0000-0000CB080000}"/>
    <cellStyle name="Currency 4 2 2 3 4 3 2" xfId="33649" xr:uid="{9E8CC99A-BA3F-405E-858E-FA7C8CC672FE}"/>
    <cellStyle name="Currency 4 2 2 3 4 4" xfId="33647" xr:uid="{49DF23A2-8FC2-4A3D-9D54-C2EEFEF71957}"/>
    <cellStyle name="Currency 4 2 2 3 5" xfId="26998" xr:uid="{00000000-0005-0000-0000-0000CC080000}"/>
    <cellStyle name="Currency 4 2 2 3 5 2" xfId="33650" xr:uid="{B012AACE-1534-43AB-8105-D6B84A10E88D}"/>
    <cellStyle name="Currency 4 2 2 3 6" xfId="26999" xr:uid="{00000000-0005-0000-0000-0000CD080000}"/>
    <cellStyle name="Currency 4 2 2 3 6 2" xfId="33651" xr:uid="{063FF010-ADBF-428F-A58E-B12A97D2406E}"/>
    <cellStyle name="Currency 4 2 2 3 7" xfId="27000" xr:uid="{00000000-0005-0000-0000-0000CE080000}"/>
    <cellStyle name="Currency 4 2 2 3 7 2" xfId="33652" xr:uid="{3F4E4FA5-533E-4AD6-B33F-359A0040EB56}"/>
    <cellStyle name="Currency 4 2 2 3 8" xfId="33632" xr:uid="{F43C93E0-A2C4-4416-B4B7-7112FB488941}"/>
    <cellStyle name="Currency 4 2 2 4" xfId="27001" xr:uid="{00000000-0005-0000-0000-0000CF080000}"/>
    <cellStyle name="Currency 4 2 2 4 2" xfId="27002" xr:uid="{00000000-0005-0000-0000-0000D0080000}"/>
    <cellStyle name="Currency 4 2 2 4 2 2" xfId="27003" xr:uid="{00000000-0005-0000-0000-0000D1080000}"/>
    <cellStyle name="Currency 4 2 2 4 2 2 2" xfId="33655" xr:uid="{61CA7253-1B85-44A0-B86E-691D06F47AF5}"/>
    <cellStyle name="Currency 4 2 2 4 2 3" xfId="27004" xr:uid="{00000000-0005-0000-0000-0000D2080000}"/>
    <cellStyle name="Currency 4 2 2 4 2 3 2" xfId="33656" xr:uid="{79704572-A6A0-4196-B9BF-D81B2894F7E3}"/>
    <cellStyle name="Currency 4 2 2 4 2 4" xfId="33654" xr:uid="{176AA936-2474-466A-B453-8BFCBF752DB2}"/>
    <cellStyle name="Currency 4 2 2 4 3" xfId="27005" xr:uid="{00000000-0005-0000-0000-0000D3080000}"/>
    <cellStyle name="Currency 4 2 2 4 3 2" xfId="33657" xr:uid="{EFED85B0-3995-4EBC-8DCA-404B3EAC2A82}"/>
    <cellStyle name="Currency 4 2 2 4 4" xfId="27006" xr:uid="{00000000-0005-0000-0000-0000D4080000}"/>
    <cellStyle name="Currency 4 2 2 4 4 2" xfId="33658" xr:uid="{BBE527BF-9A12-44EE-9734-CC067E10348F}"/>
    <cellStyle name="Currency 4 2 2 4 5" xfId="27007" xr:uid="{00000000-0005-0000-0000-0000D5080000}"/>
    <cellStyle name="Currency 4 2 2 4 5 2" xfId="33659" xr:uid="{7345E803-08BF-438E-A63E-CD4E402AA4ED}"/>
    <cellStyle name="Currency 4 2 2 4 6" xfId="33653" xr:uid="{C6455EE0-FEF6-4E08-B643-5FD359CE2FC4}"/>
    <cellStyle name="Currency 4 2 2 5" xfId="27008" xr:uid="{00000000-0005-0000-0000-0000D6080000}"/>
    <cellStyle name="Currency 4 2 2 5 2" xfId="27009" xr:uid="{00000000-0005-0000-0000-0000D7080000}"/>
    <cellStyle name="Currency 4 2 2 5 2 2" xfId="27010" xr:uid="{00000000-0005-0000-0000-0000D8080000}"/>
    <cellStyle name="Currency 4 2 2 5 2 2 2" xfId="33662" xr:uid="{A9DCEA9D-F436-4946-BE5B-2283C98921C1}"/>
    <cellStyle name="Currency 4 2 2 5 2 3" xfId="27011" xr:uid="{00000000-0005-0000-0000-0000D9080000}"/>
    <cellStyle name="Currency 4 2 2 5 2 3 2" xfId="33663" xr:uid="{702B1ED5-23C0-4312-B8B3-A4F3F1E8737A}"/>
    <cellStyle name="Currency 4 2 2 5 2 4" xfId="33661" xr:uid="{464DB7BF-B9EA-4AAD-B332-8AEBDBEA5378}"/>
    <cellStyle name="Currency 4 2 2 5 3" xfId="27012" xr:uid="{00000000-0005-0000-0000-0000DA080000}"/>
    <cellStyle name="Currency 4 2 2 5 3 2" xfId="33664" xr:uid="{CCA86B72-AAB8-44A1-8A36-C0530DDDC53C}"/>
    <cellStyle name="Currency 4 2 2 5 4" xfId="27013" xr:uid="{00000000-0005-0000-0000-0000DB080000}"/>
    <cellStyle name="Currency 4 2 2 5 4 2" xfId="33665" xr:uid="{1FC1FA4C-9F7A-482A-9AA5-93C4F13CFAB3}"/>
    <cellStyle name="Currency 4 2 2 5 5" xfId="27014" xr:uid="{00000000-0005-0000-0000-0000DC080000}"/>
    <cellStyle name="Currency 4 2 2 5 5 2" xfId="33666" xr:uid="{942162B7-1439-41C0-ABA3-37628657DF46}"/>
    <cellStyle name="Currency 4 2 2 5 6" xfId="33660" xr:uid="{1F9A88F8-86F4-423B-B0E7-BDBFB3CF36BF}"/>
    <cellStyle name="Currency 4 2 2 6" xfId="27015" xr:uid="{00000000-0005-0000-0000-0000DD080000}"/>
    <cellStyle name="Currency 4 2 2 6 2" xfId="27016" xr:uid="{00000000-0005-0000-0000-0000DE080000}"/>
    <cellStyle name="Currency 4 2 2 6 2 2" xfId="33668" xr:uid="{4405EC54-3BDB-4BE5-B8AC-F1CA446E0962}"/>
    <cellStyle name="Currency 4 2 2 6 3" xfId="27017" xr:uid="{00000000-0005-0000-0000-0000DF080000}"/>
    <cellStyle name="Currency 4 2 2 6 3 2" xfId="33669" xr:uid="{2C89F106-D353-4ABB-9420-B8CCA5615607}"/>
    <cellStyle name="Currency 4 2 2 6 4" xfId="33667" xr:uid="{6A603A07-95D5-4C8B-94B1-03D7BA92AF6B}"/>
    <cellStyle name="Currency 4 2 2 7" xfId="27018" xr:uid="{00000000-0005-0000-0000-0000E0080000}"/>
    <cellStyle name="Currency 4 2 2 7 2" xfId="33670" xr:uid="{FEE68DB7-1972-425A-864C-40B55B1ABC5B}"/>
    <cellStyle name="Currency 4 2 2 8" xfId="27019" xr:uid="{00000000-0005-0000-0000-0000E1080000}"/>
    <cellStyle name="Currency 4 2 2 8 2" xfId="33671" xr:uid="{7D26BC13-BB67-4915-B9C1-C4B37479F191}"/>
    <cellStyle name="Currency 4 2 2 9" xfId="27020" xr:uid="{00000000-0005-0000-0000-0000E2080000}"/>
    <cellStyle name="Currency 4 2 2 9 2" xfId="33672" xr:uid="{80791FD4-B350-4026-8865-5FC27C575E50}"/>
    <cellStyle name="Currency 4 2 3" xfId="27021" xr:uid="{00000000-0005-0000-0000-0000E3080000}"/>
    <cellStyle name="Currency 4 2 3 10" xfId="33673" xr:uid="{FACA0D2A-1727-4E61-BC5A-99F0AE05ADD0}"/>
    <cellStyle name="Currency 4 2 3 2" xfId="27022" xr:uid="{00000000-0005-0000-0000-0000E4080000}"/>
    <cellStyle name="Currency 4 2 3 2 2" xfId="27023" xr:uid="{00000000-0005-0000-0000-0000E5080000}"/>
    <cellStyle name="Currency 4 2 3 2 2 2" xfId="27024" xr:uid="{00000000-0005-0000-0000-0000E6080000}"/>
    <cellStyle name="Currency 4 2 3 2 2 2 2" xfId="27025" xr:uid="{00000000-0005-0000-0000-0000E7080000}"/>
    <cellStyle name="Currency 4 2 3 2 2 2 2 2" xfId="27026" xr:uid="{00000000-0005-0000-0000-0000E8080000}"/>
    <cellStyle name="Currency 4 2 3 2 2 2 2 2 2" xfId="33678" xr:uid="{0A5E8878-5369-473A-8D3D-1D71DD631356}"/>
    <cellStyle name="Currency 4 2 3 2 2 2 2 3" xfId="27027" xr:uid="{00000000-0005-0000-0000-0000E9080000}"/>
    <cellStyle name="Currency 4 2 3 2 2 2 2 3 2" xfId="33679" xr:uid="{A23F1212-2DA5-4A68-AA92-A3C21DB525F1}"/>
    <cellStyle name="Currency 4 2 3 2 2 2 2 4" xfId="33677" xr:uid="{595CC61F-0800-4838-879F-5304C69E2E1B}"/>
    <cellStyle name="Currency 4 2 3 2 2 2 3" xfId="27028" xr:uid="{00000000-0005-0000-0000-0000EA080000}"/>
    <cellStyle name="Currency 4 2 3 2 2 2 3 2" xfId="33680" xr:uid="{00425570-7F24-4F84-9226-F2D58C3E4FA3}"/>
    <cellStyle name="Currency 4 2 3 2 2 2 4" xfId="27029" xr:uid="{00000000-0005-0000-0000-0000EB080000}"/>
    <cellStyle name="Currency 4 2 3 2 2 2 4 2" xfId="33681" xr:uid="{29DB8A09-507E-4A04-97D2-15D6FA94D4DB}"/>
    <cellStyle name="Currency 4 2 3 2 2 2 5" xfId="27030" xr:uid="{00000000-0005-0000-0000-0000EC080000}"/>
    <cellStyle name="Currency 4 2 3 2 2 2 5 2" xfId="33682" xr:uid="{2548D435-D2D5-48BB-A87D-CD17F6F6597C}"/>
    <cellStyle name="Currency 4 2 3 2 2 2 6" xfId="33676" xr:uid="{87C6C97B-E7F8-4828-AB30-62B1AAA8B9D4}"/>
    <cellStyle name="Currency 4 2 3 2 2 3" xfId="27031" xr:uid="{00000000-0005-0000-0000-0000ED080000}"/>
    <cellStyle name="Currency 4 2 3 2 2 3 2" xfId="27032" xr:uid="{00000000-0005-0000-0000-0000EE080000}"/>
    <cellStyle name="Currency 4 2 3 2 2 3 2 2" xfId="27033" xr:uid="{00000000-0005-0000-0000-0000EF080000}"/>
    <cellStyle name="Currency 4 2 3 2 2 3 2 2 2" xfId="33685" xr:uid="{FEA888C3-C3C0-47EC-82A6-B1EC8125CAAA}"/>
    <cellStyle name="Currency 4 2 3 2 2 3 2 3" xfId="27034" xr:uid="{00000000-0005-0000-0000-0000F0080000}"/>
    <cellStyle name="Currency 4 2 3 2 2 3 2 3 2" xfId="33686" xr:uid="{DBDA0ACD-8AEB-4F9F-B7FE-C8667D2F18B9}"/>
    <cellStyle name="Currency 4 2 3 2 2 3 2 4" xfId="33684" xr:uid="{5340760D-9BF5-4A3E-8DBA-CFA0D2D8ED40}"/>
    <cellStyle name="Currency 4 2 3 2 2 3 3" xfId="27035" xr:uid="{00000000-0005-0000-0000-0000F1080000}"/>
    <cellStyle name="Currency 4 2 3 2 2 3 3 2" xfId="33687" xr:uid="{E325BE25-1236-4E30-80C2-FB32B0150E92}"/>
    <cellStyle name="Currency 4 2 3 2 2 3 4" xfId="27036" xr:uid="{00000000-0005-0000-0000-0000F2080000}"/>
    <cellStyle name="Currency 4 2 3 2 2 3 4 2" xfId="33688" xr:uid="{162906C1-9285-4186-B7D8-E2CA59D90AFD}"/>
    <cellStyle name="Currency 4 2 3 2 2 3 5" xfId="27037" xr:uid="{00000000-0005-0000-0000-0000F3080000}"/>
    <cellStyle name="Currency 4 2 3 2 2 3 5 2" xfId="33689" xr:uid="{E1C15119-1E6E-4ADA-B875-7B5A2B57CA40}"/>
    <cellStyle name="Currency 4 2 3 2 2 3 6" xfId="33683" xr:uid="{0FC03B77-2B20-44BC-B0D3-3DE2A45E8831}"/>
    <cellStyle name="Currency 4 2 3 2 2 4" xfId="27038" xr:uid="{00000000-0005-0000-0000-0000F4080000}"/>
    <cellStyle name="Currency 4 2 3 2 2 4 2" xfId="27039" xr:uid="{00000000-0005-0000-0000-0000F5080000}"/>
    <cellStyle name="Currency 4 2 3 2 2 4 2 2" xfId="33691" xr:uid="{542EE9EF-C7B5-4CAD-8BB3-AEC881681394}"/>
    <cellStyle name="Currency 4 2 3 2 2 4 3" xfId="27040" xr:uid="{00000000-0005-0000-0000-0000F6080000}"/>
    <cellStyle name="Currency 4 2 3 2 2 4 3 2" xfId="33692" xr:uid="{D6BCC0C9-461E-4F8A-B8D1-BEB5D2042767}"/>
    <cellStyle name="Currency 4 2 3 2 2 4 4" xfId="33690" xr:uid="{8C1DDA96-0194-4F1D-BB2F-B1451B99C743}"/>
    <cellStyle name="Currency 4 2 3 2 2 5" xfId="27041" xr:uid="{00000000-0005-0000-0000-0000F7080000}"/>
    <cellStyle name="Currency 4 2 3 2 2 5 2" xfId="33693" xr:uid="{630F70C2-D201-4F6E-BD1A-EB4345F49B17}"/>
    <cellStyle name="Currency 4 2 3 2 2 6" xfId="27042" xr:uid="{00000000-0005-0000-0000-0000F8080000}"/>
    <cellStyle name="Currency 4 2 3 2 2 6 2" xfId="33694" xr:uid="{7AA0536B-79CA-4710-8EFD-0B491A6EF55F}"/>
    <cellStyle name="Currency 4 2 3 2 2 7" xfId="27043" xr:uid="{00000000-0005-0000-0000-0000F9080000}"/>
    <cellStyle name="Currency 4 2 3 2 2 7 2" xfId="33695" xr:uid="{A2A2A0FA-C65B-490D-A745-D2D3319D4E5E}"/>
    <cellStyle name="Currency 4 2 3 2 2 8" xfId="33675" xr:uid="{116C6BA0-D1B9-4606-A7B3-71CB268FABF9}"/>
    <cellStyle name="Currency 4 2 3 2 3" xfId="27044" xr:uid="{00000000-0005-0000-0000-0000FA080000}"/>
    <cellStyle name="Currency 4 2 3 2 3 2" xfId="27045" xr:uid="{00000000-0005-0000-0000-0000FB080000}"/>
    <cellStyle name="Currency 4 2 3 2 3 2 2" xfId="27046" xr:uid="{00000000-0005-0000-0000-0000FC080000}"/>
    <cellStyle name="Currency 4 2 3 2 3 2 2 2" xfId="33698" xr:uid="{CC6BC20B-B9B1-4684-B222-32286833031C}"/>
    <cellStyle name="Currency 4 2 3 2 3 2 3" xfId="27047" xr:uid="{00000000-0005-0000-0000-0000FD080000}"/>
    <cellStyle name="Currency 4 2 3 2 3 2 3 2" xfId="33699" xr:uid="{F6E80EEF-13D3-4DFE-8576-7BA6DB20D09B}"/>
    <cellStyle name="Currency 4 2 3 2 3 2 4" xfId="33697" xr:uid="{2D34EFE7-BA5E-4593-BA15-87B89C68DEB7}"/>
    <cellStyle name="Currency 4 2 3 2 3 3" xfId="27048" xr:uid="{00000000-0005-0000-0000-0000FE080000}"/>
    <cellStyle name="Currency 4 2 3 2 3 3 2" xfId="33700" xr:uid="{9148B84D-149C-4A4F-A154-6FF95D4C9D29}"/>
    <cellStyle name="Currency 4 2 3 2 3 4" xfId="27049" xr:uid="{00000000-0005-0000-0000-0000FF080000}"/>
    <cellStyle name="Currency 4 2 3 2 3 4 2" xfId="33701" xr:uid="{45AEB8BF-B97F-48BD-ABB0-5B85066A7B45}"/>
    <cellStyle name="Currency 4 2 3 2 3 5" xfId="27050" xr:uid="{00000000-0005-0000-0000-000000090000}"/>
    <cellStyle name="Currency 4 2 3 2 3 5 2" xfId="33702" xr:uid="{9EFE85F8-B655-4E16-90A8-38AA8D1C75BC}"/>
    <cellStyle name="Currency 4 2 3 2 3 6" xfId="33696" xr:uid="{309F5585-BDFD-4BBC-B8FF-2F210987B83F}"/>
    <cellStyle name="Currency 4 2 3 2 4" xfId="27051" xr:uid="{00000000-0005-0000-0000-000001090000}"/>
    <cellStyle name="Currency 4 2 3 2 4 2" xfId="27052" xr:uid="{00000000-0005-0000-0000-000002090000}"/>
    <cellStyle name="Currency 4 2 3 2 4 2 2" xfId="27053" xr:uid="{00000000-0005-0000-0000-000003090000}"/>
    <cellStyle name="Currency 4 2 3 2 4 2 2 2" xfId="33705" xr:uid="{B38CB4C1-E85D-4CAB-8950-3DE00AB0B29A}"/>
    <cellStyle name="Currency 4 2 3 2 4 2 3" xfId="27054" xr:uid="{00000000-0005-0000-0000-000004090000}"/>
    <cellStyle name="Currency 4 2 3 2 4 2 3 2" xfId="33706" xr:uid="{08DA1825-A603-4BF1-92ED-9032CF6547FA}"/>
    <cellStyle name="Currency 4 2 3 2 4 2 4" xfId="33704" xr:uid="{19834028-E6F8-4F82-B35D-CB728E3E4F92}"/>
    <cellStyle name="Currency 4 2 3 2 4 3" xfId="27055" xr:uid="{00000000-0005-0000-0000-000005090000}"/>
    <cellStyle name="Currency 4 2 3 2 4 3 2" xfId="33707" xr:uid="{F89E37C4-0DEA-47E5-8828-67E55218BA45}"/>
    <cellStyle name="Currency 4 2 3 2 4 4" xfId="27056" xr:uid="{00000000-0005-0000-0000-000006090000}"/>
    <cellStyle name="Currency 4 2 3 2 4 4 2" xfId="33708" xr:uid="{B331AC33-B555-4BC0-8866-13B2AE9074F6}"/>
    <cellStyle name="Currency 4 2 3 2 4 5" xfId="27057" xr:uid="{00000000-0005-0000-0000-000007090000}"/>
    <cellStyle name="Currency 4 2 3 2 4 5 2" xfId="33709" xr:uid="{5C57D0FC-0099-4359-B664-BA2E7090A7CF}"/>
    <cellStyle name="Currency 4 2 3 2 4 6" xfId="33703" xr:uid="{A39BF6E8-9899-4EC2-902F-73C71A98EA31}"/>
    <cellStyle name="Currency 4 2 3 2 5" xfId="27058" xr:uid="{00000000-0005-0000-0000-000008090000}"/>
    <cellStyle name="Currency 4 2 3 2 5 2" xfId="27059" xr:uid="{00000000-0005-0000-0000-000009090000}"/>
    <cellStyle name="Currency 4 2 3 2 5 2 2" xfId="33711" xr:uid="{A5992675-972D-4EA5-8100-1F8862841111}"/>
    <cellStyle name="Currency 4 2 3 2 5 3" xfId="27060" xr:uid="{00000000-0005-0000-0000-00000A090000}"/>
    <cellStyle name="Currency 4 2 3 2 5 3 2" xfId="33712" xr:uid="{BA026E09-5B0B-426A-81C9-815F78A7296A}"/>
    <cellStyle name="Currency 4 2 3 2 5 4" xfId="33710" xr:uid="{6ABE2AA0-14FD-485D-9DBA-6619C827747A}"/>
    <cellStyle name="Currency 4 2 3 2 6" xfId="27061" xr:uid="{00000000-0005-0000-0000-00000B090000}"/>
    <cellStyle name="Currency 4 2 3 2 6 2" xfId="33713" xr:uid="{C070AED9-2F39-40C1-9CBE-9C41185AD580}"/>
    <cellStyle name="Currency 4 2 3 2 7" xfId="27062" xr:uid="{00000000-0005-0000-0000-00000C090000}"/>
    <cellStyle name="Currency 4 2 3 2 7 2" xfId="33714" xr:uid="{20196243-FCBB-4897-932A-28220B82370C}"/>
    <cellStyle name="Currency 4 2 3 2 8" xfId="27063" xr:uid="{00000000-0005-0000-0000-00000D090000}"/>
    <cellStyle name="Currency 4 2 3 2 8 2" xfId="33715" xr:uid="{C38EFBAE-0516-4DB7-83CE-805EBFA63A3A}"/>
    <cellStyle name="Currency 4 2 3 2 9" xfId="33674" xr:uid="{B0160628-8AFB-4E61-A3FB-A34B2A7DCF2C}"/>
    <cellStyle name="Currency 4 2 3 3" xfId="27064" xr:uid="{00000000-0005-0000-0000-00000E090000}"/>
    <cellStyle name="Currency 4 2 3 3 2" xfId="27065" xr:uid="{00000000-0005-0000-0000-00000F090000}"/>
    <cellStyle name="Currency 4 2 3 3 2 2" xfId="27066" xr:uid="{00000000-0005-0000-0000-000010090000}"/>
    <cellStyle name="Currency 4 2 3 3 2 2 2" xfId="27067" xr:uid="{00000000-0005-0000-0000-000011090000}"/>
    <cellStyle name="Currency 4 2 3 3 2 2 2 2" xfId="33719" xr:uid="{36215354-D18E-48A6-A5F4-C9E3DD24AF84}"/>
    <cellStyle name="Currency 4 2 3 3 2 2 3" xfId="27068" xr:uid="{00000000-0005-0000-0000-000012090000}"/>
    <cellStyle name="Currency 4 2 3 3 2 2 3 2" xfId="33720" xr:uid="{5E56299E-043B-4537-A743-B468D1649800}"/>
    <cellStyle name="Currency 4 2 3 3 2 2 4" xfId="33718" xr:uid="{FBD9686E-E083-4B9D-86E9-BF020F6468CE}"/>
    <cellStyle name="Currency 4 2 3 3 2 3" xfId="27069" xr:uid="{00000000-0005-0000-0000-000013090000}"/>
    <cellStyle name="Currency 4 2 3 3 2 3 2" xfId="33721" xr:uid="{7E2AE09E-F479-4D91-BA07-E68C2DD4B2E7}"/>
    <cellStyle name="Currency 4 2 3 3 2 4" xfId="27070" xr:uid="{00000000-0005-0000-0000-000014090000}"/>
    <cellStyle name="Currency 4 2 3 3 2 4 2" xfId="33722" xr:uid="{8803F316-9D22-4C17-B8B0-224804F76878}"/>
    <cellStyle name="Currency 4 2 3 3 2 5" xfId="27071" xr:uid="{00000000-0005-0000-0000-000015090000}"/>
    <cellStyle name="Currency 4 2 3 3 2 5 2" xfId="33723" xr:uid="{9FBEF76E-F2BB-47B3-BC6D-A0A490D42081}"/>
    <cellStyle name="Currency 4 2 3 3 2 6" xfId="33717" xr:uid="{3104BADA-0A6D-4744-B044-F84D4B5303CC}"/>
    <cellStyle name="Currency 4 2 3 3 3" xfId="27072" xr:uid="{00000000-0005-0000-0000-000016090000}"/>
    <cellStyle name="Currency 4 2 3 3 3 2" xfId="27073" xr:uid="{00000000-0005-0000-0000-000017090000}"/>
    <cellStyle name="Currency 4 2 3 3 3 2 2" xfId="27074" xr:uid="{00000000-0005-0000-0000-000018090000}"/>
    <cellStyle name="Currency 4 2 3 3 3 2 2 2" xfId="33726" xr:uid="{2CD821E4-6DB2-42C1-BC13-3DC4ACAD4476}"/>
    <cellStyle name="Currency 4 2 3 3 3 2 3" xfId="27075" xr:uid="{00000000-0005-0000-0000-000019090000}"/>
    <cellStyle name="Currency 4 2 3 3 3 2 3 2" xfId="33727" xr:uid="{FCA53B70-CDDF-4EA1-B08D-F282956292CC}"/>
    <cellStyle name="Currency 4 2 3 3 3 2 4" xfId="33725" xr:uid="{D07DF010-0023-40F7-BFFE-EBAE00A7B897}"/>
    <cellStyle name="Currency 4 2 3 3 3 3" xfId="27076" xr:uid="{00000000-0005-0000-0000-00001A090000}"/>
    <cellStyle name="Currency 4 2 3 3 3 3 2" xfId="33728" xr:uid="{E1A23A2B-A8F9-4A41-9EE5-311F9FAE6795}"/>
    <cellStyle name="Currency 4 2 3 3 3 4" xfId="27077" xr:uid="{00000000-0005-0000-0000-00001B090000}"/>
    <cellStyle name="Currency 4 2 3 3 3 4 2" xfId="33729" xr:uid="{29AA5EBA-4C0B-4EBE-A793-5A2E7E5E37A9}"/>
    <cellStyle name="Currency 4 2 3 3 3 5" xfId="27078" xr:uid="{00000000-0005-0000-0000-00001C090000}"/>
    <cellStyle name="Currency 4 2 3 3 3 5 2" xfId="33730" xr:uid="{84BCFE62-0A84-43AE-8B37-2CDF1FA5BD06}"/>
    <cellStyle name="Currency 4 2 3 3 3 6" xfId="33724" xr:uid="{068213D1-DA68-40F8-8D5D-E4FF13CEBFC3}"/>
    <cellStyle name="Currency 4 2 3 3 4" xfId="27079" xr:uid="{00000000-0005-0000-0000-00001D090000}"/>
    <cellStyle name="Currency 4 2 3 3 4 2" xfId="27080" xr:uid="{00000000-0005-0000-0000-00001E090000}"/>
    <cellStyle name="Currency 4 2 3 3 4 2 2" xfId="33732" xr:uid="{C9BBF74F-8A53-4FE0-A7D7-DED0B2420582}"/>
    <cellStyle name="Currency 4 2 3 3 4 3" xfId="27081" xr:uid="{00000000-0005-0000-0000-00001F090000}"/>
    <cellStyle name="Currency 4 2 3 3 4 3 2" xfId="33733" xr:uid="{6D28EA6E-1435-4C81-B9C8-41112C0A1806}"/>
    <cellStyle name="Currency 4 2 3 3 4 4" xfId="33731" xr:uid="{0B676C41-6E65-4013-BE3C-751A63028736}"/>
    <cellStyle name="Currency 4 2 3 3 5" xfId="27082" xr:uid="{00000000-0005-0000-0000-000020090000}"/>
    <cellStyle name="Currency 4 2 3 3 5 2" xfId="33734" xr:uid="{B0FFFF93-E646-43BE-9465-22EEBE9E4A6D}"/>
    <cellStyle name="Currency 4 2 3 3 6" xfId="27083" xr:uid="{00000000-0005-0000-0000-000021090000}"/>
    <cellStyle name="Currency 4 2 3 3 6 2" xfId="33735" xr:uid="{F3957203-4975-48E5-AD71-E2810A333DC8}"/>
    <cellStyle name="Currency 4 2 3 3 7" xfId="27084" xr:uid="{00000000-0005-0000-0000-000022090000}"/>
    <cellStyle name="Currency 4 2 3 3 7 2" xfId="33736" xr:uid="{FF65C26E-40C6-450B-9EE7-59AB91D81E9E}"/>
    <cellStyle name="Currency 4 2 3 3 8" xfId="33716" xr:uid="{117D0B4F-1579-4C30-9624-064BF3BCD70F}"/>
    <cellStyle name="Currency 4 2 3 4" xfId="27085" xr:uid="{00000000-0005-0000-0000-000023090000}"/>
    <cellStyle name="Currency 4 2 3 4 2" xfId="27086" xr:uid="{00000000-0005-0000-0000-000024090000}"/>
    <cellStyle name="Currency 4 2 3 4 2 2" xfId="27087" xr:uid="{00000000-0005-0000-0000-000025090000}"/>
    <cellStyle name="Currency 4 2 3 4 2 2 2" xfId="33739" xr:uid="{03475310-676E-4A57-9054-B2771B551613}"/>
    <cellStyle name="Currency 4 2 3 4 2 3" xfId="27088" xr:uid="{00000000-0005-0000-0000-000026090000}"/>
    <cellStyle name="Currency 4 2 3 4 2 3 2" xfId="33740" xr:uid="{9BCAD76E-CE1C-4C97-93FE-658A4B259BB4}"/>
    <cellStyle name="Currency 4 2 3 4 2 4" xfId="33738" xr:uid="{CB042F74-E569-43DD-BFB1-5227EF08D38A}"/>
    <cellStyle name="Currency 4 2 3 4 3" xfId="27089" xr:uid="{00000000-0005-0000-0000-000027090000}"/>
    <cellStyle name="Currency 4 2 3 4 3 2" xfId="33741" xr:uid="{5C74DBEB-1956-44E6-8615-864E0B71CA0C}"/>
    <cellStyle name="Currency 4 2 3 4 4" xfId="27090" xr:uid="{00000000-0005-0000-0000-000028090000}"/>
    <cellStyle name="Currency 4 2 3 4 4 2" xfId="33742" xr:uid="{C074D5D8-5E9D-4C3E-A4AF-A9576F168F48}"/>
    <cellStyle name="Currency 4 2 3 4 5" xfId="27091" xr:uid="{00000000-0005-0000-0000-000029090000}"/>
    <cellStyle name="Currency 4 2 3 4 5 2" xfId="33743" xr:uid="{A6CBC0F0-DD9A-4E1B-857B-C23B2F16C707}"/>
    <cellStyle name="Currency 4 2 3 4 6" xfId="33737" xr:uid="{3D3AACE1-E626-4AC4-8239-D37C259363E8}"/>
    <cellStyle name="Currency 4 2 3 5" xfId="27092" xr:uid="{00000000-0005-0000-0000-00002A090000}"/>
    <cellStyle name="Currency 4 2 3 5 2" xfId="27093" xr:uid="{00000000-0005-0000-0000-00002B090000}"/>
    <cellStyle name="Currency 4 2 3 5 2 2" xfId="27094" xr:uid="{00000000-0005-0000-0000-00002C090000}"/>
    <cellStyle name="Currency 4 2 3 5 2 2 2" xfId="33746" xr:uid="{8194D16E-1B94-45D8-B018-E256D7E99B71}"/>
    <cellStyle name="Currency 4 2 3 5 2 3" xfId="27095" xr:uid="{00000000-0005-0000-0000-00002D090000}"/>
    <cellStyle name="Currency 4 2 3 5 2 3 2" xfId="33747" xr:uid="{05D50437-1047-45C4-989C-9F3F0D217FE2}"/>
    <cellStyle name="Currency 4 2 3 5 2 4" xfId="33745" xr:uid="{42DD6220-11E6-4D72-BE7E-09FCA606FBF8}"/>
    <cellStyle name="Currency 4 2 3 5 3" xfId="27096" xr:uid="{00000000-0005-0000-0000-00002E090000}"/>
    <cellStyle name="Currency 4 2 3 5 3 2" xfId="33748" xr:uid="{611C5E05-5BCC-43CD-B3B8-AA8CA7E41FD9}"/>
    <cellStyle name="Currency 4 2 3 5 4" xfId="27097" xr:uid="{00000000-0005-0000-0000-00002F090000}"/>
    <cellStyle name="Currency 4 2 3 5 4 2" xfId="33749" xr:uid="{1A939813-EE2F-4447-A0E3-FB3547F2D13B}"/>
    <cellStyle name="Currency 4 2 3 5 5" xfId="27098" xr:uid="{00000000-0005-0000-0000-000030090000}"/>
    <cellStyle name="Currency 4 2 3 5 5 2" xfId="33750" xr:uid="{0EBE501A-03F8-4D55-889A-2153F8EC0F65}"/>
    <cellStyle name="Currency 4 2 3 5 6" xfId="33744" xr:uid="{C98517D6-1D3D-4077-9B70-BB850401A3D3}"/>
    <cellStyle name="Currency 4 2 3 6" xfId="27099" xr:uid="{00000000-0005-0000-0000-000031090000}"/>
    <cellStyle name="Currency 4 2 3 6 2" xfId="27100" xr:uid="{00000000-0005-0000-0000-000032090000}"/>
    <cellStyle name="Currency 4 2 3 6 2 2" xfId="33752" xr:uid="{D399FFF7-B8BD-4511-ADCE-AD7EC263A784}"/>
    <cellStyle name="Currency 4 2 3 6 3" xfId="27101" xr:uid="{00000000-0005-0000-0000-000033090000}"/>
    <cellStyle name="Currency 4 2 3 6 3 2" xfId="33753" xr:uid="{FEA51EFF-12BD-4480-95FA-0B27ECA4FC05}"/>
    <cellStyle name="Currency 4 2 3 6 4" xfId="33751" xr:uid="{D3D0A7D4-B375-4373-8074-DABAB7243AD6}"/>
    <cellStyle name="Currency 4 2 3 7" xfId="27102" xr:uid="{00000000-0005-0000-0000-000034090000}"/>
    <cellStyle name="Currency 4 2 3 7 2" xfId="33754" xr:uid="{30777388-2427-4491-A72D-2F0FEAEBE1BE}"/>
    <cellStyle name="Currency 4 2 3 8" xfId="27103" xr:uid="{00000000-0005-0000-0000-000035090000}"/>
    <cellStyle name="Currency 4 2 3 8 2" xfId="33755" xr:uid="{C1BC51A3-0FCF-4E3B-A8FA-3C10AF6F1FE1}"/>
    <cellStyle name="Currency 4 2 3 9" xfId="27104" xr:uid="{00000000-0005-0000-0000-000036090000}"/>
    <cellStyle name="Currency 4 2 3 9 2" xfId="33756" xr:uid="{870E7311-3D69-41C9-A6A1-EA50B15053E9}"/>
    <cellStyle name="Currency 4 2 4" xfId="27105" xr:uid="{00000000-0005-0000-0000-000037090000}"/>
    <cellStyle name="Currency 4 2 4 10" xfId="33757" xr:uid="{7C4ACE85-C0B6-43F7-BCCD-1D0E48A69A7E}"/>
    <cellStyle name="Currency 4 2 4 2" xfId="27106" xr:uid="{00000000-0005-0000-0000-000038090000}"/>
    <cellStyle name="Currency 4 2 4 2 2" xfId="27107" xr:uid="{00000000-0005-0000-0000-000039090000}"/>
    <cellStyle name="Currency 4 2 4 2 2 2" xfId="27108" xr:uid="{00000000-0005-0000-0000-00003A090000}"/>
    <cellStyle name="Currency 4 2 4 2 2 2 2" xfId="27109" xr:uid="{00000000-0005-0000-0000-00003B090000}"/>
    <cellStyle name="Currency 4 2 4 2 2 2 2 2" xfId="27110" xr:uid="{00000000-0005-0000-0000-00003C090000}"/>
    <cellStyle name="Currency 4 2 4 2 2 2 2 2 2" xfId="33762" xr:uid="{CF1077F4-02A5-48A6-AEFA-87EE2F7B7F2A}"/>
    <cellStyle name="Currency 4 2 4 2 2 2 2 3" xfId="27111" xr:uid="{00000000-0005-0000-0000-00003D090000}"/>
    <cellStyle name="Currency 4 2 4 2 2 2 2 3 2" xfId="33763" xr:uid="{B348BD50-4B63-4C25-87C9-F5E89B0FCEC2}"/>
    <cellStyle name="Currency 4 2 4 2 2 2 2 4" xfId="33761" xr:uid="{50370C79-898E-4DCD-BFE2-B9F5F67C437E}"/>
    <cellStyle name="Currency 4 2 4 2 2 2 3" xfId="27112" xr:uid="{00000000-0005-0000-0000-00003E090000}"/>
    <cellStyle name="Currency 4 2 4 2 2 2 3 2" xfId="33764" xr:uid="{A17ECDA7-F041-4A77-B939-885B9C28D5E3}"/>
    <cellStyle name="Currency 4 2 4 2 2 2 4" xfId="27113" xr:uid="{00000000-0005-0000-0000-00003F090000}"/>
    <cellStyle name="Currency 4 2 4 2 2 2 4 2" xfId="33765" xr:uid="{3A866313-69D7-43E3-858C-A121FC883940}"/>
    <cellStyle name="Currency 4 2 4 2 2 2 5" xfId="27114" xr:uid="{00000000-0005-0000-0000-000040090000}"/>
    <cellStyle name="Currency 4 2 4 2 2 2 5 2" xfId="33766" xr:uid="{21557C95-CC9E-4EF9-A9F6-EB984F979305}"/>
    <cellStyle name="Currency 4 2 4 2 2 2 6" xfId="33760" xr:uid="{8F661A8C-80F8-4130-A4B1-B7E96C4E95D5}"/>
    <cellStyle name="Currency 4 2 4 2 2 3" xfId="27115" xr:uid="{00000000-0005-0000-0000-000041090000}"/>
    <cellStyle name="Currency 4 2 4 2 2 3 2" xfId="27116" xr:uid="{00000000-0005-0000-0000-000042090000}"/>
    <cellStyle name="Currency 4 2 4 2 2 3 2 2" xfId="27117" xr:uid="{00000000-0005-0000-0000-000043090000}"/>
    <cellStyle name="Currency 4 2 4 2 2 3 2 2 2" xfId="33769" xr:uid="{9179B10D-0970-4835-A16A-D8DD1148D5E5}"/>
    <cellStyle name="Currency 4 2 4 2 2 3 2 3" xfId="27118" xr:uid="{00000000-0005-0000-0000-000044090000}"/>
    <cellStyle name="Currency 4 2 4 2 2 3 2 3 2" xfId="33770" xr:uid="{C21C5DE4-C6B2-4B54-9244-F935648ACB43}"/>
    <cellStyle name="Currency 4 2 4 2 2 3 2 4" xfId="33768" xr:uid="{0B467F72-0778-40A8-A129-4D313CDEEA4D}"/>
    <cellStyle name="Currency 4 2 4 2 2 3 3" xfId="27119" xr:uid="{00000000-0005-0000-0000-000045090000}"/>
    <cellStyle name="Currency 4 2 4 2 2 3 3 2" xfId="33771" xr:uid="{67B993F5-2FAE-4B32-AF32-414327F50572}"/>
    <cellStyle name="Currency 4 2 4 2 2 3 4" xfId="27120" xr:uid="{00000000-0005-0000-0000-000046090000}"/>
    <cellStyle name="Currency 4 2 4 2 2 3 4 2" xfId="33772" xr:uid="{02468AF1-24CB-475F-897D-27FC56FC4584}"/>
    <cellStyle name="Currency 4 2 4 2 2 3 5" xfId="27121" xr:uid="{00000000-0005-0000-0000-000047090000}"/>
    <cellStyle name="Currency 4 2 4 2 2 3 5 2" xfId="33773" xr:uid="{1622EB6D-2FA3-4217-89FE-B5ECDFC44915}"/>
    <cellStyle name="Currency 4 2 4 2 2 3 6" xfId="33767" xr:uid="{53743A01-A63B-4BBB-AE34-536A20831C11}"/>
    <cellStyle name="Currency 4 2 4 2 2 4" xfId="27122" xr:uid="{00000000-0005-0000-0000-000048090000}"/>
    <cellStyle name="Currency 4 2 4 2 2 4 2" xfId="27123" xr:uid="{00000000-0005-0000-0000-000049090000}"/>
    <cellStyle name="Currency 4 2 4 2 2 4 2 2" xfId="33775" xr:uid="{FB72AE48-83FF-4207-AD7C-5FC5F5BCC7C9}"/>
    <cellStyle name="Currency 4 2 4 2 2 4 3" xfId="27124" xr:uid="{00000000-0005-0000-0000-00004A090000}"/>
    <cellStyle name="Currency 4 2 4 2 2 4 3 2" xfId="33776" xr:uid="{A41DDD54-8502-4B01-B263-A6114CFF5F28}"/>
    <cellStyle name="Currency 4 2 4 2 2 4 4" xfId="33774" xr:uid="{55D39DF6-5FF1-4230-B937-04932BFC39BB}"/>
    <cellStyle name="Currency 4 2 4 2 2 5" xfId="27125" xr:uid="{00000000-0005-0000-0000-00004B090000}"/>
    <cellStyle name="Currency 4 2 4 2 2 5 2" xfId="33777" xr:uid="{99153F3A-079C-4382-AC3E-E8509B8C4119}"/>
    <cellStyle name="Currency 4 2 4 2 2 6" xfId="27126" xr:uid="{00000000-0005-0000-0000-00004C090000}"/>
    <cellStyle name="Currency 4 2 4 2 2 6 2" xfId="33778" xr:uid="{3C2ACDC7-D2AA-4825-8592-775A18E6E646}"/>
    <cellStyle name="Currency 4 2 4 2 2 7" xfId="27127" xr:uid="{00000000-0005-0000-0000-00004D090000}"/>
    <cellStyle name="Currency 4 2 4 2 2 7 2" xfId="33779" xr:uid="{27CFFB16-96DD-47DB-9150-ACBC2451942E}"/>
    <cellStyle name="Currency 4 2 4 2 2 8" xfId="33759" xr:uid="{9345B8A2-7FCA-42CB-99CF-AB16DCCCF468}"/>
    <cellStyle name="Currency 4 2 4 2 3" xfId="27128" xr:uid="{00000000-0005-0000-0000-00004E090000}"/>
    <cellStyle name="Currency 4 2 4 2 3 2" xfId="27129" xr:uid="{00000000-0005-0000-0000-00004F090000}"/>
    <cellStyle name="Currency 4 2 4 2 3 2 2" xfId="27130" xr:uid="{00000000-0005-0000-0000-000050090000}"/>
    <cellStyle name="Currency 4 2 4 2 3 2 2 2" xfId="33782" xr:uid="{B4BA09C6-3E5E-4D15-8761-81AB0CA19F7D}"/>
    <cellStyle name="Currency 4 2 4 2 3 2 3" xfId="27131" xr:uid="{00000000-0005-0000-0000-000051090000}"/>
    <cellStyle name="Currency 4 2 4 2 3 2 3 2" xfId="33783" xr:uid="{0F801B76-FAB2-4734-AF7E-CE39981ECA6D}"/>
    <cellStyle name="Currency 4 2 4 2 3 2 4" xfId="33781" xr:uid="{3451C91D-F3A6-47F2-BC1D-096B92616783}"/>
    <cellStyle name="Currency 4 2 4 2 3 3" xfId="27132" xr:uid="{00000000-0005-0000-0000-000052090000}"/>
    <cellStyle name="Currency 4 2 4 2 3 3 2" xfId="33784" xr:uid="{5CC7D2A0-79FF-4A65-9387-51D7BA93BB85}"/>
    <cellStyle name="Currency 4 2 4 2 3 4" xfId="27133" xr:uid="{00000000-0005-0000-0000-000053090000}"/>
    <cellStyle name="Currency 4 2 4 2 3 4 2" xfId="33785" xr:uid="{B3223910-FB7A-4B63-8A61-FB8AF15D9E07}"/>
    <cellStyle name="Currency 4 2 4 2 3 5" xfId="27134" xr:uid="{00000000-0005-0000-0000-000054090000}"/>
    <cellStyle name="Currency 4 2 4 2 3 5 2" xfId="33786" xr:uid="{1F01F04C-625E-4097-9E24-F742D610F768}"/>
    <cellStyle name="Currency 4 2 4 2 3 6" xfId="33780" xr:uid="{2104962B-9962-49D3-B871-69B39E784CB6}"/>
    <cellStyle name="Currency 4 2 4 2 4" xfId="27135" xr:uid="{00000000-0005-0000-0000-000055090000}"/>
    <cellStyle name="Currency 4 2 4 2 4 2" xfId="27136" xr:uid="{00000000-0005-0000-0000-000056090000}"/>
    <cellStyle name="Currency 4 2 4 2 4 2 2" xfId="27137" xr:uid="{00000000-0005-0000-0000-000057090000}"/>
    <cellStyle name="Currency 4 2 4 2 4 2 2 2" xfId="33789" xr:uid="{06ADC5C0-5939-4D54-9CED-88734E46BDC8}"/>
    <cellStyle name="Currency 4 2 4 2 4 2 3" xfId="27138" xr:uid="{00000000-0005-0000-0000-000058090000}"/>
    <cellStyle name="Currency 4 2 4 2 4 2 3 2" xfId="33790" xr:uid="{71582459-4F6A-4A1A-B7FC-6A55995BA0AD}"/>
    <cellStyle name="Currency 4 2 4 2 4 2 4" xfId="33788" xr:uid="{1C706CC2-9C92-41A2-988F-6B4D40392AD6}"/>
    <cellStyle name="Currency 4 2 4 2 4 3" xfId="27139" xr:uid="{00000000-0005-0000-0000-000059090000}"/>
    <cellStyle name="Currency 4 2 4 2 4 3 2" xfId="33791" xr:uid="{476CCD49-7715-4551-9AB3-1E583D504BE8}"/>
    <cellStyle name="Currency 4 2 4 2 4 4" xfId="27140" xr:uid="{00000000-0005-0000-0000-00005A090000}"/>
    <cellStyle name="Currency 4 2 4 2 4 4 2" xfId="33792" xr:uid="{4D0893FC-1796-4862-AF85-A9C150F66834}"/>
    <cellStyle name="Currency 4 2 4 2 4 5" xfId="27141" xr:uid="{00000000-0005-0000-0000-00005B090000}"/>
    <cellStyle name="Currency 4 2 4 2 4 5 2" xfId="33793" xr:uid="{37CE8D73-8D15-4956-A2EA-1DFC10AB62E5}"/>
    <cellStyle name="Currency 4 2 4 2 4 6" xfId="33787" xr:uid="{DFD41E55-6D1F-4EE4-B8D3-6129B29CBB67}"/>
    <cellStyle name="Currency 4 2 4 2 5" xfId="27142" xr:uid="{00000000-0005-0000-0000-00005C090000}"/>
    <cellStyle name="Currency 4 2 4 2 5 2" xfId="27143" xr:uid="{00000000-0005-0000-0000-00005D090000}"/>
    <cellStyle name="Currency 4 2 4 2 5 2 2" xfId="33795" xr:uid="{EC8E4F9A-4737-41C2-A849-84E09F253844}"/>
    <cellStyle name="Currency 4 2 4 2 5 3" xfId="27144" xr:uid="{00000000-0005-0000-0000-00005E090000}"/>
    <cellStyle name="Currency 4 2 4 2 5 3 2" xfId="33796" xr:uid="{5112DE32-2A34-43CC-ACB2-3807D54F7087}"/>
    <cellStyle name="Currency 4 2 4 2 5 4" xfId="33794" xr:uid="{31B448B8-EA55-4B9C-84A0-8229CD955B95}"/>
    <cellStyle name="Currency 4 2 4 2 6" xfId="27145" xr:uid="{00000000-0005-0000-0000-00005F090000}"/>
    <cellStyle name="Currency 4 2 4 2 6 2" xfId="33797" xr:uid="{6E9085EF-098A-4CE1-A147-58DB13B7F1C6}"/>
    <cellStyle name="Currency 4 2 4 2 7" xfId="27146" xr:uid="{00000000-0005-0000-0000-000060090000}"/>
    <cellStyle name="Currency 4 2 4 2 7 2" xfId="33798" xr:uid="{E92F88C7-F4A4-4B49-BDFC-DF991221CAB3}"/>
    <cellStyle name="Currency 4 2 4 2 8" xfId="27147" xr:uid="{00000000-0005-0000-0000-000061090000}"/>
    <cellStyle name="Currency 4 2 4 2 8 2" xfId="33799" xr:uid="{F36CA3A4-722C-4590-A768-6A90CC925601}"/>
    <cellStyle name="Currency 4 2 4 2 9" xfId="33758" xr:uid="{71443133-587F-4155-82A1-423E40FA8EA0}"/>
    <cellStyle name="Currency 4 2 4 3" xfId="27148" xr:uid="{00000000-0005-0000-0000-000062090000}"/>
    <cellStyle name="Currency 4 2 4 3 2" xfId="27149" xr:uid="{00000000-0005-0000-0000-000063090000}"/>
    <cellStyle name="Currency 4 2 4 3 2 2" xfId="27150" xr:uid="{00000000-0005-0000-0000-000064090000}"/>
    <cellStyle name="Currency 4 2 4 3 2 2 2" xfId="27151" xr:uid="{00000000-0005-0000-0000-000065090000}"/>
    <cellStyle name="Currency 4 2 4 3 2 2 2 2" xfId="33803" xr:uid="{1184B4B2-270D-46D7-AFD1-B45682BF5E54}"/>
    <cellStyle name="Currency 4 2 4 3 2 2 3" xfId="27152" xr:uid="{00000000-0005-0000-0000-000066090000}"/>
    <cellStyle name="Currency 4 2 4 3 2 2 3 2" xfId="33804" xr:uid="{0A18E3BA-B1B3-4EBE-913F-B44E197AF834}"/>
    <cellStyle name="Currency 4 2 4 3 2 2 4" xfId="33802" xr:uid="{B8CE00B5-4ED9-473C-B68F-31903CA21750}"/>
    <cellStyle name="Currency 4 2 4 3 2 3" xfId="27153" xr:uid="{00000000-0005-0000-0000-000067090000}"/>
    <cellStyle name="Currency 4 2 4 3 2 3 2" xfId="33805" xr:uid="{D0428191-3BD1-4FEE-ABD8-6E9F45ED888E}"/>
    <cellStyle name="Currency 4 2 4 3 2 4" xfId="27154" xr:uid="{00000000-0005-0000-0000-000068090000}"/>
    <cellStyle name="Currency 4 2 4 3 2 4 2" xfId="33806" xr:uid="{5C7A4188-55B8-48CA-B472-F60348AE706C}"/>
    <cellStyle name="Currency 4 2 4 3 2 5" xfId="27155" xr:uid="{00000000-0005-0000-0000-000069090000}"/>
    <cellStyle name="Currency 4 2 4 3 2 5 2" xfId="33807" xr:uid="{EFA06DBC-2B73-4849-85CF-98DD3ED9ABA6}"/>
    <cellStyle name="Currency 4 2 4 3 2 6" xfId="33801" xr:uid="{80056133-0DC9-4D73-91BA-5D249EF7F42F}"/>
    <cellStyle name="Currency 4 2 4 3 3" xfId="27156" xr:uid="{00000000-0005-0000-0000-00006A090000}"/>
    <cellStyle name="Currency 4 2 4 3 3 2" xfId="27157" xr:uid="{00000000-0005-0000-0000-00006B090000}"/>
    <cellStyle name="Currency 4 2 4 3 3 2 2" xfId="27158" xr:uid="{00000000-0005-0000-0000-00006C090000}"/>
    <cellStyle name="Currency 4 2 4 3 3 2 2 2" xfId="33810" xr:uid="{16C7D098-576B-4746-8E7A-8F2CBF59CC46}"/>
    <cellStyle name="Currency 4 2 4 3 3 2 3" xfId="27159" xr:uid="{00000000-0005-0000-0000-00006D090000}"/>
    <cellStyle name="Currency 4 2 4 3 3 2 3 2" xfId="33811" xr:uid="{F6D7F9E6-2B37-40DC-B949-CF769D2F4CDB}"/>
    <cellStyle name="Currency 4 2 4 3 3 2 4" xfId="33809" xr:uid="{610FC2FE-C48E-4608-926A-D9D931559DC3}"/>
    <cellStyle name="Currency 4 2 4 3 3 3" xfId="27160" xr:uid="{00000000-0005-0000-0000-00006E090000}"/>
    <cellStyle name="Currency 4 2 4 3 3 3 2" xfId="33812" xr:uid="{375A465B-CE8B-4317-9ACE-59BCF113FE1F}"/>
    <cellStyle name="Currency 4 2 4 3 3 4" xfId="27161" xr:uid="{00000000-0005-0000-0000-00006F090000}"/>
    <cellStyle name="Currency 4 2 4 3 3 4 2" xfId="33813" xr:uid="{C1372810-675A-459F-906D-9781399AFFE4}"/>
    <cellStyle name="Currency 4 2 4 3 3 5" xfId="27162" xr:uid="{00000000-0005-0000-0000-000070090000}"/>
    <cellStyle name="Currency 4 2 4 3 3 5 2" xfId="33814" xr:uid="{914E4AF7-ED3E-47F2-9070-91BDC106A810}"/>
    <cellStyle name="Currency 4 2 4 3 3 6" xfId="33808" xr:uid="{B7586901-D7EB-4AD4-B40A-C6078E24826C}"/>
    <cellStyle name="Currency 4 2 4 3 4" xfId="27163" xr:uid="{00000000-0005-0000-0000-000071090000}"/>
    <cellStyle name="Currency 4 2 4 3 4 2" xfId="27164" xr:uid="{00000000-0005-0000-0000-000072090000}"/>
    <cellStyle name="Currency 4 2 4 3 4 2 2" xfId="33816" xr:uid="{F767E4DE-AC31-46D5-B491-93CC6F282588}"/>
    <cellStyle name="Currency 4 2 4 3 4 3" xfId="27165" xr:uid="{00000000-0005-0000-0000-000073090000}"/>
    <cellStyle name="Currency 4 2 4 3 4 3 2" xfId="33817" xr:uid="{09AC6F03-9540-425A-AE10-04FBA79E12B3}"/>
    <cellStyle name="Currency 4 2 4 3 4 4" xfId="33815" xr:uid="{6D0C9A9E-7580-4102-9392-42F9D4A92152}"/>
    <cellStyle name="Currency 4 2 4 3 5" xfId="27166" xr:uid="{00000000-0005-0000-0000-000074090000}"/>
    <cellStyle name="Currency 4 2 4 3 5 2" xfId="33818" xr:uid="{2036BBBF-BAAD-4B4C-A00C-D86CD143D845}"/>
    <cellStyle name="Currency 4 2 4 3 6" xfId="27167" xr:uid="{00000000-0005-0000-0000-000075090000}"/>
    <cellStyle name="Currency 4 2 4 3 6 2" xfId="33819" xr:uid="{29F818FF-BBFD-4F1E-AF84-DC0DE984F293}"/>
    <cellStyle name="Currency 4 2 4 3 7" xfId="27168" xr:uid="{00000000-0005-0000-0000-000076090000}"/>
    <cellStyle name="Currency 4 2 4 3 7 2" xfId="33820" xr:uid="{CD2BCD84-0F3C-47AB-9B5D-E731857B9C6F}"/>
    <cellStyle name="Currency 4 2 4 3 8" xfId="33800" xr:uid="{19EF885D-2861-44EF-A1CC-48D0C6B39049}"/>
    <cellStyle name="Currency 4 2 4 4" xfId="27169" xr:uid="{00000000-0005-0000-0000-000077090000}"/>
    <cellStyle name="Currency 4 2 4 4 2" xfId="27170" xr:uid="{00000000-0005-0000-0000-000078090000}"/>
    <cellStyle name="Currency 4 2 4 4 2 2" xfId="27171" xr:uid="{00000000-0005-0000-0000-000079090000}"/>
    <cellStyle name="Currency 4 2 4 4 2 2 2" xfId="33823" xr:uid="{3006AA1F-EE67-4ABB-B86F-9F6D90E368BD}"/>
    <cellStyle name="Currency 4 2 4 4 2 3" xfId="27172" xr:uid="{00000000-0005-0000-0000-00007A090000}"/>
    <cellStyle name="Currency 4 2 4 4 2 3 2" xfId="33824" xr:uid="{C7BFB280-B972-4551-A640-2F6CECE5D8AC}"/>
    <cellStyle name="Currency 4 2 4 4 2 4" xfId="33822" xr:uid="{D68DE76C-C8BC-4CB1-800F-6B23CCBC0124}"/>
    <cellStyle name="Currency 4 2 4 4 3" xfId="27173" xr:uid="{00000000-0005-0000-0000-00007B090000}"/>
    <cellStyle name="Currency 4 2 4 4 3 2" xfId="33825" xr:uid="{A7E2823B-0E5B-4116-8448-0F1CA91D0CBC}"/>
    <cellStyle name="Currency 4 2 4 4 4" xfId="27174" xr:uid="{00000000-0005-0000-0000-00007C090000}"/>
    <cellStyle name="Currency 4 2 4 4 4 2" xfId="33826" xr:uid="{23EE7228-B4DD-4D31-9C7D-8020BD60D6B5}"/>
    <cellStyle name="Currency 4 2 4 4 5" xfId="27175" xr:uid="{00000000-0005-0000-0000-00007D090000}"/>
    <cellStyle name="Currency 4 2 4 4 5 2" xfId="33827" xr:uid="{F6798662-FD02-4A03-9BD1-6D902302FC5D}"/>
    <cellStyle name="Currency 4 2 4 4 6" xfId="33821" xr:uid="{792DF5A5-E823-4E62-9592-976F255257BA}"/>
    <cellStyle name="Currency 4 2 4 5" xfId="27176" xr:uid="{00000000-0005-0000-0000-00007E090000}"/>
    <cellStyle name="Currency 4 2 4 5 2" xfId="27177" xr:uid="{00000000-0005-0000-0000-00007F090000}"/>
    <cellStyle name="Currency 4 2 4 5 2 2" xfId="27178" xr:uid="{00000000-0005-0000-0000-000080090000}"/>
    <cellStyle name="Currency 4 2 4 5 2 2 2" xfId="33830" xr:uid="{092234C1-8C48-4F67-B7AF-76FFC9695E30}"/>
    <cellStyle name="Currency 4 2 4 5 2 3" xfId="27179" xr:uid="{00000000-0005-0000-0000-000081090000}"/>
    <cellStyle name="Currency 4 2 4 5 2 3 2" xfId="33831" xr:uid="{86AC169B-98C5-4462-9462-5C6A49177ABA}"/>
    <cellStyle name="Currency 4 2 4 5 2 4" xfId="33829" xr:uid="{62A0ADB4-20C9-417E-92A0-52C90567640B}"/>
    <cellStyle name="Currency 4 2 4 5 3" xfId="27180" xr:uid="{00000000-0005-0000-0000-000082090000}"/>
    <cellStyle name="Currency 4 2 4 5 3 2" xfId="33832" xr:uid="{893B03EA-CEFB-4B2B-8BF1-A4D677983CBF}"/>
    <cellStyle name="Currency 4 2 4 5 4" xfId="27181" xr:uid="{00000000-0005-0000-0000-000083090000}"/>
    <cellStyle name="Currency 4 2 4 5 4 2" xfId="33833" xr:uid="{B9912797-849F-4066-B940-5C00104BA33B}"/>
    <cellStyle name="Currency 4 2 4 5 5" xfId="27182" xr:uid="{00000000-0005-0000-0000-000084090000}"/>
    <cellStyle name="Currency 4 2 4 5 5 2" xfId="33834" xr:uid="{0E6C0884-3C31-4083-A02F-1B97BCFDB47F}"/>
    <cellStyle name="Currency 4 2 4 5 6" xfId="33828" xr:uid="{C0E9DF7A-B630-4C8F-8BB2-CDA7AFD8CC27}"/>
    <cellStyle name="Currency 4 2 4 6" xfId="27183" xr:uid="{00000000-0005-0000-0000-000085090000}"/>
    <cellStyle name="Currency 4 2 4 6 2" xfId="27184" xr:uid="{00000000-0005-0000-0000-000086090000}"/>
    <cellStyle name="Currency 4 2 4 6 2 2" xfId="33836" xr:uid="{21774C26-17DD-4C53-8325-FA6FB5D1849D}"/>
    <cellStyle name="Currency 4 2 4 6 3" xfId="27185" xr:uid="{00000000-0005-0000-0000-000087090000}"/>
    <cellStyle name="Currency 4 2 4 6 3 2" xfId="33837" xr:uid="{76056E32-F15F-423C-8BEC-4FB1D9634F53}"/>
    <cellStyle name="Currency 4 2 4 6 4" xfId="33835" xr:uid="{BCC81B20-020A-4621-B161-84BB5AEAC655}"/>
    <cellStyle name="Currency 4 2 4 7" xfId="27186" xr:uid="{00000000-0005-0000-0000-000088090000}"/>
    <cellStyle name="Currency 4 2 4 7 2" xfId="33838" xr:uid="{02ECB5F4-29FE-4CF5-9F21-07931A189E79}"/>
    <cellStyle name="Currency 4 2 4 8" xfId="27187" xr:uid="{00000000-0005-0000-0000-000089090000}"/>
    <cellStyle name="Currency 4 2 4 8 2" xfId="33839" xr:uid="{D582BC0A-6195-470B-BE49-07C59457883E}"/>
    <cellStyle name="Currency 4 2 4 9" xfId="27188" xr:uid="{00000000-0005-0000-0000-00008A090000}"/>
    <cellStyle name="Currency 4 2 4 9 2" xfId="33840" xr:uid="{B28EB922-188B-44C0-B81C-D11A361D9996}"/>
    <cellStyle name="Currency 4 2 5" xfId="27189" xr:uid="{00000000-0005-0000-0000-00008B090000}"/>
    <cellStyle name="Currency 4 2 5 2" xfId="27190" xr:uid="{00000000-0005-0000-0000-00008C090000}"/>
    <cellStyle name="Currency 4 2 5 2 2" xfId="27191" xr:uid="{00000000-0005-0000-0000-00008D090000}"/>
    <cellStyle name="Currency 4 2 5 2 2 2" xfId="27192" xr:uid="{00000000-0005-0000-0000-00008E090000}"/>
    <cellStyle name="Currency 4 2 5 2 2 2 2" xfId="27193" xr:uid="{00000000-0005-0000-0000-00008F090000}"/>
    <cellStyle name="Currency 4 2 5 2 2 2 2 2" xfId="33845" xr:uid="{512F437E-02DB-4D4A-B011-50473D51ABB3}"/>
    <cellStyle name="Currency 4 2 5 2 2 2 3" xfId="27194" xr:uid="{00000000-0005-0000-0000-000090090000}"/>
    <cellStyle name="Currency 4 2 5 2 2 2 3 2" xfId="33846" xr:uid="{73089C74-A570-426B-AE3E-492D1D3A6F69}"/>
    <cellStyle name="Currency 4 2 5 2 2 2 4" xfId="33844" xr:uid="{61871811-CCBC-4CB4-8F1E-CC21276CB108}"/>
    <cellStyle name="Currency 4 2 5 2 2 3" xfId="27195" xr:uid="{00000000-0005-0000-0000-000091090000}"/>
    <cellStyle name="Currency 4 2 5 2 2 3 2" xfId="33847" xr:uid="{496D1469-7F2C-436D-AB0D-9284890DEDBF}"/>
    <cellStyle name="Currency 4 2 5 2 2 4" xfId="27196" xr:uid="{00000000-0005-0000-0000-000092090000}"/>
    <cellStyle name="Currency 4 2 5 2 2 4 2" xfId="33848" xr:uid="{829C84CB-7209-45CD-9FCF-44E9491C42AD}"/>
    <cellStyle name="Currency 4 2 5 2 2 5" xfId="27197" xr:uid="{00000000-0005-0000-0000-000093090000}"/>
    <cellStyle name="Currency 4 2 5 2 2 5 2" xfId="33849" xr:uid="{D8C4DE74-1CE2-4893-A7D7-8E5A9C1301A7}"/>
    <cellStyle name="Currency 4 2 5 2 2 6" xfId="33843" xr:uid="{41658749-9DCC-4CCA-A344-1E60D7CCEEEF}"/>
    <cellStyle name="Currency 4 2 5 2 3" xfId="27198" xr:uid="{00000000-0005-0000-0000-000094090000}"/>
    <cellStyle name="Currency 4 2 5 2 3 2" xfId="27199" xr:uid="{00000000-0005-0000-0000-000095090000}"/>
    <cellStyle name="Currency 4 2 5 2 3 2 2" xfId="27200" xr:uid="{00000000-0005-0000-0000-000096090000}"/>
    <cellStyle name="Currency 4 2 5 2 3 2 2 2" xfId="33852" xr:uid="{F1A59150-0E1C-426F-83E0-94F61AF37B19}"/>
    <cellStyle name="Currency 4 2 5 2 3 2 3" xfId="27201" xr:uid="{00000000-0005-0000-0000-000097090000}"/>
    <cellStyle name="Currency 4 2 5 2 3 2 3 2" xfId="33853" xr:uid="{E83E0840-97DA-499B-8448-AEFE18486FC0}"/>
    <cellStyle name="Currency 4 2 5 2 3 2 4" xfId="33851" xr:uid="{2F8F3B46-58CA-4BDA-B956-7E31E0BADA83}"/>
    <cellStyle name="Currency 4 2 5 2 3 3" xfId="27202" xr:uid="{00000000-0005-0000-0000-000098090000}"/>
    <cellStyle name="Currency 4 2 5 2 3 3 2" xfId="33854" xr:uid="{AA12E52E-F403-4073-9B23-F41E8A77F6B4}"/>
    <cellStyle name="Currency 4 2 5 2 3 4" xfId="27203" xr:uid="{00000000-0005-0000-0000-000099090000}"/>
    <cellStyle name="Currency 4 2 5 2 3 4 2" xfId="33855" xr:uid="{9D968DA4-B2BA-4936-87A2-4B6D86D9F08B}"/>
    <cellStyle name="Currency 4 2 5 2 3 5" xfId="27204" xr:uid="{00000000-0005-0000-0000-00009A090000}"/>
    <cellStyle name="Currency 4 2 5 2 3 5 2" xfId="33856" xr:uid="{2B202174-7C9A-4165-92B5-E32E64C0C4B3}"/>
    <cellStyle name="Currency 4 2 5 2 3 6" xfId="33850" xr:uid="{CFEF8312-47E5-4BA7-A8F2-B30A28077746}"/>
    <cellStyle name="Currency 4 2 5 2 4" xfId="27205" xr:uid="{00000000-0005-0000-0000-00009B090000}"/>
    <cellStyle name="Currency 4 2 5 2 4 2" xfId="27206" xr:uid="{00000000-0005-0000-0000-00009C090000}"/>
    <cellStyle name="Currency 4 2 5 2 4 2 2" xfId="33858" xr:uid="{6E914D0E-FD27-4BED-B899-3D03F0E9C1F2}"/>
    <cellStyle name="Currency 4 2 5 2 4 3" xfId="27207" xr:uid="{00000000-0005-0000-0000-00009D090000}"/>
    <cellStyle name="Currency 4 2 5 2 4 3 2" xfId="33859" xr:uid="{CB61FDF7-1F40-4D74-AD91-3F410C7A917D}"/>
    <cellStyle name="Currency 4 2 5 2 4 4" xfId="33857" xr:uid="{1FA5429E-EE58-4C3C-9D8C-3A27E645D971}"/>
    <cellStyle name="Currency 4 2 5 2 5" xfId="27208" xr:uid="{00000000-0005-0000-0000-00009E090000}"/>
    <cellStyle name="Currency 4 2 5 2 5 2" xfId="33860" xr:uid="{227AB1B3-7B1C-4E46-8ED9-BDBC9FCF6BBC}"/>
    <cellStyle name="Currency 4 2 5 2 6" xfId="27209" xr:uid="{00000000-0005-0000-0000-00009F090000}"/>
    <cellStyle name="Currency 4 2 5 2 6 2" xfId="33861" xr:uid="{13928A55-2A83-43BA-92BF-AA2826581233}"/>
    <cellStyle name="Currency 4 2 5 2 7" xfId="27210" xr:uid="{00000000-0005-0000-0000-0000A0090000}"/>
    <cellStyle name="Currency 4 2 5 2 7 2" xfId="33862" xr:uid="{3B695A11-3C15-4655-AA9C-744FF5BE583C}"/>
    <cellStyle name="Currency 4 2 5 2 8" xfId="33842" xr:uid="{4E4ECA0B-777A-45DD-9C92-3C0C079F7ADA}"/>
    <cellStyle name="Currency 4 2 5 3" xfId="27211" xr:uid="{00000000-0005-0000-0000-0000A1090000}"/>
    <cellStyle name="Currency 4 2 5 3 2" xfId="27212" xr:uid="{00000000-0005-0000-0000-0000A2090000}"/>
    <cellStyle name="Currency 4 2 5 3 2 2" xfId="27213" xr:uid="{00000000-0005-0000-0000-0000A3090000}"/>
    <cellStyle name="Currency 4 2 5 3 2 2 2" xfId="33865" xr:uid="{752ADF4A-899A-4BB6-B833-9C0A5ADDB069}"/>
    <cellStyle name="Currency 4 2 5 3 2 3" xfId="27214" xr:uid="{00000000-0005-0000-0000-0000A4090000}"/>
    <cellStyle name="Currency 4 2 5 3 2 3 2" xfId="33866" xr:uid="{3AC2C27A-7AB6-4A1E-A700-EE41D2BE9C83}"/>
    <cellStyle name="Currency 4 2 5 3 2 4" xfId="33864" xr:uid="{52BC76AC-CCD3-4D0E-B170-5608D0732546}"/>
    <cellStyle name="Currency 4 2 5 3 3" xfId="27215" xr:uid="{00000000-0005-0000-0000-0000A5090000}"/>
    <cellStyle name="Currency 4 2 5 3 3 2" xfId="33867" xr:uid="{B40811A5-CC6C-48F7-9753-F8DB33C99293}"/>
    <cellStyle name="Currency 4 2 5 3 4" xfId="27216" xr:uid="{00000000-0005-0000-0000-0000A6090000}"/>
    <cellStyle name="Currency 4 2 5 3 4 2" xfId="33868" xr:uid="{9A5E3C16-AA61-4F8E-9667-FA585CC4FB90}"/>
    <cellStyle name="Currency 4 2 5 3 5" xfId="27217" xr:uid="{00000000-0005-0000-0000-0000A7090000}"/>
    <cellStyle name="Currency 4 2 5 3 5 2" xfId="33869" xr:uid="{F9173D57-690C-483F-AAB0-E366DC8E13A6}"/>
    <cellStyle name="Currency 4 2 5 3 6" xfId="33863" xr:uid="{C785CAE3-94FF-42B4-B3E5-EA86D66D2F7B}"/>
    <cellStyle name="Currency 4 2 5 4" xfId="27218" xr:uid="{00000000-0005-0000-0000-0000A8090000}"/>
    <cellStyle name="Currency 4 2 5 4 2" xfId="27219" xr:uid="{00000000-0005-0000-0000-0000A9090000}"/>
    <cellStyle name="Currency 4 2 5 4 2 2" xfId="27220" xr:uid="{00000000-0005-0000-0000-0000AA090000}"/>
    <cellStyle name="Currency 4 2 5 4 2 2 2" xfId="33872" xr:uid="{78679F42-4218-460F-9D1A-AFE13F7FC461}"/>
    <cellStyle name="Currency 4 2 5 4 2 3" xfId="27221" xr:uid="{00000000-0005-0000-0000-0000AB090000}"/>
    <cellStyle name="Currency 4 2 5 4 2 3 2" xfId="33873" xr:uid="{B62A7FCF-B75E-426A-BE9D-18096804C10D}"/>
    <cellStyle name="Currency 4 2 5 4 2 4" xfId="33871" xr:uid="{E9573CB1-214D-440A-B53C-4A3B03E1FF84}"/>
    <cellStyle name="Currency 4 2 5 4 3" xfId="27222" xr:uid="{00000000-0005-0000-0000-0000AC090000}"/>
    <cellStyle name="Currency 4 2 5 4 3 2" xfId="33874" xr:uid="{EC46EB4C-6175-4362-918A-C8537CA1ED9F}"/>
    <cellStyle name="Currency 4 2 5 4 4" xfId="27223" xr:uid="{00000000-0005-0000-0000-0000AD090000}"/>
    <cellStyle name="Currency 4 2 5 4 4 2" xfId="33875" xr:uid="{F3F957C9-B611-43CE-80EE-5125A3ADE28E}"/>
    <cellStyle name="Currency 4 2 5 4 5" xfId="27224" xr:uid="{00000000-0005-0000-0000-0000AE090000}"/>
    <cellStyle name="Currency 4 2 5 4 5 2" xfId="33876" xr:uid="{49BD7144-522A-4F5A-8ACE-AAEFCDDBEFFD}"/>
    <cellStyle name="Currency 4 2 5 4 6" xfId="33870" xr:uid="{C0FCE513-0932-42C7-9A46-75498D7C2E72}"/>
    <cellStyle name="Currency 4 2 5 5" xfId="27225" xr:uid="{00000000-0005-0000-0000-0000AF090000}"/>
    <cellStyle name="Currency 4 2 5 5 2" xfId="27226" xr:uid="{00000000-0005-0000-0000-0000B0090000}"/>
    <cellStyle name="Currency 4 2 5 5 2 2" xfId="33878" xr:uid="{52E6F688-A543-48FB-9D1D-47B60309D9B1}"/>
    <cellStyle name="Currency 4 2 5 5 3" xfId="27227" xr:uid="{00000000-0005-0000-0000-0000B1090000}"/>
    <cellStyle name="Currency 4 2 5 5 3 2" xfId="33879" xr:uid="{4BFA0E7A-9FA7-491B-931A-D7CCCAF028E2}"/>
    <cellStyle name="Currency 4 2 5 5 4" xfId="33877" xr:uid="{78937188-BE68-4033-850D-C9D5E6C6D2C0}"/>
    <cellStyle name="Currency 4 2 5 6" xfId="27228" xr:uid="{00000000-0005-0000-0000-0000B2090000}"/>
    <cellStyle name="Currency 4 2 5 6 2" xfId="33880" xr:uid="{CDE5990C-4E3B-428B-97A9-02551E0544E1}"/>
    <cellStyle name="Currency 4 2 5 7" xfId="27229" xr:uid="{00000000-0005-0000-0000-0000B3090000}"/>
    <cellStyle name="Currency 4 2 5 7 2" xfId="33881" xr:uid="{046B1BC5-3360-4766-9858-D4E2804BAE14}"/>
    <cellStyle name="Currency 4 2 5 8" xfId="27230" xr:uid="{00000000-0005-0000-0000-0000B4090000}"/>
    <cellStyle name="Currency 4 2 5 8 2" xfId="33882" xr:uid="{A7513045-1489-4697-8755-A069305B9782}"/>
    <cellStyle name="Currency 4 2 5 9" xfId="33841" xr:uid="{F7142E1C-9C19-40CD-A88C-BAB9656DA51C}"/>
    <cellStyle name="Currency 4 2 6" xfId="27231" xr:uid="{00000000-0005-0000-0000-0000B5090000}"/>
    <cellStyle name="Currency 4 2 7" xfId="27232" xr:uid="{00000000-0005-0000-0000-0000B6090000}"/>
    <cellStyle name="Currency 4 2 7 2" xfId="27233" xr:uid="{00000000-0005-0000-0000-0000B7090000}"/>
    <cellStyle name="Currency 4 2 7 2 2" xfId="27234" xr:uid="{00000000-0005-0000-0000-0000B8090000}"/>
    <cellStyle name="Currency 4 2 7 2 2 2" xfId="27235" xr:uid="{00000000-0005-0000-0000-0000B9090000}"/>
    <cellStyle name="Currency 4 2 7 2 2 2 2" xfId="33887" xr:uid="{740BFE1B-DE67-4A04-9720-DCA6F9921D8D}"/>
    <cellStyle name="Currency 4 2 7 2 2 3" xfId="27236" xr:uid="{00000000-0005-0000-0000-0000BA090000}"/>
    <cellStyle name="Currency 4 2 7 2 2 3 2" xfId="33888" xr:uid="{1BAB79DE-1885-4BAB-AF04-84A655C641E1}"/>
    <cellStyle name="Currency 4 2 7 2 2 4" xfId="33886" xr:uid="{780AD4FD-7EF6-463D-A2B8-C5A1540D86EE}"/>
    <cellStyle name="Currency 4 2 7 2 3" xfId="27237" xr:uid="{00000000-0005-0000-0000-0000BB090000}"/>
    <cellStyle name="Currency 4 2 7 2 3 2" xfId="33889" xr:uid="{D01B945D-6548-432E-98E9-DD6836A92EE4}"/>
    <cellStyle name="Currency 4 2 7 2 4" xfId="27238" xr:uid="{00000000-0005-0000-0000-0000BC090000}"/>
    <cellStyle name="Currency 4 2 7 2 4 2" xfId="33890" xr:uid="{7613E077-CB7C-43EB-9E8A-791CBF9BEB4D}"/>
    <cellStyle name="Currency 4 2 7 2 5" xfId="27239" xr:uid="{00000000-0005-0000-0000-0000BD090000}"/>
    <cellStyle name="Currency 4 2 7 2 5 2" xfId="33891" xr:uid="{CA9C303C-659F-43F0-9B83-95411A097A9C}"/>
    <cellStyle name="Currency 4 2 7 2 6" xfId="33885" xr:uid="{EF74FD3A-9398-4053-87DE-7F78C3718A84}"/>
    <cellStyle name="Currency 4 2 7 3" xfId="27240" xr:uid="{00000000-0005-0000-0000-0000BE090000}"/>
    <cellStyle name="Currency 4 2 7 3 2" xfId="27241" xr:uid="{00000000-0005-0000-0000-0000BF090000}"/>
    <cellStyle name="Currency 4 2 7 3 2 2" xfId="27242" xr:uid="{00000000-0005-0000-0000-0000C0090000}"/>
    <cellStyle name="Currency 4 2 7 3 2 2 2" xfId="33894" xr:uid="{EEF836AE-868D-42B8-9A2C-C3A291F68F52}"/>
    <cellStyle name="Currency 4 2 7 3 2 3" xfId="27243" xr:uid="{00000000-0005-0000-0000-0000C1090000}"/>
    <cellStyle name="Currency 4 2 7 3 2 3 2" xfId="33895" xr:uid="{326BE542-4CD7-432F-863D-89D54E638A18}"/>
    <cellStyle name="Currency 4 2 7 3 2 4" xfId="33893" xr:uid="{B4A7EC09-857C-40B7-A36F-26B6CF98D654}"/>
    <cellStyle name="Currency 4 2 7 3 3" xfId="27244" xr:uid="{00000000-0005-0000-0000-0000C2090000}"/>
    <cellStyle name="Currency 4 2 7 3 3 2" xfId="33896" xr:uid="{D0FA1D0A-3BAA-432C-86E2-48F0C60DEFA6}"/>
    <cellStyle name="Currency 4 2 7 3 4" xfId="27245" xr:uid="{00000000-0005-0000-0000-0000C3090000}"/>
    <cellStyle name="Currency 4 2 7 3 4 2" xfId="33897" xr:uid="{4FE274B6-E22E-4BA4-A9B0-DC2AB0256A5A}"/>
    <cellStyle name="Currency 4 2 7 3 5" xfId="27246" xr:uid="{00000000-0005-0000-0000-0000C4090000}"/>
    <cellStyle name="Currency 4 2 7 3 5 2" xfId="33898" xr:uid="{97CE877E-5C2E-4CA5-8D61-C2C47C938BAE}"/>
    <cellStyle name="Currency 4 2 7 3 6" xfId="33892" xr:uid="{75B65AF5-E26D-4FB7-B7BD-9E1C4010BC63}"/>
    <cellStyle name="Currency 4 2 7 4" xfId="27247" xr:uid="{00000000-0005-0000-0000-0000C5090000}"/>
    <cellStyle name="Currency 4 2 7 4 2" xfId="27248" xr:uid="{00000000-0005-0000-0000-0000C6090000}"/>
    <cellStyle name="Currency 4 2 7 4 2 2" xfId="33900" xr:uid="{29582DBF-2503-4ABD-AA6D-257E73F62E03}"/>
    <cellStyle name="Currency 4 2 7 4 3" xfId="27249" xr:uid="{00000000-0005-0000-0000-0000C7090000}"/>
    <cellStyle name="Currency 4 2 7 4 3 2" xfId="33901" xr:uid="{86FEE313-AA2E-4B14-9311-F876FA588819}"/>
    <cellStyle name="Currency 4 2 7 4 4" xfId="33899" xr:uid="{DC7D357A-8F4E-45BE-88F3-AEF4458AD590}"/>
    <cellStyle name="Currency 4 2 7 5" xfId="27250" xr:uid="{00000000-0005-0000-0000-0000C8090000}"/>
    <cellStyle name="Currency 4 2 7 5 2" xfId="33902" xr:uid="{B51FB648-AF1B-4F63-A101-D5F2E3240FE8}"/>
    <cellStyle name="Currency 4 2 7 6" xfId="27251" xr:uid="{00000000-0005-0000-0000-0000C9090000}"/>
    <cellStyle name="Currency 4 2 7 6 2" xfId="33903" xr:uid="{7BEB8C0C-406A-4192-A93A-2510627E5AE3}"/>
    <cellStyle name="Currency 4 2 7 7" xfId="27252" xr:uid="{00000000-0005-0000-0000-0000CA090000}"/>
    <cellStyle name="Currency 4 2 7 7 2" xfId="33904" xr:uid="{6D756587-5B92-401F-AC22-EBE25A17761F}"/>
    <cellStyle name="Currency 4 2 7 8" xfId="33884" xr:uid="{D3E486DC-52F2-4E77-9D56-AEB37A08CBA5}"/>
    <cellStyle name="Currency 4 2 8" xfId="27253" xr:uid="{00000000-0005-0000-0000-0000CB090000}"/>
    <cellStyle name="Currency 4 2 8 2" xfId="27254" xr:uid="{00000000-0005-0000-0000-0000CC090000}"/>
    <cellStyle name="Currency 4 2 8 2 2" xfId="27255" xr:uid="{00000000-0005-0000-0000-0000CD090000}"/>
    <cellStyle name="Currency 4 2 8 2 2 2" xfId="33907" xr:uid="{D66B7A7A-FB88-4D8D-94EE-71FFFC0651C2}"/>
    <cellStyle name="Currency 4 2 8 2 3" xfId="27256" xr:uid="{00000000-0005-0000-0000-0000CE090000}"/>
    <cellStyle name="Currency 4 2 8 2 3 2" xfId="33908" xr:uid="{0F2B42A0-75B9-42E3-81E0-54D2C30BF903}"/>
    <cellStyle name="Currency 4 2 8 2 4" xfId="33906" xr:uid="{60581B80-84DD-4292-888C-B3EDA9656C31}"/>
    <cellStyle name="Currency 4 2 8 3" xfId="27257" xr:uid="{00000000-0005-0000-0000-0000CF090000}"/>
    <cellStyle name="Currency 4 2 8 3 2" xfId="33909" xr:uid="{7BA4C589-31EC-4B89-8B79-DE87FF8B3CF1}"/>
    <cellStyle name="Currency 4 2 8 4" xfId="27258" xr:uid="{00000000-0005-0000-0000-0000D0090000}"/>
    <cellStyle name="Currency 4 2 8 4 2" xfId="33910" xr:uid="{0E6091DF-DD73-465F-AEAA-D54112766C30}"/>
    <cellStyle name="Currency 4 2 8 5" xfId="27259" xr:uid="{00000000-0005-0000-0000-0000D1090000}"/>
    <cellStyle name="Currency 4 2 8 5 2" xfId="33911" xr:uid="{0B6CE9EB-B32A-4148-A5E9-1E7E7856C3AB}"/>
    <cellStyle name="Currency 4 2 8 6" xfId="33905" xr:uid="{4BDF16CD-13FA-4879-8AEC-03CD072C32FA}"/>
    <cellStyle name="Currency 4 2 9" xfId="27260" xr:uid="{00000000-0005-0000-0000-0000D2090000}"/>
    <cellStyle name="Currency 4 2 9 2" xfId="27261" xr:uid="{00000000-0005-0000-0000-0000D3090000}"/>
    <cellStyle name="Currency 4 2 9 2 2" xfId="27262" xr:uid="{00000000-0005-0000-0000-0000D4090000}"/>
    <cellStyle name="Currency 4 2 9 2 2 2" xfId="33914" xr:uid="{7E3082DF-145A-4B72-93A3-7CA5B87195F8}"/>
    <cellStyle name="Currency 4 2 9 2 3" xfId="27263" xr:uid="{00000000-0005-0000-0000-0000D5090000}"/>
    <cellStyle name="Currency 4 2 9 2 3 2" xfId="33915" xr:uid="{C050ADAA-FAC0-401A-8C21-F4815A4B4F0C}"/>
    <cellStyle name="Currency 4 2 9 2 4" xfId="33913" xr:uid="{16C799CC-4897-4C54-AE0E-9CD6B05EA631}"/>
    <cellStyle name="Currency 4 2 9 3" xfId="27264" xr:uid="{00000000-0005-0000-0000-0000D6090000}"/>
    <cellStyle name="Currency 4 2 9 3 2" xfId="33916" xr:uid="{50B55A00-ACCE-4D87-8D7B-A0984D31ECCF}"/>
    <cellStyle name="Currency 4 2 9 4" xfId="27265" xr:uid="{00000000-0005-0000-0000-0000D7090000}"/>
    <cellStyle name="Currency 4 2 9 4 2" xfId="33917" xr:uid="{BB0B10CD-ABB7-4883-B9CA-23F1138B93ED}"/>
    <cellStyle name="Currency 4 2 9 5" xfId="27266" xr:uid="{00000000-0005-0000-0000-0000D8090000}"/>
    <cellStyle name="Currency 4 2 9 5 2" xfId="33918" xr:uid="{E139B670-D165-454A-A5E0-1B7BDA47FC49}"/>
    <cellStyle name="Currency 4 2 9 6" xfId="33912" xr:uid="{B7538D4E-34FA-460C-8B4E-8CE22A0E1192}"/>
    <cellStyle name="Currency 4 3" xfId="25834" xr:uid="{00000000-0005-0000-0000-0000D9090000}"/>
    <cellStyle name="Currency 4 3 10" xfId="27267" xr:uid="{00000000-0005-0000-0000-0000DA090000}"/>
    <cellStyle name="Currency 4 3 11" xfId="33919" xr:uid="{FD2A05CE-9B73-4E24-B195-B999A65F778B}"/>
    <cellStyle name="Currency 4 3 2" xfId="25835" xr:uid="{00000000-0005-0000-0000-0000DB090000}"/>
    <cellStyle name="Currency 4 3 2 10" xfId="33920" xr:uid="{91215AB2-CE77-4C77-8BD7-F9AA0F74CE39}"/>
    <cellStyle name="Currency 4 3 2 2" xfId="27269" xr:uid="{00000000-0005-0000-0000-0000DC090000}"/>
    <cellStyle name="Currency 4 3 2 2 2" xfId="27270" xr:uid="{00000000-0005-0000-0000-0000DD090000}"/>
    <cellStyle name="Currency 4 3 2 2 2 2" xfId="27271" xr:uid="{00000000-0005-0000-0000-0000DE090000}"/>
    <cellStyle name="Currency 4 3 2 2 2 2 2" xfId="27272" xr:uid="{00000000-0005-0000-0000-0000DF090000}"/>
    <cellStyle name="Currency 4 3 2 2 2 2 2 2" xfId="33924" xr:uid="{3797BC62-47CB-4333-9B70-CACBE71D93B8}"/>
    <cellStyle name="Currency 4 3 2 2 2 2 3" xfId="27273" xr:uid="{00000000-0005-0000-0000-0000E0090000}"/>
    <cellStyle name="Currency 4 3 2 2 2 2 3 2" xfId="33925" xr:uid="{D9ED59E3-74D1-4FEC-9EFF-CA12AB339384}"/>
    <cellStyle name="Currency 4 3 2 2 2 2 4" xfId="33923" xr:uid="{6325BA3B-BAC7-4079-B242-F328E8D0BE89}"/>
    <cellStyle name="Currency 4 3 2 2 2 3" xfId="27274" xr:uid="{00000000-0005-0000-0000-0000E1090000}"/>
    <cellStyle name="Currency 4 3 2 2 2 3 2" xfId="33926" xr:uid="{ADFBBDB3-EDAC-4D0A-840A-72EB02989D0E}"/>
    <cellStyle name="Currency 4 3 2 2 2 4" xfId="27275" xr:uid="{00000000-0005-0000-0000-0000E2090000}"/>
    <cellStyle name="Currency 4 3 2 2 2 4 2" xfId="33927" xr:uid="{0042D3D1-AFA6-45E2-94E4-491FC325F63E}"/>
    <cellStyle name="Currency 4 3 2 2 2 5" xfId="27276" xr:uid="{00000000-0005-0000-0000-0000E3090000}"/>
    <cellStyle name="Currency 4 3 2 2 2 5 2" xfId="33928" xr:uid="{5FD61E46-5205-40DB-8F7D-385B84AD1247}"/>
    <cellStyle name="Currency 4 3 2 2 2 6" xfId="33922" xr:uid="{7D446FE3-5C01-4946-8A0F-B058F14CF648}"/>
    <cellStyle name="Currency 4 3 2 2 3" xfId="27277" xr:uid="{00000000-0005-0000-0000-0000E4090000}"/>
    <cellStyle name="Currency 4 3 2 2 3 2" xfId="27278" xr:uid="{00000000-0005-0000-0000-0000E5090000}"/>
    <cellStyle name="Currency 4 3 2 2 3 2 2" xfId="27279" xr:uid="{00000000-0005-0000-0000-0000E6090000}"/>
    <cellStyle name="Currency 4 3 2 2 3 2 2 2" xfId="33931" xr:uid="{CA7E4A12-C548-4B1E-96F4-6EEADFC5A89C}"/>
    <cellStyle name="Currency 4 3 2 2 3 2 3" xfId="27280" xr:uid="{00000000-0005-0000-0000-0000E7090000}"/>
    <cellStyle name="Currency 4 3 2 2 3 2 3 2" xfId="33932" xr:uid="{70659A27-737C-47F5-81D0-BA4B219F86F1}"/>
    <cellStyle name="Currency 4 3 2 2 3 2 4" xfId="33930" xr:uid="{A7C94E2B-4544-4E54-80A0-DE5EDBE0700C}"/>
    <cellStyle name="Currency 4 3 2 2 3 3" xfId="27281" xr:uid="{00000000-0005-0000-0000-0000E8090000}"/>
    <cellStyle name="Currency 4 3 2 2 3 3 2" xfId="33933" xr:uid="{9DB0E8BC-6101-46D5-AF66-CA94CE0CE9E8}"/>
    <cellStyle name="Currency 4 3 2 2 3 4" xfId="27282" xr:uid="{00000000-0005-0000-0000-0000E9090000}"/>
    <cellStyle name="Currency 4 3 2 2 3 4 2" xfId="33934" xr:uid="{114393A7-7DFE-442F-87E4-D8A85B44CAD5}"/>
    <cellStyle name="Currency 4 3 2 2 3 5" xfId="27283" xr:uid="{00000000-0005-0000-0000-0000EA090000}"/>
    <cellStyle name="Currency 4 3 2 2 3 5 2" xfId="33935" xr:uid="{3AAB6ED2-0F27-4336-9D1B-A22FF5CFBD4C}"/>
    <cellStyle name="Currency 4 3 2 2 3 6" xfId="33929" xr:uid="{08B761BF-817A-472C-939B-272D4E6D41D2}"/>
    <cellStyle name="Currency 4 3 2 2 4" xfId="27284" xr:uid="{00000000-0005-0000-0000-0000EB090000}"/>
    <cellStyle name="Currency 4 3 2 2 4 2" xfId="27285" xr:uid="{00000000-0005-0000-0000-0000EC090000}"/>
    <cellStyle name="Currency 4 3 2 2 4 2 2" xfId="33937" xr:uid="{D39A2403-7332-4E70-8819-7C350996BDCC}"/>
    <cellStyle name="Currency 4 3 2 2 4 3" xfId="27286" xr:uid="{00000000-0005-0000-0000-0000ED090000}"/>
    <cellStyle name="Currency 4 3 2 2 4 3 2" xfId="33938" xr:uid="{482EE0ED-7D02-439F-8CC6-2C12BC8B5732}"/>
    <cellStyle name="Currency 4 3 2 2 4 4" xfId="33936" xr:uid="{4594C3FC-D37E-4703-A1F4-5F7D3AAA3ACB}"/>
    <cellStyle name="Currency 4 3 2 2 5" xfId="27287" xr:uid="{00000000-0005-0000-0000-0000EE090000}"/>
    <cellStyle name="Currency 4 3 2 2 5 2" xfId="33939" xr:uid="{73AEEFEA-7C11-4586-9BBB-9A5A99C52BE3}"/>
    <cellStyle name="Currency 4 3 2 2 6" xfId="27288" xr:uid="{00000000-0005-0000-0000-0000EF090000}"/>
    <cellStyle name="Currency 4 3 2 2 6 2" xfId="33940" xr:uid="{00CD0CAC-F0C7-4DA0-ADBE-F89464AA2A7C}"/>
    <cellStyle name="Currency 4 3 2 2 7" xfId="27289" xr:uid="{00000000-0005-0000-0000-0000F0090000}"/>
    <cellStyle name="Currency 4 3 2 2 7 2" xfId="33941" xr:uid="{774F1712-C4AA-40F8-966D-F7B3F0577139}"/>
    <cellStyle name="Currency 4 3 2 2 8" xfId="33921" xr:uid="{C1480641-BE3C-4CAE-99E0-C49095EF8863}"/>
    <cellStyle name="Currency 4 3 2 3" xfId="27290" xr:uid="{00000000-0005-0000-0000-0000F1090000}"/>
    <cellStyle name="Currency 4 3 2 3 2" xfId="27291" xr:uid="{00000000-0005-0000-0000-0000F2090000}"/>
    <cellStyle name="Currency 4 3 2 3 2 2" xfId="27292" xr:uid="{00000000-0005-0000-0000-0000F3090000}"/>
    <cellStyle name="Currency 4 3 2 3 2 2 2" xfId="33944" xr:uid="{650B7317-4BCB-4250-A809-1B0A0F39A16F}"/>
    <cellStyle name="Currency 4 3 2 3 2 3" xfId="27293" xr:uid="{00000000-0005-0000-0000-0000F4090000}"/>
    <cellStyle name="Currency 4 3 2 3 2 3 2" xfId="33945" xr:uid="{215996CF-652F-4D48-9AA5-9BCB394775E2}"/>
    <cellStyle name="Currency 4 3 2 3 2 4" xfId="33943" xr:uid="{9F46AAE4-B9DC-499A-8E9B-3804C55078A5}"/>
    <cellStyle name="Currency 4 3 2 3 3" xfId="27294" xr:uid="{00000000-0005-0000-0000-0000F5090000}"/>
    <cellStyle name="Currency 4 3 2 3 3 2" xfId="33946" xr:uid="{208B7218-06A6-4DD0-BD26-28745031E110}"/>
    <cellStyle name="Currency 4 3 2 3 4" xfId="27295" xr:uid="{00000000-0005-0000-0000-0000F6090000}"/>
    <cellStyle name="Currency 4 3 2 3 4 2" xfId="33947" xr:uid="{AF181AC6-3EEE-4B02-9962-FCAC1AECF968}"/>
    <cellStyle name="Currency 4 3 2 3 5" xfId="27296" xr:uid="{00000000-0005-0000-0000-0000F7090000}"/>
    <cellStyle name="Currency 4 3 2 3 5 2" xfId="33948" xr:uid="{536E67FD-1AE7-4FDD-8A28-B1BE9631E9EC}"/>
    <cellStyle name="Currency 4 3 2 3 6" xfId="33942" xr:uid="{6EE53175-A96B-4A10-805D-D08B9BBDB154}"/>
    <cellStyle name="Currency 4 3 2 4" xfId="27297" xr:uid="{00000000-0005-0000-0000-0000F8090000}"/>
    <cellStyle name="Currency 4 3 2 4 2" xfId="27298" xr:uid="{00000000-0005-0000-0000-0000F9090000}"/>
    <cellStyle name="Currency 4 3 2 4 2 2" xfId="27299" xr:uid="{00000000-0005-0000-0000-0000FA090000}"/>
    <cellStyle name="Currency 4 3 2 4 2 2 2" xfId="33951" xr:uid="{8B1E3329-250F-42E5-A71E-4DA08FCEFD3E}"/>
    <cellStyle name="Currency 4 3 2 4 2 3" xfId="27300" xr:uid="{00000000-0005-0000-0000-0000FB090000}"/>
    <cellStyle name="Currency 4 3 2 4 2 3 2" xfId="33952" xr:uid="{D623C088-6C69-48B1-90A7-16A8231DCDAA}"/>
    <cellStyle name="Currency 4 3 2 4 2 4" xfId="33950" xr:uid="{403533E6-96DE-43DD-AC2A-D6A704968A42}"/>
    <cellStyle name="Currency 4 3 2 4 3" xfId="27301" xr:uid="{00000000-0005-0000-0000-0000FC090000}"/>
    <cellStyle name="Currency 4 3 2 4 3 2" xfId="33953" xr:uid="{3BF4771B-C067-4331-967A-19008E5003C8}"/>
    <cellStyle name="Currency 4 3 2 4 4" xfId="27302" xr:uid="{00000000-0005-0000-0000-0000FD090000}"/>
    <cellStyle name="Currency 4 3 2 4 4 2" xfId="33954" xr:uid="{01D9F5F0-F3A2-4F97-95E2-ECE4542AABA8}"/>
    <cellStyle name="Currency 4 3 2 4 5" xfId="27303" xr:uid="{00000000-0005-0000-0000-0000FE090000}"/>
    <cellStyle name="Currency 4 3 2 4 5 2" xfId="33955" xr:uid="{8B8351A9-BDDF-4898-82FB-6B97B001E853}"/>
    <cellStyle name="Currency 4 3 2 4 6" xfId="33949" xr:uid="{5101DBEC-0141-4B05-9144-C45D26D6E8A7}"/>
    <cellStyle name="Currency 4 3 2 5" xfId="27304" xr:uid="{00000000-0005-0000-0000-0000FF090000}"/>
    <cellStyle name="Currency 4 3 2 5 2" xfId="27305" xr:uid="{00000000-0005-0000-0000-0000000A0000}"/>
    <cellStyle name="Currency 4 3 2 5 2 2" xfId="33957" xr:uid="{BDCA3038-EF94-427A-ABA7-8EE0F7FD20EE}"/>
    <cellStyle name="Currency 4 3 2 5 3" xfId="27306" xr:uid="{00000000-0005-0000-0000-0000010A0000}"/>
    <cellStyle name="Currency 4 3 2 5 3 2" xfId="33958" xr:uid="{ECB6DFB9-B14A-4513-8020-10E2386BA4D2}"/>
    <cellStyle name="Currency 4 3 2 5 4" xfId="33956" xr:uid="{77D6D1FD-0169-471E-87C8-97B9D919C098}"/>
    <cellStyle name="Currency 4 3 2 6" xfId="27307" xr:uid="{00000000-0005-0000-0000-0000020A0000}"/>
    <cellStyle name="Currency 4 3 2 6 2" xfId="33959" xr:uid="{A6BBD978-B460-427D-9CA9-ACF7D70FF931}"/>
    <cellStyle name="Currency 4 3 2 7" xfId="27308" xr:uid="{00000000-0005-0000-0000-0000030A0000}"/>
    <cellStyle name="Currency 4 3 2 7 2" xfId="33960" xr:uid="{DCC56D27-3F54-41C8-8926-7924E4C3D028}"/>
    <cellStyle name="Currency 4 3 2 8" xfId="27309" xr:uid="{00000000-0005-0000-0000-0000040A0000}"/>
    <cellStyle name="Currency 4 3 2 8 2" xfId="33961" xr:uid="{948CBFD4-F431-4DEA-A017-9188461D4526}"/>
    <cellStyle name="Currency 4 3 2 9" xfId="27268" xr:uid="{00000000-0005-0000-0000-0000050A0000}"/>
    <cellStyle name="Currency 4 3 3" xfId="26028" xr:uid="{00000000-0005-0000-0000-0000060A0000}"/>
    <cellStyle name="Currency 4 3 3 2" xfId="27311" xr:uid="{00000000-0005-0000-0000-0000070A0000}"/>
    <cellStyle name="Currency 4 3 3 2 2" xfId="27312" xr:uid="{00000000-0005-0000-0000-0000080A0000}"/>
    <cellStyle name="Currency 4 3 3 2 2 2" xfId="27313" xr:uid="{00000000-0005-0000-0000-0000090A0000}"/>
    <cellStyle name="Currency 4 3 3 2 2 2 2" xfId="33965" xr:uid="{48347869-FEAF-44ED-824B-E1C22DFE1CE9}"/>
    <cellStyle name="Currency 4 3 3 2 2 3" xfId="27314" xr:uid="{00000000-0005-0000-0000-00000A0A0000}"/>
    <cellStyle name="Currency 4 3 3 2 2 3 2" xfId="33966" xr:uid="{A3BC2DFF-2F8B-450D-8D40-83A4CAFAF863}"/>
    <cellStyle name="Currency 4 3 3 2 2 4" xfId="33964" xr:uid="{4239512C-7DF3-4ABD-97C2-80E1DB3908B9}"/>
    <cellStyle name="Currency 4 3 3 2 3" xfId="27315" xr:uid="{00000000-0005-0000-0000-00000B0A0000}"/>
    <cellStyle name="Currency 4 3 3 2 3 2" xfId="33967" xr:uid="{80D157DE-D4EF-40D7-AA21-495B3F9425A7}"/>
    <cellStyle name="Currency 4 3 3 2 4" xfId="27316" xr:uid="{00000000-0005-0000-0000-00000C0A0000}"/>
    <cellStyle name="Currency 4 3 3 2 4 2" xfId="33968" xr:uid="{4950988E-2D1E-46DD-8841-503C32BAB2EC}"/>
    <cellStyle name="Currency 4 3 3 2 5" xfId="27317" xr:uid="{00000000-0005-0000-0000-00000D0A0000}"/>
    <cellStyle name="Currency 4 3 3 2 5 2" xfId="33969" xr:uid="{2D936D6E-6C75-4E49-8E74-8D2E9DC6D944}"/>
    <cellStyle name="Currency 4 3 3 2 6" xfId="33963" xr:uid="{360BEC2D-5ABC-4F5E-AE11-E7EFE4A3CDC9}"/>
    <cellStyle name="Currency 4 3 3 3" xfId="27318" xr:uid="{00000000-0005-0000-0000-00000E0A0000}"/>
    <cellStyle name="Currency 4 3 3 3 2" xfId="27319" xr:uid="{00000000-0005-0000-0000-00000F0A0000}"/>
    <cellStyle name="Currency 4 3 3 3 2 2" xfId="27320" xr:uid="{00000000-0005-0000-0000-0000100A0000}"/>
    <cellStyle name="Currency 4 3 3 3 2 2 2" xfId="33972" xr:uid="{E571693F-1556-4FD1-A9B1-F7D22FC45847}"/>
    <cellStyle name="Currency 4 3 3 3 2 3" xfId="27321" xr:uid="{00000000-0005-0000-0000-0000110A0000}"/>
    <cellStyle name="Currency 4 3 3 3 2 3 2" xfId="33973" xr:uid="{58E089C2-CE31-4D32-B18D-4B84594691D0}"/>
    <cellStyle name="Currency 4 3 3 3 2 4" xfId="33971" xr:uid="{80C3DBDA-D295-4142-B2C2-C616EA960F84}"/>
    <cellStyle name="Currency 4 3 3 3 3" xfId="27322" xr:uid="{00000000-0005-0000-0000-0000120A0000}"/>
    <cellStyle name="Currency 4 3 3 3 3 2" xfId="33974" xr:uid="{2A1DD8A6-24BF-467A-B4C3-7F38EC72419C}"/>
    <cellStyle name="Currency 4 3 3 3 4" xfId="27323" xr:uid="{00000000-0005-0000-0000-0000130A0000}"/>
    <cellStyle name="Currency 4 3 3 3 4 2" xfId="33975" xr:uid="{0732F1F3-F1A8-49DA-B0ED-20980DE2820B}"/>
    <cellStyle name="Currency 4 3 3 3 5" xfId="27324" xr:uid="{00000000-0005-0000-0000-0000140A0000}"/>
    <cellStyle name="Currency 4 3 3 3 5 2" xfId="33976" xr:uid="{7B6C700A-8A37-4DFC-8F4A-51CB267CFBCA}"/>
    <cellStyle name="Currency 4 3 3 3 6" xfId="33970" xr:uid="{2E9EC238-A308-45B1-A9F0-9A52591BDAA6}"/>
    <cellStyle name="Currency 4 3 3 4" xfId="27325" xr:uid="{00000000-0005-0000-0000-0000150A0000}"/>
    <cellStyle name="Currency 4 3 3 4 2" xfId="27326" xr:uid="{00000000-0005-0000-0000-0000160A0000}"/>
    <cellStyle name="Currency 4 3 3 4 2 2" xfId="33978" xr:uid="{F45F65A9-DFAF-4132-B192-42E19515047E}"/>
    <cellStyle name="Currency 4 3 3 4 3" xfId="27327" xr:uid="{00000000-0005-0000-0000-0000170A0000}"/>
    <cellStyle name="Currency 4 3 3 4 3 2" xfId="33979" xr:uid="{34F275F7-D1B9-46B1-BFFF-EA5012528E18}"/>
    <cellStyle name="Currency 4 3 3 4 4" xfId="33977" xr:uid="{FF531F8B-BA9A-4B8E-B756-B1B9B5363AD4}"/>
    <cellStyle name="Currency 4 3 3 5" xfId="27328" xr:uid="{00000000-0005-0000-0000-0000180A0000}"/>
    <cellStyle name="Currency 4 3 3 5 2" xfId="33980" xr:uid="{84CA3BCE-23A7-4AD9-99CC-5F8849E2EC50}"/>
    <cellStyle name="Currency 4 3 3 6" xfId="27329" xr:uid="{00000000-0005-0000-0000-0000190A0000}"/>
    <cellStyle name="Currency 4 3 3 6 2" xfId="33981" xr:uid="{6126E789-E0AB-4EB5-BD03-7A3DE271E47B}"/>
    <cellStyle name="Currency 4 3 3 7" xfId="27330" xr:uid="{00000000-0005-0000-0000-00001A0A0000}"/>
    <cellStyle name="Currency 4 3 3 7 2" xfId="33982" xr:uid="{0006E99E-4584-43E2-8E2B-0177AE966045}"/>
    <cellStyle name="Currency 4 3 3 8" xfId="27310" xr:uid="{00000000-0005-0000-0000-00001B0A0000}"/>
    <cellStyle name="Currency 4 3 3 9" xfId="33962" xr:uid="{512C81B8-0D09-4B0A-96A9-C1D7AC605B28}"/>
    <cellStyle name="Currency 4 3 4" xfId="27331" xr:uid="{00000000-0005-0000-0000-00001C0A0000}"/>
    <cellStyle name="Currency 4 3 4 2" xfId="27332" xr:uid="{00000000-0005-0000-0000-00001D0A0000}"/>
    <cellStyle name="Currency 4 3 4 2 2" xfId="27333" xr:uid="{00000000-0005-0000-0000-00001E0A0000}"/>
    <cellStyle name="Currency 4 3 4 2 2 2" xfId="33985" xr:uid="{EF206AF2-72AD-4123-B5B0-EA8F9D34E132}"/>
    <cellStyle name="Currency 4 3 4 2 3" xfId="27334" xr:uid="{00000000-0005-0000-0000-00001F0A0000}"/>
    <cellStyle name="Currency 4 3 4 2 3 2" xfId="33986" xr:uid="{CCB0F92D-2779-4ADC-8432-F7C43A55D1E6}"/>
    <cellStyle name="Currency 4 3 4 2 4" xfId="33984" xr:uid="{0EB1D3DD-18D2-475B-A037-82C856D1A683}"/>
    <cellStyle name="Currency 4 3 4 3" xfId="27335" xr:uid="{00000000-0005-0000-0000-0000200A0000}"/>
    <cellStyle name="Currency 4 3 4 3 2" xfId="33987" xr:uid="{4857BEBB-D031-4AAD-81BC-846B950DDF03}"/>
    <cellStyle name="Currency 4 3 4 4" xfId="27336" xr:uid="{00000000-0005-0000-0000-0000210A0000}"/>
    <cellStyle name="Currency 4 3 4 4 2" xfId="33988" xr:uid="{F0DCCC37-0CDC-42DB-ADF6-D93DBD9F32E9}"/>
    <cellStyle name="Currency 4 3 4 5" xfId="27337" xr:uid="{00000000-0005-0000-0000-0000220A0000}"/>
    <cellStyle name="Currency 4 3 4 5 2" xfId="33989" xr:uid="{6230ABE6-BEAD-4F1B-9BC5-D4580E1690A2}"/>
    <cellStyle name="Currency 4 3 4 6" xfId="33983" xr:uid="{9627E6E9-C329-4CC0-B515-0B172A58DC60}"/>
    <cellStyle name="Currency 4 3 5" xfId="27338" xr:uid="{00000000-0005-0000-0000-0000230A0000}"/>
    <cellStyle name="Currency 4 3 5 2" xfId="27339" xr:uid="{00000000-0005-0000-0000-0000240A0000}"/>
    <cellStyle name="Currency 4 3 5 2 2" xfId="27340" xr:uid="{00000000-0005-0000-0000-0000250A0000}"/>
    <cellStyle name="Currency 4 3 5 2 2 2" xfId="33992" xr:uid="{5520FB61-544C-4CA0-90ED-C66F335975FB}"/>
    <cellStyle name="Currency 4 3 5 2 3" xfId="27341" xr:uid="{00000000-0005-0000-0000-0000260A0000}"/>
    <cellStyle name="Currency 4 3 5 2 3 2" xfId="33993" xr:uid="{1E3BEA82-9F04-4F24-8212-9C6494B2AC9C}"/>
    <cellStyle name="Currency 4 3 5 2 4" xfId="33991" xr:uid="{FCBB1432-88EE-4E03-9A27-0E72D24E47DC}"/>
    <cellStyle name="Currency 4 3 5 3" xfId="27342" xr:uid="{00000000-0005-0000-0000-0000270A0000}"/>
    <cellStyle name="Currency 4 3 5 3 2" xfId="33994" xr:uid="{3D55C09F-FD65-4968-A463-8B11163FFDC3}"/>
    <cellStyle name="Currency 4 3 5 4" xfId="27343" xr:uid="{00000000-0005-0000-0000-0000280A0000}"/>
    <cellStyle name="Currency 4 3 5 4 2" xfId="33995" xr:uid="{8333558D-FF0C-4AC3-80C2-D67B03DD0F03}"/>
    <cellStyle name="Currency 4 3 5 5" xfId="27344" xr:uid="{00000000-0005-0000-0000-0000290A0000}"/>
    <cellStyle name="Currency 4 3 5 5 2" xfId="33996" xr:uid="{76F72F41-21F2-49FF-AF7F-8A6301A9BACF}"/>
    <cellStyle name="Currency 4 3 5 6" xfId="33990" xr:uid="{A3CA9405-BFDC-471A-B71F-4B2E8993C397}"/>
    <cellStyle name="Currency 4 3 6" xfId="27345" xr:uid="{00000000-0005-0000-0000-00002A0A0000}"/>
    <cellStyle name="Currency 4 3 6 2" xfId="27346" xr:uid="{00000000-0005-0000-0000-00002B0A0000}"/>
    <cellStyle name="Currency 4 3 6 2 2" xfId="33998" xr:uid="{34760AA0-86B3-4BCE-9C33-271744408BA2}"/>
    <cellStyle name="Currency 4 3 6 3" xfId="27347" xr:uid="{00000000-0005-0000-0000-00002C0A0000}"/>
    <cellStyle name="Currency 4 3 6 3 2" xfId="33999" xr:uid="{C0D2B8C7-859A-438E-A698-3613D6D6C7E7}"/>
    <cellStyle name="Currency 4 3 6 4" xfId="33997" xr:uid="{EC853B8A-5615-4035-B53B-CD56349C640E}"/>
    <cellStyle name="Currency 4 3 7" xfId="27348" xr:uid="{00000000-0005-0000-0000-00002D0A0000}"/>
    <cellStyle name="Currency 4 3 7 2" xfId="34000" xr:uid="{8EF8D806-974F-4ED0-9541-C4631F3EA952}"/>
    <cellStyle name="Currency 4 3 8" xfId="27349" xr:uid="{00000000-0005-0000-0000-00002E0A0000}"/>
    <cellStyle name="Currency 4 3 8 2" xfId="34001" xr:uid="{60338BD4-BDC2-4480-B6D0-7875E95B64B0}"/>
    <cellStyle name="Currency 4 3 9" xfId="27350" xr:uid="{00000000-0005-0000-0000-00002F0A0000}"/>
    <cellStyle name="Currency 4 3 9 2" xfId="34002" xr:uid="{8D607CF5-7C36-45FB-A0EC-A014B4BE9172}"/>
    <cellStyle name="Currency 4 4" xfId="27351" xr:uid="{00000000-0005-0000-0000-0000300A0000}"/>
    <cellStyle name="Currency 4 4 10" xfId="34003" xr:uid="{F1F59C35-1E48-47DE-A5F9-605A7305D0FD}"/>
    <cellStyle name="Currency 4 4 2" xfId="27352" xr:uid="{00000000-0005-0000-0000-0000310A0000}"/>
    <cellStyle name="Currency 4 4 2 2" xfId="27353" xr:uid="{00000000-0005-0000-0000-0000320A0000}"/>
    <cellStyle name="Currency 4 4 2 2 2" xfId="27354" xr:uid="{00000000-0005-0000-0000-0000330A0000}"/>
    <cellStyle name="Currency 4 4 2 2 2 2" xfId="27355" xr:uid="{00000000-0005-0000-0000-0000340A0000}"/>
    <cellStyle name="Currency 4 4 2 2 2 2 2" xfId="27356" xr:uid="{00000000-0005-0000-0000-0000350A0000}"/>
    <cellStyle name="Currency 4 4 2 2 2 2 2 2" xfId="34008" xr:uid="{15AA9281-B763-4EF6-931F-C5935463EA6F}"/>
    <cellStyle name="Currency 4 4 2 2 2 2 3" xfId="27357" xr:uid="{00000000-0005-0000-0000-0000360A0000}"/>
    <cellStyle name="Currency 4 4 2 2 2 2 3 2" xfId="34009" xr:uid="{65BBD388-1026-4C78-901E-688643C8AFE9}"/>
    <cellStyle name="Currency 4 4 2 2 2 2 4" xfId="34007" xr:uid="{5DDC03DC-8F2F-4279-BB85-3C9FC0FF59BC}"/>
    <cellStyle name="Currency 4 4 2 2 2 3" xfId="27358" xr:uid="{00000000-0005-0000-0000-0000370A0000}"/>
    <cellStyle name="Currency 4 4 2 2 2 3 2" xfId="34010" xr:uid="{0BAFF272-4C45-4B1B-955D-2F8046E3EEB7}"/>
    <cellStyle name="Currency 4 4 2 2 2 4" xfId="27359" xr:uid="{00000000-0005-0000-0000-0000380A0000}"/>
    <cellStyle name="Currency 4 4 2 2 2 4 2" xfId="34011" xr:uid="{41CBA0B8-04D2-49D9-8A7D-BECD7AE3378A}"/>
    <cellStyle name="Currency 4 4 2 2 2 5" xfId="27360" xr:uid="{00000000-0005-0000-0000-0000390A0000}"/>
    <cellStyle name="Currency 4 4 2 2 2 5 2" xfId="34012" xr:uid="{F9C43481-AF80-4C82-BC13-9805E8DA90B3}"/>
    <cellStyle name="Currency 4 4 2 2 2 6" xfId="34006" xr:uid="{2434C053-7A9F-43AE-B47F-49F4C0428869}"/>
    <cellStyle name="Currency 4 4 2 2 3" xfId="27361" xr:uid="{00000000-0005-0000-0000-00003A0A0000}"/>
    <cellStyle name="Currency 4 4 2 2 3 2" xfId="27362" xr:uid="{00000000-0005-0000-0000-00003B0A0000}"/>
    <cellStyle name="Currency 4 4 2 2 3 2 2" xfId="27363" xr:uid="{00000000-0005-0000-0000-00003C0A0000}"/>
    <cellStyle name="Currency 4 4 2 2 3 2 2 2" xfId="34015" xr:uid="{255441A7-FEA5-4C31-BF7E-D5F8552577E8}"/>
    <cellStyle name="Currency 4 4 2 2 3 2 3" xfId="27364" xr:uid="{00000000-0005-0000-0000-00003D0A0000}"/>
    <cellStyle name="Currency 4 4 2 2 3 2 3 2" xfId="34016" xr:uid="{AA4FE80E-0DDA-46D0-A042-994FB749763A}"/>
    <cellStyle name="Currency 4 4 2 2 3 2 4" xfId="34014" xr:uid="{76043807-3C15-425C-B2DC-2AA4B0DB5B08}"/>
    <cellStyle name="Currency 4 4 2 2 3 3" xfId="27365" xr:uid="{00000000-0005-0000-0000-00003E0A0000}"/>
    <cellStyle name="Currency 4 4 2 2 3 3 2" xfId="34017" xr:uid="{6AF34D1F-494E-4CEE-9202-F389067FEC00}"/>
    <cellStyle name="Currency 4 4 2 2 3 4" xfId="27366" xr:uid="{00000000-0005-0000-0000-00003F0A0000}"/>
    <cellStyle name="Currency 4 4 2 2 3 4 2" xfId="34018" xr:uid="{171728ED-A08E-4FCA-A825-A1363DFFA8A6}"/>
    <cellStyle name="Currency 4 4 2 2 3 5" xfId="27367" xr:uid="{00000000-0005-0000-0000-0000400A0000}"/>
    <cellStyle name="Currency 4 4 2 2 3 5 2" xfId="34019" xr:uid="{03C185F8-0975-4F7E-9EE3-6FA8AA5B4ED5}"/>
    <cellStyle name="Currency 4 4 2 2 3 6" xfId="34013" xr:uid="{4ADABD70-5587-48C5-9BFC-474772222012}"/>
    <cellStyle name="Currency 4 4 2 2 4" xfId="27368" xr:uid="{00000000-0005-0000-0000-0000410A0000}"/>
    <cellStyle name="Currency 4 4 2 2 4 2" xfId="27369" xr:uid="{00000000-0005-0000-0000-0000420A0000}"/>
    <cellStyle name="Currency 4 4 2 2 4 2 2" xfId="34021" xr:uid="{6827B8E6-958A-4A6E-B292-61226CEA749D}"/>
    <cellStyle name="Currency 4 4 2 2 4 3" xfId="27370" xr:uid="{00000000-0005-0000-0000-0000430A0000}"/>
    <cellStyle name="Currency 4 4 2 2 4 3 2" xfId="34022" xr:uid="{134384CD-DF7F-4542-A3AE-00463CA33BE6}"/>
    <cellStyle name="Currency 4 4 2 2 4 4" xfId="34020" xr:uid="{9A9364E5-6B3F-4DFE-9B83-A300025277AA}"/>
    <cellStyle name="Currency 4 4 2 2 5" xfId="27371" xr:uid="{00000000-0005-0000-0000-0000440A0000}"/>
    <cellStyle name="Currency 4 4 2 2 5 2" xfId="34023" xr:uid="{03F65BAD-7E2F-40C7-BA39-DA766AE8C8B6}"/>
    <cellStyle name="Currency 4 4 2 2 6" xfId="27372" xr:uid="{00000000-0005-0000-0000-0000450A0000}"/>
    <cellStyle name="Currency 4 4 2 2 6 2" xfId="34024" xr:uid="{4CB62DE4-061E-4F0C-884A-0EC1DB15D8CE}"/>
    <cellStyle name="Currency 4 4 2 2 7" xfId="27373" xr:uid="{00000000-0005-0000-0000-0000460A0000}"/>
    <cellStyle name="Currency 4 4 2 2 7 2" xfId="34025" xr:uid="{A2409A63-9AF2-4873-A703-0AB277463F83}"/>
    <cellStyle name="Currency 4 4 2 2 8" xfId="34005" xr:uid="{C5ECAD5E-469D-4BCC-A9A3-375A89100539}"/>
    <cellStyle name="Currency 4 4 2 3" xfId="27374" xr:uid="{00000000-0005-0000-0000-0000470A0000}"/>
    <cellStyle name="Currency 4 4 2 3 2" xfId="27375" xr:uid="{00000000-0005-0000-0000-0000480A0000}"/>
    <cellStyle name="Currency 4 4 2 3 2 2" xfId="27376" xr:uid="{00000000-0005-0000-0000-0000490A0000}"/>
    <cellStyle name="Currency 4 4 2 3 2 2 2" xfId="34028" xr:uid="{991922AF-909C-45F4-95BD-BBC322787BDD}"/>
    <cellStyle name="Currency 4 4 2 3 2 3" xfId="27377" xr:uid="{00000000-0005-0000-0000-00004A0A0000}"/>
    <cellStyle name="Currency 4 4 2 3 2 3 2" xfId="34029" xr:uid="{9DD3AB29-63D1-462A-9536-0D391714AD9F}"/>
    <cellStyle name="Currency 4 4 2 3 2 4" xfId="34027" xr:uid="{8E6C9098-43CD-4504-B3BE-925B3C3C9696}"/>
    <cellStyle name="Currency 4 4 2 3 3" xfId="27378" xr:uid="{00000000-0005-0000-0000-00004B0A0000}"/>
    <cellStyle name="Currency 4 4 2 3 3 2" xfId="34030" xr:uid="{D15ED704-3D91-44E5-8ED4-A8EA5F146F6B}"/>
    <cellStyle name="Currency 4 4 2 3 4" xfId="27379" xr:uid="{00000000-0005-0000-0000-00004C0A0000}"/>
    <cellStyle name="Currency 4 4 2 3 4 2" xfId="34031" xr:uid="{80D94021-C1B0-4243-88EA-A370825C9515}"/>
    <cellStyle name="Currency 4 4 2 3 5" xfId="27380" xr:uid="{00000000-0005-0000-0000-00004D0A0000}"/>
    <cellStyle name="Currency 4 4 2 3 5 2" xfId="34032" xr:uid="{A6527B92-1BEB-43E3-9765-D3977848A4BA}"/>
    <cellStyle name="Currency 4 4 2 3 6" xfId="34026" xr:uid="{9950B40F-BB58-4154-AECA-0EB62E2DEE92}"/>
    <cellStyle name="Currency 4 4 2 4" xfId="27381" xr:uid="{00000000-0005-0000-0000-00004E0A0000}"/>
    <cellStyle name="Currency 4 4 2 4 2" xfId="27382" xr:uid="{00000000-0005-0000-0000-00004F0A0000}"/>
    <cellStyle name="Currency 4 4 2 4 2 2" xfId="27383" xr:uid="{00000000-0005-0000-0000-0000500A0000}"/>
    <cellStyle name="Currency 4 4 2 4 2 2 2" xfId="34035" xr:uid="{70D149A8-27C1-480C-8A51-70A09ABB9DC4}"/>
    <cellStyle name="Currency 4 4 2 4 2 3" xfId="27384" xr:uid="{00000000-0005-0000-0000-0000510A0000}"/>
    <cellStyle name="Currency 4 4 2 4 2 3 2" xfId="34036" xr:uid="{6E20B704-45D2-4130-B086-4DC95FE20444}"/>
    <cellStyle name="Currency 4 4 2 4 2 4" xfId="34034" xr:uid="{C669CF06-98D0-4355-9256-3A175896A4CC}"/>
    <cellStyle name="Currency 4 4 2 4 3" xfId="27385" xr:uid="{00000000-0005-0000-0000-0000520A0000}"/>
    <cellStyle name="Currency 4 4 2 4 3 2" xfId="34037" xr:uid="{E05CF690-1B49-475C-B83F-2BBEC6FCE37C}"/>
    <cellStyle name="Currency 4 4 2 4 4" xfId="27386" xr:uid="{00000000-0005-0000-0000-0000530A0000}"/>
    <cellStyle name="Currency 4 4 2 4 4 2" xfId="34038" xr:uid="{362496FD-432E-485E-AF8B-38A8EC5D983B}"/>
    <cellStyle name="Currency 4 4 2 4 5" xfId="27387" xr:uid="{00000000-0005-0000-0000-0000540A0000}"/>
    <cellStyle name="Currency 4 4 2 4 5 2" xfId="34039" xr:uid="{CCF788F7-024E-45CB-BA5D-7B1962BF8E8B}"/>
    <cellStyle name="Currency 4 4 2 4 6" xfId="34033" xr:uid="{7E0E9ED6-1693-4F7B-9CE7-202577490D3B}"/>
    <cellStyle name="Currency 4 4 2 5" xfId="27388" xr:uid="{00000000-0005-0000-0000-0000550A0000}"/>
    <cellStyle name="Currency 4 4 2 5 2" xfId="27389" xr:uid="{00000000-0005-0000-0000-0000560A0000}"/>
    <cellStyle name="Currency 4 4 2 5 2 2" xfId="34041" xr:uid="{7B02B282-B725-4C5F-B806-5C0BF89E21A1}"/>
    <cellStyle name="Currency 4 4 2 5 3" xfId="27390" xr:uid="{00000000-0005-0000-0000-0000570A0000}"/>
    <cellStyle name="Currency 4 4 2 5 3 2" xfId="34042" xr:uid="{6AFA266E-3CBA-4860-A8F8-9719ABD539AD}"/>
    <cellStyle name="Currency 4 4 2 5 4" xfId="34040" xr:uid="{86DA7545-C1BB-4EBE-B013-810EC1422637}"/>
    <cellStyle name="Currency 4 4 2 6" xfId="27391" xr:uid="{00000000-0005-0000-0000-0000580A0000}"/>
    <cellStyle name="Currency 4 4 2 6 2" xfId="34043" xr:uid="{4FEDAB71-E277-4B61-B80A-B59842F02C3D}"/>
    <cellStyle name="Currency 4 4 2 7" xfId="27392" xr:uid="{00000000-0005-0000-0000-0000590A0000}"/>
    <cellStyle name="Currency 4 4 2 7 2" xfId="34044" xr:uid="{99CFD580-8393-44F8-81F3-3B8D7C6C0E61}"/>
    <cellStyle name="Currency 4 4 2 8" xfId="27393" xr:uid="{00000000-0005-0000-0000-00005A0A0000}"/>
    <cellStyle name="Currency 4 4 2 8 2" xfId="34045" xr:uid="{9F293AAB-E724-4FEA-9E1F-F111CE200F7B}"/>
    <cellStyle name="Currency 4 4 2 9" xfId="34004" xr:uid="{73BF08E2-8317-41BF-86CC-BADF854ABBAB}"/>
    <cellStyle name="Currency 4 4 3" xfId="27394" xr:uid="{00000000-0005-0000-0000-00005B0A0000}"/>
    <cellStyle name="Currency 4 4 3 2" xfId="27395" xr:uid="{00000000-0005-0000-0000-00005C0A0000}"/>
    <cellStyle name="Currency 4 4 3 2 2" xfId="27396" xr:uid="{00000000-0005-0000-0000-00005D0A0000}"/>
    <cellStyle name="Currency 4 4 3 2 2 2" xfId="27397" xr:uid="{00000000-0005-0000-0000-00005E0A0000}"/>
    <cellStyle name="Currency 4 4 3 2 2 2 2" xfId="34049" xr:uid="{DB834ADE-6B14-42A1-98FF-E241471DDDE7}"/>
    <cellStyle name="Currency 4 4 3 2 2 3" xfId="27398" xr:uid="{00000000-0005-0000-0000-00005F0A0000}"/>
    <cellStyle name="Currency 4 4 3 2 2 3 2" xfId="34050" xr:uid="{68657CB0-146E-41A5-AEBC-72E41B8EB62A}"/>
    <cellStyle name="Currency 4 4 3 2 2 4" xfId="34048" xr:uid="{EBEE8CDE-6646-4F8F-9FC4-896C1E4C449D}"/>
    <cellStyle name="Currency 4 4 3 2 3" xfId="27399" xr:uid="{00000000-0005-0000-0000-0000600A0000}"/>
    <cellStyle name="Currency 4 4 3 2 3 2" xfId="34051" xr:uid="{165D6E86-B225-4C5D-8B92-EE744132A0DA}"/>
    <cellStyle name="Currency 4 4 3 2 4" xfId="27400" xr:uid="{00000000-0005-0000-0000-0000610A0000}"/>
    <cellStyle name="Currency 4 4 3 2 4 2" xfId="34052" xr:uid="{05A5DDD5-BBED-4DDE-8CBA-59037F76D2C7}"/>
    <cellStyle name="Currency 4 4 3 2 5" xfId="27401" xr:uid="{00000000-0005-0000-0000-0000620A0000}"/>
    <cellStyle name="Currency 4 4 3 2 5 2" xfId="34053" xr:uid="{E6374AF6-8428-47EB-8AA9-2D5026AC9C26}"/>
    <cellStyle name="Currency 4 4 3 2 6" xfId="34047" xr:uid="{20E94754-8FC2-4E06-8C14-F37F5120578C}"/>
    <cellStyle name="Currency 4 4 3 3" xfId="27402" xr:uid="{00000000-0005-0000-0000-0000630A0000}"/>
    <cellStyle name="Currency 4 4 3 3 2" xfId="27403" xr:uid="{00000000-0005-0000-0000-0000640A0000}"/>
    <cellStyle name="Currency 4 4 3 3 2 2" xfId="27404" xr:uid="{00000000-0005-0000-0000-0000650A0000}"/>
    <cellStyle name="Currency 4 4 3 3 2 2 2" xfId="34056" xr:uid="{C5B4F528-22AC-4E2A-9E01-9CB3458B1036}"/>
    <cellStyle name="Currency 4 4 3 3 2 3" xfId="27405" xr:uid="{00000000-0005-0000-0000-0000660A0000}"/>
    <cellStyle name="Currency 4 4 3 3 2 3 2" xfId="34057" xr:uid="{C12EFA9F-C447-4664-B442-BC3A5AB61479}"/>
    <cellStyle name="Currency 4 4 3 3 2 4" xfId="34055" xr:uid="{D6CAE271-2D6F-4222-9A72-655945E09F3D}"/>
    <cellStyle name="Currency 4 4 3 3 3" xfId="27406" xr:uid="{00000000-0005-0000-0000-0000670A0000}"/>
    <cellStyle name="Currency 4 4 3 3 3 2" xfId="34058" xr:uid="{981D9459-DE5C-4CE0-8AFF-D02812CB1126}"/>
    <cellStyle name="Currency 4 4 3 3 4" xfId="27407" xr:uid="{00000000-0005-0000-0000-0000680A0000}"/>
    <cellStyle name="Currency 4 4 3 3 4 2" xfId="34059" xr:uid="{6358E5D0-086C-439B-9C5F-F5F886977B48}"/>
    <cellStyle name="Currency 4 4 3 3 5" xfId="27408" xr:uid="{00000000-0005-0000-0000-0000690A0000}"/>
    <cellStyle name="Currency 4 4 3 3 5 2" xfId="34060" xr:uid="{68258520-FCF1-417E-9406-8F7B715897E2}"/>
    <cellStyle name="Currency 4 4 3 3 6" xfId="34054" xr:uid="{49994241-EF60-41E7-99A7-E13564A2FBB4}"/>
    <cellStyle name="Currency 4 4 3 4" xfId="27409" xr:uid="{00000000-0005-0000-0000-00006A0A0000}"/>
    <cellStyle name="Currency 4 4 3 4 2" xfId="27410" xr:uid="{00000000-0005-0000-0000-00006B0A0000}"/>
    <cellStyle name="Currency 4 4 3 4 2 2" xfId="34062" xr:uid="{3CA02D49-B28E-4D6F-9C00-EECB81353970}"/>
    <cellStyle name="Currency 4 4 3 4 3" xfId="27411" xr:uid="{00000000-0005-0000-0000-00006C0A0000}"/>
    <cellStyle name="Currency 4 4 3 4 3 2" xfId="34063" xr:uid="{8A3E1511-3142-4D80-9293-E9A8A7F16BB9}"/>
    <cellStyle name="Currency 4 4 3 4 4" xfId="34061" xr:uid="{8F857F29-6A49-4715-A3C9-87C6BFC8D11A}"/>
    <cellStyle name="Currency 4 4 3 5" xfId="27412" xr:uid="{00000000-0005-0000-0000-00006D0A0000}"/>
    <cellStyle name="Currency 4 4 3 5 2" xfId="34064" xr:uid="{0FAD9823-6FC4-48AC-9739-CAEDFDBF4C6F}"/>
    <cellStyle name="Currency 4 4 3 6" xfId="27413" xr:uid="{00000000-0005-0000-0000-00006E0A0000}"/>
    <cellStyle name="Currency 4 4 3 6 2" xfId="34065" xr:uid="{05763125-B1AE-425C-98C9-4362C3F8711B}"/>
    <cellStyle name="Currency 4 4 3 7" xfId="27414" xr:uid="{00000000-0005-0000-0000-00006F0A0000}"/>
    <cellStyle name="Currency 4 4 3 7 2" xfId="34066" xr:uid="{B9F7D464-BE18-4FBF-9D49-BE84B5AC0EB6}"/>
    <cellStyle name="Currency 4 4 3 8" xfId="34046" xr:uid="{35DBB190-01D7-48F8-99EA-5E624D85112B}"/>
    <cellStyle name="Currency 4 4 4" xfId="27415" xr:uid="{00000000-0005-0000-0000-0000700A0000}"/>
    <cellStyle name="Currency 4 4 4 2" xfId="27416" xr:uid="{00000000-0005-0000-0000-0000710A0000}"/>
    <cellStyle name="Currency 4 4 4 2 2" xfId="27417" xr:uid="{00000000-0005-0000-0000-0000720A0000}"/>
    <cellStyle name="Currency 4 4 4 2 2 2" xfId="34069" xr:uid="{F4A43B5E-CFBF-4B01-9974-6498F18FD13F}"/>
    <cellStyle name="Currency 4 4 4 2 3" xfId="27418" xr:uid="{00000000-0005-0000-0000-0000730A0000}"/>
    <cellStyle name="Currency 4 4 4 2 3 2" xfId="34070" xr:uid="{229D137E-E8B6-4460-B8AE-C839EE5C4808}"/>
    <cellStyle name="Currency 4 4 4 2 4" xfId="34068" xr:uid="{9873BFCA-A9A3-49ED-BCE9-7E546CC0EF00}"/>
    <cellStyle name="Currency 4 4 4 3" xfId="27419" xr:uid="{00000000-0005-0000-0000-0000740A0000}"/>
    <cellStyle name="Currency 4 4 4 3 2" xfId="34071" xr:uid="{680A10D9-29E3-4F7E-B6E9-7B81CD0D8142}"/>
    <cellStyle name="Currency 4 4 4 4" xfId="27420" xr:uid="{00000000-0005-0000-0000-0000750A0000}"/>
    <cellStyle name="Currency 4 4 4 4 2" xfId="34072" xr:uid="{1722F673-7747-48BF-89E5-AC390E8D4709}"/>
    <cellStyle name="Currency 4 4 4 5" xfId="27421" xr:uid="{00000000-0005-0000-0000-0000760A0000}"/>
    <cellStyle name="Currency 4 4 4 5 2" xfId="34073" xr:uid="{759C8E3B-42CC-4718-9952-09C3B1FEC32F}"/>
    <cellStyle name="Currency 4 4 4 6" xfId="34067" xr:uid="{822572D4-A88A-434E-BBCA-5C3E66AC023B}"/>
    <cellStyle name="Currency 4 4 5" xfId="27422" xr:uid="{00000000-0005-0000-0000-0000770A0000}"/>
    <cellStyle name="Currency 4 4 5 2" xfId="27423" xr:uid="{00000000-0005-0000-0000-0000780A0000}"/>
    <cellStyle name="Currency 4 4 5 2 2" xfId="27424" xr:uid="{00000000-0005-0000-0000-0000790A0000}"/>
    <cellStyle name="Currency 4 4 5 2 2 2" xfId="34076" xr:uid="{45B9A192-76CE-4CE2-8B1C-7EC54201815D}"/>
    <cellStyle name="Currency 4 4 5 2 3" xfId="27425" xr:uid="{00000000-0005-0000-0000-00007A0A0000}"/>
    <cellStyle name="Currency 4 4 5 2 3 2" xfId="34077" xr:uid="{49DE7753-43D9-4BDE-ACC8-D82B3EACBCCA}"/>
    <cellStyle name="Currency 4 4 5 2 4" xfId="34075" xr:uid="{64C8AB88-B52F-4968-971F-297CE0F7C1C8}"/>
    <cellStyle name="Currency 4 4 5 3" xfId="27426" xr:uid="{00000000-0005-0000-0000-00007B0A0000}"/>
    <cellStyle name="Currency 4 4 5 3 2" xfId="34078" xr:uid="{B128D82E-DFC6-46C6-A6C9-6683230D7246}"/>
    <cellStyle name="Currency 4 4 5 4" xfId="27427" xr:uid="{00000000-0005-0000-0000-00007C0A0000}"/>
    <cellStyle name="Currency 4 4 5 4 2" xfId="34079" xr:uid="{9CECCA84-5E20-4FED-9255-C94666D19256}"/>
    <cellStyle name="Currency 4 4 5 5" xfId="27428" xr:uid="{00000000-0005-0000-0000-00007D0A0000}"/>
    <cellStyle name="Currency 4 4 5 5 2" xfId="34080" xr:uid="{F3EBAEA6-4F69-4D08-8A87-A0F486535744}"/>
    <cellStyle name="Currency 4 4 5 6" xfId="34074" xr:uid="{C3E42752-6303-401E-B19F-3A3FCF8E05D8}"/>
    <cellStyle name="Currency 4 4 6" xfId="27429" xr:uid="{00000000-0005-0000-0000-00007E0A0000}"/>
    <cellStyle name="Currency 4 4 6 2" xfId="27430" xr:uid="{00000000-0005-0000-0000-00007F0A0000}"/>
    <cellStyle name="Currency 4 4 6 2 2" xfId="34082" xr:uid="{090CE325-3702-47DE-8E11-0C65B780DF10}"/>
    <cellStyle name="Currency 4 4 6 3" xfId="27431" xr:uid="{00000000-0005-0000-0000-0000800A0000}"/>
    <cellStyle name="Currency 4 4 6 3 2" xfId="34083" xr:uid="{2B915063-7125-4E5C-AB24-8DCDD9F0A91B}"/>
    <cellStyle name="Currency 4 4 6 4" xfId="34081" xr:uid="{3F01F98B-9B0F-4475-8BDE-5FF33654F6DB}"/>
    <cellStyle name="Currency 4 4 7" xfId="27432" xr:uid="{00000000-0005-0000-0000-0000810A0000}"/>
    <cellStyle name="Currency 4 4 7 2" xfId="34084" xr:uid="{3A7234B9-6142-4C57-9F17-A4914E31E3BA}"/>
    <cellStyle name="Currency 4 4 8" xfId="27433" xr:uid="{00000000-0005-0000-0000-0000820A0000}"/>
    <cellStyle name="Currency 4 4 8 2" xfId="34085" xr:uid="{E5F002E8-CB44-4EEC-9D8C-24B4442C1569}"/>
    <cellStyle name="Currency 4 4 9" xfId="27434" xr:uid="{00000000-0005-0000-0000-0000830A0000}"/>
    <cellStyle name="Currency 4 4 9 2" xfId="34086" xr:uid="{40621B00-6CA3-4237-9B96-A12CC06F7E14}"/>
    <cellStyle name="Currency 4 5" xfId="27435" xr:uid="{00000000-0005-0000-0000-0000840A0000}"/>
    <cellStyle name="Currency 4 5 10" xfId="34087" xr:uid="{413F3F9C-9AB5-4367-ACCD-4E911AB3FD88}"/>
    <cellStyle name="Currency 4 5 2" xfId="27436" xr:uid="{00000000-0005-0000-0000-0000850A0000}"/>
    <cellStyle name="Currency 4 5 2 2" xfId="27437" xr:uid="{00000000-0005-0000-0000-0000860A0000}"/>
    <cellStyle name="Currency 4 5 2 2 2" xfId="27438" xr:uid="{00000000-0005-0000-0000-0000870A0000}"/>
    <cellStyle name="Currency 4 5 2 2 2 2" xfId="27439" xr:uid="{00000000-0005-0000-0000-0000880A0000}"/>
    <cellStyle name="Currency 4 5 2 2 2 2 2" xfId="27440" xr:uid="{00000000-0005-0000-0000-0000890A0000}"/>
    <cellStyle name="Currency 4 5 2 2 2 2 2 2" xfId="34092" xr:uid="{65C7C05B-0D3E-4799-B413-E33A7C1ABDC2}"/>
    <cellStyle name="Currency 4 5 2 2 2 2 3" xfId="27441" xr:uid="{00000000-0005-0000-0000-00008A0A0000}"/>
    <cellStyle name="Currency 4 5 2 2 2 2 3 2" xfId="34093" xr:uid="{7AD94C6F-60AF-4DB9-A141-D8C62B6F4358}"/>
    <cellStyle name="Currency 4 5 2 2 2 2 4" xfId="34091" xr:uid="{6DC485EE-4751-42CE-A18E-0443A5AE762E}"/>
    <cellStyle name="Currency 4 5 2 2 2 3" xfId="27442" xr:uid="{00000000-0005-0000-0000-00008B0A0000}"/>
    <cellStyle name="Currency 4 5 2 2 2 3 2" xfId="34094" xr:uid="{8F70CFA4-9301-4954-A107-B557E4FDF590}"/>
    <cellStyle name="Currency 4 5 2 2 2 4" xfId="27443" xr:uid="{00000000-0005-0000-0000-00008C0A0000}"/>
    <cellStyle name="Currency 4 5 2 2 2 4 2" xfId="34095" xr:uid="{91FDDFBB-2DCC-41D0-A9B8-74F880085362}"/>
    <cellStyle name="Currency 4 5 2 2 2 5" xfId="27444" xr:uid="{00000000-0005-0000-0000-00008D0A0000}"/>
    <cellStyle name="Currency 4 5 2 2 2 5 2" xfId="34096" xr:uid="{D181FF5B-24A3-4637-BCF8-4319EA098ACE}"/>
    <cellStyle name="Currency 4 5 2 2 2 6" xfId="34090" xr:uid="{866D1F14-2704-4221-9F61-66501D376B5C}"/>
    <cellStyle name="Currency 4 5 2 2 3" xfId="27445" xr:uid="{00000000-0005-0000-0000-00008E0A0000}"/>
    <cellStyle name="Currency 4 5 2 2 3 2" xfId="27446" xr:uid="{00000000-0005-0000-0000-00008F0A0000}"/>
    <cellStyle name="Currency 4 5 2 2 3 2 2" xfId="27447" xr:uid="{00000000-0005-0000-0000-0000900A0000}"/>
    <cellStyle name="Currency 4 5 2 2 3 2 2 2" xfId="34099" xr:uid="{5FF860AB-6CBD-4DF0-82F5-E9174302AB65}"/>
    <cellStyle name="Currency 4 5 2 2 3 2 3" xfId="27448" xr:uid="{00000000-0005-0000-0000-0000910A0000}"/>
    <cellStyle name="Currency 4 5 2 2 3 2 3 2" xfId="34100" xr:uid="{3CB953DB-7884-4DCA-BF92-1998527E6DDD}"/>
    <cellStyle name="Currency 4 5 2 2 3 2 4" xfId="34098" xr:uid="{8CE7EFE7-309D-4761-B82A-E43FA2C01B84}"/>
    <cellStyle name="Currency 4 5 2 2 3 3" xfId="27449" xr:uid="{00000000-0005-0000-0000-0000920A0000}"/>
    <cellStyle name="Currency 4 5 2 2 3 3 2" xfId="34101" xr:uid="{89F75ED7-3B34-46AD-B051-8FB049873FC3}"/>
    <cellStyle name="Currency 4 5 2 2 3 4" xfId="27450" xr:uid="{00000000-0005-0000-0000-0000930A0000}"/>
    <cellStyle name="Currency 4 5 2 2 3 4 2" xfId="34102" xr:uid="{AF26204D-F467-4C3C-949F-C644B7AC56AB}"/>
    <cellStyle name="Currency 4 5 2 2 3 5" xfId="27451" xr:uid="{00000000-0005-0000-0000-0000940A0000}"/>
    <cellStyle name="Currency 4 5 2 2 3 5 2" xfId="34103" xr:uid="{26CB426B-4F29-4AB5-B282-B944A516EC08}"/>
    <cellStyle name="Currency 4 5 2 2 3 6" xfId="34097" xr:uid="{7F20BB5C-506E-4229-B2EC-FBEF19F86A2F}"/>
    <cellStyle name="Currency 4 5 2 2 4" xfId="27452" xr:uid="{00000000-0005-0000-0000-0000950A0000}"/>
    <cellStyle name="Currency 4 5 2 2 4 2" xfId="27453" xr:uid="{00000000-0005-0000-0000-0000960A0000}"/>
    <cellStyle name="Currency 4 5 2 2 4 2 2" xfId="34105" xr:uid="{DB458D91-D347-4E40-BA98-9BDF217F05EA}"/>
    <cellStyle name="Currency 4 5 2 2 4 3" xfId="27454" xr:uid="{00000000-0005-0000-0000-0000970A0000}"/>
    <cellStyle name="Currency 4 5 2 2 4 3 2" xfId="34106" xr:uid="{CED65669-809A-4B62-99C7-A5A708D3CE61}"/>
    <cellStyle name="Currency 4 5 2 2 4 4" xfId="34104" xr:uid="{15390D54-C94D-4F32-87FC-B61F0DA53262}"/>
    <cellStyle name="Currency 4 5 2 2 5" xfId="27455" xr:uid="{00000000-0005-0000-0000-0000980A0000}"/>
    <cellStyle name="Currency 4 5 2 2 5 2" xfId="34107" xr:uid="{2F816301-5A3E-40BF-94CC-D991CC294506}"/>
    <cellStyle name="Currency 4 5 2 2 6" xfId="27456" xr:uid="{00000000-0005-0000-0000-0000990A0000}"/>
    <cellStyle name="Currency 4 5 2 2 6 2" xfId="34108" xr:uid="{C43D9779-7C8B-4572-9AD8-BEAC3447AC3D}"/>
    <cellStyle name="Currency 4 5 2 2 7" xfId="27457" xr:uid="{00000000-0005-0000-0000-00009A0A0000}"/>
    <cellStyle name="Currency 4 5 2 2 7 2" xfId="34109" xr:uid="{DFE1FD31-AD00-4CD5-BEC2-028C6CC83321}"/>
    <cellStyle name="Currency 4 5 2 2 8" xfId="34089" xr:uid="{E55DD471-51AB-4201-9C0D-EEF6A85DC8E1}"/>
    <cellStyle name="Currency 4 5 2 3" xfId="27458" xr:uid="{00000000-0005-0000-0000-00009B0A0000}"/>
    <cellStyle name="Currency 4 5 2 3 2" xfId="27459" xr:uid="{00000000-0005-0000-0000-00009C0A0000}"/>
    <cellStyle name="Currency 4 5 2 3 2 2" xfId="27460" xr:uid="{00000000-0005-0000-0000-00009D0A0000}"/>
    <cellStyle name="Currency 4 5 2 3 2 2 2" xfId="34112" xr:uid="{1A9AC504-FFF3-4129-8A22-F79C2CF54A9F}"/>
    <cellStyle name="Currency 4 5 2 3 2 3" xfId="27461" xr:uid="{00000000-0005-0000-0000-00009E0A0000}"/>
    <cellStyle name="Currency 4 5 2 3 2 3 2" xfId="34113" xr:uid="{C609BEB9-A3BB-490D-956F-381FA9BA4395}"/>
    <cellStyle name="Currency 4 5 2 3 2 4" xfId="34111" xr:uid="{4563A522-00E2-406A-9823-6041A7E53375}"/>
    <cellStyle name="Currency 4 5 2 3 3" xfId="27462" xr:uid="{00000000-0005-0000-0000-00009F0A0000}"/>
    <cellStyle name="Currency 4 5 2 3 3 2" xfId="34114" xr:uid="{7B30878D-4AAF-471B-9432-22B55DDBE93D}"/>
    <cellStyle name="Currency 4 5 2 3 4" xfId="27463" xr:uid="{00000000-0005-0000-0000-0000A00A0000}"/>
    <cellStyle name="Currency 4 5 2 3 4 2" xfId="34115" xr:uid="{8ECE2C0A-52C7-4687-BEB4-5C29DF7641BB}"/>
    <cellStyle name="Currency 4 5 2 3 5" xfId="27464" xr:uid="{00000000-0005-0000-0000-0000A10A0000}"/>
    <cellStyle name="Currency 4 5 2 3 5 2" xfId="34116" xr:uid="{C3C66FCB-419E-45FF-9B0B-7D723D38EB7B}"/>
    <cellStyle name="Currency 4 5 2 3 6" xfId="34110" xr:uid="{2018C90A-F034-4B50-BBC6-543A99785AB7}"/>
    <cellStyle name="Currency 4 5 2 4" xfId="27465" xr:uid="{00000000-0005-0000-0000-0000A20A0000}"/>
    <cellStyle name="Currency 4 5 2 4 2" xfId="27466" xr:uid="{00000000-0005-0000-0000-0000A30A0000}"/>
    <cellStyle name="Currency 4 5 2 4 2 2" xfId="27467" xr:uid="{00000000-0005-0000-0000-0000A40A0000}"/>
    <cellStyle name="Currency 4 5 2 4 2 2 2" xfId="34119" xr:uid="{80088EF2-349B-4A9D-9541-49A0453C2B04}"/>
    <cellStyle name="Currency 4 5 2 4 2 3" xfId="27468" xr:uid="{00000000-0005-0000-0000-0000A50A0000}"/>
    <cellStyle name="Currency 4 5 2 4 2 3 2" xfId="34120" xr:uid="{8C5BBBB0-E50A-44EF-A29C-C1B23BEAEFF8}"/>
    <cellStyle name="Currency 4 5 2 4 2 4" xfId="34118" xr:uid="{033460B9-1A7B-4E90-98A6-DADBAB2BC31E}"/>
    <cellStyle name="Currency 4 5 2 4 3" xfId="27469" xr:uid="{00000000-0005-0000-0000-0000A60A0000}"/>
    <cellStyle name="Currency 4 5 2 4 3 2" xfId="34121" xr:uid="{E12AC6DF-7792-4601-A9D9-6D92792B365A}"/>
    <cellStyle name="Currency 4 5 2 4 4" xfId="27470" xr:uid="{00000000-0005-0000-0000-0000A70A0000}"/>
    <cellStyle name="Currency 4 5 2 4 4 2" xfId="34122" xr:uid="{D0CD8E0A-C19E-42D3-A4E0-566C84DEA686}"/>
    <cellStyle name="Currency 4 5 2 4 5" xfId="27471" xr:uid="{00000000-0005-0000-0000-0000A80A0000}"/>
    <cellStyle name="Currency 4 5 2 4 5 2" xfId="34123" xr:uid="{BACF0E51-D4A6-4866-B3B0-F62057CBB631}"/>
    <cellStyle name="Currency 4 5 2 4 6" xfId="34117" xr:uid="{7DC6E421-8262-43F0-A90C-9E489F0A8C55}"/>
    <cellStyle name="Currency 4 5 2 5" xfId="27472" xr:uid="{00000000-0005-0000-0000-0000A90A0000}"/>
    <cellStyle name="Currency 4 5 2 5 2" xfId="27473" xr:uid="{00000000-0005-0000-0000-0000AA0A0000}"/>
    <cellStyle name="Currency 4 5 2 5 2 2" xfId="34125" xr:uid="{1D78363E-5B12-4CFE-9F3E-F2AB54C18DEA}"/>
    <cellStyle name="Currency 4 5 2 5 3" xfId="27474" xr:uid="{00000000-0005-0000-0000-0000AB0A0000}"/>
    <cellStyle name="Currency 4 5 2 5 3 2" xfId="34126" xr:uid="{9FDA0858-D8AD-4F9C-AD33-A6C8DF0B9D6E}"/>
    <cellStyle name="Currency 4 5 2 5 4" xfId="34124" xr:uid="{94FDB42A-793D-492E-A433-8790802433F5}"/>
    <cellStyle name="Currency 4 5 2 6" xfId="27475" xr:uid="{00000000-0005-0000-0000-0000AC0A0000}"/>
    <cellStyle name="Currency 4 5 2 6 2" xfId="34127" xr:uid="{F24C03DA-96C7-41D4-A3EB-F6A676C72774}"/>
    <cellStyle name="Currency 4 5 2 7" xfId="27476" xr:uid="{00000000-0005-0000-0000-0000AD0A0000}"/>
    <cellStyle name="Currency 4 5 2 7 2" xfId="34128" xr:uid="{D0967660-DD62-4E3F-BE47-2E4BE3153D33}"/>
    <cellStyle name="Currency 4 5 2 8" xfId="27477" xr:uid="{00000000-0005-0000-0000-0000AE0A0000}"/>
    <cellStyle name="Currency 4 5 2 8 2" xfId="34129" xr:uid="{D38A003D-339D-4A85-B392-6A846BCA0413}"/>
    <cellStyle name="Currency 4 5 2 9" xfId="34088" xr:uid="{FA3F0D0F-B824-4795-8620-8667459C8074}"/>
    <cellStyle name="Currency 4 5 3" xfId="27478" xr:uid="{00000000-0005-0000-0000-0000AF0A0000}"/>
    <cellStyle name="Currency 4 5 3 2" xfId="27479" xr:uid="{00000000-0005-0000-0000-0000B00A0000}"/>
    <cellStyle name="Currency 4 5 3 2 2" xfId="27480" xr:uid="{00000000-0005-0000-0000-0000B10A0000}"/>
    <cellStyle name="Currency 4 5 3 2 2 2" xfId="27481" xr:uid="{00000000-0005-0000-0000-0000B20A0000}"/>
    <cellStyle name="Currency 4 5 3 2 2 2 2" xfId="34133" xr:uid="{02F2DB7F-FC52-4B64-9A85-8851DA753C88}"/>
    <cellStyle name="Currency 4 5 3 2 2 3" xfId="27482" xr:uid="{00000000-0005-0000-0000-0000B30A0000}"/>
    <cellStyle name="Currency 4 5 3 2 2 3 2" xfId="34134" xr:uid="{D680686D-B907-4FF3-80F3-98A2235900A2}"/>
    <cellStyle name="Currency 4 5 3 2 2 4" xfId="34132" xr:uid="{7409C50A-C637-4D78-863D-5968AB623A07}"/>
    <cellStyle name="Currency 4 5 3 2 3" xfId="27483" xr:uid="{00000000-0005-0000-0000-0000B40A0000}"/>
    <cellStyle name="Currency 4 5 3 2 3 2" xfId="34135" xr:uid="{C02329B7-3850-4543-94E3-961BD268779B}"/>
    <cellStyle name="Currency 4 5 3 2 4" xfId="27484" xr:uid="{00000000-0005-0000-0000-0000B50A0000}"/>
    <cellStyle name="Currency 4 5 3 2 4 2" xfId="34136" xr:uid="{E7137CE3-C6FC-4B54-A1D3-40ED58F9526A}"/>
    <cellStyle name="Currency 4 5 3 2 5" xfId="27485" xr:uid="{00000000-0005-0000-0000-0000B60A0000}"/>
    <cellStyle name="Currency 4 5 3 2 5 2" xfId="34137" xr:uid="{539568A7-5775-40BB-9131-3059C72F0B1D}"/>
    <cellStyle name="Currency 4 5 3 2 6" xfId="34131" xr:uid="{B296DDE6-B2B0-4BDE-BFCC-7F39045B01CE}"/>
    <cellStyle name="Currency 4 5 3 3" xfId="27486" xr:uid="{00000000-0005-0000-0000-0000B70A0000}"/>
    <cellStyle name="Currency 4 5 3 3 2" xfId="27487" xr:uid="{00000000-0005-0000-0000-0000B80A0000}"/>
    <cellStyle name="Currency 4 5 3 3 2 2" xfId="27488" xr:uid="{00000000-0005-0000-0000-0000B90A0000}"/>
    <cellStyle name="Currency 4 5 3 3 2 2 2" xfId="34140" xr:uid="{F20250DB-8564-4A5B-B3BC-58B54733A3D5}"/>
    <cellStyle name="Currency 4 5 3 3 2 3" xfId="27489" xr:uid="{00000000-0005-0000-0000-0000BA0A0000}"/>
    <cellStyle name="Currency 4 5 3 3 2 3 2" xfId="34141" xr:uid="{944244A3-A4E8-4A32-A4B5-6D22351BCD49}"/>
    <cellStyle name="Currency 4 5 3 3 2 4" xfId="34139" xr:uid="{087646C2-E6EB-4ABB-A0D3-7FE8BDCD21CE}"/>
    <cellStyle name="Currency 4 5 3 3 3" xfId="27490" xr:uid="{00000000-0005-0000-0000-0000BB0A0000}"/>
    <cellStyle name="Currency 4 5 3 3 3 2" xfId="34142" xr:uid="{E2FB68FD-E35A-4326-924E-D4A84D4821E2}"/>
    <cellStyle name="Currency 4 5 3 3 4" xfId="27491" xr:uid="{00000000-0005-0000-0000-0000BC0A0000}"/>
    <cellStyle name="Currency 4 5 3 3 4 2" xfId="34143" xr:uid="{8C72389C-1490-4A76-A544-5BF9B60E4CA8}"/>
    <cellStyle name="Currency 4 5 3 3 5" xfId="27492" xr:uid="{00000000-0005-0000-0000-0000BD0A0000}"/>
    <cellStyle name="Currency 4 5 3 3 5 2" xfId="34144" xr:uid="{57C1A2CC-07C3-4E88-9040-959DEC68B0DC}"/>
    <cellStyle name="Currency 4 5 3 3 6" xfId="34138" xr:uid="{ADBF1DE8-4BE4-4DA7-9B1F-970E0AC065EC}"/>
    <cellStyle name="Currency 4 5 3 4" xfId="27493" xr:uid="{00000000-0005-0000-0000-0000BE0A0000}"/>
    <cellStyle name="Currency 4 5 3 4 2" xfId="27494" xr:uid="{00000000-0005-0000-0000-0000BF0A0000}"/>
    <cellStyle name="Currency 4 5 3 4 2 2" xfId="34146" xr:uid="{6201FF39-811F-463C-BE0E-38E9BFB7D2EE}"/>
    <cellStyle name="Currency 4 5 3 4 3" xfId="27495" xr:uid="{00000000-0005-0000-0000-0000C00A0000}"/>
    <cellStyle name="Currency 4 5 3 4 3 2" xfId="34147" xr:uid="{E80EAB2D-BD89-43F0-ADBF-8B2A693C2401}"/>
    <cellStyle name="Currency 4 5 3 4 4" xfId="34145" xr:uid="{559D9156-AC36-4B99-95A0-1E8491DDE11A}"/>
    <cellStyle name="Currency 4 5 3 5" xfId="27496" xr:uid="{00000000-0005-0000-0000-0000C10A0000}"/>
    <cellStyle name="Currency 4 5 3 5 2" xfId="34148" xr:uid="{D7479DFC-26FC-46A5-8EE0-B9210271F8CB}"/>
    <cellStyle name="Currency 4 5 3 6" xfId="27497" xr:uid="{00000000-0005-0000-0000-0000C20A0000}"/>
    <cellStyle name="Currency 4 5 3 6 2" xfId="34149" xr:uid="{350FBC48-25D1-4400-A110-5E69EC4910FF}"/>
    <cellStyle name="Currency 4 5 3 7" xfId="27498" xr:uid="{00000000-0005-0000-0000-0000C30A0000}"/>
    <cellStyle name="Currency 4 5 3 7 2" xfId="34150" xr:uid="{552DF94B-2778-4CD1-BB12-B0F100377B5A}"/>
    <cellStyle name="Currency 4 5 3 8" xfId="34130" xr:uid="{3794535C-02AD-42FF-92F3-9E676A0AA93D}"/>
    <cellStyle name="Currency 4 5 4" xfId="27499" xr:uid="{00000000-0005-0000-0000-0000C40A0000}"/>
    <cellStyle name="Currency 4 5 4 2" xfId="27500" xr:uid="{00000000-0005-0000-0000-0000C50A0000}"/>
    <cellStyle name="Currency 4 5 4 2 2" xfId="27501" xr:uid="{00000000-0005-0000-0000-0000C60A0000}"/>
    <cellStyle name="Currency 4 5 4 2 2 2" xfId="34153" xr:uid="{3A6EF0DF-D1A5-4135-B83F-8604530519FB}"/>
    <cellStyle name="Currency 4 5 4 2 3" xfId="27502" xr:uid="{00000000-0005-0000-0000-0000C70A0000}"/>
    <cellStyle name="Currency 4 5 4 2 3 2" xfId="34154" xr:uid="{695CBBA7-3689-4961-8344-30DC55566E2B}"/>
    <cellStyle name="Currency 4 5 4 2 4" xfId="34152" xr:uid="{44DC1192-DA2B-4695-8975-33B56A64FB87}"/>
    <cellStyle name="Currency 4 5 4 3" xfId="27503" xr:uid="{00000000-0005-0000-0000-0000C80A0000}"/>
    <cellStyle name="Currency 4 5 4 3 2" xfId="34155" xr:uid="{7E5AC4C9-0BB3-4A94-A023-81D19516D8F8}"/>
    <cellStyle name="Currency 4 5 4 4" xfId="27504" xr:uid="{00000000-0005-0000-0000-0000C90A0000}"/>
    <cellStyle name="Currency 4 5 4 4 2" xfId="34156" xr:uid="{06B841A6-2DFB-4FA5-A08D-73DEFEC45EE5}"/>
    <cellStyle name="Currency 4 5 4 5" xfId="27505" xr:uid="{00000000-0005-0000-0000-0000CA0A0000}"/>
    <cellStyle name="Currency 4 5 4 5 2" xfId="34157" xr:uid="{BBD1CF25-09AF-4B69-B2E8-F75A7DB0AE40}"/>
    <cellStyle name="Currency 4 5 4 6" xfId="34151" xr:uid="{8DD38497-787D-4F0E-BA61-7101CAAB3959}"/>
    <cellStyle name="Currency 4 5 5" xfId="27506" xr:uid="{00000000-0005-0000-0000-0000CB0A0000}"/>
    <cellStyle name="Currency 4 5 5 2" xfId="27507" xr:uid="{00000000-0005-0000-0000-0000CC0A0000}"/>
    <cellStyle name="Currency 4 5 5 2 2" xfId="27508" xr:uid="{00000000-0005-0000-0000-0000CD0A0000}"/>
    <cellStyle name="Currency 4 5 5 2 2 2" xfId="34160" xr:uid="{9B2AEA65-0B97-4B58-AAE7-229F75ED96BD}"/>
    <cellStyle name="Currency 4 5 5 2 3" xfId="27509" xr:uid="{00000000-0005-0000-0000-0000CE0A0000}"/>
    <cellStyle name="Currency 4 5 5 2 3 2" xfId="34161" xr:uid="{0FD5FEE8-A6F5-41DB-A7AB-06E6216854C7}"/>
    <cellStyle name="Currency 4 5 5 2 4" xfId="34159" xr:uid="{06B6748D-D189-4E01-9ABA-C88C0247C5F7}"/>
    <cellStyle name="Currency 4 5 5 3" xfId="27510" xr:uid="{00000000-0005-0000-0000-0000CF0A0000}"/>
    <cellStyle name="Currency 4 5 5 3 2" xfId="34162" xr:uid="{A3C383E9-6240-46DE-93DD-81D2B399798D}"/>
    <cellStyle name="Currency 4 5 5 4" xfId="27511" xr:uid="{00000000-0005-0000-0000-0000D00A0000}"/>
    <cellStyle name="Currency 4 5 5 4 2" xfId="34163" xr:uid="{5F5CAF6D-53CD-43E4-9C07-CE94F9973808}"/>
    <cellStyle name="Currency 4 5 5 5" xfId="27512" xr:uid="{00000000-0005-0000-0000-0000D10A0000}"/>
    <cellStyle name="Currency 4 5 5 5 2" xfId="34164" xr:uid="{266DAB09-4C74-47EC-8257-2C3743CD8381}"/>
    <cellStyle name="Currency 4 5 5 6" xfId="34158" xr:uid="{8CAC461C-87CB-4AD7-9222-33C34DEC2EC2}"/>
    <cellStyle name="Currency 4 5 6" xfId="27513" xr:uid="{00000000-0005-0000-0000-0000D20A0000}"/>
    <cellStyle name="Currency 4 5 6 2" xfId="27514" xr:uid="{00000000-0005-0000-0000-0000D30A0000}"/>
    <cellStyle name="Currency 4 5 6 2 2" xfId="34166" xr:uid="{E37DA3FD-A34D-4E6B-993A-6B2176405A84}"/>
    <cellStyle name="Currency 4 5 6 3" xfId="27515" xr:uid="{00000000-0005-0000-0000-0000D40A0000}"/>
    <cellStyle name="Currency 4 5 6 3 2" xfId="34167" xr:uid="{9F62397E-4610-4C1E-90CC-58E5AB5D2682}"/>
    <cellStyle name="Currency 4 5 6 4" xfId="34165" xr:uid="{8750B4E2-13E9-4C65-BCBF-67572D2814A7}"/>
    <cellStyle name="Currency 4 5 7" xfId="27516" xr:uid="{00000000-0005-0000-0000-0000D50A0000}"/>
    <cellStyle name="Currency 4 5 7 2" xfId="34168" xr:uid="{89695062-3BC0-4AB0-950C-47E6878551AE}"/>
    <cellStyle name="Currency 4 5 8" xfId="27517" xr:uid="{00000000-0005-0000-0000-0000D60A0000}"/>
    <cellStyle name="Currency 4 5 8 2" xfId="34169" xr:uid="{29B4BB0E-33B8-493E-986B-CFB3CF67F74E}"/>
    <cellStyle name="Currency 4 5 9" xfId="27518" xr:uid="{00000000-0005-0000-0000-0000D70A0000}"/>
    <cellStyle name="Currency 4 5 9 2" xfId="34170" xr:uid="{4C9A4051-D4B3-4B08-8FED-766CB74F0433}"/>
    <cellStyle name="Currency 4 6" xfId="27519" xr:uid="{00000000-0005-0000-0000-0000D80A0000}"/>
    <cellStyle name="Currency 4 6 2" xfId="27520" xr:uid="{00000000-0005-0000-0000-0000D90A0000}"/>
    <cellStyle name="Currency 4 6 2 2" xfId="27521" xr:uid="{00000000-0005-0000-0000-0000DA0A0000}"/>
    <cellStyle name="Currency 4 6 2 2 2" xfId="27522" xr:uid="{00000000-0005-0000-0000-0000DB0A0000}"/>
    <cellStyle name="Currency 4 6 2 2 2 2" xfId="27523" xr:uid="{00000000-0005-0000-0000-0000DC0A0000}"/>
    <cellStyle name="Currency 4 6 2 2 2 2 2" xfId="34175" xr:uid="{27CB3FE6-94A8-419F-9989-D8B5EDC89C1A}"/>
    <cellStyle name="Currency 4 6 2 2 2 3" xfId="27524" xr:uid="{00000000-0005-0000-0000-0000DD0A0000}"/>
    <cellStyle name="Currency 4 6 2 2 2 3 2" xfId="34176" xr:uid="{CF7A8946-6918-48E4-A747-4828A60A4BFE}"/>
    <cellStyle name="Currency 4 6 2 2 2 4" xfId="34174" xr:uid="{DC921D80-6067-40F3-8E1E-CC47EE1B267A}"/>
    <cellStyle name="Currency 4 6 2 2 3" xfId="27525" xr:uid="{00000000-0005-0000-0000-0000DE0A0000}"/>
    <cellStyle name="Currency 4 6 2 2 3 2" xfId="34177" xr:uid="{58FD9CC4-F65A-4681-895A-51AB59CDFC8E}"/>
    <cellStyle name="Currency 4 6 2 2 4" xfId="27526" xr:uid="{00000000-0005-0000-0000-0000DF0A0000}"/>
    <cellStyle name="Currency 4 6 2 2 4 2" xfId="34178" xr:uid="{EB10E4EA-9F45-403B-A11B-8990EF973E76}"/>
    <cellStyle name="Currency 4 6 2 2 5" xfId="27527" xr:uid="{00000000-0005-0000-0000-0000E00A0000}"/>
    <cellStyle name="Currency 4 6 2 2 5 2" xfId="34179" xr:uid="{B6F850CD-0D86-4245-99CC-5EE571F14C26}"/>
    <cellStyle name="Currency 4 6 2 2 6" xfId="34173" xr:uid="{379BBE47-B7A7-44EB-8BFB-2CDA7B7BA3F7}"/>
    <cellStyle name="Currency 4 6 2 3" xfId="27528" xr:uid="{00000000-0005-0000-0000-0000E10A0000}"/>
    <cellStyle name="Currency 4 6 2 3 2" xfId="27529" xr:uid="{00000000-0005-0000-0000-0000E20A0000}"/>
    <cellStyle name="Currency 4 6 2 3 2 2" xfId="27530" xr:uid="{00000000-0005-0000-0000-0000E30A0000}"/>
    <cellStyle name="Currency 4 6 2 3 2 2 2" xfId="34182" xr:uid="{9C506BDF-541B-46D6-A0C0-609AC4F2C695}"/>
    <cellStyle name="Currency 4 6 2 3 2 3" xfId="27531" xr:uid="{00000000-0005-0000-0000-0000E40A0000}"/>
    <cellStyle name="Currency 4 6 2 3 2 3 2" xfId="34183" xr:uid="{78CDF47D-5A87-4C55-85FA-D38A864E9DDC}"/>
    <cellStyle name="Currency 4 6 2 3 2 4" xfId="34181" xr:uid="{81955AB7-1035-4D75-B08B-73E0B0DEBA60}"/>
    <cellStyle name="Currency 4 6 2 3 3" xfId="27532" xr:uid="{00000000-0005-0000-0000-0000E50A0000}"/>
    <cellStyle name="Currency 4 6 2 3 3 2" xfId="34184" xr:uid="{7F7FF412-3246-4C1D-95B8-235F7A01E5B5}"/>
    <cellStyle name="Currency 4 6 2 3 4" xfId="27533" xr:uid="{00000000-0005-0000-0000-0000E60A0000}"/>
    <cellStyle name="Currency 4 6 2 3 4 2" xfId="34185" xr:uid="{5EE8BCCD-8E00-4685-A409-9FCD12F8B507}"/>
    <cellStyle name="Currency 4 6 2 3 5" xfId="27534" xr:uid="{00000000-0005-0000-0000-0000E70A0000}"/>
    <cellStyle name="Currency 4 6 2 3 5 2" xfId="34186" xr:uid="{BB1A09E8-52C9-4315-9AE1-A2A9C6902E35}"/>
    <cellStyle name="Currency 4 6 2 3 6" xfId="34180" xr:uid="{1758AEE8-D9D3-4DC6-B6FB-B7D02162C72C}"/>
    <cellStyle name="Currency 4 6 2 4" xfId="27535" xr:uid="{00000000-0005-0000-0000-0000E80A0000}"/>
    <cellStyle name="Currency 4 6 2 4 2" xfId="27536" xr:uid="{00000000-0005-0000-0000-0000E90A0000}"/>
    <cellStyle name="Currency 4 6 2 4 2 2" xfId="34188" xr:uid="{389F77ED-6FFA-49D6-9D3C-2DAE8865A586}"/>
    <cellStyle name="Currency 4 6 2 4 3" xfId="27537" xr:uid="{00000000-0005-0000-0000-0000EA0A0000}"/>
    <cellStyle name="Currency 4 6 2 4 3 2" xfId="34189" xr:uid="{57AA980F-3C78-4A5D-BF96-B754108B28C2}"/>
    <cellStyle name="Currency 4 6 2 4 4" xfId="34187" xr:uid="{4032F465-9069-487A-8D95-59D01B477D61}"/>
    <cellStyle name="Currency 4 6 2 5" xfId="27538" xr:uid="{00000000-0005-0000-0000-0000EB0A0000}"/>
    <cellStyle name="Currency 4 6 2 5 2" xfId="34190" xr:uid="{FDB75216-4B00-4ADD-BB79-2331B6038B2A}"/>
    <cellStyle name="Currency 4 6 2 6" xfId="27539" xr:uid="{00000000-0005-0000-0000-0000EC0A0000}"/>
    <cellStyle name="Currency 4 6 2 6 2" xfId="34191" xr:uid="{84D80B26-066F-4259-81C4-796C5921B192}"/>
    <cellStyle name="Currency 4 6 2 7" xfId="27540" xr:uid="{00000000-0005-0000-0000-0000ED0A0000}"/>
    <cellStyle name="Currency 4 6 2 7 2" xfId="34192" xr:uid="{454A81ED-9174-4D29-9640-3BFEE1BD274E}"/>
    <cellStyle name="Currency 4 6 2 8" xfId="34172" xr:uid="{1EA33206-B851-4D2F-9B9C-EADD8F91F4A2}"/>
    <cellStyle name="Currency 4 6 3" xfId="27541" xr:uid="{00000000-0005-0000-0000-0000EE0A0000}"/>
    <cellStyle name="Currency 4 6 3 2" xfId="27542" xr:uid="{00000000-0005-0000-0000-0000EF0A0000}"/>
    <cellStyle name="Currency 4 6 3 2 2" xfId="27543" xr:uid="{00000000-0005-0000-0000-0000F00A0000}"/>
    <cellStyle name="Currency 4 6 3 2 2 2" xfId="34195" xr:uid="{09A1AE7E-BCB4-4C60-82C1-3E8E85B26BA4}"/>
    <cellStyle name="Currency 4 6 3 2 3" xfId="27544" xr:uid="{00000000-0005-0000-0000-0000F10A0000}"/>
    <cellStyle name="Currency 4 6 3 2 3 2" xfId="34196" xr:uid="{43FD77F8-48B2-46BC-9688-0A25D457AA09}"/>
    <cellStyle name="Currency 4 6 3 2 4" xfId="34194" xr:uid="{ECDC5489-9765-466C-A4A2-743060DF9656}"/>
    <cellStyle name="Currency 4 6 3 3" xfId="27545" xr:uid="{00000000-0005-0000-0000-0000F20A0000}"/>
    <cellStyle name="Currency 4 6 3 3 2" xfId="34197" xr:uid="{CF1DD28F-3A58-48DF-8C50-AF96CEE1C226}"/>
    <cellStyle name="Currency 4 6 3 4" xfId="27546" xr:uid="{00000000-0005-0000-0000-0000F30A0000}"/>
    <cellStyle name="Currency 4 6 3 4 2" xfId="34198" xr:uid="{B9740A62-B708-4D14-9B01-53B77B70DEAA}"/>
    <cellStyle name="Currency 4 6 3 5" xfId="27547" xr:uid="{00000000-0005-0000-0000-0000F40A0000}"/>
    <cellStyle name="Currency 4 6 3 5 2" xfId="34199" xr:uid="{641C033D-15BC-4789-8563-DB5FEDF0B3F5}"/>
    <cellStyle name="Currency 4 6 3 6" xfId="34193" xr:uid="{795767B1-D3C5-451A-A8A2-65D419017BE7}"/>
    <cellStyle name="Currency 4 6 4" xfId="27548" xr:uid="{00000000-0005-0000-0000-0000F50A0000}"/>
    <cellStyle name="Currency 4 6 4 2" xfId="27549" xr:uid="{00000000-0005-0000-0000-0000F60A0000}"/>
    <cellStyle name="Currency 4 6 4 2 2" xfId="27550" xr:uid="{00000000-0005-0000-0000-0000F70A0000}"/>
    <cellStyle name="Currency 4 6 4 2 2 2" xfId="34202" xr:uid="{55E8950F-8F01-4E1E-92F3-73E28E1026E5}"/>
    <cellStyle name="Currency 4 6 4 2 3" xfId="27551" xr:uid="{00000000-0005-0000-0000-0000F80A0000}"/>
    <cellStyle name="Currency 4 6 4 2 3 2" xfId="34203" xr:uid="{64E5375D-2FF6-4963-B5FA-C54F904C4A14}"/>
    <cellStyle name="Currency 4 6 4 2 4" xfId="34201" xr:uid="{EE866C87-8CC5-4C22-AFC9-5B8533E133AC}"/>
    <cellStyle name="Currency 4 6 4 3" xfId="27552" xr:uid="{00000000-0005-0000-0000-0000F90A0000}"/>
    <cellStyle name="Currency 4 6 4 3 2" xfId="34204" xr:uid="{6E697D52-34D1-43DC-807B-626F4E5E603E}"/>
    <cellStyle name="Currency 4 6 4 4" xfId="27553" xr:uid="{00000000-0005-0000-0000-0000FA0A0000}"/>
    <cellStyle name="Currency 4 6 4 4 2" xfId="34205" xr:uid="{CD3596AA-9A65-4E42-8ABB-2848FF7BB27F}"/>
    <cellStyle name="Currency 4 6 4 5" xfId="27554" xr:uid="{00000000-0005-0000-0000-0000FB0A0000}"/>
    <cellStyle name="Currency 4 6 4 5 2" xfId="34206" xr:uid="{5CDDA100-9339-4F7A-860F-AF875BCE67D6}"/>
    <cellStyle name="Currency 4 6 4 6" xfId="34200" xr:uid="{38F4CDB0-C5FA-4598-AA38-B655BCAB3679}"/>
    <cellStyle name="Currency 4 6 5" xfId="27555" xr:uid="{00000000-0005-0000-0000-0000FC0A0000}"/>
    <cellStyle name="Currency 4 6 5 2" xfId="27556" xr:uid="{00000000-0005-0000-0000-0000FD0A0000}"/>
    <cellStyle name="Currency 4 6 5 2 2" xfId="34208" xr:uid="{DDAA89F6-ADB8-4F68-BBA7-0D8B1175509B}"/>
    <cellStyle name="Currency 4 6 5 3" xfId="27557" xr:uid="{00000000-0005-0000-0000-0000FE0A0000}"/>
    <cellStyle name="Currency 4 6 5 3 2" xfId="34209" xr:uid="{236805A7-43FE-402C-BEBA-0C359E239CD7}"/>
    <cellStyle name="Currency 4 6 5 4" xfId="34207" xr:uid="{C7FF7475-AD8F-450A-9BED-64C62BB73E9F}"/>
    <cellStyle name="Currency 4 6 6" xfId="27558" xr:uid="{00000000-0005-0000-0000-0000FF0A0000}"/>
    <cellStyle name="Currency 4 6 6 2" xfId="34210" xr:uid="{98F0B624-7B6A-490F-B634-7ABA7E1F6956}"/>
    <cellStyle name="Currency 4 6 7" xfId="27559" xr:uid="{00000000-0005-0000-0000-0000000B0000}"/>
    <cellStyle name="Currency 4 6 7 2" xfId="34211" xr:uid="{1AC31666-8946-4F3B-8BF0-EAC87808362F}"/>
    <cellStyle name="Currency 4 6 8" xfId="27560" xr:uid="{00000000-0005-0000-0000-0000010B0000}"/>
    <cellStyle name="Currency 4 6 8 2" xfId="34212" xr:uid="{015FA183-F49C-410C-9B09-48E00F16619A}"/>
    <cellStyle name="Currency 4 6 9" xfId="34171" xr:uid="{5B8072E9-A0FC-437D-8448-1225F28CE450}"/>
    <cellStyle name="Currency 4 7" xfId="27561" xr:uid="{00000000-0005-0000-0000-0000020B0000}"/>
    <cellStyle name="Currency 4 7 2" xfId="27562" xr:uid="{00000000-0005-0000-0000-0000030B0000}"/>
    <cellStyle name="Currency 4 7 2 2" xfId="27563" xr:uid="{00000000-0005-0000-0000-0000040B0000}"/>
    <cellStyle name="Currency 4 7 2 2 2" xfId="27564" xr:uid="{00000000-0005-0000-0000-0000050B0000}"/>
    <cellStyle name="Currency 4 7 2 2 2 2" xfId="34216" xr:uid="{65D5222B-3EE0-460E-806A-401C8A7DCF3B}"/>
    <cellStyle name="Currency 4 7 2 2 3" xfId="27565" xr:uid="{00000000-0005-0000-0000-0000060B0000}"/>
    <cellStyle name="Currency 4 7 2 2 3 2" xfId="34217" xr:uid="{CA16F80F-88F0-4BAD-8B52-A7FDBB5CBA3B}"/>
    <cellStyle name="Currency 4 7 2 2 4" xfId="34215" xr:uid="{1D5C44AD-767D-4C7F-9243-7DBC201B5256}"/>
    <cellStyle name="Currency 4 7 2 3" xfId="27566" xr:uid="{00000000-0005-0000-0000-0000070B0000}"/>
    <cellStyle name="Currency 4 7 2 3 2" xfId="34218" xr:uid="{4BD090CF-E434-41FC-ADFA-FE5A797ADC5F}"/>
    <cellStyle name="Currency 4 7 2 4" xfId="27567" xr:uid="{00000000-0005-0000-0000-0000080B0000}"/>
    <cellStyle name="Currency 4 7 2 4 2" xfId="34219" xr:uid="{43B28C77-9573-4985-AC92-78A14DD036A1}"/>
    <cellStyle name="Currency 4 7 2 5" xfId="27568" xr:uid="{00000000-0005-0000-0000-0000090B0000}"/>
    <cellStyle name="Currency 4 7 2 5 2" xfId="34220" xr:uid="{80A77491-91E4-4F8A-B0EE-360DE2A718D1}"/>
    <cellStyle name="Currency 4 7 2 6" xfId="34214" xr:uid="{6F7D2FBC-0AFC-46DB-9628-BF1F70470AB1}"/>
    <cellStyle name="Currency 4 7 3" xfId="27569" xr:uid="{00000000-0005-0000-0000-00000A0B0000}"/>
    <cellStyle name="Currency 4 7 3 2" xfId="27570" xr:uid="{00000000-0005-0000-0000-00000B0B0000}"/>
    <cellStyle name="Currency 4 7 3 2 2" xfId="27571" xr:uid="{00000000-0005-0000-0000-00000C0B0000}"/>
    <cellStyle name="Currency 4 7 3 2 2 2" xfId="34223" xr:uid="{50C32E23-A707-4E43-83A1-59ACB4F8BDEB}"/>
    <cellStyle name="Currency 4 7 3 2 3" xfId="27572" xr:uid="{00000000-0005-0000-0000-00000D0B0000}"/>
    <cellStyle name="Currency 4 7 3 2 3 2" xfId="34224" xr:uid="{39EC7A7A-7120-4209-8C70-670C6A88EC9A}"/>
    <cellStyle name="Currency 4 7 3 2 4" xfId="34222" xr:uid="{DD2C74DE-EC8A-441F-9E8F-A5B38B61E28E}"/>
    <cellStyle name="Currency 4 7 3 3" xfId="27573" xr:uid="{00000000-0005-0000-0000-00000E0B0000}"/>
    <cellStyle name="Currency 4 7 3 3 2" xfId="34225" xr:uid="{638F76CA-3075-4BFE-9449-E143B32D3963}"/>
    <cellStyle name="Currency 4 7 3 4" xfId="27574" xr:uid="{00000000-0005-0000-0000-00000F0B0000}"/>
    <cellStyle name="Currency 4 7 3 4 2" xfId="34226" xr:uid="{2C308897-FBAC-4CB5-B6A6-C020C55181D5}"/>
    <cellStyle name="Currency 4 7 3 5" xfId="27575" xr:uid="{00000000-0005-0000-0000-0000100B0000}"/>
    <cellStyle name="Currency 4 7 3 5 2" xfId="34227" xr:uid="{AB1CD7A6-33AF-42EF-A36B-4C9C389DDD7F}"/>
    <cellStyle name="Currency 4 7 3 6" xfId="34221" xr:uid="{96B0FDFF-5399-4C60-8009-8BC226C9CB7F}"/>
    <cellStyle name="Currency 4 8" xfId="27576" xr:uid="{00000000-0005-0000-0000-0000110B0000}"/>
    <cellStyle name="Currency 4 8 2" xfId="27577" xr:uid="{00000000-0005-0000-0000-0000120B0000}"/>
    <cellStyle name="Currency 4 8 2 2" xfId="27578" xr:uid="{00000000-0005-0000-0000-0000130B0000}"/>
    <cellStyle name="Currency 4 8 2 2 2" xfId="27579" xr:uid="{00000000-0005-0000-0000-0000140B0000}"/>
    <cellStyle name="Currency 4 8 2 2 2 2" xfId="34231" xr:uid="{E88EE342-C515-4E84-B272-8897624C02D6}"/>
    <cellStyle name="Currency 4 8 2 2 3" xfId="27580" xr:uid="{00000000-0005-0000-0000-0000150B0000}"/>
    <cellStyle name="Currency 4 8 2 2 3 2" xfId="34232" xr:uid="{317067B0-6822-4070-AE25-38111898292C}"/>
    <cellStyle name="Currency 4 8 2 2 4" xfId="34230" xr:uid="{904FC86E-238B-4875-9716-7E828EB229A0}"/>
    <cellStyle name="Currency 4 8 2 3" xfId="27581" xr:uid="{00000000-0005-0000-0000-0000160B0000}"/>
    <cellStyle name="Currency 4 8 2 3 2" xfId="34233" xr:uid="{759FC5FD-3304-48D5-AE72-96EBD4CA7B1A}"/>
    <cellStyle name="Currency 4 8 2 4" xfId="27582" xr:uid="{00000000-0005-0000-0000-0000170B0000}"/>
    <cellStyle name="Currency 4 8 2 4 2" xfId="34234" xr:uid="{F7837A29-4C14-4808-AAAA-31E7812E5FD3}"/>
    <cellStyle name="Currency 4 8 2 5" xfId="27583" xr:uid="{00000000-0005-0000-0000-0000180B0000}"/>
    <cellStyle name="Currency 4 8 2 5 2" xfId="34235" xr:uid="{8D7964AB-2B15-4E4D-8484-5A6B677636D3}"/>
    <cellStyle name="Currency 4 8 2 6" xfId="34229" xr:uid="{1987C06A-A1D7-400C-9C9A-DC307A2B7C6D}"/>
    <cellStyle name="Currency 4 8 3" xfId="27584" xr:uid="{00000000-0005-0000-0000-0000190B0000}"/>
    <cellStyle name="Currency 4 8 3 2" xfId="27585" xr:uid="{00000000-0005-0000-0000-00001A0B0000}"/>
    <cellStyle name="Currency 4 8 3 2 2" xfId="27586" xr:uid="{00000000-0005-0000-0000-00001B0B0000}"/>
    <cellStyle name="Currency 4 8 3 2 2 2" xfId="34238" xr:uid="{3AD5588D-11AF-43A4-B175-47CF59905957}"/>
    <cellStyle name="Currency 4 8 3 2 3" xfId="27587" xr:uid="{00000000-0005-0000-0000-00001C0B0000}"/>
    <cellStyle name="Currency 4 8 3 2 3 2" xfId="34239" xr:uid="{86A1855E-BBE1-4009-9E01-6CCD1EC9F2C5}"/>
    <cellStyle name="Currency 4 8 3 2 4" xfId="34237" xr:uid="{C14E13C4-2641-4365-BE82-7521B8B8E1AB}"/>
    <cellStyle name="Currency 4 8 3 3" xfId="27588" xr:uid="{00000000-0005-0000-0000-00001D0B0000}"/>
    <cellStyle name="Currency 4 8 3 3 2" xfId="34240" xr:uid="{B8AE5923-11F5-4B7F-9FCA-A4FB49E5DCDA}"/>
    <cellStyle name="Currency 4 8 3 4" xfId="27589" xr:uid="{00000000-0005-0000-0000-00001E0B0000}"/>
    <cellStyle name="Currency 4 8 3 4 2" xfId="34241" xr:uid="{C706EF65-B88F-409D-B32B-2FFA5CA7EA7E}"/>
    <cellStyle name="Currency 4 8 3 5" xfId="27590" xr:uid="{00000000-0005-0000-0000-00001F0B0000}"/>
    <cellStyle name="Currency 4 8 3 5 2" xfId="34242" xr:uid="{3F9D0943-3260-4D7C-AACD-1030EDA46E32}"/>
    <cellStyle name="Currency 4 8 3 6" xfId="34236" xr:uid="{B2D36742-C963-4254-A865-EA25DECF533C}"/>
    <cellStyle name="Currency 4 8 4" xfId="27591" xr:uid="{00000000-0005-0000-0000-0000200B0000}"/>
    <cellStyle name="Currency 4 8 4 2" xfId="27592" xr:uid="{00000000-0005-0000-0000-0000210B0000}"/>
    <cellStyle name="Currency 4 8 4 2 2" xfId="34244" xr:uid="{C23EFA89-479D-485D-9585-DA32DA7E17C0}"/>
    <cellStyle name="Currency 4 8 4 3" xfId="27593" xr:uid="{00000000-0005-0000-0000-0000220B0000}"/>
    <cellStyle name="Currency 4 8 4 3 2" xfId="34245" xr:uid="{C94AEC00-79E7-4355-B86F-BB08290DC786}"/>
    <cellStyle name="Currency 4 8 4 4" xfId="34243" xr:uid="{4110FBE7-55C6-4DC1-806E-C5B962EF7FF5}"/>
    <cellStyle name="Currency 4 8 5" xfId="27594" xr:uid="{00000000-0005-0000-0000-0000230B0000}"/>
    <cellStyle name="Currency 4 8 5 2" xfId="34246" xr:uid="{6B4362F2-2300-43B1-97DC-F5F7A6008C86}"/>
    <cellStyle name="Currency 4 8 6" xfId="27595" xr:uid="{00000000-0005-0000-0000-0000240B0000}"/>
    <cellStyle name="Currency 4 8 6 2" xfId="34247" xr:uid="{A4785A3B-9904-4934-BFF1-ADE7D5C81343}"/>
    <cellStyle name="Currency 4 8 7" xfId="27596" xr:uid="{00000000-0005-0000-0000-0000250B0000}"/>
    <cellStyle name="Currency 4 8 7 2" xfId="34248" xr:uid="{8F338460-B579-4709-9849-A7B5276D8B23}"/>
    <cellStyle name="Currency 4 8 8" xfId="34228" xr:uid="{3DD1CC14-2ED2-411B-82C5-FA16A703B39D}"/>
    <cellStyle name="Currency 4 9" xfId="27597" xr:uid="{00000000-0005-0000-0000-0000260B0000}"/>
    <cellStyle name="Currency 4 9 2" xfId="27598" xr:uid="{00000000-0005-0000-0000-0000270B0000}"/>
    <cellStyle name="Currency 4 9 2 2" xfId="27599" xr:uid="{00000000-0005-0000-0000-0000280B0000}"/>
    <cellStyle name="Currency 4 9 2 2 2" xfId="34251" xr:uid="{09F0FC6A-94F9-4393-85A9-7A15A260CC3F}"/>
    <cellStyle name="Currency 4 9 2 3" xfId="27600" xr:uid="{00000000-0005-0000-0000-0000290B0000}"/>
    <cellStyle name="Currency 4 9 2 3 2" xfId="34252" xr:uid="{CE978A67-AA9A-4842-91F5-B5CB9CAA1BB0}"/>
    <cellStyle name="Currency 4 9 2 4" xfId="34250" xr:uid="{0BFF56B6-B664-4BB7-831F-01B88F09EC5D}"/>
    <cellStyle name="Currency 4 9 3" xfId="27601" xr:uid="{00000000-0005-0000-0000-00002A0B0000}"/>
    <cellStyle name="Currency 4 9 3 2" xfId="34253" xr:uid="{0CCBE4AA-6B53-48DE-AF70-D38CD6D8742E}"/>
    <cellStyle name="Currency 4 9 4" xfId="27602" xr:uid="{00000000-0005-0000-0000-00002B0B0000}"/>
    <cellStyle name="Currency 4 9 4 2" xfId="34254" xr:uid="{329BE5B0-AECD-4770-A791-84CA0A3C84E2}"/>
    <cellStyle name="Currency 4 9 5" xfId="27603" xr:uid="{00000000-0005-0000-0000-00002C0B0000}"/>
    <cellStyle name="Currency 4 9 5 2" xfId="34255" xr:uid="{1CF1C576-2262-4C18-B10A-B15E06FE4A9B}"/>
    <cellStyle name="Currency 4 9 6" xfId="34249" xr:uid="{C92D391B-3E13-4706-B0B2-F343DBF9316F}"/>
    <cellStyle name="Currency 40" xfId="417" xr:uid="{00000000-0005-0000-0000-00002D0B0000}"/>
    <cellStyle name="Currency 40 2" xfId="1931" xr:uid="{00000000-0005-0000-0000-00002E0B0000}"/>
    <cellStyle name="Currency 41" xfId="418" xr:uid="{00000000-0005-0000-0000-00002F0B0000}"/>
    <cellStyle name="Currency 41 2" xfId="1932" xr:uid="{00000000-0005-0000-0000-0000300B0000}"/>
    <cellStyle name="Currency 42" xfId="419" xr:uid="{00000000-0005-0000-0000-0000310B0000}"/>
    <cellStyle name="Currency 42 2" xfId="1933" xr:uid="{00000000-0005-0000-0000-0000320B0000}"/>
    <cellStyle name="Currency 43" xfId="420" xr:uid="{00000000-0005-0000-0000-0000330B0000}"/>
    <cellStyle name="Currency 43 2" xfId="1934" xr:uid="{00000000-0005-0000-0000-0000340B0000}"/>
    <cellStyle name="Currency 44" xfId="421" xr:uid="{00000000-0005-0000-0000-0000350B0000}"/>
    <cellStyle name="Currency 44 2" xfId="1935" xr:uid="{00000000-0005-0000-0000-0000360B0000}"/>
    <cellStyle name="Currency 45" xfId="422" xr:uid="{00000000-0005-0000-0000-0000370B0000}"/>
    <cellStyle name="Currency 45 2" xfId="1936" xr:uid="{00000000-0005-0000-0000-0000380B0000}"/>
    <cellStyle name="Currency 46" xfId="423" xr:uid="{00000000-0005-0000-0000-0000390B0000}"/>
    <cellStyle name="Currency 46 2" xfId="1937" xr:uid="{00000000-0005-0000-0000-00003A0B0000}"/>
    <cellStyle name="Currency 47" xfId="424" xr:uid="{00000000-0005-0000-0000-00003B0B0000}"/>
    <cellStyle name="Currency 47 2" xfId="1938" xr:uid="{00000000-0005-0000-0000-00003C0B0000}"/>
    <cellStyle name="Currency 48" xfId="425" xr:uid="{00000000-0005-0000-0000-00003D0B0000}"/>
    <cellStyle name="Currency 48 2" xfId="1939" xr:uid="{00000000-0005-0000-0000-00003E0B0000}"/>
    <cellStyle name="Currency 49" xfId="426" xr:uid="{00000000-0005-0000-0000-00003F0B0000}"/>
    <cellStyle name="Currency 49 2" xfId="1940" xr:uid="{00000000-0005-0000-0000-0000400B0000}"/>
    <cellStyle name="Currency 5" xfId="427" xr:uid="{00000000-0005-0000-0000-0000410B0000}"/>
    <cellStyle name="Currency 5 2" xfId="25836" xr:uid="{00000000-0005-0000-0000-0000420B0000}"/>
    <cellStyle name="Currency 5 3" xfId="42398" xr:uid="{ACCD7BD7-F4A5-4808-AB49-DEA8CEA0066A}"/>
    <cellStyle name="Currency 50" xfId="428" xr:uid="{00000000-0005-0000-0000-0000430B0000}"/>
    <cellStyle name="Currency 50 2" xfId="1941" xr:uid="{00000000-0005-0000-0000-0000440B0000}"/>
    <cellStyle name="Currency 51" xfId="429" xr:uid="{00000000-0005-0000-0000-0000450B0000}"/>
    <cellStyle name="Currency 51 2" xfId="1942" xr:uid="{00000000-0005-0000-0000-0000460B0000}"/>
    <cellStyle name="Currency 52" xfId="430" xr:uid="{00000000-0005-0000-0000-0000470B0000}"/>
    <cellStyle name="Currency 52 2" xfId="1943" xr:uid="{00000000-0005-0000-0000-0000480B0000}"/>
    <cellStyle name="Currency 53" xfId="431" xr:uid="{00000000-0005-0000-0000-0000490B0000}"/>
    <cellStyle name="Currency 53 2" xfId="1944" xr:uid="{00000000-0005-0000-0000-00004A0B0000}"/>
    <cellStyle name="Currency 54" xfId="432" xr:uid="{00000000-0005-0000-0000-00004B0B0000}"/>
    <cellStyle name="Currency 54 2" xfId="1945" xr:uid="{00000000-0005-0000-0000-00004C0B0000}"/>
    <cellStyle name="Currency 55" xfId="433" xr:uid="{00000000-0005-0000-0000-00004D0B0000}"/>
    <cellStyle name="Currency 55 2" xfId="1946" xr:uid="{00000000-0005-0000-0000-00004E0B0000}"/>
    <cellStyle name="Currency 56" xfId="434" xr:uid="{00000000-0005-0000-0000-00004F0B0000}"/>
    <cellStyle name="Currency 56 2" xfId="1947" xr:uid="{00000000-0005-0000-0000-0000500B0000}"/>
    <cellStyle name="Currency 57" xfId="435" xr:uid="{00000000-0005-0000-0000-0000510B0000}"/>
    <cellStyle name="Currency 57 2" xfId="1948" xr:uid="{00000000-0005-0000-0000-0000520B0000}"/>
    <cellStyle name="Currency 58" xfId="436" xr:uid="{00000000-0005-0000-0000-0000530B0000}"/>
    <cellStyle name="Currency 58 2" xfId="1949" xr:uid="{00000000-0005-0000-0000-0000540B0000}"/>
    <cellStyle name="Currency 59" xfId="437" xr:uid="{00000000-0005-0000-0000-0000550B0000}"/>
    <cellStyle name="Currency 59 2" xfId="1950" xr:uid="{00000000-0005-0000-0000-0000560B0000}"/>
    <cellStyle name="Currency 6" xfId="438" xr:uid="{00000000-0005-0000-0000-0000570B0000}"/>
    <cellStyle name="Currency 6 2" xfId="25838" xr:uid="{00000000-0005-0000-0000-0000580B0000}"/>
    <cellStyle name="Currency 6 3" xfId="26029" xr:uid="{00000000-0005-0000-0000-0000590B0000}"/>
    <cellStyle name="Currency 6 4" xfId="26181" xr:uid="{00000000-0005-0000-0000-00005A0B0000}"/>
    <cellStyle name="Currency 6 5" xfId="25837" xr:uid="{00000000-0005-0000-0000-00005B0B0000}"/>
    <cellStyle name="Currency 60" xfId="439" xr:uid="{00000000-0005-0000-0000-00005C0B0000}"/>
    <cellStyle name="Currency 61" xfId="440" xr:uid="{00000000-0005-0000-0000-00005D0B0000}"/>
    <cellStyle name="Currency 62" xfId="1919" xr:uid="{00000000-0005-0000-0000-00005E0B0000}"/>
    <cellStyle name="Currency 63" xfId="1792" xr:uid="{00000000-0005-0000-0000-00005F0B0000}"/>
    <cellStyle name="Currency 64" xfId="2845" xr:uid="{00000000-0005-0000-0000-0000600B0000}"/>
    <cellStyle name="Currency 65" xfId="2891" xr:uid="{00000000-0005-0000-0000-0000610B0000}"/>
    <cellStyle name="Currency 66" xfId="2842" xr:uid="{00000000-0005-0000-0000-0000620B0000}"/>
    <cellStyle name="Currency 67" xfId="2888" xr:uid="{00000000-0005-0000-0000-0000630B0000}"/>
    <cellStyle name="Currency 68" xfId="2829" xr:uid="{00000000-0005-0000-0000-0000640B0000}"/>
    <cellStyle name="Currency 69" xfId="24161" xr:uid="{00000000-0005-0000-0000-0000650B0000}"/>
    <cellStyle name="Currency 7" xfId="441" xr:uid="{00000000-0005-0000-0000-0000660B0000}"/>
    <cellStyle name="Currency 70" xfId="24169" xr:uid="{00000000-0005-0000-0000-0000670B0000}"/>
    <cellStyle name="Currency 71" xfId="24173" xr:uid="{00000000-0005-0000-0000-0000680B0000}"/>
    <cellStyle name="Currency 72" xfId="24916" xr:uid="{00000000-0005-0000-0000-0000690B0000}"/>
    <cellStyle name="Currency 73" xfId="24930" xr:uid="{00000000-0005-0000-0000-00006A0B0000}"/>
    <cellStyle name="Currency 74" xfId="25633" xr:uid="{00000000-0005-0000-0000-00006B0B0000}"/>
    <cellStyle name="Currency 75" xfId="25637" xr:uid="{00000000-0005-0000-0000-00006C0B0000}"/>
    <cellStyle name="Currency 76" xfId="32488" xr:uid="{00000000-0005-0000-0000-00006D0B0000}"/>
    <cellStyle name="Currency 77" xfId="32490" xr:uid="{00000000-0005-0000-0000-00006E0B0000}"/>
    <cellStyle name="Currency 78" xfId="32491" xr:uid="{00000000-0005-0000-0000-00006F0B0000}"/>
    <cellStyle name="Currency 79" xfId="32494" xr:uid="{00000000-0005-0000-0000-0000700B0000}"/>
    <cellStyle name="Currency 8" xfId="442" xr:uid="{00000000-0005-0000-0000-0000710B0000}"/>
    <cellStyle name="Currency 8 2" xfId="26180" xr:uid="{00000000-0005-0000-0000-0000720B0000}"/>
    <cellStyle name="Currency 8 3" xfId="25839" xr:uid="{00000000-0005-0000-0000-0000730B0000}"/>
    <cellStyle name="Currency 80" xfId="32497" xr:uid="{00000000-0005-0000-0000-0000740B0000}"/>
    <cellStyle name="Currency 81" xfId="32502" xr:uid="{00000000-0005-0000-0000-0000750B0000}"/>
    <cellStyle name="Currency 82" xfId="32508" xr:uid="{00000000-0005-0000-0000-0000760B0000}"/>
    <cellStyle name="Currency 83" xfId="32513" xr:uid="{00000000-0005-0000-0000-0000770B0000}"/>
    <cellStyle name="Currency 84" xfId="32520" xr:uid="{00000000-0005-0000-0000-0000780B0000}"/>
    <cellStyle name="Currency 85" xfId="32523" xr:uid="{00000000-0005-0000-0000-0000790B0000}"/>
    <cellStyle name="Currency 86" xfId="32526" xr:uid="{00000000-0005-0000-0000-00007A0B0000}"/>
    <cellStyle name="Currency 87" xfId="32529" xr:uid="{FB2D3820-B122-46F9-B35A-829A27AEB7A8}"/>
    <cellStyle name="Currency 88" xfId="32533" xr:uid="{B12A6120-D848-4D39-8D45-EBB161F384BF}"/>
    <cellStyle name="Currency 89" xfId="32558" xr:uid="{7FBACD7A-C856-44A6-8B5D-0C58258A2666}"/>
    <cellStyle name="Currency 9" xfId="443" xr:uid="{00000000-0005-0000-0000-00007B0B0000}"/>
    <cellStyle name="Currency 9 2" xfId="26179" xr:uid="{00000000-0005-0000-0000-00007C0B0000}"/>
    <cellStyle name="Currency 9 3" xfId="25840" xr:uid="{00000000-0005-0000-0000-00007D0B0000}"/>
    <cellStyle name="Currency 90" xfId="32625" xr:uid="{F021CE6D-762D-4C4E-8872-3B1D1957B834}"/>
    <cellStyle name="Currency 91" xfId="32704" xr:uid="{0E08861A-A02A-408F-9157-4F68C6FD34EA}"/>
    <cellStyle name="Currency 92" xfId="32649" xr:uid="{F6816BD6-7527-4107-B8B6-F947740E9F2E}"/>
    <cellStyle name="Currency 93" xfId="34274" xr:uid="{C2A07FB8-A8B2-4ADB-BC7E-8362FE9B6B55}"/>
    <cellStyle name="Currency Input" xfId="444" xr:uid="{00000000-0005-0000-0000-00007E0B0000}"/>
    <cellStyle name="Currency0" xfId="445" xr:uid="{00000000-0005-0000-0000-00007F0B0000}"/>
    <cellStyle name="Currency0 2" xfId="27604" xr:uid="{00000000-0005-0000-0000-0000800B0000}"/>
    <cellStyle name="Currency0 3" xfId="26116" xr:uid="{00000000-0005-0000-0000-0000810B0000}"/>
    <cellStyle name="Currency0 4" xfId="25841" xr:uid="{00000000-0005-0000-0000-0000820B0000}"/>
    <cellStyle name="d" xfId="446" xr:uid="{00000000-0005-0000-0000-0000830B0000}"/>
    <cellStyle name="d," xfId="447" xr:uid="{00000000-0005-0000-0000-0000840B0000}"/>
    <cellStyle name="d1" xfId="448" xr:uid="{00000000-0005-0000-0000-0000850B0000}"/>
    <cellStyle name="d1," xfId="449" xr:uid="{00000000-0005-0000-0000-0000860B0000}"/>
    <cellStyle name="d1, 2" xfId="32639" xr:uid="{6E4E7076-8CAF-4B82-946C-40AB781E4FAC}"/>
    <cellStyle name="d2" xfId="450" xr:uid="{00000000-0005-0000-0000-0000870B0000}"/>
    <cellStyle name="d2," xfId="451" xr:uid="{00000000-0005-0000-0000-0000880B0000}"/>
    <cellStyle name="d3" xfId="452" xr:uid="{00000000-0005-0000-0000-0000890B0000}"/>
    <cellStyle name="Dash" xfId="453" xr:uid="{00000000-0005-0000-0000-00008A0B0000}"/>
    <cellStyle name="Dash 2" xfId="32640" xr:uid="{FE986AAD-36EC-4D72-9812-A31B6D6FF431}"/>
    <cellStyle name="Date" xfId="454" xr:uid="{00000000-0005-0000-0000-00008B0B0000}"/>
    <cellStyle name="Date [Abbreviated]" xfId="455" xr:uid="{00000000-0005-0000-0000-00008C0B0000}"/>
    <cellStyle name="Date [Abbreviated] 2" xfId="32642" xr:uid="{25A91DD2-39BE-49C9-9F2E-BD343FF08799}"/>
    <cellStyle name="Date [Long Europe]" xfId="456" xr:uid="{00000000-0005-0000-0000-00008D0B0000}"/>
    <cellStyle name="Date [Long Europe] 2" xfId="32643" xr:uid="{571B69C9-70D8-44B6-BEB4-A9B3E1B0D1AB}"/>
    <cellStyle name="Date [Long U.S.]" xfId="457" xr:uid="{00000000-0005-0000-0000-00008E0B0000}"/>
    <cellStyle name="Date [Long U.S.] 2" xfId="32644" xr:uid="{2732222A-C11D-4A58-9BDE-3129E3A00B8C}"/>
    <cellStyle name="Date [Short Europe]" xfId="458" xr:uid="{00000000-0005-0000-0000-00008F0B0000}"/>
    <cellStyle name="Date [Short Europe] 2" xfId="32645" xr:uid="{D4FD259A-CD32-4EF4-95FF-551B8A750C74}"/>
    <cellStyle name="Date [Short U.S.]" xfId="459" xr:uid="{00000000-0005-0000-0000-0000900B0000}"/>
    <cellStyle name="Date [Short U.S.] 2" xfId="32646" xr:uid="{B17A12A6-7C30-4CEA-AA5C-50068FDD5EA7}"/>
    <cellStyle name="Date 2" xfId="27605" xr:uid="{00000000-0005-0000-0000-0000910B0000}"/>
    <cellStyle name="Date 3" xfId="26117" xr:uid="{00000000-0005-0000-0000-0000920B0000}"/>
    <cellStyle name="Date 5" xfId="25842" xr:uid="{00000000-0005-0000-0000-0000930B0000}"/>
    <cellStyle name="Date_ITCM 2010 Template" xfId="460" xr:uid="{00000000-0005-0000-0000-0000940B0000}"/>
    <cellStyle name="date1" xfId="25843" xr:uid="{00000000-0005-0000-0000-0000950B0000}"/>
    <cellStyle name="Define$0" xfId="461" xr:uid="{00000000-0005-0000-0000-0000960B0000}"/>
    <cellStyle name="Define$1" xfId="462" xr:uid="{00000000-0005-0000-0000-0000970B0000}"/>
    <cellStyle name="Define$2" xfId="463" xr:uid="{00000000-0005-0000-0000-0000980B0000}"/>
    <cellStyle name="Define0" xfId="464" xr:uid="{00000000-0005-0000-0000-0000990B0000}"/>
    <cellStyle name="Define1" xfId="465" xr:uid="{00000000-0005-0000-0000-00009A0B0000}"/>
    <cellStyle name="Define1x" xfId="466" xr:uid="{00000000-0005-0000-0000-00009B0B0000}"/>
    <cellStyle name="Define2" xfId="467" xr:uid="{00000000-0005-0000-0000-00009C0B0000}"/>
    <cellStyle name="Define2x" xfId="468" xr:uid="{00000000-0005-0000-0000-00009D0B0000}"/>
    <cellStyle name="Dollar" xfId="469" xr:uid="{00000000-0005-0000-0000-00009E0B0000}"/>
    <cellStyle name="e" xfId="470" xr:uid="{00000000-0005-0000-0000-00009F0B0000}"/>
    <cellStyle name="e1" xfId="471" xr:uid="{00000000-0005-0000-0000-0000A00B0000}"/>
    <cellStyle name="e2" xfId="472" xr:uid="{00000000-0005-0000-0000-0000A10B0000}"/>
    <cellStyle name="Emphasis 1" xfId="2929" xr:uid="{00000000-0005-0000-0000-0000A20B0000}"/>
    <cellStyle name="Emphasis 2" xfId="2930" xr:uid="{00000000-0005-0000-0000-0000A30B0000}"/>
    <cellStyle name="Emphasis 3" xfId="2931" xr:uid="{00000000-0005-0000-0000-0000A40B0000}"/>
    <cellStyle name="Euro" xfId="473" xr:uid="{00000000-0005-0000-0000-0000A50B0000}"/>
    <cellStyle name="Euro 2" xfId="1750" xr:uid="{00000000-0005-0000-0000-0000A60B0000}"/>
    <cellStyle name="Euro 2 2" xfId="26118" xr:uid="{00000000-0005-0000-0000-0000A70B0000}"/>
    <cellStyle name="Explanatory Text 2" xfId="474" xr:uid="{00000000-0005-0000-0000-0000A80B0000}"/>
    <cellStyle name="Explanatory Text 2 2" xfId="475" xr:uid="{00000000-0005-0000-0000-0000A90B0000}"/>
    <cellStyle name="Explanatory Text 2 2 2" xfId="27606" xr:uid="{00000000-0005-0000-0000-0000AA0B0000}"/>
    <cellStyle name="Explanatory Text 2 2 3" xfId="25844" xr:uid="{00000000-0005-0000-0000-0000AB0B0000}"/>
    <cellStyle name="Explanatory Text 2 3" xfId="25845" xr:uid="{00000000-0005-0000-0000-0000AC0B0000}"/>
    <cellStyle name="Explanatory Text 2 4" xfId="26222" xr:uid="{00000000-0005-0000-0000-0000AD0B0000}"/>
    <cellStyle name="Explanatory Text 3" xfId="27607" xr:uid="{00000000-0005-0000-0000-0000AE0B0000}"/>
    <cellStyle name="Explanatory Text 4" xfId="27608" xr:uid="{00000000-0005-0000-0000-0000AF0B0000}"/>
    <cellStyle name="Explanatory Text 5" xfId="27609" xr:uid="{00000000-0005-0000-0000-0000B00B0000}"/>
    <cellStyle name="Explanatory Text 6" xfId="27610" xr:uid="{00000000-0005-0000-0000-0000B10B0000}"/>
    <cellStyle name="Explanatory Text 7" xfId="27611" xr:uid="{00000000-0005-0000-0000-0000B20B0000}"/>
    <cellStyle name="Explanatory Text 8" xfId="27612" xr:uid="{00000000-0005-0000-0000-0000B30B0000}"/>
    <cellStyle name="Explanatory Text 9" xfId="27613" xr:uid="{00000000-0005-0000-0000-0000B40B0000}"/>
    <cellStyle name="Fixed" xfId="476" xr:uid="{00000000-0005-0000-0000-0000B50B0000}"/>
    <cellStyle name="Fixed 2" xfId="27614" xr:uid="{00000000-0005-0000-0000-0000B60B0000}"/>
    <cellStyle name="Fixed 3" xfId="26119" xr:uid="{00000000-0005-0000-0000-0000B70B0000}"/>
    <cellStyle name="Fixed 4" xfId="25846" xr:uid="{00000000-0005-0000-0000-0000B80B0000}"/>
    <cellStyle name="FOOTER - Style1" xfId="477" xr:uid="{00000000-0005-0000-0000-0000B90B0000}"/>
    <cellStyle name="FOOTER - Style1 2" xfId="32651" xr:uid="{5A31AC26-B638-4891-A202-61E384C0B433}"/>
    <cellStyle name="FRxAmtStyle 2" xfId="32514" xr:uid="{00000000-0005-0000-0000-0000BA0B0000}"/>
    <cellStyle name="g" xfId="478" xr:uid="{00000000-0005-0000-0000-0000BB0B0000}"/>
    <cellStyle name="g 2" xfId="32652" xr:uid="{8ABF9959-4260-4271-AA03-6DCA1B3BA006}"/>
    <cellStyle name="general" xfId="479" xr:uid="{00000000-0005-0000-0000-0000BC0B0000}"/>
    <cellStyle name="General [C]" xfId="480" xr:uid="{00000000-0005-0000-0000-0000BD0B0000}"/>
    <cellStyle name="General [C] 2" xfId="32653" xr:uid="{590B4015-241F-4C14-BCD7-ACE7F303FB8B}"/>
    <cellStyle name="General [R]" xfId="481" xr:uid="{00000000-0005-0000-0000-0000BE0B0000}"/>
    <cellStyle name="General [R] 2" xfId="32654" xr:uid="{079D867B-B0AD-4D1B-855C-2C505F2CD1E0}"/>
    <cellStyle name="Good 2" xfId="482" xr:uid="{00000000-0005-0000-0000-0000BF0B0000}"/>
    <cellStyle name="Good 2 2" xfId="483" xr:uid="{00000000-0005-0000-0000-0000C00B0000}"/>
    <cellStyle name="Good 2 2 2" xfId="27615" xr:uid="{00000000-0005-0000-0000-0000C10B0000}"/>
    <cellStyle name="Good 2 2 3" xfId="25848" xr:uid="{00000000-0005-0000-0000-0000C20B0000}"/>
    <cellStyle name="Good 2 2 4" xfId="34257" xr:uid="{D148AA17-44F6-41D2-A4A5-3C2EB1948177}"/>
    <cellStyle name="Good 2 3" xfId="2932" xr:uid="{00000000-0005-0000-0000-0000C30B0000}"/>
    <cellStyle name="Good 2 3 2" xfId="25849" xr:uid="{00000000-0005-0000-0000-0000C40B0000}"/>
    <cellStyle name="Good 2 4" xfId="26223" xr:uid="{00000000-0005-0000-0000-0000C50B0000}"/>
    <cellStyle name="Good 2 5" xfId="25847" xr:uid="{00000000-0005-0000-0000-0000C60B0000}"/>
    <cellStyle name="Good 2 6" xfId="32830" xr:uid="{0B7E7205-FD62-4CEC-BAE4-746F3B94852D}"/>
    <cellStyle name="Good 3" xfId="27616" xr:uid="{00000000-0005-0000-0000-0000C70B0000}"/>
    <cellStyle name="Good 3 2" xfId="34258" xr:uid="{99F7E78B-11DB-43C6-8EC6-10AF8402CBE2}"/>
    <cellStyle name="Good 4" xfId="27617" xr:uid="{00000000-0005-0000-0000-0000C80B0000}"/>
    <cellStyle name="Good 4 2" xfId="34259" xr:uid="{7FFA945F-DCA4-433C-8356-A44F951E2D08}"/>
    <cellStyle name="Good 5" xfId="27618" xr:uid="{00000000-0005-0000-0000-0000C90B0000}"/>
    <cellStyle name="Good 5 2" xfId="34260" xr:uid="{A608047A-CE10-472B-B755-8AB30DB5EE8E}"/>
    <cellStyle name="Good 6" xfId="27619" xr:uid="{00000000-0005-0000-0000-0000CA0B0000}"/>
    <cellStyle name="Good 6 2" xfId="34261" xr:uid="{96281D88-1986-4EEB-8643-F0C89A9E2AC9}"/>
    <cellStyle name="Good 7" xfId="27620" xr:uid="{00000000-0005-0000-0000-0000CB0B0000}"/>
    <cellStyle name="Good 7 2" xfId="34262" xr:uid="{2F90A07C-D970-4D1D-B5AC-8C221AE5B58B}"/>
    <cellStyle name="Good 8" xfId="27621" xr:uid="{00000000-0005-0000-0000-0000CC0B0000}"/>
    <cellStyle name="Good 8 2" xfId="34263" xr:uid="{9CFF57A8-11CF-4C20-BF04-FF106C63E79D}"/>
    <cellStyle name="Good 9" xfId="27622" xr:uid="{00000000-0005-0000-0000-0000CD0B0000}"/>
    <cellStyle name="Good 9 2" xfId="34264" xr:uid="{77FF01B9-A96B-4020-8ECE-B6BF4516A94C}"/>
    <cellStyle name="Green" xfId="484" xr:uid="{00000000-0005-0000-0000-0000CE0B0000}"/>
    <cellStyle name="grey" xfId="485" xr:uid="{00000000-0005-0000-0000-0000CF0B0000}"/>
    <cellStyle name="head1" xfId="25850" xr:uid="{00000000-0005-0000-0000-0000D00B0000}"/>
    <cellStyle name="Header1" xfId="486" xr:uid="{00000000-0005-0000-0000-0000D10B0000}"/>
    <cellStyle name="Header1 2" xfId="32655" xr:uid="{48DBFB48-1EDA-44E9-BB9A-9B3B87F1E940}"/>
    <cellStyle name="Header2" xfId="487" xr:uid="{00000000-0005-0000-0000-0000D20B0000}"/>
    <cellStyle name="Header2 2" xfId="32656" xr:uid="{80542615-BEA0-43DB-82A4-C0E0DC1C38B3}"/>
    <cellStyle name="Heading" xfId="488" xr:uid="{00000000-0005-0000-0000-0000D30B0000}"/>
    <cellStyle name="Heading 1 2" xfId="489" xr:uid="{00000000-0005-0000-0000-0000D40B0000}"/>
    <cellStyle name="Heading 1 2 2" xfId="2933" xr:uid="{00000000-0005-0000-0000-0000D50B0000}"/>
    <cellStyle name="Heading 1 2 2 2" xfId="27624" xr:uid="{00000000-0005-0000-0000-0000D60B0000}"/>
    <cellStyle name="Heading 1 2 2 3" xfId="25852" xr:uid="{00000000-0005-0000-0000-0000D70B0000}"/>
    <cellStyle name="Heading 1 2 3" xfId="27623" xr:uid="{00000000-0005-0000-0000-0000D80B0000}"/>
    <cellStyle name="Heading 1 2 4" xfId="25851" xr:uid="{00000000-0005-0000-0000-0000D90B0000}"/>
    <cellStyle name="Heading 1 2 5" xfId="42208" xr:uid="{436FEC74-2C46-4EDF-9722-4CD8F9F6759D}"/>
    <cellStyle name="Heading 1 3" xfId="27625" xr:uid="{00000000-0005-0000-0000-0000DA0B0000}"/>
    <cellStyle name="Heading 1 3 2" xfId="42209" xr:uid="{9A57B94C-B14C-4E58-92F9-10735AD04A00}"/>
    <cellStyle name="Heading 1 4" xfId="27626" xr:uid="{00000000-0005-0000-0000-0000DB0B0000}"/>
    <cellStyle name="Heading 1 5" xfId="27627" xr:uid="{00000000-0005-0000-0000-0000DC0B0000}"/>
    <cellStyle name="Heading 1 6" xfId="27628" xr:uid="{00000000-0005-0000-0000-0000DD0B0000}"/>
    <cellStyle name="Heading 1 7" xfId="27629" xr:uid="{00000000-0005-0000-0000-0000DE0B0000}"/>
    <cellStyle name="Heading 1 8" xfId="27630" xr:uid="{00000000-0005-0000-0000-0000DF0B0000}"/>
    <cellStyle name="Heading 1 9" xfId="26120" xr:uid="{00000000-0005-0000-0000-0000E00B0000}"/>
    <cellStyle name="Heading 2 2" xfId="490" xr:uid="{00000000-0005-0000-0000-0000E10B0000}"/>
    <cellStyle name="Heading 2 2 2" xfId="2934" xr:uid="{00000000-0005-0000-0000-0000E20B0000}"/>
    <cellStyle name="Heading 2 2 2 2" xfId="27631" xr:uid="{00000000-0005-0000-0000-0000E30B0000}"/>
    <cellStyle name="Heading 2 2 2 3" xfId="25854" xr:uid="{00000000-0005-0000-0000-0000E40B0000}"/>
    <cellStyle name="Heading 2 2 3" xfId="25855" xr:uid="{00000000-0005-0000-0000-0000E50B0000}"/>
    <cellStyle name="Heading 2 2 4" xfId="25856" xr:uid="{00000000-0005-0000-0000-0000E60B0000}"/>
    <cellStyle name="Heading 2 2 5" xfId="26122" xr:uid="{00000000-0005-0000-0000-0000E70B0000}"/>
    <cellStyle name="Heading 2 2 6" xfId="25853" xr:uid="{00000000-0005-0000-0000-0000E80B0000}"/>
    <cellStyle name="Heading 2 3" xfId="491" xr:uid="{00000000-0005-0000-0000-0000E90B0000}"/>
    <cellStyle name="Heading 2 3 2" xfId="27632" xr:uid="{00000000-0005-0000-0000-0000EA0B0000}"/>
    <cellStyle name="Heading 2 3 3" xfId="42207" xr:uid="{F0464299-1B0C-43A5-8E68-40E77351FC0E}"/>
    <cellStyle name="Heading 2 4" xfId="27633" xr:uid="{00000000-0005-0000-0000-0000EB0B0000}"/>
    <cellStyle name="Heading 2 5" xfId="27634" xr:uid="{00000000-0005-0000-0000-0000EC0B0000}"/>
    <cellStyle name="Heading 2 5 2" xfId="34265" xr:uid="{844FB214-633A-4B83-8AB4-F180C9AD535A}"/>
    <cellStyle name="Heading 2 6" xfId="27635" xr:uid="{00000000-0005-0000-0000-0000ED0B0000}"/>
    <cellStyle name="Heading 2 7" xfId="27636" xr:uid="{00000000-0005-0000-0000-0000EE0B0000}"/>
    <cellStyle name="Heading 2 8" xfId="27637" xr:uid="{00000000-0005-0000-0000-0000EF0B0000}"/>
    <cellStyle name="Heading 2 9" xfId="26121" xr:uid="{00000000-0005-0000-0000-0000F00B0000}"/>
    <cellStyle name="Heading 3 2" xfId="492" xr:uid="{00000000-0005-0000-0000-0000F10B0000}"/>
    <cellStyle name="Heading 3 2 2" xfId="493" xr:uid="{00000000-0005-0000-0000-0000F20B0000}"/>
    <cellStyle name="Heading 3 2 2 2" xfId="25858" xr:uid="{00000000-0005-0000-0000-0000F30B0000}"/>
    <cellStyle name="Heading 3 2 3" xfId="2935" xr:uid="{00000000-0005-0000-0000-0000F40B0000}"/>
    <cellStyle name="Heading 3 2 3 2" xfId="25859" xr:uid="{00000000-0005-0000-0000-0000F50B0000}"/>
    <cellStyle name="Heading 3 2 4" xfId="25860" xr:uid="{00000000-0005-0000-0000-0000F60B0000}"/>
    <cellStyle name="Heading 3 2 5" xfId="26225" xr:uid="{00000000-0005-0000-0000-0000F70B0000}"/>
    <cellStyle name="Heading 3 2 6" xfId="25857" xr:uid="{00000000-0005-0000-0000-0000F80B0000}"/>
    <cellStyle name="Heading 3 3" xfId="27638" xr:uid="{00000000-0005-0000-0000-0000F90B0000}"/>
    <cellStyle name="Heading 3 4" xfId="27639" xr:uid="{00000000-0005-0000-0000-0000FA0B0000}"/>
    <cellStyle name="Heading 3 5" xfId="27640" xr:uid="{00000000-0005-0000-0000-0000FB0B0000}"/>
    <cellStyle name="Heading 3 6" xfId="27641" xr:uid="{00000000-0005-0000-0000-0000FC0B0000}"/>
    <cellStyle name="Heading 3 7" xfId="27642" xr:uid="{00000000-0005-0000-0000-0000FD0B0000}"/>
    <cellStyle name="Heading 3 8" xfId="27643" xr:uid="{00000000-0005-0000-0000-0000FE0B0000}"/>
    <cellStyle name="Heading 3 9" xfId="27644" xr:uid="{00000000-0005-0000-0000-0000FF0B0000}"/>
    <cellStyle name="Heading 4 2" xfId="494" xr:uid="{00000000-0005-0000-0000-0000000C0000}"/>
    <cellStyle name="Heading 4 2 2" xfId="495" xr:uid="{00000000-0005-0000-0000-0000010C0000}"/>
    <cellStyle name="Heading 4 2 2 2" xfId="25861" xr:uid="{00000000-0005-0000-0000-0000020C0000}"/>
    <cellStyle name="Heading 4 2 3" xfId="26226" xr:uid="{00000000-0005-0000-0000-0000030C0000}"/>
    <cellStyle name="Heading 4 2 4" xfId="42206" xr:uid="{E6FE8DF9-92B1-4E04-8C23-352D1176A9CB}"/>
    <cellStyle name="Heading 4 3" xfId="27645" xr:uid="{00000000-0005-0000-0000-0000040C0000}"/>
    <cellStyle name="Heading 4 4" xfId="27646" xr:uid="{00000000-0005-0000-0000-0000050C0000}"/>
    <cellStyle name="Heading 4 5" xfId="27647" xr:uid="{00000000-0005-0000-0000-0000060C0000}"/>
    <cellStyle name="Heading 4 6" xfId="27648" xr:uid="{00000000-0005-0000-0000-0000070C0000}"/>
    <cellStyle name="Heading 4 7" xfId="27649" xr:uid="{00000000-0005-0000-0000-0000080C0000}"/>
    <cellStyle name="Heading 4 8" xfId="27650" xr:uid="{00000000-0005-0000-0000-0000090C0000}"/>
    <cellStyle name="Heading 4 9" xfId="27651" xr:uid="{00000000-0005-0000-0000-00000A0C0000}"/>
    <cellStyle name="Heading 5" xfId="41541" xr:uid="{25073AEE-CF8B-48A3-BA08-0CAB27B0C56D}"/>
    <cellStyle name="Heading 5 2" xfId="42267" xr:uid="{BB307031-4246-4974-A0BB-20983E219B59}"/>
    <cellStyle name="Heading No Underline" xfId="496" xr:uid="{00000000-0005-0000-0000-00000B0C0000}"/>
    <cellStyle name="Heading No Underline 2" xfId="32657" xr:uid="{65359E7E-D01E-4739-819B-B072AACF84D7}"/>
    <cellStyle name="Heading With Underline" xfId="497" xr:uid="{00000000-0005-0000-0000-00000C0C0000}"/>
    <cellStyle name="Heading With Underline 2" xfId="32658" xr:uid="{7F83A582-02BE-4DC6-964B-BC079D61320A}"/>
    <cellStyle name="Heading With Underline 3" xfId="32698" xr:uid="{1801D26B-EE8B-4754-87C3-23B743AF0672}"/>
    <cellStyle name="Heading1" xfId="498" xr:uid="{00000000-0005-0000-0000-00000D0C0000}"/>
    <cellStyle name="Heading1 2" xfId="41542" xr:uid="{B45BC31B-72F9-4E65-9770-9A8D378F36CC}"/>
    <cellStyle name="Heading1 2 2" xfId="42268" xr:uid="{8F683F71-1BEB-4083-8C94-7794A32EBCA8}"/>
    <cellStyle name="Heading2" xfId="499" xr:uid="{00000000-0005-0000-0000-00000E0C0000}"/>
    <cellStyle name="Headline" xfId="500" xr:uid="{00000000-0005-0000-0000-00000F0C0000}"/>
    <cellStyle name="Headline 2" xfId="32659" xr:uid="{39DA3837-446E-4BD6-A9BC-217657520A4D}"/>
    <cellStyle name="Highlight" xfId="501" xr:uid="{00000000-0005-0000-0000-0000100C0000}"/>
    <cellStyle name="Hyperlink 2" xfId="502" xr:uid="{00000000-0005-0000-0000-0000110C0000}"/>
    <cellStyle name="Hyperlink 2 2" xfId="32660" xr:uid="{D5D49F93-738A-4F25-AB8B-F9A1581BD4C8}"/>
    <cellStyle name="in" xfId="503" xr:uid="{00000000-0005-0000-0000-0000120C0000}"/>
    <cellStyle name="in 2" xfId="32661" xr:uid="{FC3633D3-1008-4CE8-A7CA-88F1F55880CE}"/>
    <cellStyle name="Indented [0]" xfId="504" xr:uid="{00000000-0005-0000-0000-0000130C0000}"/>
    <cellStyle name="Indented [0] 2" xfId="32662" xr:uid="{F43C18B5-C2EE-4580-AFBA-E2EEFD11E8B9}"/>
    <cellStyle name="Indented [2]" xfId="505" xr:uid="{00000000-0005-0000-0000-0000140C0000}"/>
    <cellStyle name="Indented [2] 2" xfId="32663" xr:uid="{8424E4FD-8240-4DA6-82D8-9EC4AAA93CBD}"/>
    <cellStyle name="Indented [4]" xfId="506" xr:uid="{00000000-0005-0000-0000-0000150C0000}"/>
    <cellStyle name="Indented [4] 2" xfId="32664" xr:uid="{D6A6A93E-C7C5-482A-B887-0A61AAA24D1D}"/>
    <cellStyle name="Indented [6]" xfId="507" xr:uid="{00000000-0005-0000-0000-0000160C0000}"/>
    <cellStyle name="Indented [6] 2" xfId="32665" xr:uid="{5F24CB17-EB47-4CC6-A628-5FA577EEFA21}"/>
    <cellStyle name="Input [yellow]" xfId="508" xr:uid="{00000000-0005-0000-0000-0000170C0000}"/>
    <cellStyle name="Input [yellow] 2" xfId="32666" xr:uid="{429EE4CE-49C6-4DF2-936D-8C4D9605B260}"/>
    <cellStyle name="Input 2" xfId="509" xr:uid="{00000000-0005-0000-0000-0000180C0000}"/>
    <cellStyle name="Input 2 10" xfId="3340" xr:uid="{00000000-0005-0000-0000-0000190C0000}"/>
    <cellStyle name="Input 2 10 2" xfId="5878" xr:uid="{00000000-0005-0000-0000-00001A0C0000}"/>
    <cellStyle name="Input 2 10 3" xfId="8223" xr:uid="{00000000-0005-0000-0000-00001B0C0000}"/>
    <cellStyle name="Input 2 10 4" xfId="10361" xr:uid="{00000000-0005-0000-0000-00001C0C0000}"/>
    <cellStyle name="Input 2 10 5" xfId="12683" xr:uid="{00000000-0005-0000-0000-00001D0C0000}"/>
    <cellStyle name="Input 2 10 6" xfId="16789" xr:uid="{00000000-0005-0000-0000-00001E0C0000}"/>
    <cellStyle name="Input 2 10 7" xfId="17379" xr:uid="{00000000-0005-0000-0000-00001F0C0000}"/>
    <cellStyle name="Input 2 10 8" xfId="21485" xr:uid="{00000000-0005-0000-0000-0000200C0000}"/>
    <cellStyle name="Input 2 10 9" xfId="22032" xr:uid="{00000000-0005-0000-0000-0000210C0000}"/>
    <cellStyle name="Input 2 11" xfId="3471" xr:uid="{00000000-0005-0000-0000-0000220C0000}"/>
    <cellStyle name="Input 2 11 2" xfId="6009" xr:uid="{00000000-0005-0000-0000-0000230C0000}"/>
    <cellStyle name="Input 2 11 3" xfId="8411" xr:uid="{00000000-0005-0000-0000-0000240C0000}"/>
    <cellStyle name="Input 2 11 4" xfId="11088" xr:uid="{00000000-0005-0000-0000-0000250C0000}"/>
    <cellStyle name="Input 2 11 5" xfId="13479" xr:uid="{00000000-0005-0000-0000-0000260C0000}"/>
    <cellStyle name="Input 2 11 6" xfId="15930" xr:uid="{00000000-0005-0000-0000-0000270C0000}"/>
    <cellStyle name="Input 2 11 7" xfId="18175" xr:uid="{00000000-0005-0000-0000-0000280C0000}"/>
    <cellStyle name="Input 2 11 8" xfId="20626" xr:uid="{00000000-0005-0000-0000-0000290C0000}"/>
    <cellStyle name="Input 2 11 9" xfId="22761" xr:uid="{00000000-0005-0000-0000-00002A0C0000}"/>
    <cellStyle name="Input 2 12" xfId="3331" xr:uid="{00000000-0005-0000-0000-00002B0C0000}"/>
    <cellStyle name="Input 2 12 2" xfId="5869" xr:uid="{00000000-0005-0000-0000-00002C0C0000}"/>
    <cellStyle name="Input 2 12 3" xfId="9524" xr:uid="{00000000-0005-0000-0000-00002D0C0000}"/>
    <cellStyle name="Input 2 12 4" xfId="11826" xr:uid="{00000000-0005-0000-0000-00002E0C0000}"/>
    <cellStyle name="Input 2 12 5" xfId="14284" xr:uid="{00000000-0005-0000-0000-00002F0C0000}"/>
    <cellStyle name="Input 2 12 6" xfId="15970" xr:uid="{00000000-0005-0000-0000-0000300C0000}"/>
    <cellStyle name="Input 2 12 7" xfId="18980" xr:uid="{00000000-0005-0000-0000-0000310C0000}"/>
    <cellStyle name="Input 2 12 8" xfId="20666" xr:uid="{00000000-0005-0000-0000-0000320C0000}"/>
    <cellStyle name="Input 2 12 9" xfId="23501" xr:uid="{00000000-0005-0000-0000-0000330C0000}"/>
    <cellStyle name="Input 2 13" xfId="3601" xr:uid="{00000000-0005-0000-0000-0000340C0000}"/>
    <cellStyle name="Input 2 13 2" xfId="6139" xr:uid="{00000000-0005-0000-0000-0000350C0000}"/>
    <cellStyle name="Input 2 13 3" xfId="8720" xr:uid="{00000000-0005-0000-0000-0000360C0000}"/>
    <cellStyle name="Input 2 13 4" xfId="11844" xr:uid="{00000000-0005-0000-0000-0000370C0000}"/>
    <cellStyle name="Input 2 13 5" xfId="14305" xr:uid="{00000000-0005-0000-0000-0000380C0000}"/>
    <cellStyle name="Input 2 13 6" xfId="15247" xr:uid="{00000000-0005-0000-0000-0000390C0000}"/>
    <cellStyle name="Input 2 13 7" xfId="19001" xr:uid="{00000000-0005-0000-0000-00003A0C0000}"/>
    <cellStyle name="Input 2 13 8" xfId="19943" xr:uid="{00000000-0005-0000-0000-00003B0C0000}"/>
    <cellStyle name="Input 2 13 9" xfId="23519" xr:uid="{00000000-0005-0000-0000-00003C0C0000}"/>
    <cellStyle name="Input 2 14" xfId="3486" xr:uid="{00000000-0005-0000-0000-00003D0C0000}"/>
    <cellStyle name="Input 2 14 2" xfId="6024" xr:uid="{00000000-0005-0000-0000-00003E0C0000}"/>
    <cellStyle name="Input 2 14 3" xfId="8779" xr:uid="{00000000-0005-0000-0000-00003F0C0000}"/>
    <cellStyle name="Input 2 14 4" xfId="12178" xr:uid="{00000000-0005-0000-0000-0000400C0000}"/>
    <cellStyle name="Input 2 14 5" xfId="12719" xr:uid="{00000000-0005-0000-0000-0000410C0000}"/>
    <cellStyle name="Input 2 14 6" xfId="15641" xr:uid="{00000000-0005-0000-0000-0000420C0000}"/>
    <cellStyle name="Input 2 14 7" xfId="17415" xr:uid="{00000000-0005-0000-0000-0000430C0000}"/>
    <cellStyle name="Input 2 14 8" xfId="20337" xr:uid="{00000000-0005-0000-0000-0000440C0000}"/>
    <cellStyle name="Input 2 14 9" xfId="22067" xr:uid="{00000000-0005-0000-0000-0000450C0000}"/>
    <cellStyle name="Input 2 15" xfId="3715" xr:uid="{00000000-0005-0000-0000-0000460C0000}"/>
    <cellStyle name="Input 2 15 2" xfId="6253" xr:uid="{00000000-0005-0000-0000-0000470C0000}"/>
    <cellStyle name="Input 2 15 3" xfId="8927" xr:uid="{00000000-0005-0000-0000-0000480C0000}"/>
    <cellStyle name="Input 2 15 4" xfId="11568" xr:uid="{00000000-0005-0000-0000-0000490C0000}"/>
    <cellStyle name="Input 2 15 5" xfId="14004" xr:uid="{00000000-0005-0000-0000-00004A0C0000}"/>
    <cellStyle name="Input 2 15 6" xfId="15639" xr:uid="{00000000-0005-0000-0000-00004B0C0000}"/>
    <cellStyle name="Input 2 15 7" xfId="18700" xr:uid="{00000000-0005-0000-0000-00004C0C0000}"/>
    <cellStyle name="Input 2 15 8" xfId="20335" xr:uid="{00000000-0005-0000-0000-00004D0C0000}"/>
    <cellStyle name="Input 2 15 9" xfId="23242" xr:uid="{00000000-0005-0000-0000-00004E0C0000}"/>
    <cellStyle name="Input 2 16" xfId="3777" xr:uid="{00000000-0005-0000-0000-00004F0C0000}"/>
    <cellStyle name="Input 2 16 2" xfId="6315" xr:uid="{00000000-0005-0000-0000-0000500C0000}"/>
    <cellStyle name="Input 2 16 3" xfId="5426" xr:uid="{00000000-0005-0000-0000-0000510C0000}"/>
    <cellStyle name="Input 2 16 4" xfId="11288" xr:uid="{00000000-0005-0000-0000-0000520C0000}"/>
    <cellStyle name="Input 2 16 5" xfId="13694" xr:uid="{00000000-0005-0000-0000-0000530C0000}"/>
    <cellStyle name="Input 2 16 6" xfId="15136" xr:uid="{00000000-0005-0000-0000-0000540C0000}"/>
    <cellStyle name="Input 2 16 7" xfId="18390" xr:uid="{00000000-0005-0000-0000-0000550C0000}"/>
    <cellStyle name="Input 2 16 8" xfId="19832" xr:uid="{00000000-0005-0000-0000-0000560C0000}"/>
    <cellStyle name="Input 2 16 9" xfId="22962" xr:uid="{00000000-0005-0000-0000-0000570C0000}"/>
    <cellStyle name="Input 2 17" xfId="3713" xr:uid="{00000000-0005-0000-0000-0000580C0000}"/>
    <cellStyle name="Input 2 17 2" xfId="6251" xr:uid="{00000000-0005-0000-0000-0000590C0000}"/>
    <cellStyle name="Input 2 17 3" xfId="9088" xr:uid="{00000000-0005-0000-0000-00005A0C0000}"/>
    <cellStyle name="Input 2 17 4" xfId="11329" xr:uid="{00000000-0005-0000-0000-00005B0C0000}"/>
    <cellStyle name="Input 2 17 5" xfId="13738" xr:uid="{00000000-0005-0000-0000-00005C0C0000}"/>
    <cellStyle name="Input 2 17 6" xfId="15674" xr:uid="{00000000-0005-0000-0000-00005D0C0000}"/>
    <cellStyle name="Input 2 17 7" xfId="18434" xr:uid="{00000000-0005-0000-0000-00005E0C0000}"/>
    <cellStyle name="Input 2 17 8" xfId="20370" xr:uid="{00000000-0005-0000-0000-00005F0C0000}"/>
    <cellStyle name="Input 2 17 9" xfId="23003" xr:uid="{00000000-0005-0000-0000-0000600C0000}"/>
    <cellStyle name="Input 2 18" xfId="3889" xr:uid="{00000000-0005-0000-0000-0000610C0000}"/>
    <cellStyle name="Input 2 18 2" xfId="6427" xr:uid="{00000000-0005-0000-0000-0000620C0000}"/>
    <cellStyle name="Input 2 18 3" xfId="7944" xr:uid="{00000000-0005-0000-0000-0000630C0000}"/>
    <cellStyle name="Input 2 18 4" xfId="11737" xr:uid="{00000000-0005-0000-0000-0000640C0000}"/>
    <cellStyle name="Input 2 18 5" xfId="14188" xr:uid="{00000000-0005-0000-0000-0000650C0000}"/>
    <cellStyle name="Input 2 18 6" xfId="16723" xr:uid="{00000000-0005-0000-0000-0000660C0000}"/>
    <cellStyle name="Input 2 18 7" xfId="18884" xr:uid="{00000000-0005-0000-0000-0000670C0000}"/>
    <cellStyle name="Input 2 18 8" xfId="21419" xr:uid="{00000000-0005-0000-0000-0000680C0000}"/>
    <cellStyle name="Input 2 18 9" xfId="23411" xr:uid="{00000000-0005-0000-0000-0000690C0000}"/>
    <cellStyle name="Input 2 19" xfId="3823" xr:uid="{00000000-0005-0000-0000-00006A0C0000}"/>
    <cellStyle name="Input 2 19 2" xfId="6361" xr:uid="{00000000-0005-0000-0000-00006B0C0000}"/>
    <cellStyle name="Input 2 19 3" xfId="8445" xr:uid="{00000000-0005-0000-0000-00006C0C0000}"/>
    <cellStyle name="Input 2 19 4" xfId="11592" xr:uid="{00000000-0005-0000-0000-00006D0C0000}"/>
    <cellStyle name="Input 2 19 5" xfId="14030" xr:uid="{00000000-0005-0000-0000-00006E0C0000}"/>
    <cellStyle name="Input 2 19 6" xfId="16487" xr:uid="{00000000-0005-0000-0000-00006F0C0000}"/>
    <cellStyle name="Input 2 19 7" xfId="18726" xr:uid="{00000000-0005-0000-0000-0000700C0000}"/>
    <cellStyle name="Input 2 19 8" xfId="21183" xr:uid="{00000000-0005-0000-0000-0000710C0000}"/>
    <cellStyle name="Input 2 19 9" xfId="23266" xr:uid="{00000000-0005-0000-0000-0000720C0000}"/>
    <cellStyle name="Input 2 2" xfId="510" xr:uid="{00000000-0005-0000-0000-0000730C0000}"/>
    <cellStyle name="Input 2 2 10" xfId="3055" xr:uid="{00000000-0005-0000-0000-0000740C0000}"/>
    <cellStyle name="Input 2 2 11" xfId="25863" xr:uid="{00000000-0005-0000-0000-0000750C0000}"/>
    <cellStyle name="Input 2 2 12" xfId="34266" xr:uid="{49191A91-C47E-4BB7-ACC0-E51C2C3445D0}"/>
    <cellStyle name="Input 2 2 2" xfId="5594" xr:uid="{00000000-0005-0000-0000-0000760C0000}"/>
    <cellStyle name="Input 2 2 2 2" xfId="27652" xr:uid="{00000000-0005-0000-0000-0000770C0000}"/>
    <cellStyle name="Input 2 2 3" xfId="8802" xr:uid="{00000000-0005-0000-0000-0000780C0000}"/>
    <cellStyle name="Input 2 2 4" xfId="12176" xr:uid="{00000000-0005-0000-0000-0000790C0000}"/>
    <cellStyle name="Input 2 2 5" xfId="12633" xr:uid="{00000000-0005-0000-0000-00007A0C0000}"/>
    <cellStyle name="Input 2 2 6" xfId="15582" xr:uid="{00000000-0005-0000-0000-00007B0C0000}"/>
    <cellStyle name="Input 2 2 7" xfId="17329" xr:uid="{00000000-0005-0000-0000-00007C0C0000}"/>
    <cellStyle name="Input 2 2 8" xfId="20278" xr:uid="{00000000-0005-0000-0000-00007D0C0000}"/>
    <cellStyle name="Input 2 2 9" xfId="21987" xr:uid="{00000000-0005-0000-0000-00007E0C0000}"/>
    <cellStyle name="Input 2 20" xfId="3848" xr:uid="{00000000-0005-0000-0000-00007F0C0000}"/>
    <cellStyle name="Input 2 20 2" xfId="6386" xr:uid="{00000000-0005-0000-0000-0000800C0000}"/>
    <cellStyle name="Input 2 20 3" xfId="9831" xr:uid="{00000000-0005-0000-0000-0000810C0000}"/>
    <cellStyle name="Input 2 20 4" xfId="11815" xr:uid="{00000000-0005-0000-0000-0000820C0000}"/>
    <cellStyle name="Input 2 20 5" xfId="14272" xr:uid="{00000000-0005-0000-0000-0000830C0000}"/>
    <cellStyle name="Input 2 20 6" xfId="16471" xr:uid="{00000000-0005-0000-0000-0000840C0000}"/>
    <cellStyle name="Input 2 20 7" xfId="18968" xr:uid="{00000000-0005-0000-0000-0000850C0000}"/>
    <cellStyle name="Input 2 20 8" xfId="21167" xr:uid="{00000000-0005-0000-0000-0000860C0000}"/>
    <cellStyle name="Input 2 20 9" xfId="23490" xr:uid="{00000000-0005-0000-0000-0000870C0000}"/>
    <cellStyle name="Input 2 21" xfId="4037" xr:uid="{00000000-0005-0000-0000-0000880C0000}"/>
    <cellStyle name="Input 2 21 2" xfId="6575" xr:uid="{00000000-0005-0000-0000-0000890C0000}"/>
    <cellStyle name="Input 2 21 3" xfId="8390" xr:uid="{00000000-0005-0000-0000-00008A0C0000}"/>
    <cellStyle name="Input 2 21 4" xfId="12076" xr:uid="{00000000-0005-0000-0000-00008B0C0000}"/>
    <cellStyle name="Input 2 21 5" xfId="14556" xr:uid="{00000000-0005-0000-0000-00008C0C0000}"/>
    <cellStyle name="Input 2 21 6" xfId="15207" xr:uid="{00000000-0005-0000-0000-00008D0C0000}"/>
    <cellStyle name="Input 2 21 7" xfId="19252" xr:uid="{00000000-0005-0000-0000-00008E0C0000}"/>
    <cellStyle name="Input 2 21 8" xfId="19903" xr:uid="{00000000-0005-0000-0000-00008F0C0000}"/>
    <cellStyle name="Input 2 21 9" xfId="23748" xr:uid="{00000000-0005-0000-0000-0000900C0000}"/>
    <cellStyle name="Input 2 22" xfId="4094" xr:uid="{00000000-0005-0000-0000-0000910C0000}"/>
    <cellStyle name="Input 2 22 2" xfId="6632" xr:uid="{00000000-0005-0000-0000-0000920C0000}"/>
    <cellStyle name="Input 2 22 3" xfId="8996" xr:uid="{00000000-0005-0000-0000-0000930C0000}"/>
    <cellStyle name="Input 2 22 4" xfId="11834" xr:uid="{00000000-0005-0000-0000-0000940C0000}"/>
    <cellStyle name="Input 2 22 5" xfId="14292" xr:uid="{00000000-0005-0000-0000-0000950C0000}"/>
    <cellStyle name="Input 2 22 6" xfId="15891" xr:uid="{00000000-0005-0000-0000-0000960C0000}"/>
    <cellStyle name="Input 2 22 7" xfId="18988" xr:uid="{00000000-0005-0000-0000-0000970C0000}"/>
    <cellStyle name="Input 2 22 8" xfId="20587" xr:uid="{00000000-0005-0000-0000-0000980C0000}"/>
    <cellStyle name="Input 2 22 9" xfId="23509" xr:uid="{00000000-0005-0000-0000-0000990C0000}"/>
    <cellStyle name="Input 2 23" xfId="3947" xr:uid="{00000000-0005-0000-0000-00009A0C0000}"/>
    <cellStyle name="Input 2 23 2" xfId="6485" xr:uid="{00000000-0005-0000-0000-00009B0C0000}"/>
    <cellStyle name="Input 2 23 3" xfId="10158" xr:uid="{00000000-0005-0000-0000-00009C0C0000}"/>
    <cellStyle name="Input 2 23 4" xfId="11384" xr:uid="{00000000-0005-0000-0000-00009D0C0000}"/>
    <cellStyle name="Input 2 23 5" xfId="13798" xr:uid="{00000000-0005-0000-0000-00009E0C0000}"/>
    <cellStyle name="Input 2 23 6" xfId="16832" xr:uid="{00000000-0005-0000-0000-00009F0C0000}"/>
    <cellStyle name="Input 2 23 7" xfId="18494" xr:uid="{00000000-0005-0000-0000-0000A00C0000}"/>
    <cellStyle name="Input 2 23 8" xfId="21528" xr:uid="{00000000-0005-0000-0000-0000A10C0000}"/>
    <cellStyle name="Input 2 23 9" xfId="23058" xr:uid="{00000000-0005-0000-0000-0000A20C0000}"/>
    <cellStyle name="Input 2 24" xfId="4066" xr:uid="{00000000-0005-0000-0000-0000A30C0000}"/>
    <cellStyle name="Input 2 24 2" xfId="6604" xr:uid="{00000000-0005-0000-0000-0000A40C0000}"/>
    <cellStyle name="Input 2 24 3" xfId="9366" xr:uid="{00000000-0005-0000-0000-0000A50C0000}"/>
    <cellStyle name="Input 2 24 4" xfId="10662" xr:uid="{00000000-0005-0000-0000-0000A60C0000}"/>
    <cellStyle name="Input 2 24 5" xfId="13011" xr:uid="{00000000-0005-0000-0000-0000A70C0000}"/>
    <cellStyle name="Input 2 24 6" xfId="16864" xr:uid="{00000000-0005-0000-0000-0000A80C0000}"/>
    <cellStyle name="Input 2 24 7" xfId="17707" xr:uid="{00000000-0005-0000-0000-0000A90C0000}"/>
    <cellStyle name="Input 2 24 8" xfId="21560" xr:uid="{00000000-0005-0000-0000-0000AA0C0000}"/>
    <cellStyle name="Input 2 24 9" xfId="22335" xr:uid="{00000000-0005-0000-0000-0000AB0C0000}"/>
    <cellStyle name="Input 2 25" xfId="4091" xr:uid="{00000000-0005-0000-0000-0000AC0C0000}"/>
    <cellStyle name="Input 2 25 2" xfId="6629" xr:uid="{00000000-0005-0000-0000-0000AD0C0000}"/>
    <cellStyle name="Input 2 25 3" xfId="9987" xr:uid="{00000000-0005-0000-0000-0000AE0C0000}"/>
    <cellStyle name="Input 2 25 4" xfId="11847" xr:uid="{00000000-0005-0000-0000-0000AF0C0000}"/>
    <cellStyle name="Input 2 25 5" xfId="14309" xr:uid="{00000000-0005-0000-0000-0000B00C0000}"/>
    <cellStyle name="Input 2 25 6" xfId="16831" xr:uid="{00000000-0005-0000-0000-0000B10C0000}"/>
    <cellStyle name="Input 2 25 7" xfId="19005" xr:uid="{00000000-0005-0000-0000-0000B20C0000}"/>
    <cellStyle name="Input 2 25 8" xfId="21527" xr:uid="{00000000-0005-0000-0000-0000B30C0000}"/>
    <cellStyle name="Input 2 25 9" xfId="23523" xr:uid="{00000000-0005-0000-0000-0000B40C0000}"/>
    <cellStyle name="Input 2 26" xfId="4069" xr:uid="{00000000-0005-0000-0000-0000B50C0000}"/>
    <cellStyle name="Input 2 26 2" xfId="6607" xr:uid="{00000000-0005-0000-0000-0000B60C0000}"/>
    <cellStyle name="Input 2 26 3" xfId="8772" xr:uid="{00000000-0005-0000-0000-0000B70C0000}"/>
    <cellStyle name="Input 2 26 4" xfId="11378" xr:uid="{00000000-0005-0000-0000-0000B80C0000}"/>
    <cellStyle name="Input 2 26 5" xfId="13792" xr:uid="{00000000-0005-0000-0000-0000B90C0000}"/>
    <cellStyle name="Input 2 26 6" xfId="16699" xr:uid="{00000000-0005-0000-0000-0000BA0C0000}"/>
    <cellStyle name="Input 2 26 7" xfId="18488" xr:uid="{00000000-0005-0000-0000-0000BB0C0000}"/>
    <cellStyle name="Input 2 26 8" xfId="21395" xr:uid="{00000000-0005-0000-0000-0000BC0C0000}"/>
    <cellStyle name="Input 2 26 9" xfId="23052" xr:uid="{00000000-0005-0000-0000-0000BD0C0000}"/>
    <cellStyle name="Input 2 27" xfId="4070" xr:uid="{00000000-0005-0000-0000-0000BE0C0000}"/>
    <cellStyle name="Input 2 27 2" xfId="6608" xr:uid="{00000000-0005-0000-0000-0000BF0C0000}"/>
    <cellStyle name="Input 2 27 3" xfId="8853" xr:uid="{00000000-0005-0000-0000-0000C00C0000}"/>
    <cellStyle name="Input 2 27 4" xfId="11948" xr:uid="{00000000-0005-0000-0000-0000C10C0000}"/>
    <cellStyle name="Input 2 27 5" xfId="14421" xr:uid="{00000000-0005-0000-0000-0000C20C0000}"/>
    <cellStyle name="Input 2 27 6" xfId="16833" xr:uid="{00000000-0005-0000-0000-0000C30C0000}"/>
    <cellStyle name="Input 2 27 7" xfId="19117" xr:uid="{00000000-0005-0000-0000-0000C40C0000}"/>
    <cellStyle name="Input 2 27 8" xfId="21529" xr:uid="{00000000-0005-0000-0000-0000C50C0000}"/>
    <cellStyle name="Input 2 27 9" xfId="23623" xr:uid="{00000000-0005-0000-0000-0000C60C0000}"/>
    <cellStyle name="Input 2 28" xfId="4167" xr:uid="{00000000-0005-0000-0000-0000C70C0000}"/>
    <cellStyle name="Input 2 28 2" xfId="6705" xr:uid="{00000000-0005-0000-0000-0000C80C0000}"/>
    <cellStyle name="Input 2 28 3" xfId="8209" xr:uid="{00000000-0005-0000-0000-0000C90C0000}"/>
    <cellStyle name="Input 2 28 4" xfId="10678" xr:uid="{00000000-0005-0000-0000-0000CA0C0000}"/>
    <cellStyle name="Input 2 28 5" xfId="13027" xr:uid="{00000000-0005-0000-0000-0000CB0C0000}"/>
    <cellStyle name="Input 2 28 6" xfId="15066" xr:uid="{00000000-0005-0000-0000-0000CC0C0000}"/>
    <cellStyle name="Input 2 28 7" xfId="17723" xr:uid="{00000000-0005-0000-0000-0000CD0C0000}"/>
    <cellStyle name="Input 2 28 8" xfId="19762" xr:uid="{00000000-0005-0000-0000-0000CE0C0000}"/>
    <cellStyle name="Input 2 28 9" xfId="22351" xr:uid="{00000000-0005-0000-0000-0000CF0C0000}"/>
    <cellStyle name="Input 2 29" xfId="4265" xr:uid="{00000000-0005-0000-0000-0000D00C0000}"/>
    <cellStyle name="Input 2 29 2" xfId="6803" xr:uid="{00000000-0005-0000-0000-0000D10C0000}"/>
    <cellStyle name="Input 2 29 3" xfId="9367" xr:uid="{00000000-0005-0000-0000-0000D20C0000}"/>
    <cellStyle name="Input 2 29 4" xfId="11689" xr:uid="{00000000-0005-0000-0000-0000D30C0000}"/>
    <cellStyle name="Input 2 29 5" xfId="13812" xr:uid="{00000000-0005-0000-0000-0000D40C0000}"/>
    <cellStyle name="Input 2 29 6" xfId="15918" xr:uid="{00000000-0005-0000-0000-0000D50C0000}"/>
    <cellStyle name="Input 2 29 7" xfId="18508" xr:uid="{00000000-0005-0000-0000-0000D60C0000}"/>
    <cellStyle name="Input 2 29 8" xfId="20614" xr:uid="{00000000-0005-0000-0000-0000D70C0000}"/>
    <cellStyle name="Input 2 29 9" xfId="23071" xr:uid="{00000000-0005-0000-0000-0000D80C0000}"/>
    <cellStyle name="Input 2 3" xfId="3116" xr:uid="{00000000-0005-0000-0000-0000D90C0000}"/>
    <cellStyle name="Input 2 3 10" xfId="25864" xr:uid="{00000000-0005-0000-0000-0000DA0C0000}"/>
    <cellStyle name="Input 2 3 2" xfId="5654" xr:uid="{00000000-0005-0000-0000-0000DB0C0000}"/>
    <cellStyle name="Input 2 3 3" xfId="10143" xr:uid="{00000000-0005-0000-0000-0000DC0C0000}"/>
    <cellStyle name="Input 2 3 4" xfId="12210" xr:uid="{00000000-0005-0000-0000-0000DD0C0000}"/>
    <cellStyle name="Input 2 3 5" xfId="14853" xr:uid="{00000000-0005-0000-0000-0000DE0C0000}"/>
    <cellStyle name="Input 2 3 6" xfId="16905" xr:uid="{00000000-0005-0000-0000-0000DF0C0000}"/>
    <cellStyle name="Input 2 3 7" xfId="19549" xr:uid="{00000000-0005-0000-0000-0000E00C0000}"/>
    <cellStyle name="Input 2 3 8" xfId="21601" xr:uid="{00000000-0005-0000-0000-0000E10C0000}"/>
    <cellStyle name="Input 2 3 9" xfId="24025" xr:uid="{00000000-0005-0000-0000-0000E20C0000}"/>
    <cellStyle name="Input 2 30" xfId="4308" xr:uid="{00000000-0005-0000-0000-0000E30C0000}"/>
    <cellStyle name="Input 2 30 2" xfId="6846" xr:uid="{00000000-0005-0000-0000-0000E40C0000}"/>
    <cellStyle name="Input 2 30 3" xfId="10227" xr:uid="{00000000-0005-0000-0000-0000E50C0000}"/>
    <cellStyle name="Input 2 30 4" xfId="11503" xr:uid="{00000000-0005-0000-0000-0000E60C0000}"/>
    <cellStyle name="Input 2 30 5" xfId="13930" xr:uid="{00000000-0005-0000-0000-0000E70C0000}"/>
    <cellStyle name="Input 2 30 6" xfId="16063" xr:uid="{00000000-0005-0000-0000-0000E80C0000}"/>
    <cellStyle name="Input 2 30 7" xfId="18626" xr:uid="{00000000-0005-0000-0000-0000E90C0000}"/>
    <cellStyle name="Input 2 30 8" xfId="20759" xr:uid="{00000000-0005-0000-0000-0000EA0C0000}"/>
    <cellStyle name="Input 2 30 9" xfId="23177" xr:uid="{00000000-0005-0000-0000-0000EB0C0000}"/>
    <cellStyle name="Input 2 31" xfId="4351" xr:uid="{00000000-0005-0000-0000-0000EC0C0000}"/>
    <cellStyle name="Input 2 31 2" xfId="6889" xr:uid="{00000000-0005-0000-0000-0000ED0C0000}"/>
    <cellStyle name="Input 2 31 3" xfId="8934" xr:uid="{00000000-0005-0000-0000-0000EE0C0000}"/>
    <cellStyle name="Input 2 31 4" xfId="11672" xr:uid="{00000000-0005-0000-0000-0000EF0C0000}"/>
    <cellStyle name="Input 2 31 5" xfId="14119" xr:uid="{00000000-0005-0000-0000-0000F00C0000}"/>
    <cellStyle name="Input 2 31 6" xfId="15044" xr:uid="{00000000-0005-0000-0000-0000F10C0000}"/>
    <cellStyle name="Input 2 31 7" xfId="18815" xr:uid="{00000000-0005-0000-0000-0000F20C0000}"/>
    <cellStyle name="Input 2 31 8" xfId="19740" xr:uid="{00000000-0005-0000-0000-0000F30C0000}"/>
    <cellStyle name="Input 2 31 9" xfId="23346" xr:uid="{00000000-0005-0000-0000-0000F40C0000}"/>
    <cellStyle name="Input 2 32" xfId="4523" xr:uid="{00000000-0005-0000-0000-0000F50C0000}"/>
    <cellStyle name="Input 2 32 2" xfId="7061" xr:uid="{00000000-0005-0000-0000-0000F60C0000}"/>
    <cellStyle name="Input 2 32 3" xfId="7725" xr:uid="{00000000-0005-0000-0000-0000F70C0000}"/>
    <cellStyle name="Input 2 32 4" xfId="10275" xr:uid="{00000000-0005-0000-0000-0000F80C0000}"/>
    <cellStyle name="Input 2 32 5" xfId="12585" xr:uid="{00000000-0005-0000-0000-0000F90C0000}"/>
    <cellStyle name="Input 2 32 6" xfId="15802" xr:uid="{00000000-0005-0000-0000-0000FA0C0000}"/>
    <cellStyle name="Input 2 32 7" xfId="17281" xr:uid="{00000000-0005-0000-0000-0000FB0C0000}"/>
    <cellStyle name="Input 2 32 8" xfId="20498" xr:uid="{00000000-0005-0000-0000-0000FC0C0000}"/>
    <cellStyle name="Input 2 32 9" xfId="21944" xr:uid="{00000000-0005-0000-0000-0000FD0C0000}"/>
    <cellStyle name="Input 2 33" xfId="4300" xr:uid="{00000000-0005-0000-0000-0000FE0C0000}"/>
    <cellStyle name="Input 2 33 2" xfId="6838" xr:uid="{00000000-0005-0000-0000-0000FF0C0000}"/>
    <cellStyle name="Input 2 33 3" xfId="7776" xr:uid="{00000000-0005-0000-0000-0000000D0000}"/>
    <cellStyle name="Input 2 33 4" xfId="10352" xr:uid="{00000000-0005-0000-0000-0000010D0000}"/>
    <cellStyle name="Input 2 33 5" xfId="12674" xr:uid="{00000000-0005-0000-0000-0000020D0000}"/>
    <cellStyle name="Input 2 33 6" xfId="16532" xr:uid="{00000000-0005-0000-0000-0000030D0000}"/>
    <cellStyle name="Input 2 33 7" xfId="17370" xr:uid="{00000000-0005-0000-0000-0000040D0000}"/>
    <cellStyle name="Input 2 33 8" xfId="21228" xr:uid="{00000000-0005-0000-0000-0000050D0000}"/>
    <cellStyle name="Input 2 33 9" xfId="22023" xr:uid="{00000000-0005-0000-0000-0000060D0000}"/>
    <cellStyle name="Input 2 34" xfId="4550" xr:uid="{00000000-0005-0000-0000-0000070D0000}"/>
    <cellStyle name="Input 2 34 2" xfId="7088" xr:uid="{00000000-0005-0000-0000-0000080D0000}"/>
    <cellStyle name="Input 2 34 3" xfId="8515" xr:uid="{00000000-0005-0000-0000-0000090D0000}"/>
    <cellStyle name="Input 2 34 4" xfId="11112" xr:uid="{00000000-0005-0000-0000-00000A0D0000}"/>
    <cellStyle name="Input 2 34 5" xfId="13506" xr:uid="{00000000-0005-0000-0000-00000B0D0000}"/>
    <cellStyle name="Input 2 34 6" xfId="14091" xr:uid="{00000000-0005-0000-0000-00000C0D0000}"/>
    <cellStyle name="Input 2 34 7" xfId="18202" xr:uid="{00000000-0005-0000-0000-00000D0D0000}"/>
    <cellStyle name="Input 2 34 8" xfId="18787" xr:uid="{00000000-0005-0000-0000-00000E0D0000}"/>
    <cellStyle name="Input 2 34 9" xfId="22785" xr:uid="{00000000-0005-0000-0000-00000F0D0000}"/>
    <cellStyle name="Input 2 35" xfId="4517" xr:uid="{00000000-0005-0000-0000-0000100D0000}"/>
    <cellStyle name="Input 2 35 2" xfId="7055" xr:uid="{00000000-0005-0000-0000-0000110D0000}"/>
    <cellStyle name="Input 2 35 3" xfId="9042" xr:uid="{00000000-0005-0000-0000-0000120D0000}"/>
    <cellStyle name="Input 2 35 4" xfId="12034" xr:uid="{00000000-0005-0000-0000-0000130D0000}"/>
    <cellStyle name="Input 2 35 5" xfId="14516" xr:uid="{00000000-0005-0000-0000-0000140D0000}"/>
    <cellStyle name="Input 2 35 6" xfId="14852" xr:uid="{00000000-0005-0000-0000-0000150D0000}"/>
    <cellStyle name="Input 2 35 7" xfId="19212" xr:uid="{00000000-0005-0000-0000-0000160D0000}"/>
    <cellStyle name="Input 2 35 8" xfId="19548" xr:uid="{00000000-0005-0000-0000-0000170D0000}"/>
    <cellStyle name="Input 2 35 9" xfId="23709" xr:uid="{00000000-0005-0000-0000-0000180D0000}"/>
    <cellStyle name="Input 2 36" xfId="4513" xr:uid="{00000000-0005-0000-0000-0000190D0000}"/>
    <cellStyle name="Input 2 36 2" xfId="7051" xr:uid="{00000000-0005-0000-0000-00001A0D0000}"/>
    <cellStyle name="Input 2 36 3" xfId="10066" xr:uid="{00000000-0005-0000-0000-00001B0D0000}"/>
    <cellStyle name="Input 2 36 4" xfId="12207" xr:uid="{00000000-0005-0000-0000-00001C0D0000}"/>
    <cellStyle name="Input 2 36 5" xfId="14856" xr:uid="{00000000-0005-0000-0000-00001D0D0000}"/>
    <cellStyle name="Input 2 36 6" xfId="16902" xr:uid="{00000000-0005-0000-0000-00001E0D0000}"/>
    <cellStyle name="Input 2 36 7" xfId="19552" xr:uid="{00000000-0005-0000-0000-00001F0D0000}"/>
    <cellStyle name="Input 2 36 8" xfId="21598" xr:uid="{00000000-0005-0000-0000-0000200D0000}"/>
    <cellStyle name="Input 2 36 9" xfId="24028" xr:uid="{00000000-0005-0000-0000-0000210D0000}"/>
    <cellStyle name="Input 2 37" xfId="4609" xr:uid="{00000000-0005-0000-0000-0000220D0000}"/>
    <cellStyle name="Input 2 37 2" xfId="7147" xr:uid="{00000000-0005-0000-0000-0000230D0000}"/>
    <cellStyle name="Input 2 37 3" xfId="10100" xr:uid="{00000000-0005-0000-0000-0000240D0000}"/>
    <cellStyle name="Input 2 37 4" xfId="11640" xr:uid="{00000000-0005-0000-0000-0000250D0000}"/>
    <cellStyle name="Input 2 37 5" xfId="14084" xr:uid="{00000000-0005-0000-0000-0000260D0000}"/>
    <cellStyle name="Input 2 37 6" xfId="16062" xr:uid="{00000000-0005-0000-0000-0000270D0000}"/>
    <cellStyle name="Input 2 37 7" xfId="18780" xr:uid="{00000000-0005-0000-0000-0000280D0000}"/>
    <cellStyle name="Input 2 37 8" xfId="20758" xr:uid="{00000000-0005-0000-0000-0000290D0000}"/>
    <cellStyle name="Input 2 37 9" xfId="23315" xr:uid="{00000000-0005-0000-0000-00002A0D0000}"/>
    <cellStyle name="Input 2 38" xfId="4785" xr:uid="{00000000-0005-0000-0000-00002B0D0000}"/>
    <cellStyle name="Input 2 38 2" xfId="7323" xr:uid="{00000000-0005-0000-0000-00002C0D0000}"/>
    <cellStyle name="Input 2 38 3" xfId="8038" xr:uid="{00000000-0005-0000-0000-00002D0D0000}"/>
    <cellStyle name="Input 2 38 4" xfId="11780" xr:uid="{00000000-0005-0000-0000-00002E0D0000}"/>
    <cellStyle name="Input 2 38 5" xfId="14234" xr:uid="{00000000-0005-0000-0000-00002F0D0000}"/>
    <cellStyle name="Input 2 38 6" xfId="15940" xr:uid="{00000000-0005-0000-0000-0000300D0000}"/>
    <cellStyle name="Input 2 38 7" xfId="18930" xr:uid="{00000000-0005-0000-0000-0000310D0000}"/>
    <cellStyle name="Input 2 38 8" xfId="20636" xr:uid="{00000000-0005-0000-0000-0000320D0000}"/>
    <cellStyle name="Input 2 38 9" xfId="23454" xr:uid="{00000000-0005-0000-0000-0000330D0000}"/>
    <cellStyle name="Input 2 39" xfId="4703" xr:uid="{00000000-0005-0000-0000-0000340D0000}"/>
    <cellStyle name="Input 2 39 2" xfId="7241" xr:uid="{00000000-0005-0000-0000-0000350D0000}"/>
    <cellStyle name="Input 2 39 3" xfId="9978" xr:uid="{00000000-0005-0000-0000-0000360D0000}"/>
    <cellStyle name="Input 2 39 4" xfId="11158" xr:uid="{00000000-0005-0000-0000-0000370D0000}"/>
    <cellStyle name="Input 2 39 5" xfId="13554" xr:uid="{00000000-0005-0000-0000-0000380D0000}"/>
    <cellStyle name="Input 2 39 6" xfId="16964" xr:uid="{00000000-0005-0000-0000-0000390D0000}"/>
    <cellStyle name="Input 2 39 7" xfId="18250" xr:uid="{00000000-0005-0000-0000-00003A0D0000}"/>
    <cellStyle name="Input 2 39 8" xfId="21660" xr:uid="{00000000-0005-0000-0000-00003B0D0000}"/>
    <cellStyle name="Input 2 39 9" xfId="22831" xr:uid="{00000000-0005-0000-0000-00003C0D0000}"/>
    <cellStyle name="Input 2 4" xfId="3046" xr:uid="{00000000-0005-0000-0000-00003D0D0000}"/>
    <cellStyle name="Input 2 4 10" xfId="26227" xr:uid="{00000000-0005-0000-0000-00003E0D0000}"/>
    <cellStyle name="Input 2 4 2" xfId="5585" xr:uid="{00000000-0005-0000-0000-00003F0D0000}"/>
    <cellStyle name="Input 2 4 3" xfId="8091" xr:uid="{00000000-0005-0000-0000-0000400D0000}"/>
    <cellStyle name="Input 2 4 4" xfId="10905" xr:uid="{00000000-0005-0000-0000-0000410D0000}"/>
    <cellStyle name="Input 2 4 5" xfId="14896" xr:uid="{00000000-0005-0000-0000-0000420D0000}"/>
    <cellStyle name="Input 2 4 6" xfId="16685" xr:uid="{00000000-0005-0000-0000-0000430D0000}"/>
    <cellStyle name="Input 2 4 7" xfId="19592" xr:uid="{00000000-0005-0000-0000-0000440D0000}"/>
    <cellStyle name="Input 2 4 8" xfId="21381" xr:uid="{00000000-0005-0000-0000-0000450D0000}"/>
    <cellStyle name="Input 2 4 9" xfId="24062" xr:uid="{00000000-0005-0000-0000-0000460D0000}"/>
    <cellStyle name="Input 2 40" xfId="4744" xr:uid="{00000000-0005-0000-0000-0000470D0000}"/>
    <cellStyle name="Input 2 40 2" xfId="7282" xr:uid="{00000000-0005-0000-0000-0000480D0000}"/>
    <cellStyle name="Input 2 40 3" xfId="8048" xr:uid="{00000000-0005-0000-0000-0000490D0000}"/>
    <cellStyle name="Input 2 40 4" xfId="12045" xr:uid="{00000000-0005-0000-0000-00004A0D0000}"/>
    <cellStyle name="Input 2 40 5" xfId="14236" xr:uid="{00000000-0005-0000-0000-00004B0D0000}"/>
    <cellStyle name="Input 2 40 6" xfId="13134" xr:uid="{00000000-0005-0000-0000-00004C0D0000}"/>
    <cellStyle name="Input 2 40 7" xfId="18932" xr:uid="{00000000-0005-0000-0000-00004D0D0000}"/>
    <cellStyle name="Input 2 40 8" xfId="17830" xr:uid="{00000000-0005-0000-0000-00004E0D0000}"/>
    <cellStyle name="Input 2 40 9" xfId="23456" xr:uid="{00000000-0005-0000-0000-00004F0D0000}"/>
    <cellStyle name="Input 2 41" xfId="4923" xr:uid="{00000000-0005-0000-0000-0000500D0000}"/>
    <cellStyle name="Input 2 41 2" xfId="7461" xr:uid="{00000000-0005-0000-0000-0000510D0000}"/>
    <cellStyle name="Input 2 41 3" xfId="10219" xr:uid="{00000000-0005-0000-0000-0000520D0000}"/>
    <cellStyle name="Input 2 41 4" xfId="10655" xr:uid="{00000000-0005-0000-0000-0000530D0000}"/>
    <cellStyle name="Input 2 41 5" xfId="13004" xr:uid="{00000000-0005-0000-0000-0000540D0000}"/>
    <cellStyle name="Input 2 41 6" xfId="16334" xr:uid="{00000000-0005-0000-0000-0000550D0000}"/>
    <cellStyle name="Input 2 41 7" xfId="17700" xr:uid="{00000000-0005-0000-0000-0000560D0000}"/>
    <cellStyle name="Input 2 41 8" xfId="21030" xr:uid="{00000000-0005-0000-0000-0000570D0000}"/>
    <cellStyle name="Input 2 41 9" xfId="22328" xr:uid="{00000000-0005-0000-0000-0000580D0000}"/>
    <cellStyle name="Input 2 42" xfId="4718" xr:uid="{00000000-0005-0000-0000-0000590D0000}"/>
    <cellStyle name="Input 2 42 2" xfId="7256" xr:uid="{00000000-0005-0000-0000-00005A0D0000}"/>
    <cellStyle name="Input 2 42 3" xfId="8760" xr:uid="{00000000-0005-0000-0000-00005B0D0000}"/>
    <cellStyle name="Input 2 42 4" xfId="12181" xr:uid="{00000000-0005-0000-0000-00005C0D0000}"/>
    <cellStyle name="Input 2 42 5" xfId="14665" xr:uid="{00000000-0005-0000-0000-00005D0D0000}"/>
    <cellStyle name="Input 2 42 6" xfId="13073" xr:uid="{00000000-0005-0000-0000-00005E0D0000}"/>
    <cellStyle name="Input 2 42 7" xfId="19361" xr:uid="{00000000-0005-0000-0000-00005F0D0000}"/>
    <cellStyle name="Input 2 42 8" xfId="17769" xr:uid="{00000000-0005-0000-0000-0000600D0000}"/>
    <cellStyle name="Input 2 42 9" xfId="23855" xr:uid="{00000000-0005-0000-0000-0000610D0000}"/>
    <cellStyle name="Input 2 43" xfId="4895" xr:uid="{00000000-0005-0000-0000-0000620D0000}"/>
    <cellStyle name="Input 2 43 2" xfId="7433" xr:uid="{00000000-0005-0000-0000-0000630D0000}"/>
    <cellStyle name="Input 2 43 3" xfId="9320" xr:uid="{00000000-0005-0000-0000-0000640D0000}"/>
    <cellStyle name="Input 2 43 4" xfId="10831" xr:uid="{00000000-0005-0000-0000-0000650D0000}"/>
    <cellStyle name="Input 2 43 5" xfId="13195" xr:uid="{00000000-0005-0000-0000-0000660D0000}"/>
    <cellStyle name="Input 2 43 6" xfId="16303" xr:uid="{00000000-0005-0000-0000-0000670D0000}"/>
    <cellStyle name="Input 2 43 7" xfId="17891" xr:uid="{00000000-0005-0000-0000-0000680D0000}"/>
    <cellStyle name="Input 2 43 8" xfId="20999" xr:uid="{00000000-0005-0000-0000-0000690D0000}"/>
    <cellStyle name="Input 2 43 9" xfId="22502" xr:uid="{00000000-0005-0000-0000-00006A0D0000}"/>
    <cellStyle name="Input 2 44" xfId="4899" xr:uid="{00000000-0005-0000-0000-00006B0D0000}"/>
    <cellStyle name="Input 2 44 2" xfId="7437" xr:uid="{00000000-0005-0000-0000-00006C0D0000}"/>
    <cellStyle name="Input 2 44 3" xfId="9310" xr:uid="{00000000-0005-0000-0000-00006D0D0000}"/>
    <cellStyle name="Input 2 44 4" xfId="11691" xr:uid="{00000000-0005-0000-0000-00006E0D0000}"/>
    <cellStyle name="Input 2 44 5" xfId="14140" xr:uid="{00000000-0005-0000-0000-00006F0D0000}"/>
    <cellStyle name="Input 2 44 6" xfId="12751" xr:uid="{00000000-0005-0000-0000-0000700D0000}"/>
    <cellStyle name="Input 2 44 7" xfId="18836" xr:uid="{00000000-0005-0000-0000-0000710D0000}"/>
    <cellStyle name="Input 2 44 8" xfId="17447" xr:uid="{00000000-0005-0000-0000-0000720D0000}"/>
    <cellStyle name="Input 2 44 9" xfId="23365" xr:uid="{00000000-0005-0000-0000-0000730D0000}"/>
    <cellStyle name="Input 2 45" xfId="4823" xr:uid="{00000000-0005-0000-0000-0000740D0000}"/>
    <cellStyle name="Input 2 45 2" xfId="7361" xr:uid="{00000000-0005-0000-0000-0000750D0000}"/>
    <cellStyle name="Input 2 45 3" xfId="7951" xr:uid="{00000000-0005-0000-0000-0000760D0000}"/>
    <cellStyle name="Input 2 45 4" xfId="11441" xr:uid="{00000000-0005-0000-0000-0000770D0000}"/>
    <cellStyle name="Input 2 45 5" xfId="13859" xr:uid="{00000000-0005-0000-0000-0000780D0000}"/>
    <cellStyle name="Input 2 45 6" xfId="15612" xr:uid="{00000000-0005-0000-0000-0000790D0000}"/>
    <cellStyle name="Input 2 45 7" xfId="18555" xr:uid="{00000000-0005-0000-0000-00007A0D0000}"/>
    <cellStyle name="Input 2 45 8" xfId="20308" xr:uid="{00000000-0005-0000-0000-00007B0D0000}"/>
    <cellStyle name="Input 2 45 9" xfId="23116" xr:uid="{00000000-0005-0000-0000-00007C0D0000}"/>
    <cellStyle name="Input 2 46" xfId="5001" xr:uid="{00000000-0005-0000-0000-00007D0D0000}"/>
    <cellStyle name="Input 2 46 2" xfId="7539" xr:uid="{00000000-0005-0000-0000-00007E0D0000}"/>
    <cellStyle name="Input 2 46 3" xfId="9762" xr:uid="{00000000-0005-0000-0000-00007F0D0000}"/>
    <cellStyle name="Input 2 46 4" xfId="11636" xr:uid="{00000000-0005-0000-0000-0000800D0000}"/>
    <cellStyle name="Input 2 46 5" xfId="14080" xr:uid="{00000000-0005-0000-0000-0000810D0000}"/>
    <cellStyle name="Input 2 46 6" xfId="16198" xr:uid="{00000000-0005-0000-0000-0000820D0000}"/>
    <cellStyle name="Input 2 46 7" xfId="18776" xr:uid="{00000000-0005-0000-0000-0000830D0000}"/>
    <cellStyle name="Input 2 46 8" xfId="20894" xr:uid="{00000000-0005-0000-0000-0000840D0000}"/>
    <cellStyle name="Input 2 46 9" xfId="23311" xr:uid="{00000000-0005-0000-0000-0000850D0000}"/>
    <cellStyle name="Input 2 47" xfId="5038" xr:uid="{00000000-0005-0000-0000-0000860D0000}"/>
    <cellStyle name="Input 2 47 2" xfId="7576" xr:uid="{00000000-0005-0000-0000-0000870D0000}"/>
    <cellStyle name="Input 2 47 3" xfId="9921" xr:uid="{00000000-0005-0000-0000-0000880D0000}"/>
    <cellStyle name="Input 2 47 4" xfId="12105" xr:uid="{00000000-0005-0000-0000-0000890D0000}"/>
    <cellStyle name="Input 2 47 5" xfId="14587" xr:uid="{00000000-0005-0000-0000-00008A0D0000}"/>
    <cellStyle name="Input 2 47 6" xfId="14984" xr:uid="{00000000-0005-0000-0000-00008B0D0000}"/>
    <cellStyle name="Input 2 47 7" xfId="19283" xr:uid="{00000000-0005-0000-0000-00008C0D0000}"/>
    <cellStyle name="Input 2 47 8" xfId="19680" xr:uid="{00000000-0005-0000-0000-00008D0D0000}"/>
    <cellStyle name="Input 2 47 9" xfId="23779" xr:uid="{00000000-0005-0000-0000-00008E0D0000}"/>
    <cellStyle name="Input 2 48" xfId="5119" xr:uid="{00000000-0005-0000-0000-00008F0D0000}"/>
    <cellStyle name="Input 2 48 2" xfId="7657" xr:uid="{00000000-0005-0000-0000-0000900D0000}"/>
    <cellStyle name="Input 2 48 3" xfId="9314" xr:uid="{00000000-0005-0000-0000-0000910D0000}"/>
    <cellStyle name="Input 2 48 4" xfId="11190" xr:uid="{00000000-0005-0000-0000-0000920D0000}"/>
    <cellStyle name="Input 2 48 5" xfId="13590" xr:uid="{00000000-0005-0000-0000-0000930D0000}"/>
    <cellStyle name="Input 2 48 6" xfId="14222" xr:uid="{00000000-0005-0000-0000-0000940D0000}"/>
    <cellStyle name="Input 2 48 7" xfId="18286" xr:uid="{00000000-0005-0000-0000-0000950D0000}"/>
    <cellStyle name="Input 2 48 8" xfId="18918" xr:uid="{00000000-0005-0000-0000-0000960D0000}"/>
    <cellStyle name="Input 2 48 9" xfId="22865" xr:uid="{00000000-0005-0000-0000-0000970D0000}"/>
    <cellStyle name="Input 2 49" xfId="5188" xr:uid="{00000000-0005-0000-0000-0000980D0000}"/>
    <cellStyle name="Input 2 49 2" xfId="7727" xr:uid="{00000000-0005-0000-0000-0000990D0000}"/>
    <cellStyle name="Input 2 49 3" xfId="9164" xr:uid="{00000000-0005-0000-0000-00009A0D0000}"/>
    <cellStyle name="Input 2 49 4" xfId="11076" xr:uid="{00000000-0005-0000-0000-00009B0D0000}"/>
    <cellStyle name="Input 2 49 5" xfId="13465" xr:uid="{00000000-0005-0000-0000-00009C0D0000}"/>
    <cellStyle name="Input 2 49 6" xfId="15394" xr:uid="{00000000-0005-0000-0000-00009D0D0000}"/>
    <cellStyle name="Input 2 49 7" xfId="18161" xr:uid="{00000000-0005-0000-0000-00009E0D0000}"/>
    <cellStyle name="Input 2 49 8" xfId="20090" xr:uid="{00000000-0005-0000-0000-00009F0D0000}"/>
    <cellStyle name="Input 2 49 9" xfId="22749" xr:uid="{00000000-0005-0000-0000-0000A00D0000}"/>
    <cellStyle name="Input 2 5" xfId="3122" xr:uid="{00000000-0005-0000-0000-0000A10D0000}"/>
    <cellStyle name="Input 2 5 2" xfId="5660" xr:uid="{00000000-0005-0000-0000-0000A20D0000}"/>
    <cellStyle name="Input 2 5 3" xfId="8270" xr:uid="{00000000-0005-0000-0000-0000A30D0000}"/>
    <cellStyle name="Input 2 5 4" xfId="11908" xr:uid="{00000000-0005-0000-0000-0000A40D0000}"/>
    <cellStyle name="Input 2 5 5" xfId="14380" xr:uid="{00000000-0005-0000-0000-0000A50D0000}"/>
    <cellStyle name="Input 2 5 6" xfId="16936" xr:uid="{00000000-0005-0000-0000-0000A60D0000}"/>
    <cellStyle name="Input 2 5 7" xfId="19076" xr:uid="{00000000-0005-0000-0000-0000A70D0000}"/>
    <cellStyle name="Input 2 5 8" xfId="21632" xr:uid="{00000000-0005-0000-0000-0000A80D0000}"/>
    <cellStyle name="Input 2 5 9" xfId="23583" xr:uid="{00000000-0005-0000-0000-0000A90D0000}"/>
    <cellStyle name="Input 2 50" xfId="5234" xr:uid="{00000000-0005-0000-0000-0000AA0D0000}"/>
    <cellStyle name="Input 2 50 2" xfId="8910" xr:uid="{00000000-0005-0000-0000-0000AB0D0000}"/>
    <cellStyle name="Input 2 50 3" xfId="10871" xr:uid="{00000000-0005-0000-0000-0000AC0D0000}"/>
    <cellStyle name="Input 2 50 4" xfId="13237" xr:uid="{00000000-0005-0000-0000-0000AD0D0000}"/>
    <cellStyle name="Input 2 50 5" xfId="15600" xr:uid="{00000000-0005-0000-0000-0000AE0D0000}"/>
    <cellStyle name="Input 2 50 6" xfId="17933" xr:uid="{00000000-0005-0000-0000-0000AF0D0000}"/>
    <cellStyle name="Input 2 50 7" xfId="20296" xr:uid="{00000000-0005-0000-0000-0000B00D0000}"/>
    <cellStyle name="Input 2 50 8" xfId="22542" xr:uid="{00000000-0005-0000-0000-0000B10D0000}"/>
    <cellStyle name="Input 2 51" xfId="9411" xr:uid="{00000000-0005-0000-0000-0000B20D0000}"/>
    <cellStyle name="Input 2 52" xfId="10753" xr:uid="{00000000-0005-0000-0000-0000B30D0000}"/>
    <cellStyle name="Input 2 53" xfId="13108" xr:uid="{00000000-0005-0000-0000-0000B40D0000}"/>
    <cellStyle name="Input 2 54" xfId="15997" xr:uid="{00000000-0005-0000-0000-0000B50D0000}"/>
    <cellStyle name="Input 2 55" xfId="17804" xr:uid="{00000000-0005-0000-0000-0000B60D0000}"/>
    <cellStyle name="Input 2 56" xfId="20693" xr:uid="{00000000-0005-0000-0000-0000B70D0000}"/>
    <cellStyle name="Input 2 57" xfId="22425" xr:uid="{00000000-0005-0000-0000-0000B80D0000}"/>
    <cellStyle name="Input 2 58" xfId="2936" xr:uid="{00000000-0005-0000-0000-0000B90D0000}"/>
    <cellStyle name="Input 2 59" xfId="25862" xr:uid="{00000000-0005-0000-0000-0000BA0D0000}"/>
    <cellStyle name="Input 2 6" xfId="3168" xr:uid="{00000000-0005-0000-0000-0000BB0D0000}"/>
    <cellStyle name="Input 2 6 2" xfId="5706" xr:uid="{00000000-0005-0000-0000-0000BC0D0000}"/>
    <cellStyle name="Input 2 6 3" xfId="8488" xr:uid="{00000000-0005-0000-0000-0000BD0D0000}"/>
    <cellStyle name="Input 2 6 4" xfId="11615" xr:uid="{00000000-0005-0000-0000-0000BE0D0000}"/>
    <cellStyle name="Input 2 6 5" xfId="14055" xr:uid="{00000000-0005-0000-0000-0000BF0D0000}"/>
    <cellStyle name="Input 2 6 6" xfId="16461" xr:uid="{00000000-0005-0000-0000-0000C00D0000}"/>
    <cellStyle name="Input 2 6 7" xfId="18751" xr:uid="{00000000-0005-0000-0000-0000C10D0000}"/>
    <cellStyle name="Input 2 6 8" xfId="21157" xr:uid="{00000000-0005-0000-0000-0000C20D0000}"/>
    <cellStyle name="Input 2 6 9" xfId="23289" xr:uid="{00000000-0005-0000-0000-0000C30D0000}"/>
    <cellStyle name="Input 2 60" xfId="32831" xr:uid="{13102D93-8E3A-45DC-909F-4969E36CFF29}"/>
    <cellStyle name="Input 2 7" xfId="3211" xr:uid="{00000000-0005-0000-0000-0000C40D0000}"/>
    <cellStyle name="Input 2 7 2" xfId="5749" xr:uid="{00000000-0005-0000-0000-0000C50D0000}"/>
    <cellStyle name="Input 2 7 3" xfId="9904" xr:uid="{00000000-0005-0000-0000-0000C60D0000}"/>
    <cellStyle name="Input 2 7 4" xfId="11796" xr:uid="{00000000-0005-0000-0000-0000C70D0000}"/>
    <cellStyle name="Input 2 7 5" xfId="14253" xr:uid="{00000000-0005-0000-0000-0000C80D0000}"/>
    <cellStyle name="Input 2 7 6" xfId="16271" xr:uid="{00000000-0005-0000-0000-0000C90D0000}"/>
    <cellStyle name="Input 2 7 7" xfId="18949" xr:uid="{00000000-0005-0000-0000-0000CA0D0000}"/>
    <cellStyle name="Input 2 7 8" xfId="20967" xr:uid="{00000000-0005-0000-0000-0000CB0D0000}"/>
    <cellStyle name="Input 2 7 9" xfId="23471" xr:uid="{00000000-0005-0000-0000-0000CC0D0000}"/>
    <cellStyle name="Input 2 8" xfId="3254" xr:uid="{00000000-0005-0000-0000-0000CD0D0000}"/>
    <cellStyle name="Input 2 8 2" xfId="5792" xr:uid="{00000000-0005-0000-0000-0000CE0D0000}"/>
    <cellStyle name="Input 2 8 3" xfId="10085" xr:uid="{00000000-0005-0000-0000-0000CF0D0000}"/>
    <cellStyle name="Input 2 8 4" xfId="11812" xr:uid="{00000000-0005-0000-0000-0000D00D0000}"/>
    <cellStyle name="Input 2 8 5" xfId="14269" xr:uid="{00000000-0005-0000-0000-0000D10D0000}"/>
    <cellStyle name="Input 2 8 6" xfId="16708" xr:uid="{00000000-0005-0000-0000-0000D20D0000}"/>
    <cellStyle name="Input 2 8 7" xfId="18965" xr:uid="{00000000-0005-0000-0000-0000D30D0000}"/>
    <cellStyle name="Input 2 8 8" xfId="21404" xr:uid="{00000000-0005-0000-0000-0000D40D0000}"/>
    <cellStyle name="Input 2 8 9" xfId="23487" xr:uid="{00000000-0005-0000-0000-0000D50D0000}"/>
    <cellStyle name="Input 2 9" xfId="3297" xr:uid="{00000000-0005-0000-0000-0000D60D0000}"/>
    <cellStyle name="Input 2 9 2" xfId="5835" xr:uid="{00000000-0005-0000-0000-0000D70D0000}"/>
    <cellStyle name="Input 2 9 3" xfId="8310" xr:uid="{00000000-0005-0000-0000-0000D80D0000}"/>
    <cellStyle name="Input 2 9 4" xfId="12111" xr:uid="{00000000-0005-0000-0000-0000D90D0000}"/>
    <cellStyle name="Input 2 9 5" xfId="14593" xr:uid="{00000000-0005-0000-0000-0000DA0D0000}"/>
    <cellStyle name="Input 2 9 6" xfId="16639" xr:uid="{00000000-0005-0000-0000-0000DB0D0000}"/>
    <cellStyle name="Input 2 9 7" xfId="19289" xr:uid="{00000000-0005-0000-0000-0000DC0D0000}"/>
    <cellStyle name="Input 2 9 8" xfId="21335" xr:uid="{00000000-0005-0000-0000-0000DD0D0000}"/>
    <cellStyle name="Input 2 9 9" xfId="23785" xr:uid="{00000000-0005-0000-0000-0000DE0D0000}"/>
    <cellStyle name="Input 3" xfId="511" xr:uid="{00000000-0005-0000-0000-0000DF0D0000}"/>
    <cellStyle name="Input 3 2" xfId="32866" xr:uid="{C0890B38-CB23-4977-B1BA-1B4D6FB3219B}"/>
    <cellStyle name="Input 3 3" xfId="42205" xr:uid="{1B296879-599F-4D9B-BFDC-449C45344C12}"/>
    <cellStyle name="Input 4" xfId="512" xr:uid="{00000000-0005-0000-0000-0000E00D0000}"/>
    <cellStyle name="Input 4 2" xfId="32862" xr:uid="{DFA857C9-AAFC-4E63-87C2-CCC059AA8151}"/>
    <cellStyle name="Input 5" xfId="513" xr:uid="{00000000-0005-0000-0000-0000E10D0000}"/>
    <cellStyle name="Input 5 2" xfId="27653" xr:uid="{00000000-0005-0000-0000-0000E20D0000}"/>
    <cellStyle name="Input 5 3" xfId="34267" xr:uid="{826B586F-3FB3-4803-A8B4-D7E4794A82C7}"/>
    <cellStyle name="Input 6" xfId="27654" xr:uid="{00000000-0005-0000-0000-0000E30D0000}"/>
    <cellStyle name="Input 6 2" xfId="34268" xr:uid="{3F65F766-EB5C-47FA-B2E4-31B62D413428}"/>
    <cellStyle name="Input 7" xfId="27655" xr:uid="{00000000-0005-0000-0000-0000E40D0000}"/>
    <cellStyle name="Input 7 2" xfId="34269" xr:uid="{796639EC-087A-4E8D-9E27-31814BC7815B}"/>
    <cellStyle name="Input 8" xfId="27656" xr:uid="{00000000-0005-0000-0000-0000E50D0000}"/>
    <cellStyle name="Input 8 2" xfId="34270" xr:uid="{D3B2C305-EC22-4DCB-BF64-7EFBB449F9D7}"/>
    <cellStyle name="Input 9" xfId="27657" xr:uid="{00000000-0005-0000-0000-0000E60D0000}"/>
    <cellStyle name="Input 9 2" xfId="34271" xr:uid="{959F7995-F183-4FD9-8ED3-6CB82C1C1028}"/>
    <cellStyle name="Input$0" xfId="514" xr:uid="{00000000-0005-0000-0000-0000E70D0000}"/>
    <cellStyle name="Input$1" xfId="515" xr:uid="{00000000-0005-0000-0000-0000E80D0000}"/>
    <cellStyle name="Input$2" xfId="516" xr:uid="{00000000-0005-0000-0000-0000E90D0000}"/>
    <cellStyle name="Input0" xfId="517" xr:uid="{00000000-0005-0000-0000-0000EA0D0000}"/>
    <cellStyle name="Input1" xfId="518" xr:uid="{00000000-0005-0000-0000-0000EB0D0000}"/>
    <cellStyle name="Input1x" xfId="519" xr:uid="{00000000-0005-0000-0000-0000EC0D0000}"/>
    <cellStyle name="Input2" xfId="520" xr:uid="{00000000-0005-0000-0000-0000ED0D0000}"/>
    <cellStyle name="Input2x" xfId="521" xr:uid="{00000000-0005-0000-0000-0000EE0D0000}"/>
    <cellStyle name="lborder" xfId="522" xr:uid="{00000000-0005-0000-0000-0000EF0D0000}"/>
    <cellStyle name="LeftSubtitle" xfId="523" xr:uid="{00000000-0005-0000-0000-0000F00D0000}"/>
    <cellStyle name="Lines" xfId="524" xr:uid="{00000000-0005-0000-0000-0000F10D0000}"/>
    <cellStyle name="Linked Cell 2" xfId="525" xr:uid="{00000000-0005-0000-0000-0000F20D0000}"/>
    <cellStyle name="Linked Cell 2 2" xfId="526" xr:uid="{00000000-0005-0000-0000-0000F30D0000}"/>
    <cellStyle name="Linked Cell 2 2 2" xfId="27658" xr:uid="{00000000-0005-0000-0000-0000F40D0000}"/>
    <cellStyle name="Linked Cell 2 3" xfId="2937" xr:uid="{00000000-0005-0000-0000-0000F50D0000}"/>
    <cellStyle name="Linked Cell 2 3 2" xfId="26228" xr:uid="{00000000-0005-0000-0000-0000F60D0000}"/>
    <cellStyle name="Linked Cell 2 4" xfId="25865" xr:uid="{00000000-0005-0000-0000-0000F70D0000}"/>
    <cellStyle name="Linked Cell 2 5" xfId="42204" xr:uid="{C846724C-2649-4C65-B564-7212D9EE3568}"/>
    <cellStyle name="Linked Cell 3" xfId="27659" xr:uid="{00000000-0005-0000-0000-0000F80D0000}"/>
    <cellStyle name="Linked Cell 4" xfId="27660" xr:uid="{00000000-0005-0000-0000-0000F90D0000}"/>
    <cellStyle name="Linked Cell 5" xfId="27661" xr:uid="{00000000-0005-0000-0000-0000FA0D0000}"/>
    <cellStyle name="Linked Cell 6" xfId="27662" xr:uid="{00000000-0005-0000-0000-0000FB0D0000}"/>
    <cellStyle name="Linked Cell 7" xfId="27663" xr:uid="{00000000-0005-0000-0000-0000FC0D0000}"/>
    <cellStyle name="Linked Cell 8" xfId="27664" xr:uid="{00000000-0005-0000-0000-0000FD0D0000}"/>
    <cellStyle name="Linked Cell 9" xfId="27665" xr:uid="{00000000-0005-0000-0000-0000FE0D0000}"/>
    <cellStyle name="m" xfId="527" xr:uid="{00000000-0005-0000-0000-0000FF0D0000}"/>
    <cellStyle name="m1" xfId="528" xr:uid="{00000000-0005-0000-0000-0000000E0000}"/>
    <cellStyle name="m2" xfId="529" xr:uid="{00000000-0005-0000-0000-0000010E0000}"/>
    <cellStyle name="m3" xfId="530" xr:uid="{00000000-0005-0000-0000-0000020E0000}"/>
    <cellStyle name="Millares_repenerconsomarzobis" xfId="25866" xr:uid="{00000000-0005-0000-0000-0000030E0000}"/>
    <cellStyle name="Multiple" xfId="531" xr:uid="{00000000-0005-0000-0000-0000040E0000}"/>
    <cellStyle name="Multiple 2" xfId="32675" xr:uid="{A0816D69-894D-4138-BE52-0FD4E2B31AEB}"/>
    <cellStyle name="Negative" xfId="532" xr:uid="{00000000-0005-0000-0000-0000050E0000}"/>
    <cellStyle name="Neutral 2" xfId="533" xr:uid="{00000000-0005-0000-0000-0000060E0000}"/>
    <cellStyle name="Neutral 2 2" xfId="534" xr:uid="{00000000-0005-0000-0000-0000070E0000}"/>
    <cellStyle name="Neutral 2 2 2" xfId="27666" xr:uid="{00000000-0005-0000-0000-0000080E0000}"/>
    <cellStyle name="Neutral 2 2 3" xfId="34278" xr:uid="{2229A625-6EFB-4F86-B3D2-7986FC60FE78}"/>
    <cellStyle name="Neutral 2 3" xfId="2938" xr:uid="{00000000-0005-0000-0000-0000090E0000}"/>
    <cellStyle name="Neutral 2 3 2" xfId="26229" xr:uid="{00000000-0005-0000-0000-00000A0E0000}"/>
    <cellStyle name="Neutral 2 4" xfId="25867" xr:uid="{00000000-0005-0000-0000-00000B0E0000}"/>
    <cellStyle name="Neutral 2 5" xfId="32561" xr:uid="{8D7F3CCA-D1C9-42D7-926B-7E68AA631C8C}"/>
    <cellStyle name="Neutral 2 6" xfId="32833" xr:uid="{5B93C08F-94FB-46FE-BCDA-13D145356B52}"/>
    <cellStyle name="Neutral 2 7" xfId="42203" xr:uid="{CA5E29E9-C660-496B-B37B-11E4A87F39CC}"/>
    <cellStyle name="Neutral 3" xfId="27667" xr:uid="{00000000-0005-0000-0000-00000C0E0000}"/>
    <cellStyle name="Neutral 3 2" xfId="34279" xr:uid="{FF84D619-E298-4846-B39F-10B3D2A96859}"/>
    <cellStyle name="Neutral 4" xfId="27668" xr:uid="{00000000-0005-0000-0000-00000D0E0000}"/>
    <cellStyle name="Neutral 4 2" xfId="34280" xr:uid="{F66AD1DD-4B16-41E6-B4EA-6F1B34A0C4F6}"/>
    <cellStyle name="Neutral 4 3" xfId="42076" xr:uid="{3E710C26-D337-4B63-834C-318A0DBB8367}"/>
    <cellStyle name="Neutral 5" xfId="27669" xr:uid="{00000000-0005-0000-0000-00000E0E0000}"/>
    <cellStyle name="Neutral 5 2" xfId="34281" xr:uid="{6F8A5874-ECC4-44B5-B507-C6C4F9AAFEFE}"/>
    <cellStyle name="Neutral 6" xfId="27670" xr:uid="{00000000-0005-0000-0000-00000F0E0000}"/>
    <cellStyle name="Neutral 6 2" xfId="34282" xr:uid="{29BF520F-4C02-4AE2-8F66-29C1D52F1067}"/>
    <cellStyle name="Neutral 7" xfId="27671" xr:uid="{00000000-0005-0000-0000-0000100E0000}"/>
    <cellStyle name="Neutral 7 2" xfId="34283" xr:uid="{5D761F88-AAD2-4711-A5C2-8C413228822D}"/>
    <cellStyle name="Neutral 8" xfId="27672" xr:uid="{00000000-0005-0000-0000-0000110E0000}"/>
    <cellStyle name="Neutral 8 2" xfId="34284" xr:uid="{E3F474BB-4380-46F3-9A0B-0E2C0DEBFC3C}"/>
    <cellStyle name="Neutral 9" xfId="27673" xr:uid="{00000000-0005-0000-0000-0000120E0000}"/>
    <cellStyle name="Neutral 9 2" xfId="34285" xr:uid="{05465A50-A278-440D-AD8D-0E091F41C19C}"/>
    <cellStyle name="no dec" xfId="535" xr:uid="{00000000-0005-0000-0000-0000130E0000}"/>
    <cellStyle name="Normal" xfId="0" builtinId="0"/>
    <cellStyle name="Normal - Style1" xfId="536" xr:uid="{00000000-0005-0000-0000-0000150E0000}"/>
    <cellStyle name="Normal - Style1 2" xfId="26123" xr:uid="{00000000-0005-0000-0000-0000160E0000}"/>
    <cellStyle name="Normal - Style1 3" xfId="25868" xr:uid="{00000000-0005-0000-0000-0000170E0000}"/>
    <cellStyle name="Normal 10" xfId="537" xr:uid="{00000000-0005-0000-0000-0000180E0000}"/>
    <cellStyle name="Normal 10 10" xfId="538" xr:uid="{00000000-0005-0000-0000-0000190E0000}"/>
    <cellStyle name="Normal 10 10 2" xfId="539" xr:uid="{00000000-0005-0000-0000-00001A0E0000}"/>
    <cellStyle name="Normal 10 10 2 2" xfId="1953" xr:uid="{00000000-0005-0000-0000-00001B0E0000}"/>
    <cellStyle name="Normal 10 10 2 3" xfId="41761" xr:uid="{A2884BAA-716D-4D09-A685-1038B89F3831}"/>
    <cellStyle name="Normal 10 10 3" xfId="1952" xr:uid="{00000000-0005-0000-0000-00001C0E0000}"/>
    <cellStyle name="Normal 10 10 4" xfId="26416" xr:uid="{00000000-0005-0000-0000-00001D0E0000}"/>
    <cellStyle name="Normal 10 10 5" xfId="33059" xr:uid="{4D3D9AB1-2681-4549-B33E-9BA4AA927F0D}"/>
    <cellStyle name="Normal 10 11" xfId="540" xr:uid="{00000000-0005-0000-0000-00001E0E0000}"/>
    <cellStyle name="Normal 10 11 2" xfId="1954" xr:uid="{00000000-0005-0000-0000-00001F0E0000}"/>
    <cellStyle name="Normal 10 11 3" xfId="41543" xr:uid="{FD9C11CC-CF43-42AB-ABA9-C60E31BCC639}"/>
    <cellStyle name="Normal 10 12" xfId="1951" xr:uid="{00000000-0005-0000-0000-0000200E0000}"/>
    <cellStyle name="Normal 10 12 2" xfId="26124" xr:uid="{00000000-0005-0000-0000-0000210E0000}"/>
    <cellStyle name="Normal 10 13" xfId="24174" xr:uid="{00000000-0005-0000-0000-0000220E0000}"/>
    <cellStyle name="Normal 10 14" xfId="24917" xr:uid="{00000000-0005-0000-0000-0000230E0000}"/>
    <cellStyle name="Normal 10 15" xfId="32676" xr:uid="{CAAF3243-9242-40DC-BAB6-363D3D5F5213}"/>
    <cellStyle name="Normal 10 2" xfId="541" xr:uid="{00000000-0005-0000-0000-0000240E0000}"/>
    <cellStyle name="Normal 10 2 2" xfId="542" xr:uid="{00000000-0005-0000-0000-0000250E0000}"/>
    <cellStyle name="Normal 10 2 2 2" xfId="543" xr:uid="{00000000-0005-0000-0000-0000260E0000}"/>
    <cellStyle name="Normal 10 2 2 2 2" xfId="544" xr:uid="{00000000-0005-0000-0000-0000270E0000}"/>
    <cellStyle name="Normal 10 2 2 2 2 2" xfId="1957" xr:uid="{00000000-0005-0000-0000-0000280E0000}"/>
    <cellStyle name="Normal 10 2 2 2 2 2 2" xfId="24879" xr:uid="{00000000-0005-0000-0000-0000290E0000}"/>
    <cellStyle name="Normal 10 2 2 2 2 2 3" xfId="25602" xr:uid="{00000000-0005-0000-0000-00002A0E0000}"/>
    <cellStyle name="Normal 10 2 2 2 2 3" xfId="24500" xr:uid="{00000000-0005-0000-0000-00002B0E0000}"/>
    <cellStyle name="Normal 10 2 2 2 2 4" xfId="25245" xr:uid="{00000000-0005-0000-0000-00002C0E0000}"/>
    <cellStyle name="Normal 10 2 2 2 2 5" xfId="41846" xr:uid="{2AB62850-CF77-4C4C-A758-82D20B5B8997}"/>
    <cellStyle name="Normal 10 2 2 2 3" xfId="1956" xr:uid="{00000000-0005-0000-0000-00002D0E0000}"/>
    <cellStyle name="Normal 10 2 2 2 3 2" xfId="24699" xr:uid="{00000000-0005-0000-0000-00002E0E0000}"/>
    <cellStyle name="Normal 10 2 2 2 3 3" xfId="25422" xr:uid="{00000000-0005-0000-0000-00002F0E0000}"/>
    <cellStyle name="Normal 10 2 2 2 3 4" xfId="26501" xr:uid="{00000000-0005-0000-0000-0000300E0000}"/>
    <cellStyle name="Normal 10 2 2 2 4" xfId="24320" xr:uid="{00000000-0005-0000-0000-0000310E0000}"/>
    <cellStyle name="Normal 10 2 2 2 5" xfId="25065" xr:uid="{00000000-0005-0000-0000-0000320E0000}"/>
    <cellStyle name="Normal 10 2 2 2 6" xfId="26069" xr:uid="{00000000-0005-0000-0000-0000330E0000}"/>
    <cellStyle name="Normal 10 2 2 2 7" xfId="33144" xr:uid="{B9A9B2FD-574F-4D2F-9B0C-E8F2FA86B3A9}"/>
    <cellStyle name="Normal 10 2 2 3" xfId="545" xr:uid="{00000000-0005-0000-0000-0000340E0000}"/>
    <cellStyle name="Normal 10 2 2 3 2" xfId="1958" xr:uid="{00000000-0005-0000-0000-0000350E0000}"/>
    <cellStyle name="Normal 10 2 2 3 2 2" xfId="24791" xr:uid="{00000000-0005-0000-0000-0000360E0000}"/>
    <cellStyle name="Normal 10 2 2 3 2 3" xfId="25514" xr:uid="{00000000-0005-0000-0000-0000370E0000}"/>
    <cellStyle name="Normal 10 2 2 3 3" xfId="24412" xr:uid="{00000000-0005-0000-0000-0000380E0000}"/>
    <cellStyle name="Normal 10 2 2 3 4" xfId="25157" xr:uid="{00000000-0005-0000-0000-0000390E0000}"/>
    <cellStyle name="Normal 10 2 2 3 5" xfId="41630" xr:uid="{E475F613-3DA6-476A-BC3D-C008EF8D11B2}"/>
    <cellStyle name="Normal 10 2 2 4" xfId="1955" xr:uid="{00000000-0005-0000-0000-00003A0E0000}"/>
    <cellStyle name="Normal 10 2 2 4 2" xfId="24611" xr:uid="{00000000-0005-0000-0000-00003B0E0000}"/>
    <cellStyle name="Normal 10 2 2 4 3" xfId="25334" xr:uid="{00000000-0005-0000-0000-00003C0E0000}"/>
    <cellStyle name="Normal 10 2 2 5" xfId="1794" xr:uid="{00000000-0005-0000-0000-00003D0E0000}"/>
    <cellStyle name="Normal 10 2 2 6" xfId="24232" xr:uid="{00000000-0005-0000-0000-00003E0E0000}"/>
    <cellStyle name="Normal 10 2 2 7" xfId="24977" xr:uid="{00000000-0005-0000-0000-00003F0E0000}"/>
    <cellStyle name="Normal 10 2 2 8" xfId="26285" xr:uid="{00000000-0005-0000-0000-0000400E0000}"/>
    <cellStyle name="Normal 10 2 2 9" xfId="32922" xr:uid="{35B9865C-BBBC-41FE-ADEE-994AB0B4FC66}"/>
    <cellStyle name="Normal 10 2 3" xfId="546" xr:uid="{00000000-0005-0000-0000-0000410E0000}"/>
    <cellStyle name="Normal 10 2 3 2" xfId="547" xr:uid="{00000000-0005-0000-0000-0000420E0000}"/>
    <cellStyle name="Normal 10 2 3 2 2" xfId="548" xr:uid="{00000000-0005-0000-0000-0000430E0000}"/>
    <cellStyle name="Normal 10 2 3 2 2 2" xfId="1961" xr:uid="{00000000-0005-0000-0000-0000440E0000}"/>
    <cellStyle name="Normal 10 2 3 2 2 3" xfId="24835" xr:uid="{00000000-0005-0000-0000-0000450E0000}"/>
    <cellStyle name="Normal 10 2 3 2 2 4" xfId="25558" xr:uid="{00000000-0005-0000-0000-0000460E0000}"/>
    <cellStyle name="Normal 10 2 3 2 2 5" xfId="41918" xr:uid="{062DF8DC-03CA-43EE-9C2E-A98902A39BEE}"/>
    <cellStyle name="Normal 10 2 3 2 3" xfId="1960" xr:uid="{00000000-0005-0000-0000-0000470E0000}"/>
    <cellStyle name="Normal 10 2 3 2 4" xfId="24456" xr:uid="{00000000-0005-0000-0000-0000480E0000}"/>
    <cellStyle name="Normal 10 2 3 2 5" xfId="25201" xr:uid="{00000000-0005-0000-0000-0000490E0000}"/>
    <cellStyle name="Normal 10 2 3 2 6" xfId="26573" xr:uid="{00000000-0005-0000-0000-00004A0E0000}"/>
    <cellStyle name="Normal 10 2 3 2 7" xfId="33216" xr:uid="{6A15E736-2BA5-49AB-8652-5B8CEFB6D823}"/>
    <cellStyle name="Normal 10 2 3 3" xfId="549" xr:uid="{00000000-0005-0000-0000-00004B0E0000}"/>
    <cellStyle name="Normal 10 2 3 3 2" xfId="1962" xr:uid="{00000000-0005-0000-0000-00004C0E0000}"/>
    <cellStyle name="Normal 10 2 3 3 3" xfId="24655" xr:uid="{00000000-0005-0000-0000-00004D0E0000}"/>
    <cellStyle name="Normal 10 2 3 3 4" xfId="25378" xr:uid="{00000000-0005-0000-0000-00004E0E0000}"/>
    <cellStyle name="Normal 10 2 3 3 5" xfId="41702" xr:uid="{4D40F56B-5FE7-4DCA-A571-061FEBB5CD23}"/>
    <cellStyle name="Normal 10 2 3 4" xfId="1959" xr:uid="{00000000-0005-0000-0000-00004F0E0000}"/>
    <cellStyle name="Normal 10 2 3 5" xfId="24276" xr:uid="{00000000-0005-0000-0000-0000500E0000}"/>
    <cellStyle name="Normal 10 2 3 6" xfId="25021" xr:uid="{00000000-0005-0000-0000-0000510E0000}"/>
    <cellStyle name="Normal 10 2 3 7" xfId="26357" xr:uid="{00000000-0005-0000-0000-0000520E0000}"/>
    <cellStyle name="Normal 10 2 3 8" xfId="33000" xr:uid="{C1F7D7E5-A0D3-4208-A87F-789FCFD405F1}"/>
    <cellStyle name="Normal 10 2 4" xfId="550" xr:uid="{00000000-0005-0000-0000-0000530E0000}"/>
    <cellStyle name="Normal 10 2 4 2" xfId="551" xr:uid="{00000000-0005-0000-0000-0000540E0000}"/>
    <cellStyle name="Normal 10 2 4 2 2" xfId="1964" xr:uid="{00000000-0005-0000-0000-0000550E0000}"/>
    <cellStyle name="Normal 10 2 4 2 3" xfId="24747" xr:uid="{00000000-0005-0000-0000-0000560E0000}"/>
    <cellStyle name="Normal 10 2 4 2 4" xfId="25470" xr:uid="{00000000-0005-0000-0000-0000570E0000}"/>
    <cellStyle name="Normal 10 2 4 2 5" xfId="41774" xr:uid="{32429F82-7AB0-46EF-B1CA-E60F002AC6F2}"/>
    <cellStyle name="Normal 10 2 4 3" xfId="1963" xr:uid="{00000000-0005-0000-0000-0000580E0000}"/>
    <cellStyle name="Normal 10 2 4 4" xfId="24368" xr:uid="{00000000-0005-0000-0000-0000590E0000}"/>
    <cellStyle name="Normal 10 2 4 5" xfId="25113" xr:uid="{00000000-0005-0000-0000-00005A0E0000}"/>
    <cellStyle name="Normal 10 2 4 6" xfId="26429" xr:uid="{00000000-0005-0000-0000-00005B0E0000}"/>
    <cellStyle name="Normal 10 2 4 7" xfId="33072" xr:uid="{ABD63AC9-4128-40FA-BDBA-504737A914F7}"/>
    <cellStyle name="Normal 10 2 5" xfId="552" xr:uid="{00000000-0005-0000-0000-00005C0E0000}"/>
    <cellStyle name="Normal 10 2 5 2" xfId="1965" xr:uid="{00000000-0005-0000-0000-00005D0E0000}"/>
    <cellStyle name="Normal 10 2 5 3" xfId="24567" xr:uid="{00000000-0005-0000-0000-00005E0E0000}"/>
    <cellStyle name="Normal 10 2 5 4" xfId="25290" xr:uid="{00000000-0005-0000-0000-00005F0E0000}"/>
    <cellStyle name="Normal 10 2 5 5" xfId="41558" xr:uid="{56E951B7-9EBA-443D-924F-E55B7F7EEB40}"/>
    <cellStyle name="Normal 10 2 6" xfId="24188" xr:uid="{00000000-0005-0000-0000-0000600E0000}"/>
    <cellStyle name="Normal 10 2 7" xfId="24933" xr:uid="{00000000-0005-0000-0000-0000610E0000}"/>
    <cellStyle name="Normal 10 2 8" xfId="26145" xr:uid="{00000000-0005-0000-0000-0000620E0000}"/>
    <cellStyle name="Normal 10 2 9" xfId="32718" xr:uid="{434315F8-05B6-452B-8412-DDE2E02D4F0E}"/>
    <cellStyle name="Normal 10 3" xfId="553" xr:uid="{00000000-0005-0000-0000-0000630E0000}"/>
    <cellStyle name="Normal 10 3 2" xfId="554" xr:uid="{00000000-0005-0000-0000-0000640E0000}"/>
    <cellStyle name="Normal 10 3 2 2" xfId="555" xr:uid="{00000000-0005-0000-0000-0000650E0000}"/>
    <cellStyle name="Normal 10 3 2 2 2" xfId="556" xr:uid="{00000000-0005-0000-0000-0000660E0000}"/>
    <cellStyle name="Normal 10 3 2 2 2 2" xfId="1968" xr:uid="{00000000-0005-0000-0000-0000670E0000}"/>
    <cellStyle name="Normal 10 3 2 2 2 3" xfId="41859" xr:uid="{4C592206-6BF4-47CC-8984-0B9CDA474B65}"/>
    <cellStyle name="Normal 10 3 2 2 3" xfId="1967" xr:uid="{00000000-0005-0000-0000-0000680E0000}"/>
    <cellStyle name="Normal 10 3 2 2 4" xfId="26514" xr:uid="{00000000-0005-0000-0000-0000690E0000}"/>
    <cellStyle name="Normal 10 3 2 2 5" xfId="33157" xr:uid="{9554AD8A-25D8-47B9-BBA7-FB48DD31990F}"/>
    <cellStyle name="Normal 10 3 2 3" xfId="557" xr:uid="{00000000-0005-0000-0000-00006A0E0000}"/>
    <cellStyle name="Normal 10 3 2 3 2" xfId="1969" xr:uid="{00000000-0005-0000-0000-00006B0E0000}"/>
    <cellStyle name="Normal 10 3 2 3 3" xfId="41643" xr:uid="{20F19F88-742F-4754-BEB7-15CA82D06841}"/>
    <cellStyle name="Normal 10 3 2 4" xfId="1966" xr:uid="{00000000-0005-0000-0000-00006C0E0000}"/>
    <cellStyle name="Normal 10 3 2 5" xfId="26298" xr:uid="{00000000-0005-0000-0000-00006D0E0000}"/>
    <cellStyle name="Normal 10 3 2 6" xfId="32935" xr:uid="{F53F63DD-9868-4D3C-82CD-E91016908060}"/>
    <cellStyle name="Normal 10 3 3" xfId="558" xr:uid="{00000000-0005-0000-0000-00006E0E0000}"/>
    <cellStyle name="Normal 10 3 3 2" xfId="559" xr:uid="{00000000-0005-0000-0000-00006F0E0000}"/>
    <cellStyle name="Normal 10 3 3 2 2" xfId="560" xr:uid="{00000000-0005-0000-0000-0000700E0000}"/>
    <cellStyle name="Normal 10 3 3 2 2 2" xfId="1972" xr:uid="{00000000-0005-0000-0000-0000710E0000}"/>
    <cellStyle name="Normal 10 3 3 2 2 3" xfId="41931" xr:uid="{6BE9DC07-8F39-42D2-BD8E-4FB9E8B7619E}"/>
    <cellStyle name="Normal 10 3 3 2 3" xfId="1971" xr:uid="{00000000-0005-0000-0000-0000720E0000}"/>
    <cellStyle name="Normal 10 3 3 2 4" xfId="26586" xr:uid="{00000000-0005-0000-0000-0000730E0000}"/>
    <cellStyle name="Normal 10 3 3 2 5" xfId="33229" xr:uid="{531ABB48-1F13-4F5A-BA27-898ABA2CE10C}"/>
    <cellStyle name="Normal 10 3 3 3" xfId="561" xr:uid="{00000000-0005-0000-0000-0000740E0000}"/>
    <cellStyle name="Normal 10 3 3 3 2" xfId="1973" xr:uid="{00000000-0005-0000-0000-0000750E0000}"/>
    <cellStyle name="Normal 10 3 3 3 3" xfId="41715" xr:uid="{39738A85-068F-47F1-A2B2-528686D04E31}"/>
    <cellStyle name="Normal 10 3 3 4" xfId="1970" xr:uid="{00000000-0005-0000-0000-0000760E0000}"/>
    <cellStyle name="Normal 10 3 3 5" xfId="26370" xr:uid="{00000000-0005-0000-0000-0000770E0000}"/>
    <cellStyle name="Normal 10 3 3 6" xfId="33013" xr:uid="{C05B68FD-EEA3-40A3-8DF2-7E8F0902E8AB}"/>
    <cellStyle name="Normal 10 3 4" xfId="562" xr:uid="{00000000-0005-0000-0000-0000780E0000}"/>
    <cellStyle name="Normal 10 3 4 2" xfId="563" xr:uid="{00000000-0005-0000-0000-0000790E0000}"/>
    <cellStyle name="Normal 10 3 4 2 2" xfId="1975" xr:uid="{00000000-0005-0000-0000-00007A0E0000}"/>
    <cellStyle name="Normal 10 3 4 2 3" xfId="41787" xr:uid="{65DD1275-FA82-45CC-8819-9ACA2EFBBAE1}"/>
    <cellStyle name="Normal 10 3 4 3" xfId="1974" xr:uid="{00000000-0005-0000-0000-00007B0E0000}"/>
    <cellStyle name="Normal 10 3 4 4" xfId="26442" xr:uid="{00000000-0005-0000-0000-00007C0E0000}"/>
    <cellStyle name="Normal 10 3 4 5" xfId="33085" xr:uid="{471C40D7-BED6-479E-8A62-31B2107C1111}"/>
    <cellStyle name="Normal 10 3 5" xfId="564" xr:uid="{00000000-0005-0000-0000-00007D0E0000}"/>
    <cellStyle name="Normal 10 3 5 2" xfId="1976" xr:uid="{00000000-0005-0000-0000-00007E0E0000}"/>
    <cellStyle name="Normal 10 3 5 3" xfId="41571" xr:uid="{D425D176-378D-4AF8-B849-9139F8D19B50}"/>
    <cellStyle name="Normal 10 3 6" xfId="565" xr:uid="{00000000-0005-0000-0000-00007F0E0000}"/>
    <cellStyle name="Normal 10 3 6 2" xfId="1977" xr:uid="{00000000-0005-0000-0000-0000800E0000}"/>
    <cellStyle name="Normal 10 3 7" xfId="26158" xr:uid="{00000000-0005-0000-0000-0000810E0000}"/>
    <cellStyle name="Normal 10 3 8" xfId="32731" xr:uid="{9A0CA574-673C-43F9-A817-181BBC11093C}"/>
    <cellStyle name="Normal 10 3 9" xfId="42033" xr:uid="{984E2405-FF41-45BD-8B1F-A299AAA9A1D8}"/>
    <cellStyle name="Normal 10 4" xfId="566" xr:uid="{00000000-0005-0000-0000-0000820E0000}"/>
    <cellStyle name="Normal 10 4 10" xfId="32843" xr:uid="{C103D3DD-DA6D-4555-A340-67E562CE2E74}"/>
    <cellStyle name="Normal 10 4 2" xfId="567" xr:uid="{00000000-0005-0000-0000-0000830E0000}"/>
    <cellStyle name="Normal 10 4 2 2" xfId="568" xr:uid="{00000000-0005-0000-0000-0000840E0000}"/>
    <cellStyle name="Normal 10 4 2 2 2" xfId="569" xr:uid="{00000000-0005-0000-0000-0000850E0000}"/>
    <cellStyle name="Normal 10 4 2 2 2 2" xfId="1981" xr:uid="{00000000-0005-0000-0000-0000860E0000}"/>
    <cellStyle name="Normal 10 4 2 2 2 3" xfId="24866" xr:uid="{00000000-0005-0000-0000-0000870E0000}"/>
    <cellStyle name="Normal 10 4 2 2 2 4" xfId="25589" xr:uid="{00000000-0005-0000-0000-0000880E0000}"/>
    <cellStyle name="Normal 10 4 2 2 2 5" xfId="41876" xr:uid="{B06BD262-7408-41F2-B3B2-988F8E3262E1}"/>
    <cellStyle name="Normal 10 4 2 2 3" xfId="1980" xr:uid="{00000000-0005-0000-0000-0000890E0000}"/>
    <cellStyle name="Normal 10 4 2 2 4" xfId="24487" xr:uid="{00000000-0005-0000-0000-00008A0E0000}"/>
    <cellStyle name="Normal 10 4 2 2 5" xfId="25232" xr:uid="{00000000-0005-0000-0000-00008B0E0000}"/>
    <cellStyle name="Normal 10 4 2 2 6" xfId="26531" xr:uid="{00000000-0005-0000-0000-00008C0E0000}"/>
    <cellStyle name="Normal 10 4 2 2 7" xfId="33174" xr:uid="{104AEFA6-4F91-4D53-AEA2-FB765E4D50F9}"/>
    <cellStyle name="Normal 10 4 2 3" xfId="570" xr:uid="{00000000-0005-0000-0000-00008D0E0000}"/>
    <cellStyle name="Normal 10 4 2 3 2" xfId="1982" xr:uid="{00000000-0005-0000-0000-00008E0E0000}"/>
    <cellStyle name="Normal 10 4 2 3 3" xfId="24686" xr:uid="{00000000-0005-0000-0000-00008F0E0000}"/>
    <cellStyle name="Normal 10 4 2 3 4" xfId="25409" xr:uid="{00000000-0005-0000-0000-0000900E0000}"/>
    <cellStyle name="Normal 10 4 2 3 5" xfId="41660" xr:uid="{D2D00767-D67F-4AF4-B642-7968D0B08594}"/>
    <cellStyle name="Normal 10 4 2 4" xfId="1979" xr:uid="{00000000-0005-0000-0000-0000910E0000}"/>
    <cellStyle name="Normal 10 4 2 5" xfId="24307" xr:uid="{00000000-0005-0000-0000-0000920E0000}"/>
    <cellStyle name="Normal 10 4 2 6" xfId="25052" xr:uid="{00000000-0005-0000-0000-0000930E0000}"/>
    <cellStyle name="Normal 10 4 2 7" xfId="26315" xr:uid="{00000000-0005-0000-0000-0000940E0000}"/>
    <cellStyle name="Normal 10 4 2 8" xfId="32952" xr:uid="{3779B17E-115E-42FA-8EBE-BDBBDE0739E5}"/>
    <cellStyle name="Normal 10 4 3" xfId="571" xr:uid="{00000000-0005-0000-0000-0000950E0000}"/>
    <cellStyle name="Normal 10 4 3 2" xfId="572" xr:uid="{00000000-0005-0000-0000-0000960E0000}"/>
    <cellStyle name="Normal 10 4 3 2 2" xfId="573" xr:uid="{00000000-0005-0000-0000-0000970E0000}"/>
    <cellStyle name="Normal 10 4 3 2 2 2" xfId="1985" xr:uid="{00000000-0005-0000-0000-0000980E0000}"/>
    <cellStyle name="Normal 10 4 3 2 2 3" xfId="41948" xr:uid="{14F805DE-2179-47E4-A855-6484BA82E5E3}"/>
    <cellStyle name="Normal 10 4 3 2 3" xfId="1984" xr:uid="{00000000-0005-0000-0000-0000990E0000}"/>
    <cellStyle name="Normal 10 4 3 2 4" xfId="24778" xr:uid="{00000000-0005-0000-0000-00009A0E0000}"/>
    <cellStyle name="Normal 10 4 3 2 5" xfId="25501" xr:uid="{00000000-0005-0000-0000-00009B0E0000}"/>
    <cellStyle name="Normal 10 4 3 2 6" xfId="26603" xr:uid="{00000000-0005-0000-0000-00009C0E0000}"/>
    <cellStyle name="Normal 10 4 3 2 7" xfId="33246" xr:uid="{E3E5D313-242F-4AEB-86DC-F641986A794B}"/>
    <cellStyle name="Normal 10 4 3 3" xfId="574" xr:uid="{00000000-0005-0000-0000-00009D0E0000}"/>
    <cellStyle name="Normal 10 4 3 3 2" xfId="1986" xr:uid="{00000000-0005-0000-0000-00009E0E0000}"/>
    <cellStyle name="Normal 10 4 3 3 3" xfId="41732" xr:uid="{D267E894-DBD3-4AA0-8C44-B183A2394619}"/>
    <cellStyle name="Normal 10 4 3 4" xfId="1983" xr:uid="{00000000-0005-0000-0000-00009F0E0000}"/>
    <cellStyle name="Normal 10 4 3 5" xfId="24399" xr:uid="{00000000-0005-0000-0000-0000A00E0000}"/>
    <cellStyle name="Normal 10 4 3 6" xfId="25144" xr:uid="{00000000-0005-0000-0000-0000A10E0000}"/>
    <cellStyle name="Normal 10 4 3 7" xfId="26387" xr:uid="{00000000-0005-0000-0000-0000A20E0000}"/>
    <cellStyle name="Normal 10 4 3 8" xfId="33030" xr:uid="{8F3F20FC-9560-40F7-882C-DB4B6033DE92}"/>
    <cellStyle name="Normal 10 4 4" xfId="575" xr:uid="{00000000-0005-0000-0000-0000A30E0000}"/>
    <cellStyle name="Normal 10 4 4 2" xfId="576" xr:uid="{00000000-0005-0000-0000-0000A40E0000}"/>
    <cellStyle name="Normal 10 4 4 2 2" xfId="1988" xr:uid="{00000000-0005-0000-0000-0000A50E0000}"/>
    <cellStyle name="Normal 10 4 4 2 3" xfId="41804" xr:uid="{10FDB1CB-201B-408B-9BBD-282C86482ADD}"/>
    <cellStyle name="Normal 10 4 4 3" xfId="1987" xr:uid="{00000000-0005-0000-0000-0000A60E0000}"/>
    <cellStyle name="Normal 10 4 4 4" xfId="24598" xr:uid="{00000000-0005-0000-0000-0000A70E0000}"/>
    <cellStyle name="Normal 10 4 4 5" xfId="25321" xr:uid="{00000000-0005-0000-0000-0000A80E0000}"/>
    <cellStyle name="Normal 10 4 4 6" xfId="26459" xr:uid="{00000000-0005-0000-0000-0000A90E0000}"/>
    <cellStyle name="Normal 10 4 4 7" xfId="33102" xr:uid="{694B550E-7C24-4017-9D5C-9096F265C0E0}"/>
    <cellStyle name="Normal 10 4 5" xfId="577" xr:uid="{00000000-0005-0000-0000-0000AA0E0000}"/>
    <cellStyle name="Normal 10 4 5 2" xfId="1989" xr:uid="{00000000-0005-0000-0000-0000AB0E0000}"/>
    <cellStyle name="Normal 10 4 5 3" xfId="41588" xr:uid="{238AB8A3-0709-428C-8447-962846489590}"/>
    <cellStyle name="Normal 10 4 6" xfId="1978" xr:uid="{00000000-0005-0000-0000-0000AC0E0000}"/>
    <cellStyle name="Normal 10 4 7" xfId="24219" xr:uid="{00000000-0005-0000-0000-0000AD0E0000}"/>
    <cellStyle name="Normal 10 4 8" xfId="24964" xr:uid="{00000000-0005-0000-0000-0000AE0E0000}"/>
    <cellStyle name="Normal 10 4 9" xfId="26238" xr:uid="{00000000-0005-0000-0000-0000AF0E0000}"/>
    <cellStyle name="Normal 10 5" xfId="578" xr:uid="{00000000-0005-0000-0000-0000B00E0000}"/>
    <cellStyle name="Normal 10 5 10" xfId="32856" xr:uid="{9DE32C46-7738-4793-9F02-76632BBF9B9C}"/>
    <cellStyle name="Normal 10 5 2" xfId="579" xr:uid="{00000000-0005-0000-0000-0000B10E0000}"/>
    <cellStyle name="Normal 10 5 2 2" xfId="580" xr:uid="{00000000-0005-0000-0000-0000B20E0000}"/>
    <cellStyle name="Normal 10 5 2 2 2" xfId="581" xr:uid="{00000000-0005-0000-0000-0000B30E0000}"/>
    <cellStyle name="Normal 10 5 2 2 2 2" xfId="1993" xr:uid="{00000000-0005-0000-0000-0000B40E0000}"/>
    <cellStyle name="Normal 10 5 2 2 2 3" xfId="41882" xr:uid="{C3C612E7-3B87-4D60-B8A8-AA122DF1D64E}"/>
    <cellStyle name="Normal 10 5 2 2 3" xfId="1992" xr:uid="{00000000-0005-0000-0000-0000B50E0000}"/>
    <cellStyle name="Normal 10 5 2 2 4" xfId="24822" xr:uid="{00000000-0005-0000-0000-0000B60E0000}"/>
    <cellStyle name="Normal 10 5 2 2 5" xfId="25545" xr:uid="{00000000-0005-0000-0000-0000B70E0000}"/>
    <cellStyle name="Normal 10 5 2 2 6" xfId="26537" xr:uid="{00000000-0005-0000-0000-0000B80E0000}"/>
    <cellStyle name="Normal 10 5 2 2 7" xfId="33180" xr:uid="{C93D7DD7-F2DA-43C9-BC1C-394FDC46E09B}"/>
    <cellStyle name="Normal 10 5 2 3" xfId="582" xr:uid="{00000000-0005-0000-0000-0000B90E0000}"/>
    <cellStyle name="Normal 10 5 2 3 2" xfId="1994" xr:uid="{00000000-0005-0000-0000-0000BA0E0000}"/>
    <cellStyle name="Normal 10 5 2 3 3" xfId="41666" xr:uid="{4E90B810-5693-4166-A0D5-963B6B820218}"/>
    <cellStyle name="Normal 10 5 2 4" xfId="1991" xr:uid="{00000000-0005-0000-0000-0000BB0E0000}"/>
    <cellStyle name="Normal 10 5 2 5" xfId="24443" xr:uid="{00000000-0005-0000-0000-0000BC0E0000}"/>
    <cellStyle name="Normal 10 5 2 6" xfId="25188" xr:uid="{00000000-0005-0000-0000-0000BD0E0000}"/>
    <cellStyle name="Normal 10 5 2 7" xfId="26321" xr:uid="{00000000-0005-0000-0000-0000BE0E0000}"/>
    <cellStyle name="Normal 10 5 2 8" xfId="32958" xr:uid="{F89E45E2-7CD0-4A07-AE6A-D5F2862B8A41}"/>
    <cellStyle name="Normal 10 5 3" xfId="583" xr:uid="{00000000-0005-0000-0000-0000BF0E0000}"/>
    <cellStyle name="Normal 10 5 3 2" xfId="584" xr:uid="{00000000-0005-0000-0000-0000C00E0000}"/>
    <cellStyle name="Normal 10 5 3 2 2" xfId="585" xr:uid="{00000000-0005-0000-0000-0000C10E0000}"/>
    <cellStyle name="Normal 10 5 3 2 2 2" xfId="1997" xr:uid="{00000000-0005-0000-0000-0000C20E0000}"/>
    <cellStyle name="Normal 10 5 3 2 2 3" xfId="41954" xr:uid="{AA6D79D1-7EA7-45C8-9FF0-E940193E3BE4}"/>
    <cellStyle name="Normal 10 5 3 2 3" xfId="1996" xr:uid="{00000000-0005-0000-0000-0000C30E0000}"/>
    <cellStyle name="Normal 10 5 3 2 4" xfId="26609" xr:uid="{00000000-0005-0000-0000-0000C40E0000}"/>
    <cellStyle name="Normal 10 5 3 2 5" xfId="33252" xr:uid="{6539F67E-CD29-4724-8564-DF3180D4819C}"/>
    <cellStyle name="Normal 10 5 3 3" xfId="586" xr:uid="{00000000-0005-0000-0000-0000C50E0000}"/>
    <cellStyle name="Normal 10 5 3 3 2" xfId="1998" xr:uid="{00000000-0005-0000-0000-0000C60E0000}"/>
    <cellStyle name="Normal 10 5 3 3 3" xfId="41738" xr:uid="{A9BDE588-8A04-4EB7-A34C-AB63D55B62BD}"/>
    <cellStyle name="Normal 10 5 3 4" xfId="1995" xr:uid="{00000000-0005-0000-0000-0000C70E0000}"/>
    <cellStyle name="Normal 10 5 3 5" xfId="24642" xr:uid="{00000000-0005-0000-0000-0000C80E0000}"/>
    <cellStyle name="Normal 10 5 3 6" xfId="25365" xr:uid="{00000000-0005-0000-0000-0000C90E0000}"/>
    <cellStyle name="Normal 10 5 3 7" xfId="26393" xr:uid="{00000000-0005-0000-0000-0000CA0E0000}"/>
    <cellStyle name="Normal 10 5 3 8" xfId="33036" xr:uid="{CE1A0312-047B-40E9-8B0F-3324F4C37183}"/>
    <cellStyle name="Normal 10 5 4" xfId="587" xr:uid="{00000000-0005-0000-0000-0000CB0E0000}"/>
    <cellStyle name="Normal 10 5 4 2" xfId="588" xr:uid="{00000000-0005-0000-0000-0000CC0E0000}"/>
    <cellStyle name="Normal 10 5 4 2 2" xfId="2000" xr:uid="{00000000-0005-0000-0000-0000CD0E0000}"/>
    <cellStyle name="Normal 10 5 4 2 3" xfId="41810" xr:uid="{B766A641-55D1-489B-85DB-D585D4D3B2A0}"/>
    <cellStyle name="Normal 10 5 4 3" xfId="1999" xr:uid="{00000000-0005-0000-0000-0000CE0E0000}"/>
    <cellStyle name="Normal 10 5 4 4" xfId="26465" xr:uid="{00000000-0005-0000-0000-0000CF0E0000}"/>
    <cellStyle name="Normal 10 5 4 5" xfId="33108" xr:uid="{50B67098-22B0-4E5E-9106-3C1286B60410}"/>
    <cellStyle name="Normal 10 5 5" xfId="589" xr:uid="{00000000-0005-0000-0000-0000D00E0000}"/>
    <cellStyle name="Normal 10 5 5 2" xfId="2001" xr:uid="{00000000-0005-0000-0000-0000D10E0000}"/>
    <cellStyle name="Normal 10 5 5 3" xfId="41594" xr:uid="{52626701-3FF1-45B4-839C-3EB8BDABD920}"/>
    <cellStyle name="Normal 10 5 6" xfId="1990" xr:uid="{00000000-0005-0000-0000-0000D20E0000}"/>
    <cellStyle name="Normal 10 5 7" xfId="24263" xr:uid="{00000000-0005-0000-0000-0000D30E0000}"/>
    <cellStyle name="Normal 10 5 8" xfId="25008" xr:uid="{00000000-0005-0000-0000-0000D40E0000}"/>
    <cellStyle name="Normal 10 5 9" xfId="26248" xr:uid="{00000000-0005-0000-0000-0000D50E0000}"/>
    <cellStyle name="Normal 10 6" xfId="590" xr:uid="{00000000-0005-0000-0000-0000D60E0000}"/>
    <cellStyle name="Normal 10 6 10" xfId="32869" xr:uid="{1721AA03-426F-46B4-97E6-580B1DCBEACC}"/>
    <cellStyle name="Normal 10 6 2" xfId="591" xr:uid="{00000000-0005-0000-0000-0000D70E0000}"/>
    <cellStyle name="Normal 10 6 2 2" xfId="592" xr:uid="{00000000-0005-0000-0000-0000D80E0000}"/>
    <cellStyle name="Normal 10 6 2 2 2" xfId="593" xr:uid="{00000000-0005-0000-0000-0000D90E0000}"/>
    <cellStyle name="Normal 10 6 2 2 2 2" xfId="2005" xr:uid="{00000000-0005-0000-0000-0000DA0E0000}"/>
    <cellStyle name="Normal 10 6 2 2 2 3" xfId="41886" xr:uid="{0834846C-A806-47C1-B68D-1D6F6C4952A4}"/>
    <cellStyle name="Normal 10 6 2 2 3" xfId="2004" xr:uid="{00000000-0005-0000-0000-0000DB0E0000}"/>
    <cellStyle name="Normal 10 6 2 2 4" xfId="26541" xr:uid="{00000000-0005-0000-0000-0000DC0E0000}"/>
    <cellStyle name="Normal 10 6 2 2 5" xfId="33184" xr:uid="{919BB67A-E7DD-47BF-AB40-C33C097135F6}"/>
    <cellStyle name="Normal 10 6 2 3" xfId="594" xr:uid="{00000000-0005-0000-0000-0000DD0E0000}"/>
    <cellStyle name="Normal 10 6 2 3 2" xfId="2006" xr:uid="{00000000-0005-0000-0000-0000DE0E0000}"/>
    <cellStyle name="Normal 10 6 2 3 3" xfId="41670" xr:uid="{E8678EA7-2B4B-4575-960D-A083D83BE64B}"/>
    <cellStyle name="Normal 10 6 2 4" xfId="2003" xr:uid="{00000000-0005-0000-0000-0000DF0E0000}"/>
    <cellStyle name="Normal 10 6 2 5" xfId="24732" xr:uid="{00000000-0005-0000-0000-0000E00E0000}"/>
    <cellStyle name="Normal 10 6 2 6" xfId="25455" xr:uid="{00000000-0005-0000-0000-0000E10E0000}"/>
    <cellStyle name="Normal 10 6 2 7" xfId="26325" xr:uid="{00000000-0005-0000-0000-0000E20E0000}"/>
    <cellStyle name="Normal 10 6 2 8" xfId="32968" xr:uid="{78D48932-BDAC-407C-9BEF-6DE7E9A8E1E8}"/>
    <cellStyle name="Normal 10 6 3" xfId="595" xr:uid="{00000000-0005-0000-0000-0000E30E0000}"/>
    <cellStyle name="Normal 10 6 3 2" xfId="596" xr:uid="{00000000-0005-0000-0000-0000E40E0000}"/>
    <cellStyle name="Normal 10 6 3 2 2" xfId="597" xr:uid="{00000000-0005-0000-0000-0000E50E0000}"/>
    <cellStyle name="Normal 10 6 3 2 2 2" xfId="2009" xr:uid="{00000000-0005-0000-0000-0000E60E0000}"/>
    <cellStyle name="Normal 10 6 3 2 2 3" xfId="41958" xr:uid="{5923F149-6812-432A-A1EA-77B1EE177C89}"/>
    <cellStyle name="Normal 10 6 3 2 3" xfId="2008" xr:uid="{00000000-0005-0000-0000-0000E70E0000}"/>
    <cellStyle name="Normal 10 6 3 2 4" xfId="26613" xr:uid="{00000000-0005-0000-0000-0000E80E0000}"/>
    <cellStyle name="Normal 10 6 3 2 5" xfId="33256" xr:uid="{7FB8BFD6-513E-48DE-8548-E0F45ECA26F7}"/>
    <cellStyle name="Normal 10 6 3 3" xfId="598" xr:uid="{00000000-0005-0000-0000-0000E90E0000}"/>
    <cellStyle name="Normal 10 6 3 3 2" xfId="2010" xr:uid="{00000000-0005-0000-0000-0000EA0E0000}"/>
    <cellStyle name="Normal 10 6 3 3 3" xfId="41742" xr:uid="{250FE804-D5B8-4509-B466-6EE6A3112CE1}"/>
    <cellStyle name="Normal 10 6 3 4" xfId="2007" xr:uid="{00000000-0005-0000-0000-0000EB0E0000}"/>
    <cellStyle name="Normal 10 6 3 5" xfId="26397" xr:uid="{00000000-0005-0000-0000-0000EC0E0000}"/>
    <cellStyle name="Normal 10 6 3 6" xfId="33040" xr:uid="{476F5AFE-BE1D-44D3-B7DA-8D7182C96263}"/>
    <cellStyle name="Normal 10 6 4" xfId="599" xr:uid="{00000000-0005-0000-0000-0000ED0E0000}"/>
    <cellStyle name="Normal 10 6 4 2" xfId="600" xr:uid="{00000000-0005-0000-0000-0000EE0E0000}"/>
    <cellStyle name="Normal 10 6 4 2 2" xfId="2012" xr:uid="{00000000-0005-0000-0000-0000EF0E0000}"/>
    <cellStyle name="Normal 10 6 4 2 3" xfId="41814" xr:uid="{FB469D30-8792-4355-977F-22C732230B66}"/>
    <cellStyle name="Normal 10 6 4 3" xfId="2011" xr:uid="{00000000-0005-0000-0000-0000F00E0000}"/>
    <cellStyle name="Normal 10 6 4 4" xfId="26469" xr:uid="{00000000-0005-0000-0000-0000F10E0000}"/>
    <cellStyle name="Normal 10 6 4 5" xfId="33112" xr:uid="{5275E7DD-1BEA-4E00-BB92-F473AAC4D8E2}"/>
    <cellStyle name="Normal 10 6 5" xfId="601" xr:uid="{00000000-0005-0000-0000-0000F20E0000}"/>
    <cellStyle name="Normal 10 6 5 2" xfId="2013" xr:uid="{00000000-0005-0000-0000-0000F30E0000}"/>
    <cellStyle name="Normal 10 6 5 3" xfId="41598" xr:uid="{F513F69D-0862-4808-A368-1DA6338361FD}"/>
    <cellStyle name="Normal 10 6 6" xfId="2002" xr:uid="{00000000-0005-0000-0000-0000F40E0000}"/>
    <cellStyle name="Normal 10 6 7" xfId="24353" xr:uid="{00000000-0005-0000-0000-0000F50E0000}"/>
    <cellStyle name="Normal 10 6 8" xfId="25098" xr:uid="{00000000-0005-0000-0000-0000F60E0000}"/>
    <cellStyle name="Normal 10 6 9" xfId="26253" xr:uid="{00000000-0005-0000-0000-0000F70E0000}"/>
    <cellStyle name="Normal 10 7" xfId="602" xr:uid="{00000000-0005-0000-0000-0000F80E0000}"/>
    <cellStyle name="Normal 10 7 10" xfId="32894" xr:uid="{7A0F7F31-75A0-40E7-B02F-28A9817E10A6}"/>
    <cellStyle name="Normal 10 7 2" xfId="603" xr:uid="{00000000-0005-0000-0000-0000F90E0000}"/>
    <cellStyle name="Normal 10 7 2 2" xfId="604" xr:uid="{00000000-0005-0000-0000-0000FA0E0000}"/>
    <cellStyle name="Normal 10 7 2 2 2" xfId="605" xr:uid="{00000000-0005-0000-0000-0000FB0E0000}"/>
    <cellStyle name="Normal 10 7 2 2 2 2" xfId="2017" xr:uid="{00000000-0005-0000-0000-0000FC0E0000}"/>
    <cellStyle name="Normal 10 7 2 2 2 3" xfId="41901" xr:uid="{0D121FBE-5E3F-4ECA-A4D1-FA96644CB5BF}"/>
    <cellStyle name="Normal 10 7 2 2 3" xfId="2016" xr:uid="{00000000-0005-0000-0000-0000FD0E0000}"/>
    <cellStyle name="Normal 10 7 2 2 4" xfId="26556" xr:uid="{00000000-0005-0000-0000-0000FE0E0000}"/>
    <cellStyle name="Normal 10 7 2 2 5" xfId="33199" xr:uid="{E3F0C8CD-1F58-4ED8-9259-BC13A7B2C81F}"/>
    <cellStyle name="Normal 10 7 2 3" xfId="606" xr:uid="{00000000-0005-0000-0000-0000FF0E0000}"/>
    <cellStyle name="Normal 10 7 2 3 2" xfId="2018" xr:uid="{00000000-0005-0000-0000-0000000F0000}"/>
    <cellStyle name="Normal 10 7 2 3 3" xfId="41685" xr:uid="{97F06256-58AB-4A2D-9686-4F804B527023}"/>
    <cellStyle name="Normal 10 7 2 4" xfId="2015" xr:uid="{00000000-0005-0000-0000-0000010F0000}"/>
    <cellStyle name="Normal 10 7 2 5" xfId="26340" xr:uid="{00000000-0005-0000-0000-0000020F0000}"/>
    <cellStyle name="Normal 10 7 2 6" xfId="32983" xr:uid="{6D25DB3B-79E6-4C46-9CAF-8178F91BED47}"/>
    <cellStyle name="Normal 10 7 3" xfId="607" xr:uid="{00000000-0005-0000-0000-0000030F0000}"/>
    <cellStyle name="Normal 10 7 3 2" xfId="608" xr:uid="{00000000-0005-0000-0000-0000040F0000}"/>
    <cellStyle name="Normal 10 7 3 2 2" xfId="609" xr:uid="{00000000-0005-0000-0000-0000050F0000}"/>
    <cellStyle name="Normal 10 7 3 2 2 2" xfId="2021" xr:uid="{00000000-0005-0000-0000-0000060F0000}"/>
    <cellStyle name="Normal 10 7 3 2 2 3" xfId="41973" xr:uid="{1E29BD31-E575-49AC-BA7E-4F714D0311A0}"/>
    <cellStyle name="Normal 10 7 3 2 3" xfId="2020" xr:uid="{00000000-0005-0000-0000-0000070F0000}"/>
    <cellStyle name="Normal 10 7 3 2 4" xfId="26628" xr:uid="{00000000-0005-0000-0000-0000080F0000}"/>
    <cellStyle name="Normal 10 7 3 2 5" xfId="33271" xr:uid="{785A6304-6A27-4741-9EE9-21C58334C2D4}"/>
    <cellStyle name="Normal 10 7 3 3" xfId="610" xr:uid="{00000000-0005-0000-0000-0000090F0000}"/>
    <cellStyle name="Normal 10 7 3 3 2" xfId="2022" xr:uid="{00000000-0005-0000-0000-00000A0F0000}"/>
    <cellStyle name="Normal 10 7 3 3 3" xfId="41757" xr:uid="{0EB7965F-F6AD-4D1A-B27F-970958A569AB}"/>
    <cellStyle name="Normal 10 7 3 4" xfId="2019" xr:uid="{00000000-0005-0000-0000-00000B0F0000}"/>
    <cellStyle name="Normal 10 7 3 5" xfId="26412" xr:uid="{00000000-0005-0000-0000-00000C0F0000}"/>
    <cellStyle name="Normal 10 7 3 6" xfId="33055" xr:uid="{55982F8D-CB9B-49CA-B954-9A8612EA61E1}"/>
    <cellStyle name="Normal 10 7 4" xfId="611" xr:uid="{00000000-0005-0000-0000-00000D0F0000}"/>
    <cellStyle name="Normal 10 7 4 2" xfId="612" xr:uid="{00000000-0005-0000-0000-00000E0F0000}"/>
    <cellStyle name="Normal 10 7 4 2 2" xfId="2024" xr:uid="{00000000-0005-0000-0000-00000F0F0000}"/>
    <cellStyle name="Normal 10 7 4 2 3" xfId="41829" xr:uid="{87A2C057-639A-4A35-A782-43D1170F47CC}"/>
    <cellStyle name="Normal 10 7 4 3" xfId="2023" xr:uid="{00000000-0005-0000-0000-0000100F0000}"/>
    <cellStyle name="Normal 10 7 4 4" xfId="26484" xr:uid="{00000000-0005-0000-0000-0000110F0000}"/>
    <cellStyle name="Normal 10 7 4 5" xfId="33127" xr:uid="{7E923BC2-0E36-45F5-B0A3-A7940078DDE4}"/>
    <cellStyle name="Normal 10 7 5" xfId="613" xr:uid="{00000000-0005-0000-0000-0000120F0000}"/>
    <cellStyle name="Normal 10 7 5 2" xfId="2025" xr:uid="{00000000-0005-0000-0000-0000130F0000}"/>
    <cellStyle name="Normal 10 7 5 3" xfId="41613" xr:uid="{C4107882-496F-4219-AD8E-B9D82F9A538A}"/>
    <cellStyle name="Normal 10 7 6" xfId="2014" xr:uid="{00000000-0005-0000-0000-0000140F0000}"/>
    <cellStyle name="Normal 10 7 7" xfId="24554" xr:uid="{00000000-0005-0000-0000-0000150F0000}"/>
    <cellStyle name="Normal 10 7 8" xfId="25277" xr:uid="{00000000-0005-0000-0000-0000160F0000}"/>
    <cellStyle name="Normal 10 7 9" xfId="26268" xr:uid="{00000000-0005-0000-0000-0000170F0000}"/>
    <cellStyle name="Normal 10 8" xfId="614" xr:uid="{00000000-0005-0000-0000-0000180F0000}"/>
    <cellStyle name="Normal 10 8 2" xfId="615" xr:uid="{00000000-0005-0000-0000-0000190F0000}"/>
    <cellStyle name="Normal 10 8 2 2" xfId="616" xr:uid="{00000000-0005-0000-0000-00001A0F0000}"/>
    <cellStyle name="Normal 10 8 2 2 2" xfId="2028" xr:uid="{00000000-0005-0000-0000-00001B0F0000}"/>
    <cellStyle name="Normal 10 8 2 2 3" xfId="41833" xr:uid="{3CF83AC1-715A-44AE-956D-D103750808DC}"/>
    <cellStyle name="Normal 10 8 2 3" xfId="2027" xr:uid="{00000000-0005-0000-0000-00001C0F0000}"/>
    <cellStyle name="Normal 10 8 2 4" xfId="26488" xr:uid="{00000000-0005-0000-0000-00001D0F0000}"/>
    <cellStyle name="Normal 10 8 2 5" xfId="33131" xr:uid="{16F9A5AA-07C1-464F-8E3F-A1361967C8BF}"/>
    <cellStyle name="Normal 10 8 3" xfId="617" xr:uid="{00000000-0005-0000-0000-00001E0F0000}"/>
    <cellStyle name="Normal 10 8 3 2" xfId="2029" xr:uid="{00000000-0005-0000-0000-00001F0F0000}"/>
    <cellStyle name="Normal 10 8 3 3" xfId="41617" xr:uid="{061E6F47-274E-4CCC-835B-6ABF353BA4B9}"/>
    <cellStyle name="Normal 10 8 4" xfId="2026" xr:uid="{00000000-0005-0000-0000-0000200F0000}"/>
    <cellStyle name="Normal 10 8 5" xfId="26272" xr:uid="{00000000-0005-0000-0000-0000210F0000}"/>
    <cellStyle name="Normal 10 8 6" xfId="32908" xr:uid="{77B04B04-9526-4426-9F14-5EA054618DFD}"/>
    <cellStyle name="Normal 10 9" xfId="618" xr:uid="{00000000-0005-0000-0000-0000220F0000}"/>
    <cellStyle name="Normal 10 9 2" xfId="619" xr:uid="{00000000-0005-0000-0000-0000230F0000}"/>
    <cellStyle name="Normal 10 9 2 2" xfId="620" xr:uid="{00000000-0005-0000-0000-0000240F0000}"/>
    <cellStyle name="Normal 10 9 2 2 2" xfId="2032" xr:uid="{00000000-0005-0000-0000-0000250F0000}"/>
    <cellStyle name="Normal 10 9 2 2 3" xfId="41905" xr:uid="{D6EB6152-9389-4EF6-96FA-1DB27B3B47BD}"/>
    <cellStyle name="Normal 10 9 2 3" xfId="2031" xr:uid="{00000000-0005-0000-0000-0000260F0000}"/>
    <cellStyle name="Normal 10 9 2 4" xfId="26560" xr:uid="{00000000-0005-0000-0000-0000270F0000}"/>
    <cellStyle name="Normal 10 9 2 5" xfId="33203" xr:uid="{380C189F-6514-46FC-91C0-AB6894402809}"/>
    <cellStyle name="Normal 10 9 3" xfId="621" xr:uid="{00000000-0005-0000-0000-0000280F0000}"/>
    <cellStyle name="Normal 10 9 3 2" xfId="2033" xr:uid="{00000000-0005-0000-0000-0000290F0000}"/>
    <cellStyle name="Normal 10 9 3 3" xfId="41689" xr:uid="{52C7E21E-3299-4E32-8F6A-32D2D807FD93}"/>
    <cellStyle name="Normal 10 9 4" xfId="2030" xr:uid="{00000000-0005-0000-0000-00002A0F0000}"/>
    <cellStyle name="Normal 10 9 5" xfId="26344" xr:uid="{00000000-0005-0000-0000-00002B0F0000}"/>
    <cellStyle name="Normal 10 9 6" xfId="32987" xr:uid="{4F28CFED-4968-46F8-B1A1-6D0DD908C1E7}"/>
    <cellStyle name="Normal 100" xfId="24160" xr:uid="{00000000-0005-0000-0000-00002C0F0000}"/>
    <cellStyle name="Normal 101" xfId="24165" xr:uid="{00000000-0005-0000-0000-00002D0F0000}"/>
    <cellStyle name="Normal 102" xfId="24171" xr:uid="{00000000-0005-0000-0000-00002E0F0000}"/>
    <cellStyle name="Normal 103" xfId="24911" xr:uid="{00000000-0005-0000-0000-00002F0F0000}"/>
    <cellStyle name="Normal 104" xfId="24932" xr:uid="{00000000-0005-0000-0000-0000300F0000}"/>
    <cellStyle name="Normal 105" xfId="24912" xr:uid="{00000000-0005-0000-0000-0000310F0000}"/>
    <cellStyle name="Normal 106" xfId="25635" xr:uid="{00000000-0005-0000-0000-0000320F0000}"/>
    <cellStyle name="Normal 107" xfId="32487" xr:uid="{00000000-0005-0000-0000-0000330F0000}"/>
    <cellStyle name="Normal 108" xfId="32489" xr:uid="{00000000-0005-0000-0000-0000340F0000}"/>
    <cellStyle name="Normal 109" xfId="32492" xr:uid="{00000000-0005-0000-0000-0000350F0000}"/>
    <cellStyle name="Normal 11" xfId="622" xr:uid="{00000000-0005-0000-0000-0000360F0000}"/>
    <cellStyle name="Normal 11 2" xfId="623" xr:uid="{00000000-0005-0000-0000-0000370F0000}"/>
    <cellStyle name="Normal 11 2 2" xfId="624" xr:uid="{00000000-0005-0000-0000-0000380F0000}"/>
    <cellStyle name="Normal 11 2 2 2" xfId="625" xr:uid="{00000000-0005-0000-0000-0000390F0000}"/>
    <cellStyle name="Normal 11 2 2 2 2" xfId="626" xr:uid="{00000000-0005-0000-0000-00003A0F0000}"/>
    <cellStyle name="Normal 11 2 2 2 2 2" xfId="2037" xr:uid="{00000000-0005-0000-0000-00003B0F0000}"/>
    <cellStyle name="Normal 11 2 2 2 2 3" xfId="41877" xr:uid="{3D98655E-3171-4F3C-AF75-A5C239D02797}"/>
    <cellStyle name="Normal 11 2 2 2 3" xfId="2036" xr:uid="{00000000-0005-0000-0000-00003C0F0000}"/>
    <cellStyle name="Normal 11 2 2 2 4" xfId="26532" xr:uid="{00000000-0005-0000-0000-00003D0F0000}"/>
    <cellStyle name="Normal 11 2 2 2 5" xfId="33175" xr:uid="{993CB845-50E7-4D80-9094-E23048AA3A67}"/>
    <cellStyle name="Normal 11 2 2 3" xfId="627" xr:uid="{00000000-0005-0000-0000-00003E0F0000}"/>
    <cellStyle name="Normal 11 2 2 3 2" xfId="2038" xr:uid="{00000000-0005-0000-0000-00003F0F0000}"/>
    <cellStyle name="Normal 11 2 2 3 3" xfId="41661" xr:uid="{611F4068-2CD0-4340-8DEC-FB9537889793}"/>
    <cellStyle name="Normal 11 2 2 4" xfId="2035" xr:uid="{00000000-0005-0000-0000-0000400F0000}"/>
    <cellStyle name="Normal 11 2 2 5" xfId="26316" xr:uid="{00000000-0005-0000-0000-0000410F0000}"/>
    <cellStyle name="Normal 11 2 2 6" xfId="32953" xr:uid="{140C2062-1CCA-4CD6-9080-05383C3ACA06}"/>
    <cellStyle name="Normal 11 2 3" xfId="628" xr:uid="{00000000-0005-0000-0000-0000420F0000}"/>
    <cellStyle name="Normal 11 2 3 2" xfId="629" xr:uid="{00000000-0005-0000-0000-0000430F0000}"/>
    <cellStyle name="Normal 11 2 3 2 2" xfId="630" xr:uid="{00000000-0005-0000-0000-0000440F0000}"/>
    <cellStyle name="Normal 11 2 3 2 2 2" xfId="2041" xr:uid="{00000000-0005-0000-0000-0000450F0000}"/>
    <cellStyle name="Normal 11 2 3 2 2 3" xfId="41949" xr:uid="{44942D93-0923-4412-8C47-FCA6AB80CA66}"/>
    <cellStyle name="Normal 11 2 3 2 3" xfId="2040" xr:uid="{00000000-0005-0000-0000-0000460F0000}"/>
    <cellStyle name="Normal 11 2 3 2 4" xfId="26604" xr:uid="{00000000-0005-0000-0000-0000470F0000}"/>
    <cellStyle name="Normal 11 2 3 2 5" xfId="33247" xr:uid="{A4541770-9C96-4C71-9C4D-1DDA430B28B8}"/>
    <cellStyle name="Normal 11 2 3 3" xfId="631" xr:uid="{00000000-0005-0000-0000-0000480F0000}"/>
    <cellStyle name="Normal 11 2 3 3 2" xfId="2042" xr:uid="{00000000-0005-0000-0000-0000490F0000}"/>
    <cellStyle name="Normal 11 2 3 3 3" xfId="41733" xr:uid="{91C641C7-C661-4511-BECC-E8084491A974}"/>
    <cellStyle name="Normal 11 2 3 4" xfId="2039" xr:uid="{00000000-0005-0000-0000-00004A0F0000}"/>
    <cellStyle name="Normal 11 2 3 5" xfId="26388" xr:uid="{00000000-0005-0000-0000-00004B0F0000}"/>
    <cellStyle name="Normal 11 2 3 6" xfId="33031" xr:uid="{7002473F-4626-434C-8DAA-D2AE82117C67}"/>
    <cellStyle name="Normal 11 2 4" xfId="632" xr:uid="{00000000-0005-0000-0000-00004C0F0000}"/>
    <cellStyle name="Normal 11 2 4 2" xfId="633" xr:uid="{00000000-0005-0000-0000-00004D0F0000}"/>
    <cellStyle name="Normal 11 2 4 2 2" xfId="2044" xr:uid="{00000000-0005-0000-0000-00004E0F0000}"/>
    <cellStyle name="Normal 11 2 4 2 3" xfId="41805" xr:uid="{B6E52F30-BB89-470E-84D9-3D6842D140E3}"/>
    <cellStyle name="Normal 11 2 4 3" xfId="2043" xr:uid="{00000000-0005-0000-0000-00004F0F0000}"/>
    <cellStyle name="Normal 11 2 4 4" xfId="26460" xr:uid="{00000000-0005-0000-0000-0000500F0000}"/>
    <cellStyle name="Normal 11 2 4 5" xfId="33103" xr:uid="{FC44265C-CF43-438A-8AC2-7B9BAABAFA11}"/>
    <cellStyle name="Normal 11 2 5" xfId="634" xr:uid="{00000000-0005-0000-0000-0000510F0000}"/>
    <cellStyle name="Normal 11 2 5 2" xfId="2045" xr:uid="{00000000-0005-0000-0000-0000520F0000}"/>
    <cellStyle name="Normal 11 2 5 3" xfId="41589" xr:uid="{B7FD6814-B081-48D3-9C0C-F69C82BA84BC}"/>
    <cellStyle name="Normal 11 2 6" xfId="2034" xr:uid="{00000000-0005-0000-0000-0000530F0000}"/>
    <cellStyle name="Normal 11 2 6 2" xfId="26239" xr:uid="{00000000-0005-0000-0000-0000540F0000}"/>
    <cellStyle name="Normal 11 2 7" xfId="26030" xr:uid="{00000000-0005-0000-0000-0000550F0000}"/>
    <cellStyle name="Normal 11 2 8" xfId="32844" xr:uid="{525D5A0A-6139-4571-97CF-1269A25665FD}"/>
    <cellStyle name="Normal 11 2 9" xfId="42332" xr:uid="{A5ADF1C9-C5A7-4DC3-8545-6C876CE78753}"/>
    <cellStyle name="Normal 11 3" xfId="635" xr:uid="{00000000-0005-0000-0000-0000560F0000}"/>
    <cellStyle name="Normal 11 3 2" xfId="636" xr:uid="{00000000-0005-0000-0000-0000570F0000}"/>
    <cellStyle name="Normal 11 3 2 2" xfId="637" xr:uid="{00000000-0005-0000-0000-0000580F0000}"/>
    <cellStyle name="Normal 11 3 2 2 2" xfId="638" xr:uid="{00000000-0005-0000-0000-0000590F0000}"/>
    <cellStyle name="Normal 11 3 2 2 2 2" xfId="2049" xr:uid="{00000000-0005-0000-0000-00005A0F0000}"/>
    <cellStyle name="Normal 11 3 2 2 2 3" xfId="41883" xr:uid="{E7023EA7-38EF-4191-B43B-B9F15ED33840}"/>
    <cellStyle name="Normal 11 3 2 2 3" xfId="2048" xr:uid="{00000000-0005-0000-0000-00005B0F0000}"/>
    <cellStyle name="Normal 11 3 2 2 4" xfId="26538" xr:uid="{00000000-0005-0000-0000-00005C0F0000}"/>
    <cellStyle name="Normal 11 3 2 2 5" xfId="33181" xr:uid="{D23EC042-42DE-440B-A354-E5F65FA06124}"/>
    <cellStyle name="Normal 11 3 2 3" xfId="639" xr:uid="{00000000-0005-0000-0000-00005D0F0000}"/>
    <cellStyle name="Normal 11 3 2 3 2" xfId="2050" xr:uid="{00000000-0005-0000-0000-00005E0F0000}"/>
    <cellStyle name="Normal 11 3 2 3 3" xfId="41667" xr:uid="{B81DF1A2-9A89-4658-BA7C-05224C8BB165}"/>
    <cellStyle name="Normal 11 3 2 4" xfId="2047" xr:uid="{00000000-0005-0000-0000-00005F0F0000}"/>
    <cellStyle name="Normal 11 3 2 5" xfId="26322" xr:uid="{00000000-0005-0000-0000-0000600F0000}"/>
    <cellStyle name="Normal 11 3 2 6" xfId="32959" xr:uid="{4A9FDE42-F815-4216-A5F4-A18D40C942E4}"/>
    <cellStyle name="Normal 11 3 3" xfId="640" xr:uid="{00000000-0005-0000-0000-0000610F0000}"/>
    <cellStyle name="Normal 11 3 3 2" xfId="641" xr:uid="{00000000-0005-0000-0000-0000620F0000}"/>
    <cellStyle name="Normal 11 3 3 2 2" xfId="642" xr:uid="{00000000-0005-0000-0000-0000630F0000}"/>
    <cellStyle name="Normal 11 3 3 2 2 2" xfId="2053" xr:uid="{00000000-0005-0000-0000-0000640F0000}"/>
    <cellStyle name="Normal 11 3 3 2 2 3" xfId="41955" xr:uid="{7D1ED2F7-EAEE-49BE-8FA4-FC9DFFF917AA}"/>
    <cellStyle name="Normal 11 3 3 2 3" xfId="2052" xr:uid="{00000000-0005-0000-0000-0000650F0000}"/>
    <cellStyle name="Normal 11 3 3 2 4" xfId="26610" xr:uid="{00000000-0005-0000-0000-0000660F0000}"/>
    <cellStyle name="Normal 11 3 3 2 5" xfId="33253" xr:uid="{29847892-50F5-4F73-89D0-D0C5E47074F5}"/>
    <cellStyle name="Normal 11 3 3 3" xfId="643" xr:uid="{00000000-0005-0000-0000-0000670F0000}"/>
    <cellStyle name="Normal 11 3 3 3 2" xfId="2054" xr:uid="{00000000-0005-0000-0000-0000680F0000}"/>
    <cellStyle name="Normal 11 3 3 3 3" xfId="41739" xr:uid="{F0DE6D5E-6108-4848-B67C-52BB58287A5A}"/>
    <cellStyle name="Normal 11 3 3 4" xfId="2051" xr:uid="{00000000-0005-0000-0000-0000690F0000}"/>
    <cellStyle name="Normal 11 3 3 5" xfId="26394" xr:uid="{00000000-0005-0000-0000-00006A0F0000}"/>
    <cellStyle name="Normal 11 3 3 6" xfId="33037" xr:uid="{AE380D91-7895-434D-B8CE-75D60F08B044}"/>
    <cellStyle name="Normal 11 3 4" xfId="644" xr:uid="{00000000-0005-0000-0000-00006B0F0000}"/>
    <cellStyle name="Normal 11 3 4 2" xfId="645" xr:uid="{00000000-0005-0000-0000-00006C0F0000}"/>
    <cellStyle name="Normal 11 3 4 2 2" xfId="2056" xr:uid="{00000000-0005-0000-0000-00006D0F0000}"/>
    <cellStyle name="Normal 11 3 4 2 3" xfId="41811" xr:uid="{4D41CCC4-D0E9-4E87-B198-1856CF675E8E}"/>
    <cellStyle name="Normal 11 3 4 3" xfId="2055" xr:uid="{00000000-0005-0000-0000-00006E0F0000}"/>
    <cellStyle name="Normal 11 3 4 4" xfId="26466" xr:uid="{00000000-0005-0000-0000-00006F0F0000}"/>
    <cellStyle name="Normal 11 3 4 5" xfId="33109" xr:uid="{D9CB7AD4-0FC4-49BF-9C1C-44FF8D41E22C}"/>
    <cellStyle name="Normal 11 3 5" xfId="646" xr:uid="{00000000-0005-0000-0000-0000700F0000}"/>
    <cellStyle name="Normal 11 3 5 2" xfId="2057" xr:uid="{00000000-0005-0000-0000-0000710F0000}"/>
    <cellStyle name="Normal 11 3 5 3" xfId="41595" xr:uid="{8A304818-8FB1-4B0B-ADBF-32DB9A4004CF}"/>
    <cellStyle name="Normal 11 3 6" xfId="2046" xr:uid="{00000000-0005-0000-0000-0000720F0000}"/>
    <cellStyle name="Normal 11 3 7" xfId="5277" xr:uid="{00000000-0005-0000-0000-0000730F0000}"/>
    <cellStyle name="Normal 11 3 8" xfId="26249" xr:uid="{00000000-0005-0000-0000-0000740F0000}"/>
    <cellStyle name="Normal 11 3 9" xfId="32857" xr:uid="{8BAE4AD0-B150-4A56-8D70-6A9D2956F1D3}"/>
    <cellStyle name="Normal 11 4" xfId="647" xr:uid="{00000000-0005-0000-0000-0000750F0000}"/>
    <cellStyle name="Normal 11 4 2" xfId="648" xr:uid="{00000000-0005-0000-0000-0000760F0000}"/>
    <cellStyle name="Normal 11 4 2 2" xfId="649" xr:uid="{00000000-0005-0000-0000-0000770F0000}"/>
    <cellStyle name="Normal 11 4 2 2 2" xfId="650" xr:uid="{00000000-0005-0000-0000-0000780F0000}"/>
    <cellStyle name="Normal 11 4 2 2 2 2" xfId="2061" xr:uid="{00000000-0005-0000-0000-0000790F0000}"/>
    <cellStyle name="Normal 11 4 2 2 2 3" xfId="41902" xr:uid="{BAA2E107-C9E5-43F9-9AC8-43E24EB56119}"/>
    <cellStyle name="Normal 11 4 2 2 3" xfId="2060" xr:uid="{00000000-0005-0000-0000-00007A0F0000}"/>
    <cellStyle name="Normal 11 4 2 2 4" xfId="26557" xr:uid="{00000000-0005-0000-0000-00007B0F0000}"/>
    <cellStyle name="Normal 11 4 2 2 5" xfId="33200" xr:uid="{A2075EFD-62CE-44BC-88CC-1422E5948FD3}"/>
    <cellStyle name="Normal 11 4 2 3" xfId="651" xr:uid="{00000000-0005-0000-0000-00007C0F0000}"/>
    <cellStyle name="Normal 11 4 2 3 2" xfId="2062" xr:uid="{00000000-0005-0000-0000-00007D0F0000}"/>
    <cellStyle name="Normal 11 4 2 3 3" xfId="41686" xr:uid="{99BB6A96-2231-4288-80FA-A5FCA2FFF2C8}"/>
    <cellStyle name="Normal 11 4 2 4" xfId="2059" xr:uid="{00000000-0005-0000-0000-00007E0F0000}"/>
    <cellStyle name="Normal 11 4 2 5" xfId="26341" xr:uid="{00000000-0005-0000-0000-00007F0F0000}"/>
    <cellStyle name="Normal 11 4 2 6" xfId="32984" xr:uid="{0A7205DF-C1AA-493A-977C-616591945E62}"/>
    <cellStyle name="Normal 11 4 3" xfId="652" xr:uid="{00000000-0005-0000-0000-0000800F0000}"/>
    <cellStyle name="Normal 11 4 3 2" xfId="653" xr:uid="{00000000-0005-0000-0000-0000810F0000}"/>
    <cellStyle name="Normal 11 4 3 2 2" xfId="654" xr:uid="{00000000-0005-0000-0000-0000820F0000}"/>
    <cellStyle name="Normal 11 4 3 2 2 2" xfId="2065" xr:uid="{00000000-0005-0000-0000-0000830F0000}"/>
    <cellStyle name="Normal 11 4 3 2 2 3" xfId="41974" xr:uid="{482351AE-B4E5-496C-A2DC-0E78CB4CDC83}"/>
    <cellStyle name="Normal 11 4 3 2 3" xfId="2064" xr:uid="{00000000-0005-0000-0000-0000840F0000}"/>
    <cellStyle name="Normal 11 4 3 2 4" xfId="26629" xr:uid="{00000000-0005-0000-0000-0000850F0000}"/>
    <cellStyle name="Normal 11 4 3 2 5" xfId="33272" xr:uid="{BE7EB4B0-FA47-47CE-BCF4-CA9EA99DFE84}"/>
    <cellStyle name="Normal 11 4 3 3" xfId="655" xr:uid="{00000000-0005-0000-0000-0000860F0000}"/>
    <cellStyle name="Normal 11 4 3 3 2" xfId="2066" xr:uid="{00000000-0005-0000-0000-0000870F0000}"/>
    <cellStyle name="Normal 11 4 3 3 3" xfId="41758" xr:uid="{A743464C-FA20-4273-8775-C6A5C7A7CB37}"/>
    <cellStyle name="Normal 11 4 3 4" xfId="2063" xr:uid="{00000000-0005-0000-0000-0000880F0000}"/>
    <cellStyle name="Normal 11 4 3 5" xfId="26413" xr:uid="{00000000-0005-0000-0000-0000890F0000}"/>
    <cellStyle name="Normal 11 4 3 6" xfId="33056" xr:uid="{B2B0F8F8-6253-4CFA-9E9F-E01838177ECD}"/>
    <cellStyle name="Normal 11 4 4" xfId="656" xr:uid="{00000000-0005-0000-0000-00008A0F0000}"/>
    <cellStyle name="Normal 11 4 4 2" xfId="657" xr:uid="{00000000-0005-0000-0000-00008B0F0000}"/>
    <cellStyle name="Normal 11 4 4 2 2" xfId="2068" xr:uid="{00000000-0005-0000-0000-00008C0F0000}"/>
    <cellStyle name="Normal 11 4 4 2 3" xfId="41830" xr:uid="{DCB4E180-60B4-47F7-B5F8-9DBC8FFA50DB}"/>
    <cellStyle name="Normal 11 4 4 3" xfId="2067" xr:uid="{00000000-0005-0000-0000-00008D0F0000}"/>
    <cellStyle name="Normal 11 4 4 4" xfId="26485" xr:uid="{00000000-0005-0000-0000-00008E0F0000}"/>
    <cellStyle name="Normal 11 4 4 5" xfId="33128" xr:uid="{FC2602AC-9693-49CC-BB34-3ED970059DA2}"/>
    <cellStyle name="Normal 11 4 5" xfId="658" xr:uid="{00000000-0005-0000-0000-00008F0F0000}"/>
    <cellStyle name="Normal 11 4 5 2" xfId="2069" xr:uid="{00000000-0005-0000-0000-0000900F0000}"/>
    <cellStyle name="Normal 11 4 5 3" xfId="41614" xr:uid="{78A71A80-DD3C-4F70-8E75-7FD225B5AB9D}"/>
    <cellStyle name="Normal 11 4 6" xfId="2058" xr:uid="{00000000-0005-0000-0000-0000910F0000}"/>
    <cellStyle name="Normal 11 4 7" xfId="26269" xr:uid="{00000000-0005-0000-0000-0000920F0000}"/>
    <cellStyle name="Normal 11 4 8" xfId="32895" xr:uid="{24BE2AE9-A6AD-4D44-87E0-99361C24AB9A}"/>
    <cellStyle name="Normal 11 5" xfId="5414" xr:uid="{00000000-0005-0000-0000-0000930F0000}"/>
    <cellStyle name="Normal 11 5 2" xfId="26125" xr:uid="{00000000-0005-0000-0000-0000940F0000}"/>
    <cellStyle name="Normal 11 6" xfId="25869" xr:uid="{00000000-0005-0000-0000-0000950F0000}"/>
    <cellStyle name="Normal 11 7" xfId="32677" xr:uid="{BBF4B65A-B214-4065-A98C-DCA60C207D5C}"/>
    <cellStyle name="Normal 110" xfId="32493" xr:uid="{00000000-0005-0000-0000-0000960F0000}"/>
    <cellStyle name="Normal 111" xfId="32496" xr:uid="{00000000-0005-0000-0000-0000970F0000}"/>
    <cellStyle name="Normal 112" xfId="32504" xr:uid="{00000000-0005-0000-0000-0000980F0000}"/>
    <cellStyle name="Normal 113" xfId="32507" xr:uid="{00000000-0005-0000-0000-0000990F0000}"/>
    <cellStyle name="Normal 114" xfId="32511" xr:uid="{00000000-0005-0000-0000-00009A0F0000}"/>
    <cellStyle name="Normal 115" xfId="32518" xr:uid="{00000000-0005-0000-0000-00009B0F0000}"/>
    <cellStyle name="Normal 115 2" xfId="26101" xr:uid="{00000000-0005-0000-0000-00009C0F0000}"/>
    <cellStyle name="Normal 116" xfId="32522" xr:uid="{00000000-0005-0000-0000-00009D0F0000}"/>
    <cellStyle name="Normal 117" xfId="32527" xr:uid="{00000000-0005-0000-0000-00009E0F0000}"/>
    <cellStyle name="Normal 118" xfId="32528" xr:uid="{BDCFF519-973C-45C7-9E66-ADCCD58B3D2B}"/>
    <cellStyle name="Normal 119" xfId="32531" xr:uid="{C5496333-6D63-4544-9E34-4451A4E38DA2}"/>
    <cellStyle name="Normal 12" xfId="659" xr:uid="{00000000-0005-0000-0000-00009F0F0000}"/>
    <cellStyle name="Normal 12 10" xfId="25870" xr:uid="{00000000-0005-0000-0000-0000A00F0000}"/>
    <cellStyle name="Normal 12 11" xfId="32515" xr:uid="{00000000-0005-0000-0000-0000A10F0000}"/>
    <cellStyle name="Normal 12 2" xfId="660" xr:uid="{00000000-0005-0000-0000-0000A20F0000}"/>
    <cellStyle name="Normal 12 2 10" xfId="42073" xr:uid="{D6F9E9C5-3ADE-4F6D-8866-8DEEE8285FD5}"/>
    <cellStyle name="Normal 12 2 2" xfId="661" xr:uid="{00000000-0005-0000-0000-0000A30F0000}"/>
    <cellStyle name="Normal 12 2 2 2" xfId="662" xr:uid="{00000000-0005-0000-0000-0000A40F0000}"/>
    <cellStyle name="Normal 12 2 2 2 2" xfId="663" xr:uid="{00000000-0005-0000-0000-0000A50F0000}"/>
    <cellStyle name="Normal 12 2 2 2 2 2" xfId="2074" xr:uid="{00000000-0005-0000-0000-0000A60F0000}"/>
    <cellStyle name="Normal 12 2 2 2 2 2 2" xfId="24906" xr:uid="{00000000-0005-0000-0000-0000A70F0000}"/>
    <cellStyle name="Normal 12 2 2 2 2 2 2 2" xfId="25629" xr:uid="{00000000-0005-0000-0000-0000A80F0000}"/>
    <cellStyle name="Normal 12 2 2 2 2 2 3" xfId="24527" xr:uid="{00000000-0005-0000-0000-0000A90F0000}"/>
    <cellStyle name="Normal 12 2 2 2 2 2 4" xfId="25272" xr:uid="{00000000-0005-0000-0000-0000AA0F0000}"/>
    <cellStyle name="Normal 12 2 2 2 2 3" xfId="24726" xr:uid="{00000000-0005-0000-0000-0000AB0F0000}"/>
    <cellStyle name="Normal 12 2 2 2 2 3 2" xfId="25449" xr:uid="{00000000-0005-0000-0000-0000AC0F0000}"/>
    <cellStyle name="Normal 12 2 2 2 2 4" xfId="24347" xr:uid="{00000000-0005-0000-0000-0000AD0F0000}"/>
    <cellStyle name="Normal 12 2 2 2 2 5" xfId="25092" xr:uid="{00000000-0005-0000-0000-0000AE0F0000}"/>
    <cellStyle name="Normal 12 2 2 2 3" xfId="2073" xr:uid="{00000000-0005-0000-0000-0000AF0F0000}"/>
    <cellStyle name="Normal 12 2 2 2 3 2" xfId="24818" xr:uid="{00000000-0005-0000-0000-0000B00F0000}"/>
    <cellStyle name="Normal 12 2 2 2 3 2 2" xfId="25541" xr:uid="{00000000-0005-0000-0000-0000B10F0000}"/>
    <cellStyle name="Normal 12 2 2 2 3 3" xfId="24439" xr:uid="{00000000-0005-0000-0000-0000B20F0000}"/>
    <cellStyle name="Normal 12 2 2 2 3 4" xfId="25184" xr:uid="{00000000-0005-0000-0000-0000B30F0000}"/>
    <cellStyle name="Normal 12 2 2 2 4" xfId="24638" xr:uid="{00000000-0005-0000-0000-0000B40F0000}"/>
    <cellStyle name="Normal 12 2 2 2 4 2" xfId="25361" xr:uid="{00000000-0005-0000-0000-0000B50F0000}"/>
    <cellStyle name="Normal 12 2 2 2 5" xfId="24259" xr:uid="{00000000-0005-0000-0000-0000B60F0000}"/>
    <cellStyle name="Normal 12 2 2 2 6" xfId="25004" xr:uid="{00000000-0005-0000-0000-0000B70F0000}"/>
    <cellStyle name="Normal 12 2 2 3" xfId="664" xr:uid="{00000000-0005-0000-0000-0000B80F0000}"/>
    <cellStyle name="Normal 12 2 2 3 2" xfId="2075" xr:uid="{00000000-0005-0000-0000-0000B90F0000}"/>
    <cellStyle name="Normal 12 2 2 3 2 2" xfId="24862" xr:uid="{00000000-0005-0000-0000-0000BA0F0000}"/>
    <cellStyle name="Normal 12 2 2 3 2 2 2" xfId="25585" xr:uid="{00000000-0005-0000-0000-0000BB0F0000}"/>
    <cellStyle name="Normal 12 2 2 3 2 3" xfId="24483" xr:uid="{00000000-0005-0000-0000-0000BC0F0000}"/>
    <cellStyle name="Normal 12 2 2 3 2 4" xfId="25228" xr:uid="{00000000-0005-0000-0000-0000BD0F0000}"/>
    <cellStyle name="Normal 12 2 2 3 3" xfId="24682" xr:uid="{00000000-0005-0000-0000-0000BE0F0000}"/>
    <cellStyle name="Normal 12 2 2 3 3 2" xfId="25405" xr:uid="{00000000-0005-0000-0000-0000BF0F0000}"/>
    <cellStyle name="Normal 12 2 2 3 4" xfId="24303" xr:uid="{00000000-0005-0000-0000-0000C00F0000}"/>
    <cellStyle name="Normal 12 2 2 3 5" xfId="25048" xr:uid="{00000000-0005-0000-0000-0000C10F0000}"/>
    <cellStyle name="Normal 12 2 2 4" xfId="2072" xr:uid="{00000000-0005-0000-0000-0000C20F0000}"/>
    <cellStyle name="Normal 12 2 2 4 2" xfId="24774" xr:uid="{00000000-0005-0000-0000-0000C30F0000}"/>
    <cellStyle name="Normal 12 2 2 4 2 2" xfId="25497" xr:uid="{00000000-0005-0000-0000-0000C40F0000}"/>
    <cellStyle name="Normal 12 2 2 4 3" xfId="24395" xr:uid="{00000000-0005-0000-0000-0000C50F0000}"/>
    <cellStyle name="Normal 12 2 2 4 4" xfId="25140" xr:uid="{00000000-0005-0000-0000-0000C60F0000}"/>
    <cellStyle name="Normal 12 2 2 5" xfId="24594" xr:uid="{00000000-0005-0000-0000-0000C70F0000}"/>
    <cellStyle name="Normal 12 2 2 5 2" xfId="25317" xr:uid="{00000000-0005-0000-0000-0000C80F0000}"/>
    <cellStyle name="Normal 12 2 2 6" xfId="24215" xr:uid="{00000000-0005-0000-0000-0000C90F0000}"/>
    <cellStyle name="Normal 12 2 2 7" xfId="24960" xr:uid="{00000000-0005-0000-0000-0000CA0F0000}"/>
    <cellStyle name="Normal 12 2 2 8" xfId="26240" xr:uid="{00000000-0005-0000-0000-0000CB0F0000}"/>
    <cellStyle name="Normal 12 2 3" xfId="665" xr:uid="{00000000-0005-0000-0000-0000CC0F0000}"/>
    <cellStyle name="Normal 12 2 3 2" xfId="666" xr:uid="{00000000-0005-0000-0000-0000CD0F0000}"/>
    <cellStyle name="Normal 12 2 3 2 2" xfId="2077" xr:uid="{00000000-0005-0000-0000-0000CE0F0000}"/>
    <cellStyle name="Normal 12 2 3 2 2 2" xfId="24898" xr:uid="{00000000-0005-0000-0000-0000CF0F0000}"/>
    <cellStyle name="Normal 12 2 3 2 2 2 2" xfId="25621" xr:uid="{00000000-0005-0000-0000-0000D00F0000}"/>
    <cellStyle name="Normal 12 2 3 2 2 3" xfId="24519" xr:uid="{00000000-0005-0000-0000-0000D10F0000}"/>
    <cellStyle name="Normal 12 2 3 2 2 4" xfId="25264" xr:uid="{00000000-0005-0000-0000-0000D20F0000}"/>
    <cellStyle name="Normal 12 2 3 2 3" xfId="24718" xr:uid="{00000000-0005-0000-0000-0000D30F0000}"/>
    <cellStyle name="Normal 12 2 3 2 3 2" xfId="25441" xr:uid="{00000000-0005-0000-0000-0000D40F0000}"/>
    <cellStyle name="Normal 12 2 3 2 4" xfId="24339" xr:uid="{00000000-0005-0000-0000-0000D50F0000}"/>
    <cellStyle name="Normal 12 2 3 2 5" xfId="25084" xr:uid="{00000000-0005-0000-0000-0000D60F0000}"/>
    <cellStyle name="Normal 12 2 3 3" xfId="2076" xr:uid="{00000000-0005-0000-0000-0000D70F0000}"/>
    <cellStyle name="Normal 12 2 3 3 2" xfId="24810" xr:uid="{00000000-0005-0000-0000-0000D80F0000}"/>
    <cellStyle name="Normal 12 2 3 3 2 2" xfId="25533" xr:uid="{00000000-0005-0000-0000-0000D90F0000}"/>
    <cellStyle name="Normal 12 2 3 3 3" xfId="24431" xr:uid="{00000000-0005-0000-0000-0000DA0F0000}"/>
    <cellStyle name="Normal 12 2 3 3 4" xfId="25176" xr:uid="{00000000-0005-0000-0000-0000DB0F0000}"/>
    <cellStyle name="Normal 12 2 3 4" xfId="24630" xr:uid="{00000000-0005-0000-0000-0000DC0F0000}"/>
    <cellStyle name="Normal 12 2 3 4 2" xfId="25353" xr:uid="{00000000-0005-0000-0000-0000DD0F0000}"/>
    <cellStyle name="Normal 12 2 3 5" xfId="24251" xr:uid="{00000000-0005-0000-0000-0000DE0F0000}"/>
    <cellStyle name="Normal 12 2 3 6" xfId="24996" xr:uid="{00000000-0005-0000-0000-0000DF0F0000}"/>
    <cellStyle name="Normal 12 2 4" xfId="667" xr:uid="{00000000-0005-0000-0000-0000E00F0000}"/>
    <cellStyle name="Normal 12 2 4 2" xfId="2078" xr:uid="{00000000-0005-0000-0000-0000E10F0000}"/>
    <cellStyle name="Normal 12 2 4 2 2" xfId="24854" xr:uid="{00000000-0005-0000-0000-0000E20F0000}"/>
    <cellStyle name="Normal 12 2 4 2 2 2" xfId="25577" xr:uid="{00000000-0005-0000-0000-0000E30F0000}"/>
    <cellStyle name="Normal 12 2 4 2 3" xfId="24475" xr:uid="{00000000-0005-0000-0000-0000E40F0000}"/>
    <cellStyle name="Normal 12 2 4 2 4" xfId="25220" xr:uid="{00000000-0005-0000-0000-0000E50F0000}"/>
    <cellStyle name="Normal 12 2 4 3" xfId="24674" xr:uid="{00000000-0005-0000-0000-0000E60F0000}"/>
    <cellStyle name="Normal 12 2 4 3 2" xfId="25397" xr:uid="{00000000-0005-0000-0000-0000E70F0000}"/>
    <cellStyle name="Normal 12 2 4 4" xfId="24295" xr:uid="{00000000-0005-0000-0000-0000E80F0000}"/>
    <cellStyle name="Normal 12 2 4 5" xfId="25040" xr:uid="{00000000-0005-0000-0000-0000E90F0000}"/>
    <cellStyle name="Normal 12 2 5" xfId="668" xr:uid="{00000000-0005-0000-0000-0000EA0F0000}"/>
    <cellStyle name="Normal 12 2 5 2" xfId="24766" xr:uid="{00000000-0005-0000-0000-0000EB0F0000}"/>
    <cellStyle name="Normal 12 2 5 2 2" xfId="25489" xr:uid="{00000000-0005-0000-0000-0000EC0F0000}"/>
    <cellStyle name="Normal 12 2 5 3" xfId="24387" xr:uid="{00000000-0005-0000-0000-0000ED0F0000}"/>
    <cellStyle name="Normal 12 2 5 4" xfId="25132" xr:uid="{00000000-0005-0000-0000-0000EE0F0000}"/>
    <cellStyle name="Normal 12 2 6" xfId="2071" xr:uid="{00000000-0005-0000-0000-0000EF0F0000}"/>
    <cellStyle name="Normal 12 2 6 2" xfId="24586" xr:uid="{00000000-0005-0000-0000-0000F00F0000}"/>
    <cellStyle name="Normal 12 2 6 3" xfId="25309" xr:uid="{00000000-0005-0000-0000-0000F10F0000}"/>
    <cellStyle name="Normal 12 2 7" xfId="24207" xr:uid="{00000000-0005-0000-0000-0000F20F0000}"/>
    <cellStyle name="Normal 12 2 8" xfId="24952" xr:uid="{00000000-0005-0000-0000-0000F30F0000}"/>
    <cellStyle name="Normal 12 2 9" xfId="26031" xr:uid="{00000000-0005-0000-0000-0000F40F0000}"/>
    <cellStyle name="Normal 12 3" xfId="669" xr:uid="{00000000-0005-0000-0000-0000F50F0000}"/>
    <cellStyle name="Normal 12 3 2" xfId="670" xr:uid="{00000000-0005-0000-0000-0000F60F0000}"/>
    <cellStyle name="Normal 12 3 2 2" xfId="2080" xr:uid="{00000000-0005-0000-0000-0000F70F0000}"/>
    <cellStyle name="Normal 12 3 2 2 2" xfId="24892" xr:uid="{00000000-0005-0000-0000-0000F80F0000}"/>
    <cellStyle name="Normal 12 3 2 2 2 2" xfId="25615" xr:uid="{00000000-0005-0000-0000-0000F90F0000}"/>
    <cellStyle name="Normal 12 3 2 2 3" xfId="24513" xr:uid="{00000000-0005-0000-0000-0000FA0F0000}"/>
    <cellStyle name="Normal 12 3 2 2 4" xfId="25258" xr:uid="{00000000-0005-0000-0000-0000FB0F0000}"/>
    <cellStyle name="Normal 12 3 2 3" xfId="24712" xr:uid="{00000000-0005-0000-0000-0000FC0F0000}"/>
    <cellStyle name="Normal 12 3 2 3 2" xfId="25435" xr:uid="{00000000-0005-0000-0000-0000FD0F0000}"/>
    <cellStyle name="Normal 12 3 2 4" xfId="24333" xr:uid="{00000000-0005-0000-0000-0000FE0F0000}"/>
    <cellStyle name="Normal 12 3 2 5" xfId="25078" xr:uid="{00000000-0005-0000-0000-0000FF0F0000}"/>
    <cellStyle name="Normal 12 3 3" xfId="671" xr:uid="{00000000-0005-0000-0000-000000100000}"/>
    <cellStyle name="Normal 12 3 3 2" xfId="24804" xr:uid="{00000000-0005-0000-0000-000001100000}"/>
    <cellStyle name="Normal 12 3 3 2 2" xfId="25527" xr:uid="{00000000-0005-0000-0000-000002100000}"/>
    <cellStyle name="Normal 12 3 3 3" xfId="24425" xr:uid="{00000000-0005-0000-0000-000003100000}"/>
    <cellStyle name="Normal 12 3 3 4" xfId="25170" xr:uid="{00000000-0005-0000-0000-000004100000}"/>
    <cellStyle name="Normal 12 3 4" xfId="2079" xr:uid="{00000000-0005-0000-0000-000005100000}"/>
    <cellStyle name="Normal 12 3 4 2" xfId="24624" xr:uid="{00000000-0005-0000-0000-000006100000}"/>
    <cellStyle name="Normal 12 3 4 3" xfId="25347" xr:uid="{00000000-0005-0000-0000-000007100000}"/>
    <cellStyle name="Normal 12 3 5" xfId="24245" xr:uid="{00000000-0005-0000-0000-000008100000}"/>
    <cellStyle name="Normal 12 3 6" xfId="24990" xr:uid="{00000000-0005-0000-0000-000009100000}"/>
    <cellStyle name="Normal 12 4" xfId="672" xr:uid="{00000000-0005-0000-0000-00000A100000}"/>
    <cellStyle name="Normal 12 4 2" xfId="2081" xr:uid="{00000000-0005-0000-0000-00000B100000}"/>
    <cellStyle name="Normal 12 4 2 2" xfId="24848" xr:uid="{00000000-0005-0000-0000-00000C100000}"/>
    <cellStyle name="Normal 12 4 2 2 2" xfId="25571" xr:uid="{00000000-0005-0000-0000-00000D100000}"/>
    <cellStyle name="Normal 12 4 2 3" xfId="24469" xr:uid="{00000000-0005-0000-0000-00000E100000}"/>
    <cellStyle name="Normal 12 4 2 4" xfId="25214" xr:uid="{00000000-0005-0000-0000-00000F100000}"/>
    <cellStyle name="Normal 12 4 2 5" xfId="41977" xr:uid="{03F12D9C-BB6C-4BB9-A5E7-B3DD74BF4388}"/>
    <cellStyle name="Normal 12 4 3" xfId="24668" xr:uid="{00000000-0005-0000-0000-000010100000}"/>
    <cellStyle name="Normal 12 4 3 2" xfId="25391" xr:uid="{00000000-0005-0000-0000-000011100000}"/>
    <cellStyle name="Normal 12 4 4" xfId="24289" xr:uid="{00000000-0005-0000-0000-000012100000}"/>
    <cellStyle name="Normal 12 4 5" xfId="25034" xr:uid="{00000000-0005-0000-0000-000013100000}"/>
    <cellStyle name="Normal 12 4 6" xfId="26632" xr:uid="{00000000-0005-0000-0000-000014100000}"/>
    <cellStyle name="Normal 12 4 7" xfId="33275" xr:uid="{7ED85A57-30E9-4EFE-BC9D-3DB0BAB140DC}"/>
    <cellStyle name="Normal 12 5" xfId="673" xr:uid="{00000000-0005-0000-0000-000015100000}"/>
    <cellStyle name="Normal 12 5 2" xfId="24760" xr:uid="{00000000-0005-0000-0000-000016100000}"/>
    <cellStyle name="Normal 12 5 2 2" xfId="25483" xr:uid="{00000000-0005-0000-0000-000017100000}"/>
    <cellStyle name="Normal 12 5 3" xfId="24381" xr:uid="{00000000-0005-0000-0000-000018100000}"/>
    <cellStyle name="Normal 12 5 4" xfId="25126" xr:uid="{00000000-0005-0000-0000-000019100000}"/>
    <cellStyle name="Normal 12 6" xfId="2070" xr:uid="{00000000-0005-0000-0000-00001A100000}"/>
    <cellStyle name="Normal 12 6 2" xfId="24580" xr:uid="{00000000-0005-0000-0000-00001B100000}"/>
    <cellStyle name="Normal 12 6 3" xfId="25303" xr:uid="{00000000-0005-0000-0000-00001C100000}"/>
    <cellStyle name="Normal 12 7" xfId="5415" xr:uid="{00000000-0005-0000-0000-00001D100000}"/>
    <cellStyle name="Normal 12 8" xfId="24201" xr:uid="{00000000-0005-0000-0000-00001E100000}"/>
    <cellStyle name="Normal 12 9" xfId="24946" xr:uid="{00000000-0005-0000-0000-00001F100000}"/>
    <cellStyle name="Normal 120" xfId="32541" xr:uid="{91BAFBEC-F618-4083-B258-BDFE6850DE5C}"/>
    <cellStyle name="Normal 121" xfId="32594" xr:uid="{34978E5E-06C1-45F2-92B1-141CA01BAF77}"/>
    <cellStyle name="Normal 122" xfId="32715" xr:uid="{B660A0E3-76D2-4F02-8AAC-C68389716F08}"/>
    <cellStyle name="Normal 123" xfId="32647" xr:uid="{2B189648-68D1-4A58-9EDC-8F4FEDA8A71B}"/>
    <cellStyle name="Normal 124" xfId="42128" xr:uid="{EE33579C-EB49-4439-87E0-56464235A1E3}"/>
    <cellStyle name="Normal 13" xfId="674" xr:uid="{00000000-0005-0000-0000-000020100000}"/>
    <cellStyle name="Normal 13 10" xfId="24951" xr:uid="{00000000-0005-0000-0000-000021100000}"/>
    <cellStyle name="Normal 13 11" xfId="25871" xr:uid="{00000000-0005-0000-0000-000022100000}"/>
    <cellStyle name="Normal 13 2" xfId="675" xr:uid="{00000000-0005-0000-0000-000023100000}"/>
    <cellStyle name="Normal 13 2 10" xfId="34286" xr:uid="{B7741B71-C7A4-4B95-972D-48CDD161EA34}"/>
    <cellStyle name="Normal 13 2 2" xfId="676" xr:uid="{00000000-0005-0000-0000-000024100000}"/>
    <cellStyle name="Normal 13 2 2 2" xfId="677" xr:uid="{00000000-0005-0000-0000-000025100000}"/>
    <cellStyle name="Normal 13 2 2 2 2" xfId="678" xr:uid="{00000000-0005-0000-0000-000026100000}"/>
    <cellStyle name="Normal 13 2 2 2 2 2" xfId="2086" xr:uid="{00000000-0005-0000-0000-000027100000}"/>
    <cellStyle name="Normal 13 2 2 2 2 2 2" xfId="24907" xr:uid="{00000000-0005-0000-0000-000028100000}"/>
    <cellStyle name="Normal 13 2 2 2 2 2 2 2" xfId="25630" xr:uid="{00000000-0005-0000-0000-000029100000}"/>
    <cellStyle name="Normal 13 2 2 2 2 2 3" xfId="24528" xr:uid="{00000000-0005-0000-0000-00002A100000}"/>
    <cellStyle name="Normal 13 2 2 2 2 2 4" xfId="25273" xr:uid="{00000000-0005-0000-0000-00002B100000}"/>
    <cellStyle name="Normal 13 2 2 2 2 3" xfId="24727" xr:uid="{00000000-0005-0000-0000-00002C100000}"/>
    <cellStyle name="Normal 13 2 2 2 2 3 2" xfId="25450" xr:uid="{00000000-0005-0000-0000-00002D100000}"/>
    <cellStyle name="Normal 13 2 2 2 2 4" xfId="24348" xr:uid="{00000000-0005-0000-0000-00002E100000}"/>
    <cellStyle name="Normal 13 2 2 2 2 5" xfId="25093" xr:uid="{00000000-0005-0000-0000-00002F100000}"/>
    <cellStyle name="Normal 13 2 2 2 3" xfId="2085" xr:uid="{00000000-0005-0000-0000-000030100000}"/>
    <cellStyle name="Normal 13 2 2 2 3 2" xfId="24819" xr:uid="{00000000-0005-0000-0000-000031100000}"/>
    <cellStyle name="Normal 13 2 2 2 3 2 2" xfId="25542" xr:uid="{00000000-0005-0000-0000-000032100000}"/>
    <cellStyle name="Normal 13 2 2 2 3 3" xfId="24440" xr:uid="{00000000-0005-0000-0000-000033100000}"/>
    <cellStyle name="Normal 13 2 2 2 3 4" xfId="25185" xr:uid="{00000000-0005-0000-0000-000034100000}"/>
    <cellStyle name="Normal 13 2 2 2 4" xfId="24639" xr:uid="{00000000-0005-0000-0000-000035100000}"/>
    <cellStyle name="Normal 13 2 2 2 4 2" xfId="25362" xr:uid="{00000000-0005-0000-0000-000036100000}"/>
    <cellStyle name="Normal 13 2 2 2 5" xfId="24260" xr:uid="{00000000-0005-0000-0000-000037100000}"/>
    <cellStyle name="Normal 13 2 2 2 6" xfId="25005" xr:uid="{00000000-0005-0000-0000-000038100000}"/>
    <cellStyle name="Normal 13 2 2 3" xfId="679" xr:uid="{00000000-0005-0000-0000-000039100000}"/>
    <cellStyle name="Normal 13 2 2 3 2" xfId="2087" xr:uid="{00000000-0005-0000-0000-00003A100000}"/>
    <cellStyle name="Normal 13 2 2 3 2 2" xfId="24863" xr:uid="{00000000-0005-0000-0000-00003B100000}"/>
    <cellStyle name="Normal 13 2 2 3 2 2 2" xfId="25586" xr:uid="{00000000-0005-0000-0000-00003C100000}"/>
    <cellStyle name="Normal 13 2 2 3 2 3" xfId="24484" xr:uid="{00000000-0005-0000-0000-00003D100000}"/>
    <cellStyle name="Normal 13 2 2 3 2 4" xfId="25229" xr:uid="{00000000-0005-0000-0000-00003E100000}"/>
    <cellStyle name="Normal 13 2 2 3 3" xfId="24683" xr:uid="{00000000-0005-0000-0000-00003F100000}"/>
    <cellStyle name="Normal 13 2 2 3 3 2" xfId="25406" xr:uid="{00000000-0005-0000-0000-000040100000}"/>
    <cellStyle name="Normal 13 2 2 3 4" xfId="24304" xr:uid="{00000000-0005-0000-0000-000041100000}"/>
    <cellStyle name="Normal 13 2 2 3 5" xfId="25049" xr:uid="{00000000-0005-0000-0000-000042100000}"/>
    <cellStyle name="Normal 13 2 2 4" xfId="2084" xr:uid="{00000000-0005-0000-0000-000043100000}"/>
    <cellStyle name="Normal 13 2 2 4 2" xfId="24775" xr:uid="{00000000-0005-0000-0000-000044100000}"/>
    <cellStyle name="Normal 13 2 2 4 2 2" xfId="25498" xr:uid="{00000000-0005-0000-0000-000045100000}"/>
    <cellStyle name="Normal 13 2 2 4 3" xfId="24396" xr:uid="{00000000-0005-0000-0000-000046100000}"/>
    <cellStyle name="Normal 13 2 2 4 4" xfId="25141" xr:uid="{00000000-0005-0000-0000-000047100000}"/>
    <cellStyle name="Normal 13 2 2 5" xfId="24595" xr:uid="{00000000-0005-0000-0000-000048100000}"/>
    <cellStyle name="Normal 13 2 2 5 2" xfId="25318" xr:uid="{00000000-0005-0000-0000-000049100000}"/>
    <cellStyle name="Normal 13 2 2 6" xfId="24216" xr:uid="{00000000-0005-0000-0000-00004A100000}"/>
    <cellStyle name="Normal 13 2 2 7" xfId="24961" xr:uid="{00000000-0005-0000-0000-00004B100000}"/>
    <cellStyle name="Normal 13 2 2 8" xfId="27675" xr:uid="{00000000-0005-0000-0000-00004C100000}"/>
    <cellStyle name="Normal 13 2 2 9" xfId="34287" xr:uid="{D280D643-BE41-4FCB-88AE-8DC0E73E2120}"/>
    <cellStyle name="Normal 13 2 3" xfId="680" xr:uid="{00000000-0005-0000-0000-00004D100000}"/>
    <cellStyle name="Normal 13 2 3 2" xfId="681" xr:uid="{00000000-0005-0000-0000-00004E100000}"/>
    <cellStyle name="Normal 13 2 3 2 2" xfId="2089" xr:uid="{00000000-0005-0000-0000-00004F100000}"/>
    <cellStyle name="Normal 13 2 3 2 2 2" xfId="24901" xr:uid="{00000000-0005-0000-0000-000050100000}"/>
    <cellStyle name="Normal 13 2 3 2 2 2 2" xfId="25624" xr:uid="{00000000-0005-0000-0000-000051100000}"/>
    <cellStyle name="Normal 13 2 3 2 2 3" xfId="24522" xr:uid="{00000000-0005-0000-0000-000052100000}"/>
    <cellStyle name="Normal 13 2 3 2 2 4" xfId="25267" xr:uid="{00000000-0005-0000-0000-000053100000}"/>
    <cellStyle name="Normal 13 2 3 2 3" xfId="24721" xr:uid="{00000000-0005-0000-0000-000054100000}"/>
    <cellStyle name="Normal 13 2 3 2 3 2" xfId="25444" xr:uid="{00000000-0005-0000-0000-000055100000}"/>
    <cellStyle name="Normal 13 2 3 2 4" xfId="24342" xr:uid="{00000000-0005-0000-0000-000056100000}"/>
    <cellStyle name="Normal 13 2 3 2 5" xfId="25087" xr:uid="{00000000-0005-0000-0000-000057100000}"/>
    <cellStyle name="Normal 13 2 3 3" xfId="2088" xr:uid="{00000000-0005-0000-0000-000058100000}"/>
    <cellStyle name="Normal 13 2 3 3 2" xfId="24813" xr:uid="{00000000-0005-0000-0000-000059100000}"/>
    <cellStyle name="Normal 13 2 3 3 2 2" xfId="25536" xr:uid="{00000000-0005-0000-0000-00005A100000}"/>
    <cellStyle name="Normal 13 2 3 3 3" xfId="24434" xr:uid="{00000000-0005-0000-0000-00005B100000}"/>
    <cellStyle name="Normal 13 2 3 3 4" xfId="25179" xr:uid="{00000000-0005-0000-0000-00005C100000}"/>
    <cellStyle name="Normal 13 2 3 4" xfId="24633" xr:uid="{00000000-0005-0000-0000-00005D100000}"/>
    <cellStyle name="Normal 13 2 3 4 2" xfId="25356" xr:uid="{00000000-0005-0000-0000-00005E100000}"/>
    <cellStyle name="Normal 13 2 3 5" xfId="24254" xr:uid="{00000000-0005-0000-0000-00005F100000}"/>
    <cellStyle name="Normal 13 2 3 6" xfId="24999" xr:uid="{00000000-0005-0000-0000-000060100000}"/>
    <cellStyle name="Normal 13 2 3 7" xfId="27676" xr:uid="{00000000-0005-0000-0000-000061100000}"/>
    <cellStyle name="Normal 13 2 3 8" xfId="34288" xr:uid="{88B32186-3A1E-451D-844A-58D13498752A}"/>
    <cellStyle name="Normal 13 2 4" xfId="682" xr:uid="{00000000-0005-0000-0000-000062100000}"/>
    <cellStyle name="Normal 13 2 4 2" xfId="2090" xr:uid="{00000000-0005-0000-0000-000063100000}"/>
    <cellStyle name="Normal 13 2 4 2 2" xfId="24857" xr:uid="{00000000-0005-0000-0000-000064100000}"/>
    <cellStyle name="Normal 13 2 4 2 2 2" xfId="25580" xr:uid="{00000000-0005-0000-0000-000065100000}"/>
    <cellStyle name="Normal 13 2 4 2 3" xfId="24478" xr:uid="{00000000-0005-0000-0000-000066100000}"/>
    <cellStyle name="Normal 13 2 4 2 4" xfId="25223" xr:uid="{00000000-0005-0000-0000-000067100000}"/>
    <cellStyle name="Normal 13 2 4 3" xfId="24677" xr:uid="{00000000-0005-0000-0000-000068100000}"/>
    <cellStyle name="Normal 13 2 4 3 2" xfId="25400" xr:uid="{00000000-0005-0000-0000-000069100000}"/>
    <cellStyle name="Normal 13 2 4 4" xfId="24298" xr:uid="{00000000-0005-0000-0000-00006A100000}"/>
    <cellStyle name="Normal 13 2 4 5" xfId="25043" xr:uid="{00000000-0005-0000-0000-00006B100000}"/>
    <cellStyle name="Normal 13 2 4 6" xfId="27674" xr:uid="{00000000-0005-0000-0000-00006C100000}"/>
    <cellStyle name="Normal 13 2 5" xfId="2083" xr:uid="{00000000-0005-0000-0000-00006D100000}"/>
    <cellStyle name="Normal 13 2 5 2" xfId="24769" xr:uid="{00000000-0005-0000-0000-00006E100000}"/>
    <cellStyle name="Normal 13 2 5 2 2" xfId="25492" xr:uid="{00000000-0005-0000-0000-00006F100000}"/>
    <cellStyle name="Normal 13 2 5 3" xfId="24390" xr:uid="{00000000-0005-0000-0000-000070100000}"/>
    <cellStyle name="Normal 13 2 5 4" xfId="25135" xr:uid="{00000000-0005-0000-0000-000071100000}"/>
    <cellStyle name="Normal 13 2 6" xfId="24589" xr:uid="{00000000-0005-0000-0000-000072100000}"/>
    <cellStyle name="Normal 13 2 6 2" xfId="25312" xr:uid="{00000000-0005-0000-0000-000073100000}"/>
    <cellStyle name="Normal 13 2 7" xfId="24210" xr:uid="{00000000-0005-0000-0000-000074100000}"/>
    <cellStyle name="Normal 13 2 8" xfId="24955" xr:uid="{00000000-0005-0000-0000-000075100000}"/>
    <cellStyle name="Normal 13 2 9" xfId="26032" xr:uid="{00000000-0005-0000-0000-000076100000}"/>
    <cellStyle name="Normal 13 3" xfId="683" xr:uid="{00000000-0005-0000-0000-000077100000}"/>
    <cellStyle name="Normal 13 3 2" xfId="684" xr:uid="{00000000-0005-0000-0000-000078100000}"/>
    <cellStyle name="Normal 13 3 2 2" xfId="685" xr:uid="{00000000-0005-0000-0000-000079100000}"/>
    <cellStyle name="Normal 13 3 2 2 2" xfId="2093" xr:uid="{00000000-0005-0000-0000-00007A100000}"/>
    <cellStyle name="Normal 13 3 2 2 2 2" xfId="24905" xr:uid="{00000000-0005-0000-0000-00007B100000}"/>
    <cellStyle name="Normal 13 3 2 2 2 2 2" xfId="25628" xr:uid="{00000000-0005-0000-0000-00007C100000}"/>
    <cellStyle name="Normal 13 3 2 2 2 3" xfId="24526" xr:uid="{00000000-0005-0000-0000-00007D100000}"/>
    <cellStyle name="Normal 13 3 2 2 2 4" xfId="25271" xr:uid="{00000000-0005-0000-0000-00007E100000}"/>
    <cellStyle name="Normal 13 3 2 2 3" xfId="24725" xr:uid="{00000000-0005-0000-0000-00007F100000}"/>
    <cellStyle name="Normal 13 3 2 2 3 2" xfId="25448" xr:uid="{00000000-0005-0000-0000-000080100000}"/>
    <cellStyle name="Normal 13 3 2 2 4" xfId="24346" xr:uid="{00000000-0005-0000-0000-000081100000}"/>
    <cellStyle name="Normal 13 3 2 2 5" xfId="25091" xr:uid="{00000000-0005-0000-0000-000082100000}"/>
    <cellStyle name="Normal 13 3 2 3" xfId="2092" xr:uid="{00000000-0005-0000-0000-000083100000}"/>
    <cellStyle name="Normal 13 3 2 3 2" xfId="24817" xr:uid="{00000000-0005-0000-0000-000084100000}"/>
    <cellStyle name="Normal 13 3 2 3 2 2" xfId="25540" xr:uid="{00000000-0005-0000-0000-000085100000}"/>
    <cellStyle name="Normal 13 3 2 3 3" xfId="24438" xr:uid="{00000000-0005-0000-0000-000086100000}"/>
    <cellStyle name="Normal 13 3 2 3 4" xfId="25183" xr:uid="{00000000-0005-0000-0000-000087100000}"/>
    <cellStyle name="Normal 13 3 2 4" xfId="24637" xr:uid="{00000000-0005-0000-0000-000088100000}"/>
    <cellStyle name="Normal 13 3 2 4 2" xfId="25360" xr:uid="{00000000-0005-0000-0000-000089100000}"/>
    <cellStyle name="Normal 13 3 2 5" xfId="24258" xr:uid="{00000000-0005-0000-0000-00008A100000}"/>
    <cellStyle name="Normal 13 3 2 6" xfId="25003" xr:uid="{00000000-0005-0000-0000-00008B100000}"/>
    <cellStyle name="Normal 13 3 3" xfId="686" xr:uid="{00000000-0005-0000-0000-00008C100000}"/>
    <cellStyle name="Normal 13 3 3 2" xfId="2094" xr:uid="{00000000-0005-0000-0000-00008D100000}"/>
    <cellStyle name="Normal 13 3 3 2 2" xfId="24861" xr:uid="{00000000-0005-0000-0000-00008E100000}"/>
    <cellStyle name="Normal 13 3 3 2 2 2" xfId="25584" xr:uid="{00000000-0005-0000-0000-00008F100000}"/>
    <cellStyle name="Normal 13 3 3 2 3" xfId="24482" xr:uid="{00000000-0005-0000-0000-000090100000}"/>
    <cellStyle name="Normal 13 3 3 2 4" xfId="25227" xr:uid="{00000000-0005-0000-0000-000091100000}"/>
    <cellStyle name="Normal 13 3 3 3" xfId="24681" xr:uid="{00000000-0005-0000-0000-000092100000}"/>
    <cellStyle name="Normal 13 3 3 3 2" xfId="25404" xr:uid="{00000000-0005-0000-0000-000093100000}"/>
    <cellStyle name="Normal 13 3 3 4" xfId="24302" xr:uid="{00000000-0005-0000-0000-000094100000}"/>
    <cellStyle name="Normal 13 3 3 5" xfId="25047" xr:uid="{00000000-0005-0000-0000-000095100000}"/>
    <cellStyle name="Normal 13 3 4" xfId="2091" xr:uid="{00000000-0005-0000-0000-000096100000}"/>
    <cellStyle name="Normal 13 3 4 2" xfId="24773" xr:uid="{00000000-0005-0000-0000-000097100000}"/>
    <cellStyle name="Normal 13 3 4 2 2" xfId="25496" xr:uid="{00000000-0005-0000-0000-000098100000}"/>
    <cellStyle name="Normal 13 3 4 3" xfId="24394" xr:uid="{00000000-0005-0000-0000-000099100000}"/>
    <cellStyle name="Normal 13 3 4 4" xfId="25139" xr:uid="{00000000-0005-0000-0000-00009A100000}"/>
    <cellStyle name="Normal 13 3 5" xfId="24593" xr:uid="{00000000-0005-0000-0000-00009B100000}"/>
    <cellStyle name="Normal 13 3 5 2" xfId="25316" xr:uid="{00000000-0005-0000-0000-00009C100000}"/>
    <cellStyle name="Normal 13 3 6" xfId="24214" xr:uid="{00000000-0005-0000-0000-00009D100000}"/>
    <cellStyle name="Normal 13 3 7" xfId="24959" xr:uid="{00000000-0005-0000-0000-00009E100000}"/>
    <cellStyle name="Normal 13 3 8" xfId="27677" xr:uid="{00000000-0005-0000-0000-00009F100000}"/>
    <cellStyle name="Normal 13 3 9" xfId="34289" xr:uid="{E09895D1-CA09-4214-919C-BAF9FA65F82B}"/>
    <cellStyle name="Normal 13 4" xfId="687" xr:uid="{00000000-0005-0000-0000-0000A0100000}"/>
    <cellStyle name="Normal 13 4 2" xfId="688" xr:uid="{00000000-0005-0000-0000-0000A1100000}"/>
    <cellStyle name="Normal 13 4 2 2" xfId="2096" xr:uid="{00000000-0005-0000-0000-0000A2100000}"/>
    <cellStyle name="Normal 13 4 2 2 2" xfId="24897" xr:uid="{00000000-0005-0000-0000-0000A3100000}"/>
    <cellStyle name="Normal 13 4 2 2 2 2" xfId="25620" xr:uid="{00000000-0005-0000-0000-0000A4100000}"/>
    <cellStyle name="Normal 13 4 2 2 3" xfId="24518" xr:uid="{00000000-0005-0000-0000-0000A5100000}"/>
    <cellStyle name="Normal 13 4 2 2 4" xfId="25263" xr:uid="{00000000-0005-0000-0000-0000A6100000}"/>
    <cellStyle name="Normal 13 4 2 3" xfId="24717" xr:uid="{00000000-0005-0000-0000-0000A7100000}"/>
    <cellStyle name="Normal 13 4 2 3 2" xfId="25440" xr:uid="{00000000-0005-0000-0000-0000A8100000}"/>
    <cellStyle name="Normal 13 4 2 4" xfId="24338" xr:uid="{00000000-0005-0000-0000-0000A9100000}"/>
    <cellStyle name="Normal 13 4 2 5" xfId="25083" xr:uid="{00000000-0005-0000-0000-0000AA100000}"/>
    <cellStyle name="Normal 13 4 3" xfId="2095" xr:uid="{00000000-0005-0000-0000-0000AB100000}"/>
    <cellStyle name="Normal 13 4 3 2" xfId="24809" xr:uid="{00000000-0005-0000-0000-0000AC100000}"/>
    <cellStyle name="Normal 13 4 3 2 2" xfId="25532" xr:uid="{00000000-0005-0000-0000-0000AD100000}"/>
    <cellStyle name="Normal 13 4 3 3" xfId="24430" xr:uid="{00000000-0005-0000-0000-0000AE100000}"/>
    <cellStyle name="Normal 13 4 3 4" xfId="25175" xr:uid="{00000000-0005-0000-0000-0000AF100000}"/>
    <cellStyle name="Normal 13 4 4" xfId="24629" xr:uid="{00000000-0005-0000-0000-0000B0100000}"/>
    <cellStyle name="Normal 13 4 4 2" xfId="25352" xr:uid="{00000000-0005-0000-0000-0000B1100000}"/>
    <cellStyle name="Normal 13 4 5" xfId="24250" xr:uid="{00000000-0005-0000-0000-0000B2100000}"/>
    <cellStyle name="Normal 13 4 6" xfId="24995" xr:uid="{00000000-0005-0000-0000-0000B3100000}"/>
    <cellStyle name="Normal 13 4 7" xfId="27678" xr:uid="{00000000-0005-0000-0000-0000B4100000}"/>
    <cellStyle name="Normal 13 4 8" xfId="34290" xr:uid="{641D0A3D-2BC2-41FB-BA10-A0FEED2E0316}"/>
    <cellStyle name="Normal 13 5" xfId="689" xr:uid="{00000000-0005-0000-0000-0000B5100000}"/>
    <cellStyle name="Normal 13 5 2" xfId="2097" xr:uid="{00000000-0005-0000-0000-0000B6100000}"/>
    <cellStyle name="Normal 13 5 2 2" xfId="24853" xr:uid="{00000000-0005-0000-0000-0000B7100000}"/>
    <cellStyle name="Normal 13 5 2 2 2" xfId="25576" xr:uid="{00000000-0005-0000-0000-0000B8100000}"/>
    <cellStyle name="Normal 13 5 2 3" xfId="24474" xr:uid="{00000000-0005-0000-0000-0000B9100000}"/>
    <cellStyle name="Normal 13 5 2 4" xfId="25219" xr:uid="{00000000-0005-0000-0000-0000BA100000}"/>
    <cellStyle name="Normal 13 5 3" xfId="24673" xr:uid="{00000000-0005-0000-0000-0000BB100000}"/>
    <cellStyle name="Normal 13 5 3 2" xfId="25396" xr:uid="{00000000-0005-0000-0000-0000BC100000}"/>
    <cellStyle name="Normal 13 5 4" xfId="24294" xr:uid="{00000000-0005-0000-0000-0000BD100000}"/>
    <cellStyle name="Normal 13 5 5" xfId="25039" xr:uid="{00000000-0005-0000-0000-0000BE100000}"/>
    <cellStyle name="Normal 13 5 6" xfId="27679" xr:uid="{00000000-0005-0000-0000-0000BF100000}"/>
    <cellStyle name="Normal 13 5 7" xfId="34291" xr:uid="{A9A58E33-6F5B-4504-8F31-0183D194A159}"/>
    <cellStyle name="Normal 13 6" xfId="690" xr:uid="{00000000-0005-0000-0000-0000C0100000}"/>
    <cellStyle name="Normal 13 6 2" xfId="24765" xr:uid="{00000000-0005-0000-0000-0000C1100000}"/>
    <cellStyle name="Normal 13 6 2 2" xfId="25488" xr:uid="{00000000-0005-0000-0000-0000C2100000}"/>
    <cellStyle name="Normal 13 6 3" xfId="24386" xr:uid="{00000000-0005-0000-0000-0000C3100000}"/>
    <cellStyle name="Normal 13 6 4" xfId="25131" xr:uid="{00000000-0005-0000-0000-0000C4100000}"/>
    <cellStyle name="Normal 13 7" xfId="2082" xr:uid="{00000000-0005-0000-0000-0000C5100000}"/>
    <cellStyle name="Normal 13 7 2" xfId="24585" xr:uid="{00000000-0005-0000-0000-0000C6100000}"/>
    <cellStyle name="Normal 13 7 3" xfId="25308" xr:uid="{00000000-0005-0000-0000-0000C7100000}"/>
    <cellStyle name="Normal 13 8" xfId="5418" xr:uid="{00000000-0005-0000-0000-0000C8100000}"/>
    <cellStyle name="Normal 13 9" xfId="24206" xr:uid="{00000000-0005-0000-0000-0000C9100000}"/>
    <cellStyle name="Normal 14" xfId="691" xr:uid="{00000000-0005-0000-0000-0000CA100000}"/>
    <cellStyle name="Normal 14 2" xfId="692" xr:uid="{00000000-0005-0000-0000-0000CB100000}"/>
    <cellStyle name="Normal 14 2 2" xfId="24146" xr:uid="{00000000-0005-0000-0000-0000CC100000}"/>
    <cellStyle name="Normal 14 2 2 2" xfId="27680" xr:uid="{00000000-0005-0000-0000-0000CD100000}"/>
    <cellStyle name="Normal 14 2 3" xfId="26033" xr:uid="{00000000-0005-0000-0000-0000CE100000}"/>
    <cellStyle name="Normal 14 3" xfId="5400" xr:uid="{00000000-0005-0000-0000-0000CF100000}"/>
    <cellStyle name="Normal 14 3 2" xfId="26178" xr:uid="{00000000-0005-0000-0000-0000D0100000}"/>
    <cellStyle name="Normal 14 4" xfId="25872" xr:uid="{00000000-0005-0000-0000-0000D1100000}"/>
    <cellStyle name="Normal 14 5" xfId="42311" xr:uid="{0460C2ED-2AA3-4B45-A9A5-657A6A385A54}"/>
    <cellStyle name="Normal 15" xfId="693" xr:uid="{00000000-0005-0000-0000-0000D2100000}"/>
    <cellStyle name="Normal 15 2" xfId="694" xr:uid="{00000000-0005-0000-0000-0000D3100000}"/>
    <cellStyle name="Normal 15 2 2" xfId="26034" xr:uid="{00000000-0005-0000-0000-0000D4100000}"/>
    <cellStyle name="Normal 15 3" xfId="26177" xr:uid="{00000000-0005-0000-0000-0000D5100000}"/>
    <cellStyle name="Normal 15 4" xfId="25873" xr:uid="{00000000-0005-0000-0000-0000D6100000}"/>
    <cellStyle name="Normal 15 5" xfId="42067" xr:uid="{1B5AB416-462D-4466-AECE-D0557FA11C16}"/>
    <cellStyle name="Normal 16" xfId="695" xr:uid="{00000000-0005-0000-0000-0000D7100000}"/>
    <cellStyle name="Normal 16 2" xfId="696" xr:uid="{00000000-0005-0000-0000-0000D8100000}"/>
    <cellStyle name="Normal 16 2 10" xfId="32629" xr:uid="{85911D86-F2D1-47BD-99D6-28A9AF138616}"/>
    <cellStyle name="Normal 16 2 2" xfId="697" xr:uid="{00000000-0005-0000-0000-0000D9100000}"/>
    <cellStyle name="Normal 16 2 2 2" xfId="698" xr:uid="{00000000-0005-0000-0000-0000DA100000}"/>
    <cellStyle name="Normal 16 2 2 2 2" xfId="699" xr:uid="{00000000-0005-0000-0000-0000DB100000}"/>
    <cellStyle name="Normal 16 2 2 2 2 2" xfId="2101" xr:uid="{00000000-0005-0000-0000-0000DC100000}"/>
    <cellStyle name="Normal 16 2 2 2 2 2 2" xfId="24908" xr:uid="{00000000-0005-0000-0000-0000DD100000}"/>
    <cellStyle name="Normal 16 2 2 2 2 2 2 2" xfId="25631" xr:uid="{00000000-0005-0000-0000-0000DE100000}"/>
    <cellStyle name="Normal 16 2 2 2 2 2 3" xfId="24529" xr:uid="{00000000-0005-0000-0000-0000DF100000}"/>
    <cellStyle name="Normal 16 2 2 2 2 2 4" xfId="25274" xr:uid="{00000000-0005-0000-0000-0000E0100000}"/>
    <cellStyle name="Normal 16 2 2 2 2 3" xfId="24728" xr:uid="{00000000-0005-0000-0000-0000E1100000}"/>
    <cellStyle name="Normal 16 2 2 2 2 3 2" xfId="25451" xr:uid="{00000000-0005-0000-0000-0000E2100000}"/>
    <cellStyle name="Normal 16 2 2 2 2 4" xfId="24349" xr:uid="{00000000-0005-0000-0000-0000E3100000}"/>
    <cellStyle name="Normal 16 2 2 2 2 5" xfId="25094" xr:uid="{00000000-0005-0000-0000-0000E4100000}"/>
    <cellStyle name="Normal 16 2 2 2 3" xfId="2100" xr:uid="{00000000-0005-0000-0000-0000E5100000}"/>
    <cellStyle name="Normal 16 2 2 2 3 2" xfId="24820" xr:uid="{00000000-0005-0000-0000-0000E6100000}"/>
    <cellStyle name="Normal 16 2 2 2 3 2 2" xfId="25543" xr:uid="{00000000-0005-0000-0000-0000E7100000}"/>
    <cellStyle name="Normal 16 2 2 2 3 3" xfId="24441" xr:uid="{00000000-0005-0000-0000-0000E8100000}"/>
    <cellStyle name="Normal 16 2 2 2 3 4" xfId="25186" xr:uid="{00000000-0005-0000-0000-0000E9100000}"/>
    <cellStyle name="Normal 16 2 2 2 4" xfId="24640" xr:uid="{00000000-0005-0000-0000-0000EA100000}"/>
    <cellStyle name="Normal 16 2 2 2 4 2" xfId="25363" xr:uid="{00000000-0005-0000-0000-0000EB100000}"/>
    <cellStyle name="Normal 16 2 2 2 5" xfId="24261" xr:uid="{00000000-0005-0000-0000-0000EC100000}"/>
    <cellStyle name="Normal 16 2 2 2 6" xfId="25006" xr:uid="{00000000-0005-0000-0000-0000ED100000}"/>
    <cellStyle name="Normal 16 2 2 3" xfId="700" xr:uid="{00000000-0005-0000-0000-0000EE100000}"/>
    <cellStyle name="Normal 16 2 2 3 2" xfId="2102" xr:uid="{00000000-0005-0000-0000-0000EF100000}"/>
    <cellStyle name="Normal 16 2 2 3 2 2" xfId="24864" xr:uid="{00000000-0005-0000-0000-0000F0100000}"/>
    <cellStyle name="Normal 16 2 2 3 2 2 2" xfId="25587" xr:uid="{00000000-0005-0000-0000-0000F1100000}"/>
    <cellStyle name="Normal 16 2 2 3 2 3" xfId="24485" xr:uid="{00000000-0005-0000-0000-0000F2100000}"/>
    <cellStyle name="Normal 16 2 2 3 2 4" xfId="25230" xr:uid="{00000000-0005-0000-0000-0000F3100000}"/>
    <cellStyle name="Normal 16 2 2 3 3" xfId="24684" xr:uid="{00000000-0005-0000-0000-0000F4100000}"/>
    <cellStyle name="Normal 16 2 2 3 3 2" xfId="25407" xr:uid="{00000000-0005-0000-0000-0000F5100000}"/>
    <cellStyle name="Normal 16 2 2 3 4" xfId="24305" xr:uid="{00000000-0005-0000-0000-0000F6100000}"/>
    <cellStyle name="Normal 16 2 2 3 5" xfId="25050" xr:uid="{00000000-0005-0000-0000-0000F7100000}"/>
    <cellStyle name="Normal 16 2 2 4" xfId="2099" xr:uid="{00000000-0005-0000-0000-0000F8100000}"/>
    <cellStyle name="Normal 16 2 2 4 2" xfId="24776" xr:uid="{00000000-0005-0000-0000-0000F9100000}"/>
    <cellStyle name="Normal 16 2 2 4 2 2" xfId="25499" xr:uid="{00000000-0005-0000-0000-0000FA100000}"/>
    <cellStyle name="Normal 16 2 2 4 3" xfId="24397" xr:uid="{00000000-0005-0000-0000-0000FB100000}"/>
    <cellStyle name="Normal 16 2 2 4 4" xfId="25142" xr:uid="{00000000-0005-0000-0000-0000FC100000}"/>
    <cellStyle name="Normal 16 2 2 5" xfId="24596" xr:uid="{00000000-0005-0000-0000-0000FD100000}"/>
    <cellStyle name="Normal 16 2 2 5 2" xfId="25319" xr:uid="{00000000-0005-0000-0000-0000FE100000}"/>
    <cellStyle name="Normal 16 2 2 6" xfId="24217" xr:uid="{00000000-0005-0000-0000-0000FF100000}"/>
    <cellStyle name="Normal 16 2 2 7" xfId="24962" xr:uid="{00000000-0005-0000-0000-000000110000}"/>
    <cellStyle name="Normal 16 2 2 8" xfId="32622" xr:uid="{6D7A2974-AAC7-4970-9003-DD9DD29A073F}"/>
    <cellStyle name="Normal 16 2 3" xfId="701" xr:uid="{00000000-0005-0000-0000-000001110000}"/>
    <cellStyle name="Normal 16 2 3 2" xfId="702" xr:uid="{00000000-0005-0000-0000-000002110000}"/>
    <cellStyle name="Normal 16 2 3 2 2" xfId="2104" xr:uid="{00000000-0005-0000-0000-000003110000}"/>
    <cellStyle name="Normal 16 2 3 2 2 2" xfId="24904" xr:uid="{00000000-0005-0000-0000-000004110000}"/>
    <cellStyle name="Normal 16 2 3 2 2 2 2" xfId="25627" xr:uid="{00000000-0005-0000-0000-000005110000}"/>
    <cellStyle name="Normal 16 2 3 2 2 3" xfId="24525" xr:uid="{00000000-0005-0000-0000-000006110000}"/>
    <cellStyle name="Normal 16 2 3 2 2 4" xfId="25270" xr:uid="{00000000-0005-0000-0000-000007110000}"/>
    <cellStyle name="Normal 16 2 3 2 3" xfId="24724" xr:uid="{00000000-0005-0000-0000-000008110000}"/>
    <cellStyle name="Normal 16 2 3 2 3 2" xfId="25447" xr:uid="{00000000-0005-0000-0000-000009110000}"/>
    <cellStyle name="Normal 16 2 3 2 4" xfId="24345" xr:uid="{00000000-0005-0000-0000-00000A110000}"/>
    <cellStyle name="Normal 16 2 3 2 5" xfId="25090" xr:uid="{00000000-0005-0000-0000-00000B110000}"/>
    <cellStyle name="Normal 16 2 3 3" xfId="2103" xr:uid="{00000000-0005-0000-0000-00000C110000}"/>
    <cellStyle name="Normal 16 2 3 3 2" xfId="24816" xr:uid="{00000000-0005-0000-0000-00000D110000}"/>
    <cellStyle name="Normal 16 2 3 3 2 2" xfId="25539" xr:uid="{00000000-0005-0000-0000-00000E110000}"/>
    <cellStyle name="Normal 16 2 3 3 3" xfId="24437" xr:uid="{00000000-0005-0000-0000-00000F110000}"/>
    <cellStyle name="Normal 16 2 3 3 4" xfId="25182" xr:uid="{00000000-0005-0000-0000-000010110000}"/>
    <cellStyle name="Normal 16 2 3 4" xfId="24636" xr:uid="{00000000-0005-0000-0000-000011110000}"/>
    <cellStyle name="Normal 16 2 3 4 2" xfId="25359" xr:uid="{00000000-0005-0000-0000-000012110000}"/>
    <cellStyle name="Normal 16 2 3 5" xfId="24257" xr:uid="{00000000-0005-0000-0000-000013110000}"/>
    <cellStyle name="Normal 16 2 3 6" xfId="25002" xr:uid="{00000000-0005-0000-0000-000014110000}"/>
    <cellStyle name="Normal 16 2 4" xfId="703" xr:uid="{00000000-0005-0000-0000-000015110000}"/>
    <cellStyle name="Normal 16 2 4 2" xfId="2105" xr:uid="{00000000-0005-0000-0000-000016110000}"/>
    <cellStyle name="Normal 16 2 4 2 2" xfId="24860" xr:uid="{00000000-0005-0000-0000-000017110000}"/>
    <cellStyle name="Normal 16 2 4 2 2 2" xfId="25583" xr:uid="{00000000-0005-0000-0000-000018110000}"/>
    <cellStyle name="Normal 16 2 4 2 3" xfId="24481" xr:uid="{00000000-0005-0000-0000-000019110000}"/>
    <cellStyle name="Normal 16 2 4 2 4" xfId="25226" xr:uid="{00000000-0005-0000-0000-00001A110000}"/>
    <cellStyle name="Normal 16 2 4 3" xfId="24680" xr:uid="{00000000-0005-0000-0000-00001B110000}"/>
    <cellStyle name="Normal 16 2 4 3 2" xfId="25403" xr:uid="{00000000-0005-0000-0000-00001C110000}"/>
    <cellStyle name="Normal 16 2 4 4" xfId="24301" xr:uid="{00000000-0005-0000-0000-00001D110000}"/>
    <cellStyle name="Normal 16 2 4 5" xfId="25046" xr:uid="{00000000-0005-0000-0000-00001E110000}"/>
    <cellStyle name="Normal 16 2 5" xfId="2098" xr:uid="{00000000-0005-0000-0000-00001F110000}"/>
    <cellStyle name="Normal 16 2 5 2" xfId="24772" xr:uid="{00000000-0005-0000-0000-000020110000}"/>
    <cellStyle name="Normal 16 2 5 2 2" xfId="25495" xr:uid="{00000000-0005-0000-0000-000021110000}"/>
    <cellStyle name="Normal 16 2 5 3" xfId="24393" xr:uid="{00000000-0005-0000-0000-000022110000}"/>
    <cellStyle name="Normal 16 2 5 4" xfId="25138" xr:uid="{00000000-0005-0000-0000-000023110000}"/>
    <cellStyle name="Normal 16 2 6" xfId="24592" xr:uid="{00000000-0005-0000-0000-000024110000}"/>
    <cellStyle name="Normal 16 2 6 2" xfId="25315" xr:uid="{00000000-0005-0000-0000-000025110000}"/>
    <cellStyle name="Normal 16 2 7" xfId="24213" xr:uid="{00000000-0005-0000-0000-000026110000}"/>
    <cellStyle name="Normal 16 2 8" xfId="24958" xr:uid="{00000000-0005-0000-0000-000027110000}"/>
    <cellStyle name="Normal 16 2 9" xfId="27681" xr:uid="{00000000-0005-0000-0000-000028110000}"/>
    <cellStyle name="Normal 16 3" xfId="704" xr:uid="{00000000-0005-0000-0000-000029110000}"/>
    <cellStyle name="Normal 16 3 2" xfId="24730" xr:uid="{00000000-0005-0000-0000-00002A110000}"/>
    <cellStyle name="Normal 16 3 3" xfId="25453" xr:uid="{00000000-0005-0000-0000-00002B110000}"/>
    <cellStyle name="Normal 16 4" xfId="24351" xr:uid="{00000000-0005-0000-0000-00002C110000}"/>
    <cellStyle name="Normal 16 5" xfId="25096" xr:uid="{00000000-0005-0000-0000-00002D110000}"/>
    <cellStyle name="Normal 16 6" xfId="32864" xr:uid="{C82D2E6F-D214-4D42-9907-5AB8F60C225D}"/>
    <cellStyle name="Normal 17" xfId="705" xr:uid="{00000000-0005-0000-0000-00002E110000}"/>
    <cellStyle name="Normal 17 2" xfId="706" xr:uid="{00000000-0005-0000-0000-00002F110000}"/>
    <cellStyle name="Normal 17 2 2" xfId="27682" xr:uid="{00000000-0005-0000-0000-000030110000}"/>
    <cellStyle name="Normal 17 2 3" xfId="32776" xr:uid="{15A6F683-5A5B-4D1D-81DF-55F7911A97E0}"/>
    <cellStyle name="Normal 18" xfId="707" xr:uid="{00000000-0005-0000-0000-000031110000}"/>
    <cellStyle name="Normal 18 10" xfId="25874" xr:uid="{00000000-0005-0000-0000-000032110000}"/>
    <cellStyle name="Normal 18 11" xfId="32717" xr:uid="{0472C9E0-4CB5-46D3-9C6D-BD14951E56DD}"/>
    <cellStyle name="Normal 18 2" xfId="708" xr:uid="{00000000-0005-0000-0000-000033110000}"/>
    <cellStyle name="Normal 18 2 2" xfId="709" xr:uid="{00000000-0005-0000-0000-000034110000}"/>
    <cellStyle name="Normal 18 3" xfId="710" xr:uid="{00000000-0005-0000-0000-000035110000}"/>
    <cellStyle name="Normal 18 3 2" xfId="711" xr:uid="{00000000-0005-0000-0000-000036110000}"/>
    <cellStyle name="Normal 18 4" xfId="712" xr:uid="{00000000-0005-0000-0000-000037110000}"/>
    <cellStyle name="Normal 18 4 2" xfId="713" xr:uid="{00000000-0005-0000-0000-000038110000}"/>
    <cellStyle name="Normal 18 5" xfId="714" xr:uid="{00000000-0005-0000-0000-000039110000}"/>
    <cellStyle name="Normal 18 6" xfId="715" xr:uid="{00000000-0005-0000-0000-00003A110000}"/>
    <cellStyle name="Normal 18 7" xfId="716" xr:uid="{00000000-0005-0000-0000-00003B110000}"/>
    <cellStyle name="Normal 18 8" xfId="2106" xr:uid="{00000000-0005-0000-0000-00003C110000}"/>
    <cellStyle name="Normal 18 9" xfId="24533" xr:uid="{00000000-0005-0000-0000-00003D110000}"/>
    <cellStyle name="Normal 19" xfId="717" xr:uid="{00000000-0005-0000-0000-00003E110000}"/>
    <cellStyle name="Normal 19 2" xfId="718" xr:uid="{00000000-0005-0000-0000-00003F110000}"/>
    <cellStyle name="Normal 19 2 2" xfId="27683" xr:uid="{00000000-0005-0000-0000-000040110000}"/>
    <cellStyle name="Normal 19 2 3" xfId="26175" xr:uid="{00000000-0005-0000-0000-000041110000}"/>
    <cellStyle name="Normal 19 2 4" xfId="25876" xr:uid="{00000000-0005-0000-0000-000042110000}"/>
    <cellStyle name="Normal 19 3" xfId="719" xr:uid="{00000000-0005-0000-0000-000043110000}"/>
    <cellStyle name="Normal 19 3 2" xfId="27684" xr:uid="{00000000-0005-0000-0000-000044110000}"/>
    <cellStyle name="Normal 19 4" xfId="2107" xr:uid="{00000000-0005-0000-0000-000045110000}"/>
    <cellStyle name="Normal 19 4 2" xfId="26176" xr:uid="{00000000-0005-0000-0000-000046110000}"/>
    <cellStyle name="Normal 19 5" xfId="24534" xr:uid="{00000000-0005-0000-0000-000047110000}"/>
    <cellStyle name="Normal 19 6" xfId="25875" xr:uid="{00000000-0005-0000-0000-000048110000}"/>
    <cellStyle name="Normal 19 7" xfId="32785" xr:uid="{26CFE7E7-C604-44E4-A2FC-A572F05884B6}"/>
    <cellStyle name="Normal 2" xfId="720" xr:uid="{00000000-0005-0000-0000-000049110000}"/>
    <cellStyle name="Normal 2 10" xfId="25639" xr:uid="{00000000-0005-0000-0000-00004A110000}"/>
    <cellStyle name="Normal 2 11" xfId="32516" xr:uid="{00000000-0005-0000-0000-00004B110000}"/>
    <cellStyle name="Normal 2 11 8" xfId="32486" xr:uid="{00000000-0005-0000-0000-00004C110000}"/>
    <cellStyle name="Normal 2 12" xfId="32535" xr:uid="{59238B91-1492-4788-96D8-CEE6BB8DF5D5}"/>
    <cellStyle name="Normal 2 17" xfId="41979" xr:uid="{A2643A2C-03C7-4677-81C3-587B7B7E64AD}"/>
    <cellStyle name="Normal 2 2" xfId="721" xr:uid="{00000000-0005-0000-0000-00004D110000}"/>
    <cellStyle name="Normal 2 2 2" xfId="722" xr:uid="{00000000-0005-0000-0000-00004E110000}"/>
    <cellStyle name="Normal 2 2 2 2" xfId="723" xr:uid="{00000000-0005-0000-0000-00004F110000}"/>
    <cellStyle name="Normal 2 2 2 2 2" xfId="5312" xr:uid="{00000000-0005-0000-0000-000050110000}"/>
    <cellStyle name="Normal 2 2 2 2 2 2" xfId="5313" xr:uid="{00000000-0005-0000-0000-000051110000}"/>
    <cellStyle name="Normal 2 2 2 2 2 2 2" xfId="5314" xr:uid="{00000000-0005-0000-0000-000052110000}"/>
    <cellStyle name="Normal 2 2 2 2 2 2 2 2" xfId="7856" xr:uid="{00000000-0005-0000-0000-000053110000}"/>
    <cellStyle name="Normal 2 2 2 2 2 2 2 3" xfId="14730" xr:uid="{00000000-0005-0000-0000-000054110000}"/>
    <cellStyle name="Normal 2 2 2 2 2 2 2 4" xfId="19426" xr:uid="{00000000-0005-0000-0000-000055110000}"/>
    <cellStyle name="Normal 2 2 2 2 2 2 2 5" xfId="23916" xr:uid="{00000000-0005-0000-0000-000056110000}"/>
    <cellStyle name="Normal 2 2 2 2 2 2 3" xfId="7855" xr:uid="{00000000-0005-0000-0000-000057110000}"/>
    <cellStyle name="Normal 2 2 2 2 2 2 4" xfId="14729" xr:uid="{00000000-0005-0000-0000-000058110000}"/>
    <cellStyle name="Normal 2 2 2 2 2 2 5" xfId="19425" xr:uid="{00000000-0005-0000-0000-000059110000}"/>
    <cellStyle name="Normal 2 2 2 2 2 2 6" xfId="23915" xr:uid="{00000000-0005-0000-0000-00005A110000}"/>
    <cellStyle name="Normal 2 2 2 2 2 3" xfId="5315" xr:uid="{00000000-0005-0000-0000-00005B110000}"/>
    <cellStyle name="Normal 2 2 2 2 2 3 2" xfId="7857" xr:uid="{00000000-0005-0000-0000-00005C110000}"/>
    <cellStyle name="Normal 2 2 2 2 2 3 3" xfId="14731" xr:uid="{00000000-0005-0000-0000-00005D110000}"/>
    <cellStyle name="Normal 2 2 2 2 2 3 4" xfId="19427" xr:uid="{00000000-0005-0000-0000-00005E110000}"/>
    <cellStyle name="Normal 2 2 2 2 2 3 5" xfId="23917" xr:uid="{00000000-0005-0000-0000-00005F110000}"/>
    <cellStyle name="Normal 2 2 2 2 2 4" xfId="7854" xr:uid="{00000000-0005-0000-0000-000060110000}"/>
    <cellStyle name="Normal 2 2 2 2 2 5" xfId="14728" xr:uid="{00000000-0005-0000-0000-000061110000}"/>
    <cellStyle name="Normal 2 2 2 2 2 6" xfId="19424" xr:uid="{00000000-0005-0000-0000-000062110000}"/>
    <cellStyle name="Normal 2 2 2 2 2 7" xfId="23914" xr:uid="{00000000-0005-0000-0000-000063110000}"/>
    <cellStyle name="Normal 2 2 2 2 3" xfId="42404" xr:uid="{2B9965A1-077A-4C46-8681-BE9128C56866}"/>
    <cellStyle name="Normal 2 2 2 3" xfId="5316" xr:uid="{00000000-0005-0000-0000-000064110000}"/>
    <cellStyle name="Normal 2 2 2 3 2" xfId="5317" xr:uid="{00000000-0005-0000-0000-000065110000}"/>
    <cellStyle name="Normal 2 2 2 3 2 2" xfId="7859" xr:uid="{00000000-0005-0000-0000-000066110000}"/>
    <cellStyle name="Normal 2 2 2 3 2 3" xfId="14733" xr:uid="{00000000-0005-0000-0000-000067110000}"/>
    <cellStyle name="Normal 2 2 2 3 2 4" xfId="19429" xr:uid="{00000000-0005-0000-0000-000068110000}"/>
    <cellStyle name="Normal 2 2 2 3 2 5" xfId="23919" xr:uid="{00000000-0005-0000-0000-000069110000}"/>
    <cellStyle name="Normal 2 2 2 3 3" xfId="7858" xr:uid="{00000000-0005-0000-0000-00006A110000}"/>
    <cellStyle name="Normal 2 2 2 3 4" xfId="14732" xr:uid="{00000000-0005-0000-0000-00006B110000}"/>
    <cellStyle name="Normal 2 2 2 3 5" xfId="19428" xr:uid="{00000000-0005-0000-0000-00006C110000}"/>
    <cellStyle name="Normal 2 2 2 3 6" xfId="23918" xr:uid="{00000000-0005-0000-0000-00006D110000}"/>
    <cellStyle name="Normal 2 2 2 4" xfId="5318" xr:uid="{00000000-0005-0000-0000-00006E110000}"/>
    <cellStyle name="Normal 2 2 2 4 2" xfId="7860" xr:uid="{00000000-0005-0000-0000-00006F110000}"/>
    <cellStyle name="Normal 2 2 2 4 3" xfId="14734" xr:uid="{00000000-0005-0000-0000-000070110000}"/>
    <cellStyle name="Normal 2 2 2 4 4" xfId="19430" xr:uid="{00000000-0005-0000-0000-000071110000}"/>
    <cellStyle name="Normal 2 2 2 4 5" xfId="23920" xr:uid="{00000000-0005-0000-0000-000072110000}"/>
    <cellStyle name="Normal 2 2 2 5" xfId="7852" xr:uid="{00000000-0005-0000-0000-000073110000}"/>
    <cellStyle name="Normal 2 2 2 6" xfId="14726" xr:uid="{00000000-0005-0000-0000-000074110000}"/>
    <cellStyle name="Normal 2 2 2 7" xfId="19422" xr:uid="{00000000-0005-0000-0000-000075110000}"/>
    <cellStyle name="Normal 2 2 2 8" xfId="23912" xr:uid="{00000000-0005-0000-0000-000076110000}"/>
    <cellStyle name="Normal 2 2 2 9" xfId="5311" xr:uid="{00000000-0005-0000-0000-000077110000}"/>
    <cellStyle name="Normal 2 2 3" xfId="724" xr:uid="{00000000-0005-0000-0000-000078110000}"/>
    <cellStyle name="Normal 2 2 3 2" xfId="725" xr:uid="{00000000-0005-0000-0000-000079110000}"/>
    <cellStyle name="Normal 2 2 3 2 2" xfId="726" xr:uid="{00000000-0005-0000-0000-00007A110000}"/>
    <cellStyle name="Normal 2 2 3 2 2 2" xfId="727" xr:uid="{00000000-0005-0000-0000-00007B110000}"/>
    <cellStyle name="Normal 2 2 3 2 2 2 2" xfId="2112" xr:uid="{00000000-0005-0000-0000-00007C110000}"/>
    <cellStyle name="Normal 2 2 3 2 2 2 3" xfId="41878" xr:uid="{E28D28DC-7ED7-4E03-9586-E0A44398237D}"/>
    <cellStyle name="Normal 2 2 3 2 2 3" xfId="2111" xr:uid="{00000000-0005-0000-0000-00007D110000}"/>
    <cellStyle name="Normal 2 2 3 2 2 4" xfId="26533" xr:uid="{00000000-0005-0000-0000-00007E110000}"/>
    <cellStyle name="Normal 2 2 3 2 2 5" xfId="33176" xr:uid="{58B133AE-92FD-4951-9DB2-B957C3BADAC8}"/>
    <cellStyle name="Normal 2 2 3 2 3" xfId="728" xr:uid="{00000000-0005-0000-0000-00007F110000}"/>
    <cellStyle name="Normal 2 2 3 2 3 2" xfId="2113" xr:uid="{00000000-0005-0000-0000-000080110000}"/>
    <cellStyle name="Normal 2 2 3 2 3 3" xfId="41662" xr:uid="{48422B0E-78FC-4CC7-BE04-617DBE69A5D5}"/>
    <cellStyle name="Normal 2 2 3 2 4" xfId="2110" xr:uid="{00000000-0005-0000-0000-000081110000}"/>
    <cellStyle name="Normal 2 2 3 2 5" xfId="26317" xr:uid="{00000000-0005-0000-0000-000082110000}"/>
    <cellStyle name="Normal 2 2 3 2 6" xfId="32954" xr:uid="{B1BF830C-9FC2-4FBB-95D1-578D32F72B5B}"/>
    <cellStyle name="Normal 2 2 3 3" xfId="729" xr:uid="{00000000-0005-0000-0000-000083110000}"/>
    <cellStyle name="Normal 2 2 3 3 2" xfId="730" xr:uid="{00000000-0005-0000-0000-000084110000}"/>
    <cellStyle name="Normal 2 2 3 3 2 2" xfId="731" xr:uid="{00000000-0005-0000-0000-000085110000}"/>
    <cellStyle name="Normal 2 2 3 3 2 2 2" xfId="2116" xr:uid="{00000000-0005-0000-0000-000086110000}"/>
    <cellStyle name="Normal 2 2 3 3 2 2 3" xfId="41950" xr:uid="{D4799E19-3991-4A94-8C22-4068C3DC1575}"/>
    <cellStyle name="Normal 2 2 3 3 2 3" xfId="2115" xr:uid="{00000000-0005-0000-0000-000087110000}"/>
    <cellStyle name="Normal 2 2 3 3 2 4" xfId="26605" xr:uid="{00000000-0005-0000-0000-000088110000}"/>
    <cellStyle name="Normal 2 2 3 3 2 5" xfId="33248" xr:uid="{B5185530-9613-4E6A-975B-1156A5B7AAD1}"/>
    <cellStyle name="Normal 2 2 3 3 3" xfId="732" xr:uid="{00000000-0005-0000-0000-000089110000}"/>
    <cellStyle name="Normal 2 2 3 3 3 2" xfId="2117" xr:uid="{00000000-0005-0000-0000-00008A110000}"/>
    <cellStyle name="Normal 2 2 3 3 3 3" xfId="41734" xr:uid="{6162CA96-5CF3-4F0B-840A-0CABB4B93255}"/>
    <cellStyle name="Normal 2 2 3 3 4" xfId="2114" xr:uid="{00000000-0005-0000-0000-00008B110000}"/>
    <cellStyle name="Normal 2 2 3 3 5" xfId="26389" xr:uid="{00000000-0005-0000-0000-00008C110000}"/>
    <cellStyle name="Normal 2 2 3 3 6" xfId="33032" xr:uid="{EDACC4EC-5F7A-49A2-8E4A-9B4B86C413B1}"/>
    <cellStyle name="Normal 2 2 3 4" xfId="733" xr:uid="{00000000-0005-0000-0000-00008D110000}"/>
    <cellStyle name="Normal 2 2 3 4 2" xfId="734" xr:uid="{00000000-0005-0000-0000-00008E110000}"/>
    <cellStyle name="Normal 2 2 3 4 2 2" xfId="2119" xr:uid="{00000000-0005-0000-0000-00008F110000}"/>
    <cellStyle name="Normal 2 2 3 4 2 3" xfId="41806" xr:uid="{8F17363C-F328-4E58-B67D-CE17BEAFE08C}"/>
    <cellStyle name="Normal 2 2 3 4 3" xfId="2118" xr:uid="{00000000-0005-0000-0000-000090110000}"/>
    <cellStyle name="Normal 2 2 3 4 4" xfId="26461" xr:uid="{00000000-0005-0000-0000-000091110000}"/>
    <cellStyle name="Normal 2 2 3 4 5" xfId="33104" xr:uid="{08F80988-7E7A-429E-BE33-4C63706E529E}"/>
    <cellStyle name="Normal 2 2 3 5" xfId="735" xr:uid="{00000000-0005-0000-0000-000092110000}"/>
    <cellStyle name="Normal 2 2 3 5 2" xfId="2120" xr:uid="{00000000-0005-0000-0000-000093110000}"/>
    <cellStyle name="Normal 2 2 3 5 3" xfId="41590" xr:uid="{23074DAC-4488-401D-B273-1498192B4226}"/>
    <cellStyle name="Normal 2 2 3 6" xfId="2109" xr:uid="{00000000-0005-0000-0000-000094110000}"/>
    <cellStyle name="Normal 2 2 3 6 2" xfId="26242" xr:uid="{00000000-0005-0000-0000-000095110000}"/>
    <cellStyle name="Normal 2 2 3 7" xfId="5319" xr:uid="{00000000-0005-0000-0000-000096110000}"/>
    <cellStyle name="Normal 2 2 3 8" xfId="26075" xr:uid="{00000000-0005-0000-0000-000097110000}"/>
    <cellStyle name="Normal 2 2 3 9" xfId="32846" xr:uid="{31E54659-B889-475B-BA4A-88DCB9588CA9}"/>
    <cellStyle name="Normal 2 2 4" xfId="736" xr:uid="{00000000-0005-0000-0000-000098110000}"/>
    <cellStyle name="Normal 2 2 4 2" xfId="737" xr:uid="{00000000-0005-0000-0000-000099110000}"/>
    <cellStyle name="Normal 2 2 4 2 10" xfId="32960" xr:uid="{E0E04E24-29F8-4C4A-8292-7930DE6F4000}"/>
    <cellStyle name="Normal 2 2 4 2 2" xfId="738" xr:uid="{00000000-0005-0000-0000-00009A110000}"/>
    <cellStyle name="Normal 2 2 4 2 2 2" xfId="739" xr:uid="{00000000-0005-0000-0000-00009B110000}"/>
    <cellStyle name="Normal 2 2 4 2 2 2 2" xfId="2124" xr:uid="{00000000-0005-0000-0000-00009C110000}"/>
    <cellStyle name="Normal 2 2 4 2 2 2 2 2" xfId="7864" xr:uid="{00000000-0005-0000-0000-00009D110000}"/>
    <cellStyle name="Normal 2 2 4 2 2 2 3" xfId="14738" xr:uid="{00000000-0005-0000-0000-00009E110000}"/>
    <cellStyle name="Normal 2 2 4 2 2 2 4" xfId="19434" xr:uid="{00000000-0005-0000-0000-00009F110000}"/>
    <cellStyle name="Normal 2 2 4 2 2 2 5" xfId="23924" xr:uid="{00000000-0005-0000-0000-0000A0110000}"/>
    <cellStyle name="Normal 2 2 4 2 2 2 6" xfId="5322" xr:uid="{00000000-0005-0000-0000-0000A1110000}"/>
    <cellStyle name="Normal 2 2 4 2 2 2 7" xfId="41884" xr:uid="{538F954E-E4AB-43A5-AA2E-272CD23FAC4E}"/>
    <cellStyle name="Normal 2 2 4 2 2 3" xfId="2123" xr:uid="{00000000-0005-0000-0000-0000A2110000}"/>
    <cellStyle name="Normal 2 2 4 2 2 3 2" xfId="7863" xr:uid="{00000000-0005-0000-0000-0000A3110000}"/>
    <cellStyle name="Normal 2 2 4 2 2 4" xfId="14737" xr:uid="{00000000-0005-0000-0000-0000A4110000}"/>
    <cellStyle name="Normal 2 2 4 2 2 5" xfId="19433" xr:uid="{00000000-0005-0000-0000-0000A5110000}"/>
    <cellStyle name="Normal 2 2 4 2 2 6" xfId="23923" xr:uid="{00000000-0005-0000-0000-0000A6110000}"/>
    <cellStyle name="Normal 2 2 4 2 2 7" xfId="5321" xr:uid="{00000000-0005-0000-0000-0000A7110000}"/>
    <cellStyle name="Normal 2 2 4 2 2 8" xfId="26539" xr:uid="{00000000-0005-0000-0000-0000A8110000}"/>
    <cellStyle name="Normal 2 2 4 2 2 9" xfId="33182" xr:uid="{78377D21-07D5-4A10-B62C-0ECFAF93C85C}"/>
    <cellStyle name="Normal 2 2 4 2 3" xfId="740" xr:uid="{00000000-0005-0000-0000-0000A9110000}"/>
    <cellStyle name="Normal 2 2 4 2 3 2" xfId="2125" xr:uid="{00000000-0005-0000-0000-0000AA110000}"/>
    <cellStyle name="Normal 2 2 4 2 3 2 2" xfId="7865" xr:uid="{00000000-0005-0000-0000-0000AB110000}"/>
    <cellStyle name="Normal 2 2 4 2 3 3" xfId="14739" xr:uid="{00000000-0005-0000-0000-0000AC110000}"/>
    <cellStyle name="Normal 2 2 4 2 3 4" xfId="19435" xr:uid="{00000000-0005-0000-0000-0000AD110000}"/>
    <cellStyle name="Normal 2 2 4 2 3 5" xfId="23925" xr:uid="{00000000-0005-0000-0000-0000AE110000}"/>
    <cellStyle name="Normal 2 2 4 2 3 6" xfId="5323" xr:uid="{00000000-0005-0000-0000-0000AF110000}"/>
    <cellStyle name="Normal 2 2 4 2 3 7" xfId="41668" xr:uid="{81A97A0F-2EFD-4C4E-88DB-39A5DB6AD10B}"/>
    <cellStyle name="Normal 2 2 4 2 4" xfId="2122" xr:uid="{00000000-0005-0000-0000-0000B0110000}"/>
    <cellStyle name="Normal 2 2 4 2 4 2" xfId="7862" xr:uid="{00000000-0005-0000-0000-0000B1110000}"/>
    <cellStyle name="Normal 2 2 4 2 5" xfId="14736" xr:uid="{00000000-0005-0000-0000-0000B2110000}"/>
    <cellStyle name="Normal 2 2 4 2 6" xfId="19432" xr:uid="{00000000-0005-0000-0000-0000B3110000}"/>
    <cellStyle name="Normal 2 2 4 2 7" xfId="23922" xr:uid="{00000000-0005-0000-0000-0000B4110000}"/>
    <cellStyle name="Normal 2 2 4 2 8" xfId="5320" xr:uid="{00000000-0005-0000-0000-0000B5110000}"/>
    <cellStyle name="Normal 2 2 4 2 9" xfId="26323" xr:uid="{00000000-0005-0000-0000-0000B6110000}"/>
    <cellStyle name="Normal 2 2 4 3" xfId="741" xr:uid="{00000000-0005-0000-0000-0000B7110000}"/>
    <cellStyle name="Normal 2 2 4 3 2" xfId="742" xr:uid="{00000000-0005-0000-0000-0000B8110000}"/>
    <cellStyle name="Normal 2 2 4 3 2 2" xfId="743" xr:uid="{00000000-0005-0000-0000-0000B9110000}"/>
    <cellStyle name="Normal 2 2 4 3 2 2 2" xfId="2128" xr:uid="{00000000-0005-0000-0000-0000BA110000}"/>
    <cellStyle name="Normal 2 2 4 3 2 2 3" xfId="41956" xr:uid="{173A710B-A644-4D36-8559-2156BBF580CC}"/>
    <cellStyle name="Normal 2 2 4 3 2 3" xfId="2127" xr:uid="{00000000-0005-0000-0000-0000BB110000}"/>
    <cellStyle name="Normal 2 2 4 3 2 4" xfId="26611" xr:uid="{00000000-0005-0000-0000-0000BC110000}"/>
    <cellStyle name="Normal 2 2 4 3 2 5" xfId="33254" xr:uid="{8534264C-4483-46E8-A23C-2CE6AC2890B8}"/>
    <cellStyle name="Normal 2 2 4 3 3" xfId="744" xr:uid="{00000000-0005-0000-0000-0000BD110000}"/>
    <cellStyle name="Normal 2 2 4 3 3 2" xfId="2129" xr:uid="{00000000-0005-0000-0000-0000BE110000}"/>
    <cellStyle name="Normal 2 2 4 3 3 3" xfId="41740" xr:uid="{C3A14F10-2EB3-46D5-8EF0-766F20CB0B6F}"/>
    <cellStyle name="Normal 2 2 4 3 4" xfId="2126" xr:uid="{00000000-0005-0000-0000-0000BF110000}"/>
    <cellStyle name="Normal 2 2 4 3 5" xfId="26395" xr:uid="{00000000-0005-0000-0000-0000C0110000}"/>
    <cellStyle name="Normal 2 2 4 3 6" xfId="33038" xr:uid="{781AACB9-F45E-4038-BA67-A366752BAC68}"/>
    <cellStyle name="Normal 2 2 4 4" xfId="745" xr:uid="{00000000-0005-0000-0000-0000C1110000}"/>
    <cellStyle name="Normal 2 2 4 4 2" xfId="746" xr:uid="{00000000-0005-0000-0000-0000C2110000}"/>
    <cellStyle name="Normal 2 2 4 4 2 2" xfId="2131" xr:uid="{00000000-0005-0000-0000-0000C3110000}"/>
    <cellStyle name="Normal 2 2 4 4 2 3" xfId="41812" xr:uid="{A5B6E548-4F7E-4974-A244-FC42B4085464}"/>
    <cellStyle name="Normal 2 2 4 4 3" xfId="2130" xr:uid="{00000000-0005-0000-0000-0000C4110000}"/>
    <cellStyle name="Normal 2 2 4 4 4" xfId="26467" xr:uid="{00000000-0005-0000-0000-0000C5110000}"/>
    <cellStyle name="Normal 2 2 4 4 5" xfId="33110" xr:uid="{D780B14E-98E7-4425-8899-499C86E77111}"/>
    <cellStyle name="Normal 2 2 4 5" xfId="747" xr:uid="{00000000-0005-0000-0000-0000C6110000}"/>
    <cellStyle name="Normal 2 2 4 5 2" xfId="2132" xr:uid="{00000000-0005-0000-0000-0000C7110000}"/>
    <cellStyle name="Normal 2 2 4 5 3" xfId="41596" xr:uid="{3DAAEBCA-CBAA-4C39-BFA1-A8FE7A03983A}"/>
    <cellStyle name="Normal 2 2 4 6" xfId="2121" xr:uid="{00000000-0005-0000-0000-0000C8110000}"/>
    <cellStyle name="Normal 2 2 4 7" xfId="5278" xr:uid="{00000000-0005-0000-0000-0000C9110000}"/>
    <cellStyle name="Normal 2 2 4 8" xfId="26250" xr:uid="{00000000-0005-0000-0000-0000CA110000}"/>
    <cellStyle name="Normal 2 2 4 9" xfId="32858" xr:uid="{DB0EA59E-4A98-4F31-8EFE-880CACD32869}"/>
    <cellStyle name="Normal 2 2 5" xfId="748" xr:uid="{00000000-0005-0000-0000-0000CB110000}"/>
    <cellStyle name="Normal 2 2 5 2" xfId="749" xr:uid="{00000000-0005-0000-0000-0000CC110000}"/>
    <cellStyle name="Normal 2 2 5 2 2" xfId="750" xr:uid="{00000000-0005-0000-0000-0000CD110000}"/>
    <cellStyle name="Normal 2 2 5 2 2 2" xfId="751" xr:uid="{00000000-0005-0000-0000-0000CE110000}"/>
    <cellStyle name="Normal 2 2 5 2 2 2 2" xfId="2136" xr:uid="{00000000-0005-0000-0000-0000CF110000}"/>
    <cellStyle name="Normal 2 2 5 2 2 2 3" xfId="41903" xr:uid="{965FA6C4-5EA5-49DF-B62A-DD85FE3FD38C}"/>
    <cellStyle name="Normal 2 2 5 2 2 3" xfId="2135" xr:uid="{00000000-0005-0000-0000-0000D0110000}"/>
    <cellStyle name="Normal 2 2 5 2 2 4" xfId="7867" xr:uid="{00000000-0005-0000-0000-0000D1110000}"/>
    <cellStyle name="Normal 2 2 5 2 2 5" xfId="26558" xr:uid="{00000000-0005-0000-0000-0000D2110000}"/>
    <cellStyle name="Normal 2 2 5 2 2 6" xfId="33201" xr:uid="{E1B52D5A-ABBF-48C3-8612-E7E9629D20A3}"/>
    <cellStyle name="Normal 2 2 5 2 3" xfId="752" xr:uid="{00000000-0005-0000-0000-0000D3110000}"/>
    <cellStyle name="Normal 2 2 5 2 3 2" xfId="2137" xr:uid="{00000000-0005-0000-0000-0000D4110000}"/>
    <cellStyle name="Normal 2 2 5 2 3 3" xfId="14741" xr:uid="{00000000-0005-0000-0000-0000D5110000}"/>
    <cellStyle name="Normal 2 2 5 2 3 4" xfId="41687" xr:uid="{9AA7AA2C-945D-4F5F-8CA3-53739F88E4D0}"/>
    <cellStyle name="Normal 2 2 5 2 4" xfId="2134" xr:uid="{00000000-0005-0000-0000-0000D6110000}"/>
    <cellStyle name="Normal 2 2 5 2 4 2" xfId="19437" xr:uid="{00000000-0005-0000-0000-0000D7110000}"/>
    <cellStyle name="Normal 2 2 5 2 5" xfId="23927" xr:uid="{00000000-0005-0000-0000-0000D8110000}"/>
    <cellStyle name="Normal 2 2 5 2 6" xfId="5325" xr:uid="{00000000-0005-0000-0000-0000D9110000}"/>
    <cellStyle name="Normal 2 2 5 2 7" xfId="26342" xr:uid="{00000000-0005-0000-0000-0000DA110000}"/>
    <cellStyle name="Normal 2 2 5 2 8" xfId="32985" xr:uid="{2D43F6E9-CB6C-4E5D-B0FF-1AC0874BE393}"/>
    <cellStyle name="Normal 2 2 5 3" xfId="753" xr:uid="{00000000-0005-0000-0000-0000DB110000}"/>
    <cellStyle name="Normal 2 2 5 3 2" xfId="754" xr:uid="{00000000-0005-0000-0000-0000DC110000}"/>
    <cellStyle name="Normal 2 2 5 3 2 2" xfId="755" xr:uid="{00000000-0005-0000-0000-0000DD110000}"/>
    <cellStyle name="Normal 2 2 5 3 2 2 2" xfId="2140" xr:uid="{00000000-0005-0000-0000-0000DE110000}"/>
    <cellStyle name="Normal 2 2 5 3 2 2 3" xfId="41975" xr:uid="{B23F0169-515A-425E-80C0-6B6019750D8C}"/>
    <cellStyle name="Normal 2 2 5 3 2 3" xfId="2139" xr:uid="{00000000-0005-0000-0000-0000DF110000}"/>
    <cellStyle name="Normal 2 2 5 3 2 4" xfId="26630" xr:uid="{00000000-0005-0000-0000-0000E0110000}"/>
    <cellStyle name="Normal 2 2 5 3 2 5" xfId="33273" xr:uid="{7381181B-DB34-422F-9992-FA26CADF9650}"/>
    <cellStyle name="Normal 2 2 5 3 3" xfId="756" xr:uid="{00000000-0005-0000-0000-0000E1110000}"/>
    <cellStyle name="Normal 2 2 5 3 3 2" xfId="2141" xr:uid="{00000000-0005-0000-0000-0000E2110000}"/>
    <cellStyle name="Normal 2 2 5 3 3 3" xfId="41759" xr:uid="{EB779D94-9087-4181-B863-E7688FB0A17B}"/>
    <cellStyle name="Normal 2 2 5 3 4" xfId="2138" xr:uid="{00000000-0005-0000-0000-0000E3110000}"/>
    <cellStyle name="Normal 2 2 5 3 5" xfId="7866" xr:uid="{00000000-0005-0000-0000-0000E4110000}"/>
    <cellStyle name="Normal 2 2 5 3 6" xfId="26414" xr:uid="{00000000-0005-0000-0000-0000E5110000}"/>
    <cellStyle name="Normal 2 2 5 3 7" xfId="33057" xr:uid="{8932CDBD-82A8-4044-82D6-EA47424960EC}"/>
    <cellStyle name="Normal 2 2 5 4" xfId="757" xr:uid="{00000000-0005-0000-0000-0000E6110000}"/>
    <cellStyle name="Normal 2 2 5 4 2" xfId="758" xr:uid="{00000000-0005-0000-0000-0000E7110000}"/>
    <cellStyle name="Normal 2 2 5 4 2 2" xfId="2143" xr:uid="{00000000-0005-0000-0000-0000E8110000}"/>
    <cellStyle name="Normal 2 2 5 4 2 3" xfId="41831" xr:uid="{F96B03E6-8623-44AE-B8FD-59325235275F}"/>
    <cellStyle name="Normal 2 2 5 4 3" xfId="2142" xr:uid="{00000000-0005-0000-0000-0000E9110000}"/>
    <cellStyle name="Normal 2 2 5 4 4" xfId="14740" xr:uid="{00000000-0005-0000-0000-0000EA110000}"/>
    <cellStyle name="Normal 2 2 5 4 5" xfId="26486" xr:uid="{00000000-0005-0000-0000-0000EB110000}"/>
    <cellStyle name="Normal 2 2 5 4 6" xfId="33129" xr:uid="{14B7384B-458F-497D-B1D0-EBA2B2F9193A}"/>
    <cellStyle name="Normal 2 2 5 5" xfId="759" xr:uid="{00000000-0005-0000-0000-0000EC110000}"/>
    <cellStyle name="Normal 2 2 5 5 2" xfId="2144" xr:uid="{00000000-0005-0000-0000-0000ED110000}"/>
    <cellStyle name="Normal 2 2 5 5 3" xfId="19436" xr:uid="{00000000-0005-0000-0000-0000EE110000}"/>
    <cellStyle name="Normal 2 2 5 5 4" xfId="41615" xr:uid="{DCA82B15-35D8-4DC4-B47F-E60234AB212F}"/>
    <cellStyle name="Normal 2 2 5 6" xfId="2133" xr:uid="{00000000-0005-0000-0000-0000EF110000}"/>
    <cellStyle name="Normal 2 2 5 6 2" xfId="23926" xr:uid="{00000000-0005-0000-0000-0000F0110000}"/>
    <cellStyle name="Normal 2 2 5 7" xfId="5324" xr:uid="{00000000-0005-0000-0000-0000F1110000}"/>
    <cellStyle name="Normal 2 2 5 8" xfId="26270" xr:uid="{00000000-0005-0000-0000-0000F2110000}"/>
    <cellStyle name="Normal 2 2 5 9" xfId="32896" xr:uid="{FBB70977-50A4-4511-A91C-E7B3F6C6C458}"/>
    <cellStyle name="Normal 2 2 6" xfId="5326" xr:uid="{00000000-0005-0000-0000-0000F3110000}"/>
    <cellStyle name="Normal 2 2 6 2" xfId="7868" xr:uid="{00000000-0005-0000-0000-0000F4110000}"/>
    <cellStyle name="Normal 2 2 6 3" xfId="14742" xr:uid="{00000000-0005-0000-0000-0000F5110000}"/>
    <cellStyle name="Normal 2 2 6 4" xfId="19438" xr:uid="{00000000-0005-0000-0000-0000F6110000}"/>
    <cellStyle name="Normal 2 2 6 5" xfId="23928" xr:uid="{00000000-0005-0000-0000-0000F7110000}"/>
    <cellStyle name="Normal 2 2 6 6" xfId="26126" xr:uid="{00000000-0005-0000-0000-0000F8110000}"/>
    <cellStyle name="Normal 2 2 7" xfId="5115" xr:uid="{00000000-0005-0000-0000-0000F9110000}"/>
    <cellStyle name="Normal 2 25" xfId="1798" xr:uid="{00000000-0005-0000-0000-0000FA110000}"/>
    <cellStyle name="Normal 2 3" xfId="760" xr:uid="{00000000-0005-0000-0000-0000FB110000}"/>
    <cellStyle name="Normal 2 3 2" xfId="761" xr:uid="{00000000-0005-0000-0000-0000FC110000}"/>
    <cellStyle name="Normal 2 3 2 2" xfId="1752" xr:uid="{00000000-0005-0000-0000-0000FD110000}"/>
    <cellStyle name="Normal 2 3 2 2 2" xfId="2852" xr:uid="{00000000-0005-0000-0000-0000FE110000}"/>
    <cellStyle name="Normal 2 3 2 2 3" xfId="5327" xr:uid="{00000000-0005-0000-0000-0000FF110000}"/>
    <cellStyle name="Normal 2 3 2 3" xfId="1779" xr:uid="{00000000-0005-0000-0000-000000120000}"/>
    <cellStyle name="Normal 2 3 2 3 2" xfId="2875" xr:uid="{00000000-0005-0000-0000-000001120000}"/>
    <cellStyle name="Normal 2 3 2 3 2 2" xfId="7871" xr:uid="{00000000-0005-0000-0000-000002120000}"/>
    <cellStyle name="Normal 2 3 2 3 2 3" xfId="14745" xr:uid="{00000000-0005-0000-0000-000003120000}"/>
    <cellStyle name="Normal 2 3 2 3 2 4" xfId="19441" xr:uid="{00000000-0005-0000-0000-000004120000}"/>
    <cellStyle name="Normal 2 3 2 3 2 5" xfId="23930" xr:uid="{00000000-0005-0000-0000-000005120000}"/>
    <cellStyle name="Normal 2 3 2 3 2 6" xfId="5329" xr:uid="{00000000-0005-0000-0000-000006120000}"/>
    <cellStyle name="Normal 2 3 2 3 3" xfId="7870" xr:uid="{00000000-0005-0000-0000-000007120000}"/>
    <cellStyle name="Normal 2 3 2 3 4" xfId="14744" xr:uid="{00000000-0005-0000-0000-000008120000}"/>
    <cellStyle name="Normal 2 3 2 3 5" xfId="19440" xr:uid="{00000000-0005-0000-0000-000009120000}"/>
    <cellStyle name="Normal 2 3 2 3 6" xfId="23929" xr:uid="{00000000-0005-0000-0000-00000A120000}"/>
    <cellStyle name="Normal 2 3 2 3 7" xfId="5328" xr:uid="{00000000-0005-0000-0000-00000B120000}"/>
    <cellStyle name="Normal 2 3 2 4" xfId="5330" xr:uid="{00000000-0005-0000-0000-00000C120000}"/>
    <cellStyle name="Normal 2 3 2 5" xfId="5331" xr:uid="{00000000-0005-0000-0000-00000D120000}"/>
    <cellStyle name="Normal 2 3 2 5 2" xfId="7873" xr:uid="{00000000-0005-0000-0000-00000E120000}"/>
    <cellStyle name="Normal 2 3 2 5 3" xfId="14747" xr:uid="{00000000-0005-0000-0000-00000F120000}"/>
    <cellStyle name="Normal 2 3 2 5 4" xfId="19443" xr:uid="{00000000-0005-0000-0000-000010120000}"/>
    <cellStyle name="Normal 2 3 2 5 5" xfId="23932" xr:uid="{00000000-0005-0000-0000-000011120000}"/>
    <cellStyle name="Normal 2 3 2 6" xfId="25878" xr:uid="{00000000-0005-0000-0000-000012120000}"/>
    <cellStyle name="Normal 2 3 3" xfId="5332" xr:uid="{00000000-0005-0000-0000-000013120000}"/>
    <cellStyle name="Normal 2 3 3 2" xfId="5333" xr:uid="{00000000-0005-0000-0000-000014120000}"/>
    <cellStyle name="Normal 2 3 3 2 2" xfId="7875" xr:uid="{00000000-0005-0000-0000-000015120000}"/>
    <cellStyle name="Normal 2 3 3 2 3" xfId="14749" xr:uid="{00000000-0005-0000-0000-000016120000}"/>
    <cellStyle name="Normal 2 3 3 2 4" xfId="19445" xr:uid="{00000000-0005-0000-0000-000017120000}"/>
    <cellStyle name="Normal 2 3 3 2 5" xfId="23934" xr:uid="{00000000-0005-0000-0000-000018120000}"/>
    <cellStyle name="Normal 2 3 3 2 6" xfId="26036" xr:uid="{00000000-0005-0000-0000-000019120000}"/>
    <cellStyle name="Normal 2 3 3 3" xfId="7874" xr:uid="{00000000-0005-0000-0000-00001A120000}"/>
    <cellStyle name="Normal 2 3 3 4" xfId="14748" xr:uid="{00000000-0005-0000-0000-00001B120000}"/>
    <cellStyle name="Normal 2 3 3 5" xfId="19444" xr:uid="{00000000-0005-0000-0000-00001C120000}"/>
    <cellStyle name="Normal 2 3 3 6" xfId="23933" xr:uid="{00000000-0005-0000-0000-00001D120000}"/>
    <cellStyle name="Normal 2 3 3 7" xfId="25879" xr:uid="{00000000-0005-0000-0000-00001E120000}"/>
    <cellStyle name="Normal 2 3 4" xfId="5334" xr:uid="{00000000-0005-0000-0000-00001F120000}"/>
    <cellStyle name="Normal 2 3 4 2" xfId="5335" xr:uid="{00000000-0005-0000-0000-000020120000}"/>
    <cellStyle name="Normal 2 3 4 2 2" xfId="7877" xr:uid="{00000000-0005-0000-0000-000021120000}"/>
    <cellStyle name="Normal 2 3 4 2 3" xfId="14751" xr:uid="{00000000-0005-0000-0000-000022120000}"/>
    <cellStyle name="Normal 2 3 4 2 4" xfId="19447" xr:uid="{00000000-0005-0000-0000-000023120000}"/>
    <cellStyle name="Normal 2 3 4 2 5" xfId="23936" xr:uid="{00000000-0005-0000-0000-000024120000}"/>
    <cellStyle name="Normal 2 3 4 3" xfId="7876" xr:uid="{00000000-0005-0000-0000-000025120000}"/>
    <cellStyle name="Normal 2 3 4 4" xfId="14750" xr:uid="{00000000-0005-0000-0000-000026120000}"/>
    <cellStyle name="Normal 2 3 4 5" xfId="19446" xr:uid="{00000000-0005-0000-0000-000027120000}"/>
    <cellStyle name="Normal 2 3 4 6" xfId="23935" xr:uid="{00000000-0005-0000-0000-000028120000}"/>
    <cellStyle name="Normal 2 3 4 7" xfId="26035" xr:uid="{00000000-0005-0000-0000-000029120000}"/>
    <cellStyle name="Normal 2 3 5" xfId="5336" xr:uid="{00000000-0005-0000-0000-00002A120000}"/>
    <cellStyle name="Normal 2 3 5 2" xfId="5337" xr:uid="{00000000-0005-0000-0000-00002B120000}"/>
    <cellStyle name="Normal 2 3 5 2 2" xfId="7879" xr:uid="{00000000-0005-0000-0000-00002C120000}"/>
    <cellStyle name="Normal 2 3 5 2 3" xfId="14753" xr:uid="{00000000-0005-0000-0000-00002D120000}"/>
    <cellStyle name="Normal 2 3 5 2 4" xfId="19449" xr:uid="{00000000-0005-0000-0000-00002E120000}"/>
    <cellStyle name="Normal 2 3 5 2 5" xfId="23938" xr:uid="{00000000-0005-0000-0000-00002F120000}"/>
    <cellStyle name="Normal 2 3 5 3" xfId="7878" xr:uid="{00000000-0005-0000-0000-000030120000}"/>
    <cellStyle name="Normal 2 3 5 4" xfId="14752" xr:uid="{00000000-0005-0000-0000-000031120000}"/>
    <cellStyle name="Normal 2 3 5 5" xfId="19448" xr:uid="{00000000-0005-0000-0000-000032120000}"/>
    <cellStyle name="Normal 2 3 5 6" xfId="23937" xr:uid="{00000000-0005-0000-0000-000033120000}"/>
    <cellStyle name="Normal 2 3 5 7" xfId="26087" xr:uid="{00000000-0005-0000-0000-000034120000}"/>
    <cellStyle name="Normal 2 3 6" xfId="26174" xr:uid="{00000000-0005-0000-0000-000035120000}"/>
    <cellStyle name="Normal 2 3 7" xfId="25877" xr:uid="{00000000-0005-0000-0000-000036120000}"/>
    <cellStyle name="Normal 2 3 8" xfId="32562" xr:uid="{26580611-BB98-48BA-94BC-8068A7399483}"/>
    <cellStyle name="Normal 2 4" xfId="762" xr:uid="{00000000-0005-0000-0000-000037120000}"/>
    <cellStyle name="Normal 2 4 2" xfId="5339" xr:uid="{00000000-0005-0000-0000-000038120000}"/>
    <cellStyle name="Normal 2 4 2 2" xfId="5340" xr:uid="{00000000-0005-0000-0000-000039120000}"/>
    <cellStyle name="Normal 2 4 2 3" xfId="5341" xr:uid="{00000000-0005-0000-0000-00003A120000}"/>
    <cellStyle name="Normal 2 4 2 3 2" xfId="5342" xr:uid="{00000000-0005-0000-0000-00003B120000}"/>
    <cellStyle name="Normal 2 4 2 3 2 2" xfId="7884" xr:uid="{00000000-0005-0000-0000-00003C120000}"/>
    <cellStyle name="Normal 2 4 2 3 2 3" xfId="14758" xr:uid="{00000000-0005-0000-0000-00003D120000}"/>
    <cellStyle name="Normal 2 4 2 3 2 4" xfId="19454" xr:uid="{00000000-0005-0000-0000-00003E120000}"/>
    <cellStyle name="Normal 2 4 2 3 2 5" xfId="23942" xr:uid="{00000000-0005-0000-0000-00003F120000}"/>
    <cellStyle name="Normal 2 4 2 3 3" xfId="7883" xr:uid="{00000000-0005-0000-0000-000040120000}"/>
    <cellStyle name="Normal 2 4 2 3 4" xfId="14757" xr:uid="{00000000-0005-0000-0000-000041120000}"/>
    <cellStyle name="Normal 2 4 2 3 5" xfId="19453" xr:uid="{00000000-0005-0000-0000-000042120000}"/>
    <cellStyle name="Normal 2 4 2 3 6" xfId="23941" xr:uid="{00000000-0005-0000-0000-000043120000}"/>
    <cellStyle name="Normal 2 4 2 4" xfId="5343" xr:uid="{00000000-0005-0000-0000-000044120000}"/>
    <cellStyle name="Normal 2 4 2 4 2" xfId="7885" xr:uid="{00000000-0005-0000-0000-000045120000}"/>
    <cellStyle name="Normal 2 4 2 4 3" xfId="14759" xr:uid="{00000000-0005-0000-0000-000046120000}"/>
    <cellStyle name="Normal 2 4 2 4 4" xfId="19455" xr:uid="{00000000-0005-0000-0000-000047120000}"/>
    <cellStyle name="Normal 2 4 2 4 5" xfId="23943" xr:uid="{00000000-0005-0000-0000-000048120000}"/>
    <cellStyle name="Normal 2 4 2 5" xfId="7881" xr:uid="{00000000-0005-0000-0000-000049120000}"/>
    <cellStyle name="Normal 2 4 2 6" xfId="14755" xr:uid="{00000000-0005-0000-0000-00004A120000}"/>
    <cellStyle name="Normal 2 4 2 7" xfId="19451" xr:uid="{00000000-0005-0000-0000-00004B120000}"/>
    <cellStyle name="Normal 2 4 2 8" xfId="23940" xr:uid="{00000000-0005-0000-0000-00004C120000}"/>
    <cellStyle name="Normal 2 4 2 9" xfId="25881" xr:uid="{00000000-0005-0000-0000-00004D120000}"/>
    <cellStyle name="Normal 2 4 3" xfId="5344" xr:uid="{00000000-0005-0000-0000-00004E120000}"/>
    <cellStyle name="Normal 2 4 3 2" xfId="5345" xr:uid="{00000000-0005-0000-0000-00004F120000}"/>
    <cellStyle name="Normal 2 4 3 2 2" xfId="7887" xr:uid="{00000000-0005-0000-0000-000050120000}"/>
    <cellStyle name="Normal 2 4 3 2 3" xfId="14761" xr:uid="{00000000-0005-0000-0000-000051120000}"/>
    <cellStyle name="Normal 2 4 3 2 4" xfId="19457" xr:uid="{00000000-0005-0000-0000-000052120000}"/>
    <cellStyle name="Normal 2 4 3 2 5" xfId="23945" xr:uid="{00000000-0005-0000-0000-000053120000}"/>
    <cellStyle name="Normal 2 4 3 3" xfId="7886" xr:uid="{00000000-0005-0000-0000-000054120000}"/>
    <cellStyle name="Normal 2 4 3 4" xfId="14760" xr:uid="{00000000-0005-0000-0000-000055120000}"/>
    <cellStyle name="Normal 2 4 3 5" xfId="19456" xr:uid="{00000000-0005-0000-0000-000056120000}"/>
    <cellStyle name="Normal 2 4 3 6" xfId="23944" xr:uid="{00000000-0005-0000-0000-000057120000}"/>
    <cellStyle name="Normal 2 4 3 7" xfId="26100" xr:uid="{00000000-0005-0000-0000-000058120000}"/>
    <cellStyle name="Normal 2 4 4" xfId="5346" xr:uid="{00000000-0005-0000-0000-000059120000}"/>
    <cellStyle name="Normal 2 4 4 2" xfId="5347" xr:uid="{00000000-0005-0000-0000-00005A120000}"/>
    <cellStyle name="Normal 2 4 4 2 2" xfId="7889" xr:uid="{00000000-0005-0000-0000-00005B120000}"/>
    <cellStyle name="Normal 2 4 4 2 3" xfId="14763" xr:uid="{00000000-0005-0000-0000-00005C120000}"/>
    <cellStyle name="Normal 2 4 4 2 4" xfId="19459" xr:uid="{00000000-0005-0000-0000-00005D120000}"/>
    <cellStyle name="Normal 2 4 4 2 5" xfId="23947" xr:uid="{00000000-0005-0000-0000-00005E120000}"/>
    <cellStyle name="Normal 2 4 4 3" xfId="7888" xr:uid="{00000000-0005-0000-0000-00005F120000}"/>
    <cellStyle name="Normal 2 4 4 4" xfId="14762" xr:uid="{00000000-0005-0000-0000-000060120000}"/>
    <cellStyle name="Normal 2 4 4 5" xfId="19458" xr:uid="{00000000-0005-0000-0000-000061120000}"/>
    <cellStyle name="Normal 2 4 4 6" xfId="23946" xr:uid="{00000000-0005-0000-0000-000062120000}"/>
    <cellStyle name="Normal 2 4 4 7" xfId="26241" xr:uid="{00000000-0005-0000-0000-000063120000}"/>
    <cellStyle name="Normal 2 4 5" xfId="5348" xr:uid="{00000000-0005-0000-0000-000064120000}"/>
    <cellStyle name="Normal 2 4 5 2" xfId="5349" xr:uid="{00000000-0005-0000-0000-000065120000}"/>
    <cellStyle name="Normal 2 4 5 2 2" xfId="7891" xr:uid="{00000000-0005-0000-0000-000066120000}"/>
    <cellStyle name="Normal 2 4 5 2 3" xfId="14765" xr:uid="{00000000-0005-0000-0000-000067120000}"/>
    <cellStyle name="Normal 2 4 5 2 4" xfId="19461" xr:uid="{00000000-0005-0000-0000-000068120000}"/>
    <cellStyle name="Normal 2 4 5 2 5" xfId="23949" xr:uid="{00000000-0005-0000-0000-000069120000}"/>
    <cellStyle name="Normal 2 4 5 3" xfId="7890" xr:uid="{00000000-0005-0000-0000-00006A120000}"/>
    <cellStyle name="Normal 2 4 5 4" xfId="14764" xr:uid="{00000000-0005-0000-0000-00006B120000}"/>
    <cellStyle name="Normal 2 4 5 5" xfId="19460" xr:uid="{00000000-0005-0000-0000-00006C120000}"/>
    <cellStyle name="Normal 2 4 5 6" xfId="23948" xr:uid="{00000000-0005-0000-0000-00006D120000}"/>
    <cellStyle name="Normal 2 4 6" xfId="5338" xr:uid="{00000000-0005-0000-0000-00006E120000}"/>
    <cellStyle name="Normal 2 4 7" xfId="25880" xr:uid="{00000000-0005-0000-0000-00006F120000}"/>
    <cellStyle name="Normal 2 5" xfId="1751" xr:uid="{00000000-0005-0000-0000-000070120000}"/>
    <cellStyle name="Normal 2 5 10" xfId="25882" xr:uid="{00000000-0005-0000-0000-000071120000}"/>
    <cellStyle name="Normal 2 5 2" xfId="2851" xr:uid="{00000000-0005-0000-0000-000072120000}"/>
    <cellStyle name="Normal 2 5 2 2" xfId="5352" xr:uid="{00000000-0005-0000-0000-000073120000}"/>
    <cellStyle name="Normal 2 5 2 2 2" xfId="5353" xr:uid="{00000000-0005-0000-0000-000074120000}"/>
    <cellStyle name="Normal 2 5 2 2 2 2" xfId="7895" xr:uid="{00000000-0005-0000-0000-000075120000}"/>
    <cellStyle name="Normal 2 5 2 2 2 3" xfId="14769" xr:uid="{00000000-0005-0000-0000-000076120000}"/>
    <cellStyle name="Normal 2 5 2 2 2 4" xfId="19465" xr:uid="{00000000-0005-0000-0000-000077120000}"/>
    <cellStyle name="Normal 2 5 2 2 2 5" xfId="23953" xr:uid="{00000000-0005-0000-0000-000078120000}"/>
    <cellStyle name="Normal 2 5 2 2 3" xfId="7894" xr:uid="{00000000-0005-0000-0000-000079120000}"/>
    <cellStyle name="Normal 2 5 2 2 4" xfId="14768" xr:uid="{00000000-0005-0000-0000-00007A120000}"/>
    <cellStyle name="Normal 2 5 2 2 5" xfId="19464" xr:uid="{00000000-0005-0000-0000-00007B120000}"/>
    <cellStyle name="Normal 2 5 2 2 6" xfId="23952" xr:uid="{00000000-0005-0000-0000-00007C120000}"/>
    <cellStyle name="Normal 2 5 2 3" xfId="5354" xr:uid="{00000000-0005-0000-0000-00007D120000}"/>
    <cellStyle name="Normal 2 5 2 3 2" xfId="7896" xr:uid="{00000000-0005-0000-0000-00007E120000}"/>
    <cellStyle name="Normal 2 5 2 3 3" xfId="14770" xr:uid="{00000000-0005-0000-0000-00007F120000}"/>
    <cellStyle name="Normal 2 5 2 3 4" xfId="19466" xr:uid="{00000000-0005-0000-0000-000080120000}"/>
    <cellStyle name="Normal 2 5 2 3 5" xfId="23954" xr:uid="{00000000-0005-0000-0000-000081120000}"/>
    <cellStyle name="Normal 2 5 2 4" xfId="7893" xr:uid="{00000000-0005-0000-0000-000082120000}"/>
    <cellStyle name="Normal 2 5 2 5" xfId="14767" xr:uid="{00000000-0005-0000-0000-000083120000}"/>
    <cellStyle name="Normal 2 5 2 6" xfId="19463" xr:uid="{00000000-0005-0000-0000-000084120000}"/>
    <cellStyle name="Normal 2 5 2 7" xfId="23951" xr:uid="{00000000-0005-0000-0000-000085120000}"/>
    <cellStyle name="Normal 2 5 2 8" xfId="5351" xr:uid="{00000000-0005-0000-0000-000086120000}"/>
    <cellStyle name="Normal 2 5 3" xfId="5355" xr:uid="{00000000-0005-0000-0000-000087120000}"/>
    <cellStyle name="Normal 2 5 3 2" xfId="5356" xr:uid="{00000000-0005-0000-0000-000088120000}"/>
    <cellStyle name="Normal 2 5 3 2 2" xfId="7898" xr:uid="{00000000-0005-0000-0000-000089120000}"/>
    <cellStyle name="Normal 2 5 3 2 3" xfId="14772" xr:uid="{00000000-0005-0000-0000-00008A120000}"/>
    <cellStyle name="Normal 2 5 3 2 4" xfId="19468" xr:uid="{00000000-0005-0000-0000-00008B120000}"/>
    <cellStyle name="Normal 2 5 3 2 5" xfId="23956" xr:uid="{00000000-0005-0000-0000-00008C120000}"/>
    <cellStyle name="Normal 2 5 3 3" xfId="7897" xr:uid="{00000000-0005-0000-0000-00008D120000}"/>
    <cellStyle name="Normal 2 5 3 4" xfId="14771" xr:uid="{00000000-0005-0000-0000-00008E120000}"/>
    <cellStyle name="Normal 2 5 3 5" xfId="19467" xr:uid="{00000000-0005-0000-0000-00008F120000}"/>
    <cellStyle name="Normal 2 5 3 6" xfId="23955" xr:uid="{00000000-0005-0000-0000-000090120000}"/>
    <cellStyle name="Normal 2 5 4" xfId="5357" xr:uid="{00000000-0005-0000-0000-000091120000}"/>
    <cellStyle name="Normal 2 5 4 2" xfId="7899" xr:uid="{00000000-0005-0000-0000-000092120000}"/>
    <cellStyle name="Normal 2 5 4 3" xfId="14773" xr:uid="{00000000-0005-0000-0000-000093120000}"/>
    <cellStyle name="Normal 2 5 4 4" xfId="19469" xr:uid="{00000000-0005-0000-0000-000094120000}"/>
    <cellStyle name="Normal 2 5 4 5" xfId="23957" xr:uid="{00000000-0005-0000-0000-000095120000}"/>
    <cellStyle name="Normal 2 5 5" xfId="7892" xr:uid="{00000000-0005-0000-0000-000096120000}"/>
    <cellStyle name="Normal 2 5 6" xfId="14766" xr:uid="{00000000-0005-0000-0000-000097120000}"/>
    <cellStyle name="Normal 2 5 7" xfId="19462" xr:uid="{00000000-0005-0000-0000-000098120000}"/>
    <cellStyle name="Normal 2 5 8" xfId="23950" xr:uid="{00000000-0005-0000-0000-000099120000}"/>
    <cellStyle name="Normal 2 5 9" xfId="5350" xr:uid="{00000000-0005-0000-0000-00009A120000}"/>
    <cellStyle name="Normal 2 6" xfId="1778" xr:uid="{00000000-0005-0000-0000-00009B120000}"/>
    <cellStyle name="Normal 2 6 2" xfId="2874" xr:uid="{00000000-0005-0000-0000-00009C120000}"/>
    <cellStyle name="Normal 2 6 2 2" xfId="5360" xr:uid="{00000000-0005-0000-0000-00009D120000}"/>
    <cellStyle name="Normal 2 6 2 2 2" xfId="5361" xr:uid="{00000000-0005-0000-0000-00009E120000}"/>
    <cellStyle name="Normal 2 6 2 2 2 2" xfId="7903" xr:uid="{00000000-0005-0000-0000-00009F120000}"/>
    <cellStyle name="Normal 2 6 2 2 2 3" xfId="14777" xr:uid="{00000000-0005-0000-0000-0000A0120000}"/>
    <cellStyle name="Normal 2 6 2 2 2 4" xfId="19473" xr:uid="{00000000-0005-0000-0000-0000A1120000}"/>
    <cellStyle name="Normal 2 6 2 2 2 5" xfId="23961" xr:uid="{00000000-0005-0000-0000-0000A2120000}"/>
    <cellStyle name="Normal 2 6 2 2 3" xfId="7902" xr:uid="{00000000-0005-0000-0000-0000A3120000}"/>
    <cellStyle name="Normal 2 6 2 2 4" xfId="14776" xr:uid="{00000000-0005-0000-0000-0000A4120000}"/>
    <cellStyle name="Normal 2 6 2 2 5" xfId="19472" xr:uid="{00000000-0005-0000-0000-0000A5120000}"/>
    <cellStyle name="Normal 2 6 2 2 6" xfId="23960" xr:uid="{00000000-0005-0000-0000-0000A6120000}"/>
    <cellStyle name="Normal 2 6 2 3" xfId="5362" xr:uid="{00000000-0005-0000-0000-0000A7120000}"/>
    <cellStyle name="Normal 2 6 2 3 2" xfId="7904" xr:uid="{00000000-0005-0000-0000-0000A8120000}"/>
    <cellStyle name="Normal 2 6 2 3 3" xfId="14778" xr:uid="{00000000-0005-0000-0000-0000A9120000}"/>
    <cellStyle name="Normal 2 6 2 3 4" xfId="19474" xr:uid="{00000000-0005-0000-0000-0000AA120000}"/>
    <cellStyle name="Normal 2 6 2 3 5" xfId="23962" xr:uid="{00000000-0005-0000-0000-0000AB120000}"/>
    <cellStyle name="Normal 2 6 2 4" xfId="7901" xr:uid="{00000000-0005-0000-0000-0000AC120000}"/>
    <cellStyle name="Normal 2 6 2 5" xfId="14775" xr:uid="{00000000-0005-0000-0000-0000AD120000}"/>
    <cellStyle name="Normal 2 6 2 6" xfId="19471" xr:uid="{00000000-0005-0000-0000-0000AE120000}"/>
    <cellStyle name="Normal 2 6 2 7" xfId="23959" xr:uid="{00000000-0005-0000-0000-0000AF120000}"/>
    <cellStyle name="Normal 2 6 2 8" xfId="5359" xr:uid="{00000000-0005-0000-0000-0000B0120000}"/>
    <cellStyle name="Normal 2 6 2 9" xfId="26046" xr:uid="{00000000-0005-0000-0000-0000B1120000}"/>
    <cellStyle name="Normal 2 6 3" xfId="5358" xr:uid="{00000000-0005-0000-0000-0000B2120000}"/>
    <cellStyle name="Normal 2 6 4" xfId="25956" xr:uid="{00000000-0005-0000-0000-0000B3120000}"/>
    <cellStyle name="Normal 2 7" xfId="2108" xr:uid="{00000000-0005-0000-0000-0000B4120000}"/>
    <cellStyle name="Normal 2 7 2" xfId="5364" xr:uid="{00000000-0005-0000-0000-0000B5120000}"/>
    <cellStyle name="Normal 2 7 2 2" xfId="7906" xr:uid="{00000000-0005-0000-0000-0000B6120000}"/>
    <cellStyle name="Normal 2 7 2 3" xfId="14780" xr:uid="{00000000-0005-0000-0000-0000B7120000}"/>
    <cellStyle name="Normal 2 7 2 4" xfId="19476" xr:uid="{00000000-0005-0000-0000-0000B8120000}"/>
    <cellStyle name="Normal 2 7 2 5" xfId="23964" xr:uid="{00000000-0005-0000-0000-0000B9120000}"/>
    <cellStyle name="Normal 2 7 2 6" xfId="26058" xr:uid="{00000000-0005-0000-0000-0000BA120000}"/>
    <cellStyle name="Normal 2 7 3" xfId="7905" xr:uid="{00000000-0005-0000-0000-0000BB120000}"/>
    <cellStyle name="Normal 2 7 4" xfId="14779" xr:uid="{00000000-0005-0000-0000-0000BC120000}"/>
    <cellStyle name="Normal 2 7 5" xfId="19475" xr:uid="{00000000-0005-0000-0000-0000BD120000}"/>
    <cellStyle name="Normal 2 7 6" xfId="23963" xr:uid="{00000000-0005-0000-0000-0000BE120000}"/>
    <cellStyle name="Normal 2 7 7" xfId="5363" xr:uid="{00000000-0005-0000-0000-0000BF120000}"/>
    <cellStyle name="Normal 2 7 8" xfId="25972" xr:uid="{00000000-0005-0000-0000-0000C0120000}"/>
    <cellStyle name="Normal 2 8" xfId="1795" xr:uid="{00000000-0005-0000-0000-0000C1120000}"/>
    <cellStyle name="Normal 2 8 2" xfId="7907" xr:uid="{00000000-0005-0000-0000-0000C2120000}"/>
    <cellStyle name="Normal 2 8 2 2" xfId="26063" xr:uid="{00000000-0005-0000-0000-0000C3120000}"/>
    <cellStyle name="Normal 2 8 3" xfId="14781" xr:uid="{00000000-0005-0000-0000-0000C4120000}"/>
    <cellStyle name="Normal 2 8 4" xfId="19477" xr:uid="{00000000-0005-0000-0000-0000C5120000}"/>
    <cellStyle name="Normal 2 8 5" xfId="23965" xr:uid="{00000000-0005-0000-0000-0000C6120000}"/>
    <cellStyle name="Normal 2 8 6" xfId="5365" xr:uid="{00000000-0005-0000-0000-0000C7120000}"/>
    <cellStyle name="Normal 2 8 7" xfId="25978" xr:uid="{00000000-0005-0000-0000-0000C8120000}"/>
    <cellStyle name="Normal 2 9" xfId="24166" xr:uid="{00000000-0005-0000-0000-0000C9120000}"/>
    <cellStyle name="Normal 2 9 2" xfId="25985" xr:uid="{00000000-0005-0000-0000-0000CA120000}"/>
    <cellStyle name="Normal 20" xfId="763" xr:uid="{00000000-0005-0000-0000-0000CB120000}"/>
    <cellStyle name="Normal 20 2" xfId="764" xr:uid="{00000000-0005-0000-0000-0000CC120000}"/>
    <cellStyle name="Normal 20 2 2" xfId="26173" xr:uid="{00000000-0005-0000-0000-0000CD120000}"/>
    <cellStyle name="Normal 20 2 3" xfId="25883" xr:uid="{00000000-0005-0000-0000-0000CE120000}"/>
    <cellStyle name="Normal 20 3" xfId="765" xr:uid="{00000000-0005-0000-0000-0000CF120000}"/>
    <cellStyle name="Normal 20 4" xfId="24535" xr:uid="{00000000-0005-0000-0000-0000D0120000}"/>
    <cellStyle name="Normal 20 5" xfId="42317" xr:uid="{8D9DF06F-3BD0-44A5-AC37-EBF0EF54EDB2}"/>
    <cellStyle name="Normal 21" xfId="766" xr:uid="{00000000-0005-0000-0000-0000D1120000}"/>
    <cellStyle name="Normal 21 2" xfId="767" xr:uid="{00000000-0005-0000-0000-0000D2120000}"/>
    <cellStyle name="Normal 21 2 2" xfId="26172" xr:uid="{00000000-0005-0000-0000-0000D3120000}"/>
    <cellStyle name="Normal 21 2 3" xfId="25885" xr:uid="{00000000-0005-0000-0000-0000D4120000}"/>
    <cellStyle name="Normal 21 3" xfId="768" xr:uid="{00000000-0005-0000-0000-0000D5120000}"/>
    <cellStyle name="Normal 21 4" xfId="2145" xr:uid="{00000000-0005-0000-0000-0000D6120000}"/>
    <cellStyle name="Normal 21 5" xfId="24541" xr:uid="{00000000-0005-0000-0000-0000D7120000}"/>
    <cellStyle name="Normal 21 6" xfId="25884" xr:uid="{00000000-0005-0000-0000-0000D8120000}"/>
    <cellStyle name="Normal 21 7" xfId="32778" xr:uid="{8D95BB24-8B69-46CF-A8E1-4CA34E6F34DB}"/>
    <cellStyle name="Normal 22" xfId="769" xr:uid="{00000000-0005-0000-0000-0000D9120000}"/>
    <cellStyle name="Normal 22 2" xfId="770" xr:uid="{00000000-0005-0000-0000-0000DA120000}"/>
    <cellStyle name="Normal 22 3" xfId="2146" xr:uid="{00000000-0005-0000-0000-0000DB120000}"/>
    <cellStyle name="Normal 22 4" xfId="24545" xr:uid="{00000000-0005-0000-0000-0000DC120000}"/>
    <cellStyle name="Normal 22 5" xfId="32790" xr:uid="{27676C4F-2825-46D7-8980-E6A91E5B4B48}"/>
    <cellStyle name="Normal 23" xfId="771" xr:uid="{00000000-0005-0000-0000-0000DD120000}"/>
    <cellStyle name="Normal 23 2" xfId="772" xr:uid="{00000000-0005-0000-0000-0000DE120000}"/>
    <cellStyle name="Normal 23 3" xfId="773" xr:uid="{00000000-0005-0000-0000-0000DF120000}"/>
    <cellStyle name="Normal 23 4" xfId="2147" xr:uid="{00000000-0005-0000-0000-0000E0120000}"/>
    <cellStyle name="Normal 23 5" xfId="24531" xr:uid="{00000000-0005-0000-0000-0000E1120000}"/>
    <cellStyle name="Normal 23 6" xfId="42065" xr:uid="{F283CE5D-2139-4700-8FA3-6E5BE8630CFF}"/>
    <cellStyle name="Normal 24" xfId="774" xr:uid="{00000000-0005-0000-0000-0000E2120000}"/>
    <cellStyle name="Normal 24 2" xfId="775" xr:uid="{00000000-0005-0000-0000-0000E3120000}"/>
    <cellStyle name="Normal 24 3" xfId="776" xr:uid="{00000000-0005-0000-0000-0000E4120000}"/>
    <cellStyle name="Normal 24 4" xfId="2148" xr:uid="{00000000-0005-0000-0000-0000E5120000}"/>
    <cellStyle name="Normal 24 5" xfId="24536" xr:uid="{00000000-0005-0000-0000-0000E6120000}"/>
    <cellStyle name="Normal 24 6" xfId="41999" xr:uid="{14AA5508-2272-487E-87F3-F188BCD54C91}"/>
    <cellStyle name="Normal 25" xfId="777" xr:uid="{00000000-0005-0000-0000-0000E7120000}"/>
    <cellStyle name="Normal 25 2" xfId="778" xr:uid="{00000000-0005-0000-0000-0000E8120000}"/>
    <cellStyle name="Normal 25 3" xfId="2149" xr:uid="{00000000-0005-0000-0000-0000E9120000}"/>
    <cellStyle name="Normal 25 3 2" xfId="27685" xr:uid="{00000000-0005-0000-0000-0000EA120000}"/>
    <cellStyle name="Normal 25 4" xfId="24546" xr:uid="{00000000-0005-0000-0000-0000EB120000}"/>
    <cellStyle name="Normal 25 5" xfId="34296" xr:uid="{2887B828-0E7B-4338-9E26-922533DA3752}"/>
    <cellStyle name="Normal 25 6" xfId="42136" xr:uid="{9AC10B55-BD0D-43A0-8776-476C1B3291AE}"/>
    <cellStyle name="Normal 26" xfId="779" xr:uid="{00000000-0005-0000-0000-0000EC120000}"/>
    <cellStyle name="Normal 26 2" xfId="2150" xr:uid="{00000000-0005-0000-0000-0000ED120000}"/>
    <cellStyle name="Normal 26 2 2" xfId="24746" xr:uid="{00000000-0005-0000-0000-0000EE120000}"/>
    <cellStyle name="Normal 26 2 2 2" xfId="27687" xr:uid="{00000000-0005-0000-0000-0000EF120000}"/>
    <cellStyle name="Normal 26 2 3" xfId="25469" xr:uid="{00000000-0005-0000-0000-0000F0120000}"/>
    <cellStyle name="Normal 26 2 4" xfId="25887" xr:uid="{00000000-0005-0000-0000-0000F1120000}"/>
    <cellStyle name="Normal 26 3" xfId="24367" xr:uid="{00000000-0005-0000-0000-0000F2120000}"/>
    <cellStyle name="Normal 26 3 2" xfId="27686" xr:uid="{00000000-0005-0000-0000-0000F3120000}"/>
    <cellStyle name="Normal 26 4" xfId="25112" xr:uid="{00000000-0005-0000-0000-0000F4120000}"/>
    <cellStyle name="Normal 26 5" xfId="25886" xr:uid="{00000000-0005-0000-0000-0000F5120000}"/>
    <cellStyle name="Normal 26 6" xfId="41990" xr:uid="{59F8F420-4134-4736-8034-26AC8CC8F1D7}"/>
    <cellStyle name="Normal 27" xfId="780" xr:uid="{00000000-0005-0000-0000-0000F6120000}"/>
    <cellStyle name="Normal 27 2" xfId="2151" xr:uid="{00000000-0005-0000-0000-0000F7120000}"/>
    <cellStyle name="Normal 27 2 2" xfId="25888" xr:uid="{00000000-0005-0000-0000-0000F8120000}"/>
    <cellStyle name="Normal 27 3" xfId="24549" xr:uid="{00000000-0005-0000-0000-0000F9120000}"/>
    <cellStyle name="Normal 27 3 2" xfId="27688" xr:uid="{00000000-0005-0000-0000-0000FA120000}"/>
    <cellStyle name="Normal 27 4" xfId="34298" xr:uid="{AC2E4EBA-EFB5-442E-AAC7-CDD40389E906}"/>
    <cellStyle name="Normal 27 5" xfId="42300" xr:uid="{AAC5446C-2CAA-4DCA-9143-758E41DA746F}"/>
    <cellStyle name="Normal 28" xfId="781" xr:uid="{00000000-0005-0000-0000-0000FB120000}"/>
    <cellStyle name="Normal 28 2" xfId="2152" xr:uid="{00000000-0005-0000-0000-0000FC120000}"/>
    <cellStyle name="Normal 28 2 2" xfId="25890" xr:uid="{00000000-0005-0000-0000-0000FD120000}"/>
    <cellStyle name="Normal 28 2 2 2" xfId="32553" xr:uid="{601D6111-898C-411F-8053-D272E5FBB99F}"/>
    <cellStyle name="Normal 28 2 3" xfId="32555" xr:uid="{4D4FE7BE-C6F4-4FAD-AFDC-65DAD2F6FB2F}"/>
    <cellStyle name="Normal 28 2 4" xfId="32566" xr:uid="{6CA81FEC-582E-412E-9647-66A4B5B19E42}"/>
    <cellStyle name="Normal 28 3" xfId="27689" xr:uid="{00000000-0005-0000-0000-0000FE120000}"/>
    <cellStyle name="Normal 28 4" xfId="25889" xr:uid="{00000000-0005-0000-0000-0000FF120000}"/>
    <cellStyle name="Normal 28 5" xfId="34299" xr:uid="{7876A878-7C93-48C5-9FF9-E753AA0AAD98}"/>
    <cellStyle name="Normal 29" xfId="782" xr:uid="{00000000-0005-0000-0000-000000130000}"/>
    <cellStyle name="Normal 29 2" xfId="2153" xr:uid="{00000000-0005-0000-0000-000001130000}"/>
    <cellStyle name="Normal 29 2 2" xfId="26084" xr:uid="{00000000-0005-0000-0000-000002130000}"/>
    <cellStyle name="Normal 29 2 3" xfId="27691" xr:uid="{00000000-0005-0000-0000-000003130000}"/>
    <cellStyle name="Normal 29 2 4" xfId="25892" xr:uid="{00000000-0005-0000-0000-000004130000}"/>
    <cellStyle name="Normal 29 2 5" xfId="42052" xr:uid="{CFD36D60-8FF6-4D16-94D1-E4D37823313E}"/>
    <cellStyle name="Normal 29 3" xfId="27692" xr:uid="{00000000-0005-0000-0000-000005130000}"/>
    <cellStyle name="Normal 29 4" xfId="27690" xr:uid="{00000000-0005-0000-0000-000006130000}"/>
    <cellStyle name="Normal 29 5" xfId="25891" xr:uid="{00000000-0005-0000-0000-000007130000}"/>
    <cellStyle name="Normal 3" xfId="783" xr:uid="{00000000-0005-0000-0000-000008130000}"/>
    <cellStyle name="Normal 3 10" xfId="25988" xr:uid="{00000000-0005-0000-0000-000009130000}"/>
    <cellStyle name="Normal 3 11" xfId="26091" xr:uid="{00000000-0005-0000-0000-00000A130000}"/>
    <cellStyle name="Normal 3 12" xfId="25642" xr:uid="{00000000-0005-0000-0000-00000B130000}"/>
    <cellStyle name="Normal 3 2" xfId="784" xr:uid="{00000000-0005-0000-0000-00000C130000}"/>
    <cellStyle name="Normal 3 2 10" xfId="23966" xr:uid="{00000000-0005-0000-0000-00000D130000}"/>
    <cellStyle name="Normal 3 2 11" xfId="5366" xr:uid="{00000000-0005-0000-0000-00000E130000}"/>
    <cellStyle name="Normal 3 2 12" xfId="32509" xr:uid="{00000000-0005-0000-0000-00000F130000}"/>
    <cellStyle name="Normal 3 2 2" xfId="785" xr:uid="{00000000-0005-0000-0000-000010130000}"/>
    <cellStyle name="Normal 3 2 2 2" xfId="5368" xr:uid="{00000000-0005-0000-0000-000011130000}"/>
    <cellStyle name="Normal 3 2 2 2 2" xfId="5369" xr:uid="{00000000-0005-0000-0000-000012130000}"/>
    <cellStyle name="Normal 3 2 2 2 2 2" xfId="7911" xr:uid="{00000000-0005-0000-0000-000013130000}"/>
    <cellStyle name="Normal 3 2 2 2 2 3" xfId="14785" xr:uid="{00000000-0005-0000-0000-000014130000}"/>
    <cellStyle name="Normal 3 2 2 2 2 4" xfId="19481" xr:uid="{00000000-0005-0000-0000-000015130000}"/>
    <cellStyle name="Normal 3 2 2 2 2 5" xfId="23969" xr:uid="{00000000-0005-0000-0000-000016130000}"/>
    <cellStyle name="Normal 3 2 2 2 3" xfId="7910" xr:uid="{00000000-0005-0000-0000-000017130000}"/>
    <cellStyle name="Normal 3 2 2 2 4" xfId="14784" xr:uid="{00000000-0005-0000-0000-000018130000}"/>
    <cellStyle name="Normal 3 2 2 2 5" xfId="19480" xr:uid="{00000000-0005-0000-0000-000019130000}"/>
    <cellStyle name="Normal 3 2 2 2 6" xfId="23968" xr:uid="{00000000-0005-0000-0000-00001A130000}"/>
    <cellStyle name="Normal 3 2 2 2 7" xfId="25894" xr:uid="{00000000-0005-0000-0000-00001B130000}"/>
    <cellStyle name="Normal 3 2 2 3" xfId="5370" xr:uid="{00000000-0005-0000-0000-00001C130000}"/>
    <cellStyle name="Normal 3 2 2 3 2" xfId="7912" xr:uid="{00000000-0005-0000-0000-00001D130000}"/>
    <cellStyle name="Normal 3 2 2 3 3" xfId="14786" xr:uid="{00000000-0005-0000-0000-00001E130000}"/>
    <cellStyle name="Normal 3 2 2 3 4" xfId="19482" xr:uid="{00000000-0005-0000-0000-00001F130000}"/>
    <cellStyle name="Normal 3 2 2 3 5" xfId="23970" xr:uid="{00000000-0005-0000-0000-000020130000}"/>
    <cellStyle name="Normal 3 2 2 4" xfId="7909" xr:uid="{00000000-0005-0000-0000-000021130000}"/>
    <cellStyle name="Normal 3 2 2 5" xfId="14783" xr:uid="{00000000-0005-0000-0000-000022130000}"/>
    <cellStyle name="Normal 3 2 2 6" xfId="19479" xr:uid="{00000000-0005-0000-0000-000023130000}"/>
    <cellStyle name="Normal 3 2 2 7" xfId="23967" xr:uid="{00000000-0005-0000-0000-000024130000}"/>
    <cellStyle name="Normal 3 2 2 8" xfId="5367" xr:uid="{00000000-0005-0000-0000-000025130000}"/>
    <cellStyle name="Normal 3 2 2 9" xfId="25893" xr:uid="{00000000-0005-0000-0000-000026130000}"/>
    <cellStyle name="Normal 3 2 3" xfId="5371" xr:uid="{00000000-0005-0000-0000-000027130000}"/>
    <cellStyle name="Normal 3 2 3 2" xfId="5372" xr:uid="{00000000-0005-0000-0000-000028130000}"/>
    <cellStyle name="Normal 3 2 3 2 2" xfId="7914" xr:uid="{00000000-0005-0000-0000-000029130000}"/>
    <cellStyle name="Normal 3 2 3 2 3" xfId="14788" xr:uid="{00000000-0005-0000-0000-00002A130000}"/>
    <cellStyle name="Normal 3 2 3 2 4" xfId="19484" xr:uid="{00000000-0005-0000-0000-00002B130000}"/>
    <cellStyle name="Normal 3 2 3 2 5" xfId="23972" xr:uid="{00000000-0005-0000-0000-00002C130000}"/>
    <cellStyle name="Normal 3 2 3 2 6" xfId="26037" xr:uid="{00000000-0005-0000-0000-00002D130000}"/>
    <cellStyle name="Normal 3 2 3 3" xfId="7913" xr:uid="{00000000-0005-0000-0000-00002E130000}"/>
    <cellStyle name="Normal 3 2 3 4" xfId="14787" xr:uid="{00000000-0005-0000-0000-00002F130000}"/>
    <cellStyle name="Normal 3 2 3 5" xfId="19483" xr:uid="{00000000-0005-0000-0000-000030130000}"/>
    <cellStyle name="Normal 3 2 3 6" xfId="23971" xr:uid="{00000000-0005-0000-0000-000031130000}"/>
    <cellStyle name="Normal 3 2 3 7" xfId="25895" xr:uid="{00000000-0005-0000-0000-000032130000}"/>
    <cellStyle name="Normal 3 2 3 8" xfId="42264" xr:uid="{FC464722-070F-41FF-A52E-58889B681C33}"/>
    <cellStyle name="Normal 3 2 4" xfId="5373" xr:uid="{00000000-0005-0000-0000-000033130000}"/>
    <cellStyle name="Normal 3 2 4 2" xfId="5374" xr:uid="{00000000-0005-0000-0000-000034130000}"/>
    <cellStyle name="Normal 3 2 4 2 2" xfId="7916" xr:uid="{00000000-0005-0000-0000-000035130000}"/>
    <cellStyle name="Normal 3 2 4 2 3" xfId="14790" xr:uid="{00000000-0005-0000-0000-000036130000}"/>
    <cellStyle name="Normal 3 2 4 2 4" xfId="19486" xr:uid="{00000000-0005-0000-0000-000037130000}"/>
    <cellStyle name="Normal 3 2 4 2 5" xfId="23974" xr:uid="{00000000-0005-0000-0000-000038130000}"/>
    <cellStyle name="Normal 3 2 4 3" xfId="7915" xr:uid="{00000000-0005-0000-0000-000039130000}"/>
    <cellStyle name="Normal 3 2 4 4" xfId="14789" xr:uid="{00000000-0005-0000-0000-00003A130000}"/>
    <cellStyle name="Normal 3 2 4 5" xfId="19485" xr:uid="{00000000-0005-0000-0000-00003B130000}"/>
    <cellStyle name="Normal 3 2 4 6" xfId="23973" xr:uid="{00000000-0005-0000-0000-00003C130000}"/>
    <cellStyle name="Normal 3 2 5" xfId="5375" xr:uid="{00000000-0005-0000-0000-00003D130000}"/>
    <cellStyle name="Normal 3 2 5 2" xfId="5376" xr:uid="{00000000-0005-0000-0000-00003E130000}"/>
    <cellStyle name="Normal 3 2 5 2 2" xfId="7918" xr:uid="{00000000-0005-0000-0000-00003F130000}"/>
    <cellStyle name="Normal 3 2 5 2 3" xfId="14792" xr:uid="{00000000-0005-0000-0000-000040130000}"/>
    <cellStyle name="Normal 3 2 5 2 4" xfId="19488" xr:uid="{00000000-0005-0000-0000-000041130000}"/>
    <cellStyle name="Normal 3 2 5 2 5" xfId="23976" xr:uid="{00000000-0005-0000-0000-000042130000}"/>
    <cellStyle name="Normal 3 2 5 3" xfId="7917" xr:uid="{00000000-0005-0000-0000-000043130000}"/>
    <cellStyle name="Normal 3 2 5 4" xfId="14791" xr:uid="{00000000-0005-0000-0000-000044130000}"/>
    <cellStyle name="Normal 3 2 5 5" xfId="19487" xr:uid="{00000000-0005-0000-0000-000045130000}"/>
    <cellStyle name="Normal 3 2 5 6" xfId="23975" xr:uid="{00000000-0005-0000-0000-000046130000}"/>
    <cellStyle name="Normal 3 2 6" xfId="5377" xr:uid="{00000000-0005-0000-0000-000047130000}"/>
    <cellStyle name="Normal 3 2 6 2" xfId="7919" xr:uid="{00000000-0005-0000-0000-000048130000}"/>
    <cellStyle name="Normal 3 2 6 3" xfId="14793" xr:uid="{00000000-0005-0000-0000-000049130000}"/>
    <cellStyle name="Normal 3 2 6 4" xfId="19489" xr:uid="{00000000-0005-0000-0000-00004A130000}"/>
    <cellStyle name="Normal 3 2 6 5" xfId="23977" xr:uid="{00000000-0005-0000-0000-00004B130000}"/>
    <cellStyle name="Normal 3 2 7" xfId="7908" xr:uid="{00000000-0005-0000-0000-00004C130000}"/>
    <cellStyle name="Normal 3 2 8" xfId="14782" xr:uid="{00000000-0005-0000-0000-00004D130000}"/>
    <cellStyle name="Normal 3 2 9" xfId="19478" xr:uid="{00000000-0005-0000-0000-00004E130000}"/>
    <cellStyle name="Normal 3 3" xfId="786" xr:uid="{00000000-0005-0000-0000-00004F130000}"/>
    <cellStyle name="Normal 3 3 10" xfId="5378" xr:uid="{00000000-0005-0000-0000-000050130000}"/>
    <cellStyle name="Normal 3 3 11" xfId="25896" xr:uid="{00000000-0005-0000-0000-000051130000}"/>
    <cellStyle name="Normal 3 3 12" xfId="32548" xr:uid="{A489644B-5FC2-459C-999E-8A3DDD56E7E3}"/>
    <cellStyle name="Normal 3 3 2" xfId="787" xr:uid="{00000000-0005-0000-0000-000052130000}"/>
    <cellStyle name="Normal 3 3 2 2" xfId="5379" xr:uid="{00000000-0005-0000-0000-000053130000}"/>
    <cellStyle name="Normal 3 3 2 2 2" xfId="26039" xr:uid="{00000000-0005-0000-0000-000054130000}"/>
    <cellStyle name="Normal 3 3 2 3" xfId="25897" xr:uid="{00000000-0005-0000-0000-000055130000}"/>
    <cellStyle name="Normal 3 3 3" xfId="5380" xr:uid="{00000000-0005-0000-0000-000056130000}"/>
    <cellStyle name="Normal 3 3 3 2" xfId="5381" xr:uid="{00000000-0005-0000-0000-000057130000}"/>
    <cellStyle name="Normal 3 3 3 2 2" xfId="7923" xr:uid="{00000000-0005-0000-0000-000058130000}"/>
    <cellStyle name="Normal 3 3 3 2 3" xfId="14797" xr:uid="{00000000-0005-0000-0000-000059130000}"/>
    <cellStyle name="Normal 3 3 3 2 4" xfId="19493" xr:uid="{00000000-0005-0000-0000-00005A130000}"/>
    <cellStyle name="Normal 3 3 3 2 5" xfId="23981" xr:uid="{00000000-0005-0000-0000-00005B130000}"/>
    <cellStyle name="Normal 3 3 3 3" xfId="7922" xr:uid="{00000000-0005-0000-0000-00005C130000}"/>
    <cellStyle name="Normal 3 3 3 4" xfId="14796" xr:uid="{00000000-0005-0000-0000-00005D130000}"/>
    <cellStyle name="Normal 3 3 3 5" xfId="19492" xr:uid="{00000000-0005-0000-0000-00005E130000}"/>
    <cellStyle name="Normal 3 3 3 6" xfId="23980" xr:uid="{00000000-0005-0000-0000-00005F130000}"/>
    <cellStyle name="Normal 3 3 3 7" xfId="26038" xr:uid="{00000000-0005-0000-0000-000060130000}"/>
    <cellStyle name="Normal 3 3 4" xfId="5382" xr:uid="{00000000-0005-0000-0000-000061130000}"/>
    <cellStyle name="Normal 3 3 4 2" xfId="5383" xr:uid="{00000000-0005-0000-0000-000062130000}"/>
    <cellStyle name="Normal 3 3 4 2 2" xfId="7925" xr:uid="{00000000-0005-0000-0000-000063130000}"/>
    <cellStyle name="Normal 3 3 4 2 3" xfId="14799" xr:uid="{00000000-0005-0000-0000-000064130000}"/>
    <cellStyle name="Normal 3 3 4 2 4" xfId="19495" xr:uid="{00000000-0005-0000-0000-000065130000}"/>
    <cellStyle name="Normal 3 3 4 2 5" xfId="23983" xr:uid="{00000000-0005-0000-0000-000066130000}"/>
    <cellStyle name="Normal 3 3 4 3" xfId="7924" xr:uid="{00000000-0005-0000-0000-000067130000}"/>
    <cellStyle name="Normal 3 3 4 4" xfId="14798" xr:uid="{00000000-0005-0000-0000-000068130000}"/>
    <cellStyle name="Normal 3 3 4 5" xfId="19494" xr:uid="{00000000-0005-0000-0000-000069130000}"/>
    <cellStyle name="Normal 3 3 4 6" xfId="23982" xr:uid="{00000000-0005-0000-0000-00006A130000}"/>
    <cellStyle name="Normal 3 3 4 7" xfId="26243" xr:uid="{00000000-0005-0000-0000-00006B130000}"/>
    <cellStyle name="Normal 3 3 5" xfId="5384" xr:uid="{00000000-0005-0000-0000-00006C130000}"/>
    <cellStyle name="Normal 3 3 5 2" xfId="7926" xr:uid="{00000000-0005-0000-0000-00006D130000}"/>
    <cellStyle name="Normal 3 3 5 3" xfId="14800" xr:uid="{00000000-0005-0000-0000-00006E130000}"/>
    <cellStyle name="Normal 3 3 5 4" xfId="19496" xr:uid="{00000000-0005-0000-0000-00006F130000}"/>
    <cellStyle name="Normal 3 3 5 5" xfId="23984" xr:uid="{00000000-0005-0000-0000-000070130000}"/>
    <cellStyle name="Normal 3 3 6" xfId="7920" xr:uid="{00000000-0005-0000-0000-000071130000}"/>
    <cellStyle name="Normal 3 3 7" xfId="14794" xr:uid="{00000000-0005-0000-0000-000072130000}"/>
    <cellStyle name="Normal 3 3 8" xfId="19490" xr:uid="{00000000-0005-0000-0000-000073130000}"/>
    <cellStyle name="Normal 3 3 9" xfId="23978" xr:uid="{00000000-0005-0000-0000-000074130000}"/>
    <cellStyle name="Normal 3 4" xfId="5385" xr:uid="{00000000-0005-0000-0000-000075130000}"/>
    <cellStyle name="Normal 3 4 2" xfId="5386" xr:uid="{00000000-0005-0000-0000-000076130000}"/>
    <cellStyle name="Normal 3 4 2 2" xfId="7928" xr:uid="{00000000-0005-0000-0000-000077130000}"/>
    <cellStyle name="Normal 3 4 2 3" xfId="14802" xr:uid="{00000000-0005-0000-0000-000078130000}"/>
    <cellStyle name="Normal 3 4 2 4" xfId="19498" xr:uid="{00000000-0005-0000-0000-000079130000}"/>
    <cellStyle name="Normal 3 4 2 5" xfId="23986" xr:uid="{00000000-0005-0000-0000-00007A130000}"/>
    <cellStyle name="Normal 3 4 3" xfId="7927" xr:uid="{00000000-0005-0000-0000-00007B130000}"/>
    <cellStyle name="Normal 3 4 4" xfId="14801" xr:uid="{00000000-0005-0000-0000-00007C130000}"/>
    <cellStyle name="Normal 3 4 5" xfId="19497" xr:uid="{00000000-0005-0000-0000-00007D130000}"/>
    <cellStyle name="Normal 3 4 6" xfId="23985" xr:uid="{00000000-0005-0000-0000-00007E130000}"/>
    <cellStyle name="Normal 3 4 7" xfId="25898" xr:uid="{00000000-0005-0000-0000-00007F130000}"/>
    <cellStyle name="Normal 3 5" xfId="5404" xr:uid="{00000000-0005-0000-0000-000080130000}"/>
    <cellStyle name="Normal 3 5 2" xfId="26040" xr:uid="{00000000-0005-0000-0000-000081130000}"/>
    <cellStyle name="Normal 3 5 3" xfId="25899" xr:uid="{00000000-0005-0000-0000-000082130000}"/>
    <cellStyle name="Normal 3 6" xfId="2901" xr:uid="{00000000-0005-0000-0000-000083130000}"/>
    <cellStyle name="Normal 3 6 2" xfId="25900" xr:uid="{00000000-0005-0000-0000-000084130000}"/>
    <cellStyle name="Normal 3 7" xfId="25959" xr:uid="{00000000-0005-0000-0000-000085130000}"/>
    <cellStyle name="Normal 3 7 2" xfId="26049" xr:uid="{00000000-0005-0000-0000-000086130000}"/>
    <cellStyle name="Normal 3 8" xfId="25975" xr:uid="{00000000-0005-0000-0000-000087130000}"/>
    <cellStyle name="Normal 3 8 2" xfId="26061" xr:uid="{00000000-0005-0000-0000-000088130000}"/>
    <cellStyle name="Normal 3 9" xfId="25981" xr:uid="{00000000-0005-0000-0000-000089130000}"/>
    <cellStyle name="Normal 3 9 2" xfId="26066" xr:uid="{00000000-0005-0000-0000-00008A130000}"/>
    <cellStyle name="Normal 3_Attach O, GG, Support -New Method 2-14-11" xfId="788" xr:uid="{00000000-0005-0000-0000-00008B130000}"/>
    <cellStyle name="Normal 30" xfId="789" xr:uid="{00000000-0005-0000-0000-00008C130000}"/>
    <cellStyle name="Normal 30 2" xfId="2154" xr:uid="{00000000-0005-0000-0000-00008D130000}"/>
    <cellStyle name="Normal 30 2 2" xfId="27693" xr:uid="{00000000-0005-0000-0000-00008E130000}"/>
    <cellStyle name="Normal 30 3" xfId="25901" xr:uid="{00000000-0005-0000-0000-00008F130000}"/>
    <cellStyle name="Normal 30 4" xfId="34297" xr:uid="{869CEB49-E15F-4C28-8086-39F10AA55909}"/>
    <cellStyle name="Normal 304 3" xfId="26090" xr:uid="{00000000-0005-0000-0000-000090130000}"/>
    <cellStyle name="Normal 31" xfId="790" xr:uid="{00000000-0005-0000-0000-000091130000}"/>
    <cellStyle name="Normal 31 2" xfId="2155" xr:uid="{00000000-0005-0000-0000-000092130000}"/>
    <cellStyle name="Normal 31 2 2" xfId="27694" xr:uid="{00000000-0005-0000-0000-000093130000}"/>
    <cellStyle name="Normal 31 3" xfId="25902" xr:uid="{00000000-0005-0000-0000-000094130000}"/>
    <cellStyle name="Normal 31 4" xfId="42118" xr:uid="{DB9E50D5-FF39-461E-BF7F-65B28A98B588}"/>
    <cellStyle name="Normal 32" xfId="791" xr:uid="{00000000-0005-0000-0000-000095130000}"/>
    <cellStyle name="Normal 32 2" xfId="2156" xr:uid="{00000000-0005-0000-0000-000096130000}"/>
    <cellStyle name="Normal 32 2 2" xfId="27696" xr:uid="{00000000-0005-0000-0000-000097130000}"/>
    <cellStyle name="Normal 32 3" xfId="24910" xr:uid="{00000000-0005-0000-0000-000098130000}"/>
    <cellStyle name="Normal 32 3 2" xfId="27695" xr:uid="{00000000-0005-0000-0000-000099130000}"/>
    <cellStyle name="Normal 32 4" xfId="25903" xr:uid="{00000000-0005-0000-0000-00009A130000}"/>
    <cellStyle name="Normal 32 5" xfId="42301" xr:uid="{245849F1-1E1B-4407-BBF5-B15FB840CBD9}"/>
    <cellStyle name="Normal 33" xfId="792" xr:uid="{00000000-0005-0000-0000-00009B130000}"/>
    <cellStyle name="Normal 33 2" xfId="2157" xr:uid="{00000000-0005-0000-0000-00009C130000}"/>
    <cellStyle name="Normal 33 2 2" xfId="27698" xr:uid="{00000000-0005-0000-0000-00009D130000}"/>
    <cellStyle name="Normal 33 3" xfId="27697" xr:uid="{00000000-0005-0000-0000-00009E130000}"/>
    <cellStyle name="Normal 33 4" xfId="25904" xr:uid="{00000000-0005-0000-0000-00009F130000}"/>
    <cellStyle name="Normal 33 5" xfId="42373" xr:uid="{FD47037E-04A9-475B-A333-AEF981A56F63}"/>
    <cellStyle name="Normal 34" xfId="793" xr:uid="{00000000-0005-0000-0000-0000A0130000}"/>
    <cellStyle name="Normal 34 2" xfId="2158" xr:uid="{00000000-0005-0000-0000-0000A1130000}"/>
    <cellStyle name="Normal 34 2 2" xfId="27699" xr:uid="{00000000-0005-0000-0000-0000A2130000}"/>
    <cellStyle name="Normal 34 3" xfId="25954" xr:uid="{00000000-0005-0000-0000-0000A3130000}"/>
    <cellStyle name="Normal 34 4" xfId="42093" xr:uid="{04F48D2B-4637-454B-AE3C-FB88858228DF}"/>
    <cellStyle name="Normal 35" xfId="794" xr:uid="{00000000-0005-0000-0000-0000A4130000}"/>
    <cellStyle name="Normal 35 2" xfId="2159" xr:uid="{00000000-0005-0000-0000-0000A5130000}"/>
    <cellStyle name="Normal 35 2 2" xfId="41980" xr:uid="{5332BE7B-B74F-4331-8F4D-AA2493E3C912}"/>
    <cellStyle name="Normal 35 3" xfId="25955" xr:uid="{00000000-0005-0000-0000-0000A6130000}"/>
    <cellStyle name="Normal 35 4" xfId="41540" xr:uid="{8C8DE530-61E4-45D1-A863-4A04E55BA058}"/>
    <cellStyle name="Normal 35 5" xfId="42018" xr:uid="{30A7B948-6694-4F4B-85CD-392B267AD91F}"/>
    <cellStyle name="Normal 36" xfId="795" xr:uid="{00000000-0005-0000-0000-0000A7130000}"/>
    <cellStyle name="Normal 36 2" xfId="2160" xr:uid="{00000000-0005-0000-0000-0000A8130000}"/>
    <cellStyle name="Normal 36 2 2" xfId="26051" xr:uid="{00000000-0005-0000-0000-0000A9130000}"/>
    <cellStyle name="Normal 36 3" xfId="25961" xr:uid="{00000000-0005-0000-0000-0000AA130000}"/>
    <cellStyle name="Normal 36 4" xfId="34256" xr:uid="{46912CEA-157C-4434-AAEB-A18D22ED858A}"/>
    <cellStyle name="Normal 37" xfId="796" xr:uid="{00000000-0005-0000-0000-0000AB130000}"/>
    <cellStyle name="Normal 37 2" xfId="2161" xr:uid="{00000000-0005-0000-0000-0000AC130000}"/>
    <cellStyle name="Normal 37 2 2" xfId="26053" xr:uid="{00000000-0005-0000-0000-0000AD130000}"/>
    <cellStyle name="Normal 37 3" xfId="25963" xr:uid="{00000000-0005-0000-0000-0000AE130000}"/>
    <cellStyle name="Normal 38" xfId="797" xr:uid="{00000000-0005-0000-0000-0000AF130000}"/>
    <cellStyle name="Normal 38 2" xfId="2162" xr:uid="{00000000-0005-0000-0000-0000B0130000}"/>
    <cellStyle name="Normal 38 2 2" xfId="26055" xr:uid="{00000000-0005-0000-0000-0000B1130000}"/>
    <cellStyle name="Normal 38 3" xfId="25965" xr:uid="{00000000-0005-0000-0000-0000B2130000}"/>
    <cellStyle name="Normal 39" xfId="798" xr:uid="{00000000-0005-0000-0000-0000B3130000}"/>
    <cellStyle name="Normal 39 2" xfId="2163" xr:uid="{00000000-0005-0000-0000-0000B4130000}"/>
    <cellStyle name="Normal 39 3" xfId="25968" xr:uid="{00000000-0005-0000-0000-0000B5130000}"/>
    <cellStyle name="Normal 4" xfId="799" xr:uid="{00000000-0005-0000-0000-0000B6130000}"/>
    <cellStyle name="Normal 4 10" xfId="27700" xr:uid="{00000000-0005-0000-0000-0000B7130000}"/>
    <cellStyle name="Normal 4 10 2" xfId="27701" xr:uid="{00000000-0005-0000-0000-0000B8130000}"/>
    <cellStyle name="Normal 4 10 2 2" xfId="27702" xr:uid="{00000000-0005-0000-0000-0000B9130000}"/>
    <cellStyle name="Normal 4 10 2 2 2" xfId="27703" xr:uid="{00000000-0005-0000-0000-0000BA130000}"/>
    <cellStyle name="Normal 4 10 2 2 2 2" xfId="27704" xr:uid="{00000000-0005-0000-0000-0000BB130000}"/>
    <cellStyle name="Normal 4 10 2 2 2 2 2" xfId="34315" xr:uid="{D7AF3B95-9DDE-4AFB-8BA3-86BACE8573A5}"/>
    <cellStyle name="Normal 4 10 2 2 2 3" xfId="27705" xr:uid="{00000000-0005-0000-0000-0000BC130000}"/>
    <cellStyle name="Normal 4 10 2 2 2 3 2" xfId="34316" xr:uid="{94BEC469-2A90-470F-8DC0-68124E9CA957}"/>
    <cellStyle name="Normal 4 10 2 2 2 4" xfId="34314" xr:uid="{8DEB90DA-2756-47BA-B388-C78C10A31C1B}"/>
    <cellStyle name="Normal 4 10 2 2 3" xfId="27706" xr:uid="{00000000-0005-0000-0000-0000BD130000}"/>
    <cellStyle name="Normal 4 10 2 2 3 2" xfId="34317" xr:uid="{A72A84C8-9F26-4725-AD9E-D2951EA6061D}"/>
    <cellStyle name="Normal 4 10 2 2 4" xfId="27707" xr:uid="{00000000-0005-0000-0000-0000BE130000}"/>
    <cellStyle name="Normal 4 10 2 2 4 2" xfId="34318" xr:uid="{2DBB4C9E-2235-4C0B-A667-472740F53A4E}"/>
    <cellStyle name="Normal 4 10 2 2 5" xfId="27708" xr:uid="{00000000-0005-0000-0000-0000BF130000}"/>
    <cellStyle name="Normal 4 10 2 2 5 2" xfId="34319" xr:uid="{B8C007D0-0EFF-43F3-B92F-25880C0F8CEC}"/>
    <cellStyle name="Normal 4 10 2 2 6" xfId="34313" xr:uid="{5BF32F37-4365-499B-B1B9-5FD99EB47887}"/>
    <cellStyle name="Normal 4 10 2 3" xfId="27709" xr:uid="{00000000-0005-0000-0000-0000C0130000}"/>
    <cellStyle name="Normal 4 10 2 3 2" xfId="27710" xr:uid="{00000000-0005-0000-0000-0000C1130000}"/>
    <cellStyle name="Normal 4 10 2 3 2 2" xfId="27711" xr:uid="{00000000-0005-0000-0000-0000C2130000}"/>
    <cellStyle name="Normal 4 10 2 3 2 2 2" xfId="34322" xr:uid="{4D2EF161-308C-46B1-8771-B155E78C01C8}"/>
    <cellStyle name="Normal 4 10 2 3 2 3" xfId="27712" xr:uid="{00000000-0005-0000-0000-0000C3130000}"/>
    <cellStyle name="Normal 4 10 2 3 2 3 2" xfId="34323" xr:uid="{0D040AF6-14FA-4C60-A518-3ED521C259EB}"/>
    <cellStyle name="Normal 4 10 2 3 2 4" xfId="34321" xr:uid="{64904CB2-ECE6-45CA-989D-188DDA27AAF0}"/>
    <cellStyle name="Normal 4 10 2 3 3" xfId="27713" xr:uid="{00000000-0005-0000-0000-0000C4130000}"/>
    <cellStyle name="Normal 4 10 2 3 3 2" xfId="34324" xr:uid="{3CE5573B-84C6-4342-AB8D-2319A0B54C33}"/>
    <cellStyle name="Normal 4 10 2 3 4" xfId="27714" xr:uid="{00000000-0005-0000-0000-0000C5130000}"/>
    <cellStyle name="Normal 4 10 2 3 4 2" xfId="34325" xr:uid="{7CBA8795-BDF0-4090-9D4A-F95780DF7939}"/>
    <cellStyle name="Normal 4 10 2 3 5" xfId="27715" xr:uid="{00000000-0005-0000-0000-0000C6130000}"/>
    <cellStyle name="Normal 4 10 2 3 5 2" xfId="34326" xr:uid="{022A714E-575A-4324-A49C-CAB608A39849}"/>
    <cellStyle name="Normal 4 10 2 3 6" xfId="34320" xr:uid="{A8C08291-FD90-478B-AFED-96EC13AA1DA5}"/>
    <cellStyle name="Normal 4 10 2 4" xfId="27716" xr:uid="{00000000-0005-0000-0000-0000C7130000}"/>
    <cellStyle name="Normal 4 10 2 4 2" xfId="27717" xr:uid="{00000000-0005-0000-0000-0000C8130000}"/>
    <cellStyle name="Normal 4 10 2 4 2 2" xfId="34328" xr:uid="{93F246FD-15B4-44D3-BF96-7043B4B525BC}"/>
    <cellStyle name="Normal 4 10 2 4 3" xfId="27718" xr:uid="{00000000-0005-0000-0000-0000C9130000}"/>
    <cellStyle name="Normal 4 10 2 4 3 2" xfId="34329" xr:uid="{23F34853-0FF2-4AAB-9BAE-2E7AB2B0349F}"/>
    <cellStyle name="Normal 4 10 2 4 4" xfId="34327" xr:uid="{A8D5B60A-8A2F-422D-AE96-98E6E37FA7E4}"/>
    <cellStyle name="Normal 4 10 2 5" xfId="27719" xr:uid="{00000000-0005-0000-0000-0000CA130000}"/>
    <cellStyle name="Normal 4 10 2 5 2" xfId="34330" xr:uid="{EA96D187-32A4-46CE-ACA2-6A975BD4E4BF}"/>
    <cellStyle name="Normal 4 10 2 6" xfId="27720" xr:uid="{00000000-0005-0000-0000-0000CB130000}"/>
    <cellStyle name="Normal 4 10 2 6 2" xfId="34331" xr:uid="{F46671DC-2412-43D8-9ED4-C140E70F5C30}"/>
    <cellStyle name="Normal 4 10 2 7" xfId="27721" xr:uid="{00000000-0005-0000-0000-0000CC130000}"/>
    <cellStyle name="Normal 4 10 2 7 2" xfId="34332" xr:uid="{5A698015-8231-4833-8307-C245169CF57D}"/>
    <cellStyle name="Normal 4 10 2 8" xfId="34312" xr:uid="{7B573A8F-4D8E-48C6-8ADF-C74B1137AFDC}"/>
    <cellStyle name="Normal 4 10 3" xfId="27722" xr:uid="{00000000-0005-0000-0000-0000CD130000}"/>
    <cellStyle name="Normal 4 10 3 2" xfId="27723" xr:uid="{00000000-0005-0000-0000-0000CE130000}"/>
    <cellStyle name="Normal 4 10 3 2 2" xfId="27724" xr:uid="{00000000-0005-0000-0000-0000CF130000}"/>
    <cellStyle name="Normal 4 10 3 2 2 2" xfId="34335" xr:uid="{4A236295-2364-48FC-B00A-057EC5947ED7}"/>
    <cellStyle name="Normal 4 10 3 2 3" xfId="27725" xr:uid="{00000000-0005-0000-0000-0000D0130000}"/>
    <cellStyle name="Normal 4 10 3 2 3 2" xfId="34336" xr:uid="{6062EB5C-CA0B-48DC-8DC1-E5695B24178E}"/>
    <cellStyle name="Normal 4 10 3 2 4" xfId="34334" xr:uid="{39D037FA-3CBF-4902-B381-017BF1B369F4}"/>
    <cellStyle name="Normal 4 10 3 3" xfId="27726" xr:uid="{00000000-0005-0000-0000-0000D1130000}"/>
    <cellStyle name="Normal 4 10 3 3 2" xfId="34337" xr:uid="{B246C7B2-6418-4BC8-9F45-F928F4B10AFA}"/>
    <cellStyle name="Normal 4 10 3 4" xfId="27727" xr:uid="{00000000-0005-0000-0000-0000D2130000}"/>
    <cellStyle name="Normal 4 10 3 4 2" xfId="34338" xr:uid="{6682F81F-2786-4AB7-AFA2-60882B927935}"/>
    <cellStyle name="Normal 4 10 3 5" xfId="27728" xr:uid="{00000000-0005-0000-0000-0000D3130000}"/>
    <cellStyle name="Normal 4 10 3 5 2" xfId="34339" xr:uid="{459F2248-5204-44DC-8E6F-505A467CE737}"/>
    <cellStyle name="Normal 4 10 3 6" xfId="34333" xr:uid="{4B6DA4C9-4B14-41D5-BAAA-56032C882B8F}"/>
    <cellStyle name="Normal 4 10 4" xfId="27729" xr:uid="{00000000-0005-0000-0000-0000D4130000}"/>
    <cellStyle name="Normal 4 10 4 2" xfId="27730" xr:uid="{00000000-0005-0000-0000-0000D5130000}"/>
    <cellStyle name="Normal 4 10 4 2 2" xfId="27731" xr:uid="{00000000-0005-0000-0000-0000D6130000}"/>
    <cellStyle name="Normal 4 10 4 2 2 2" xfId="34342" xr:uid="{C2C3E255-55AE-4874-925A-6CCCDA615696}"/>
    <cellStyle name="Normal 4 10 4 2 3" xfId="27732" xr:uid="{00000000-0005-0000-0000-0000D7130000}"/>
    <cellStyle name="Normal 4 10 4 2 3 2" xfId="34343" xr:uid="{58141741-F0F0-4E09-BA7A-B03E19FBD4E7}"/>
    <cellStyle name="Normal 4 10 4 2 4" xfId="34341" xr:uid="{DC99A98B-7E6C-46C6-A8F0-A4032545B835}"/>
    <cellStyle name="Normal 4 10 4 3" xfId="27733" xr:uid="{00000000-0005-0000-0000-0000D8130000}"/>
    <cellStyle name="Normal 4 10 4 3 2" xfId="34344" xr:uid="{CDF0B064-9856-40B6-8010-7973D9EBD2C7}"/>
    <cellStyle name="Normal 4 10 4 4" xfId="27734" xr:uid="{00000000-0005-0000-0000-0000D9130000}"/>
    <cellStyle name="Normal 4 10 4 4 2" xfId="34345" xr:uid="{60C62A4D-BB40-4C4B-A251-C85EAC96F199}"/>
    <cellStyle name="Normal 4 10 4 5" xfId="27735" xr:uid="{00000000-0005-0000-0000-0000DA130000}"/>
    <cellStyle name="Normal 4 10 4 5 2" xfId="34346" xr:uid="{80BD6BA6-130B-4B60-B75E-7F38BD59BDBB}"/>
    <cellStyle name="Normal 4 10 4 6" xfId="34340" xr:uid="{280B0C10-FC13-4749-B299-2CE919A399DD}"/>
    <cellStyle name="Normal 4 10 5" xfId="27736" xr:uid="{00000000-0005-0000-0000-0000DB130000}"/>
    <cellStyle name="Normal 4 10 5 2" xfId="27737" xr:uid="{00000000-0005-0000-0000-0000DC130000}"/>
    <cellStyle name="Normal 4 10 5 2 2" xfId="34348" xr:uid="{143C9519-07BB-4ED6-983D-709CF91560A2}"/>
    <cellStyle name="Normal 4 10 5 3" xfId="27738" xr:uid="{00000000-0005-0000-0000-0000DD130000}"/>
    <cellStyle name="Normal 4 10 5 3 2" xfId="34349" xr:uid="{D21D8949-973F-4A9E-B398-37B4191C830C}"/>
    <cellStyle name="Normal 4 10 5 4" xfId="34347" xr:uid="{224FFA01-87F3-44F3-A3FF-9A9F790DD9A7}"/>
    <cellStyle name="Normal 4 10 6" xfId="27739" xr:uid="{00000000-0005-0000-0000-0000DE130000}"/>
    <cellStyle name="Normal 4 10 6 2" xfId="34350" xr:uid="{A8B92B12-1D6A-4432-8A56-C749CB0B5FBD}"/>
    <cellStyle name="Normal 4 10 7" xfId="27740" xr:uid="{00000000-0005-0000-0000-0000DF130000}"/>
    <cellStyle name="Normal 4 10 7 2" xfId="34351" xr:uid="{9F5407BF-D30C-4F80-9F5C-E0C4F3E9A568}"/>
    <cellStyle name="Normal 4 10 8" xfId="27741" xr:uid="{00000000-0005-0000-0000-0000E0130000}"/>
    <cellStyle name="Normal 4 10 8 2" xfId="34352" xr:uid="{039DEEDD-750D-4C8F-8F90-778ABA9A0169}"/>
    <cellStyle name="Normal 4 10 9" xfId="34311" xr:uid="{5893BC67-1579-4CDC-B45D-0D75E39A5D68}"/>
    <cellStyle name="Normal 4 11" xfId="27742" xr:uid="{00000000-0005-0000-0000-0000E1130000}"/>
    <cellStyle name="Normal 4 11 2" xfId="27743" xr:uid="{00000000-0005-0000-0000-0000E2130000}"/>
    <cellStyle name="Normal 4 11 2 2" xfId="27744" xr:uid="{00000000-0005-0000-0000-0000E3130000}"/>
    <cellStyle name="Normal 4 11 2 2 2" xfId="27745" xr:uid="{00000000-0005-0000-0000-0000E4130000}"/>
    <cellStyle name="Normal 4 11 2 2 2 2" xfId="34356" xr:uid="{37C00810-5701-4821-82D1-5C40CE1A522A}"/>
    <cellStyle name="Normal 4 11 2 2 3" xfId="27746" xr:uid="{00000000-0005-0000-0000-0000E5130000}"/>
    <cellStyle name="Normal 4 11 2 2 3 2" xfId="34357" xr:uid="{BE64FB05-FFFB-48E0-BBD5-574196977573}"/>
    <cellStyle name="Normal 4 11 2 2 4" xfId="34355" xr:uid="{DD2296A2-BBB3-46C0-BB51-370838DAE0B6}"/>
    <cellStyle name="Normal 4 11 2 3" xfId="27747" xr:uid="{00000000-0005-0000-0000-0000E6130000}"/>
    <cellStyle name="Normal 4 11 2 3 2" xfId="34358" xr:uid="{A9E449A0-167E-4170-891F-3D78B690D9B3}"/>
    <cellStyle name="Normal 4 11 2 4" xfId="27748" xr:uid="{00000000-0005-0000-0000-0000E7130000}"/>
    <cellStyle name="Normal 4 11 2 4 2" xfId="34359" xr:uid="{2B96D695-8C4F-4B44-B98F-C2AB18E5CAFC}"/>
    <cellStyle name="Normal 4 11 2 5" xfId="27749" xr:uid="{00000000-0005-0000-0000-0000E8130000}"/>
    <cellStyle name="Normal 4 11 2 5 2" xfId="34360" xr:uid="{FD864070-19BE-4282-8B12-21CD4B0CBEDB}"/>
    <cellStyle name="Normal 4 11 2 6" xfId="34354" xr:uid="{3532F85E-1E7F-4599-BC6D-A66BE6639FE7}"/>
    <cellStyle name="Normal 4 11 3" xfId="27750" xr:uid="{00000000-0005-0000-0000-0000E9130000}"/>
    <cellStyle name="Normal 4 11 3 2" xfId="27751" xr:uid="{00000000-0005-0000-0000-0000EA130000}"/>
    <cellStyle name="Normal 4 11 3 2 2" xfId="27752" xr:uid="{00000000-0005-0000-0000-0000EB130000}"/>
    <cellStyle name="Normal 4 11 3 2 2 2" xfId="34363" xr:uid="{F2B869D4-C6AB-4E92-8CC7-AFD0951A13BE}"/>
    <cellStyle name="Normal 4 11 3 2 3" xfId="27753" xr:uid="{00000000-0005-0000-0000-0000EC130000}"/>
    <cellStyle name="Normal 4 11 3 2 3 2" xfId="34364" xr:uid="{F273617C-8A4C-4A65-82E4-5F7C89BDDD74}"/>
    <cellStyle name="Normal 4 11 3 2 4" xfId="34362" xr:uid="{18FDBDFA-21FE-421A-B29D-7048BA74B4D4}"/>
    <cellStyle name="Normal 4 11 3 3" xfId="27754" xr:uid="{00000000-0005-0000-0000-0000ED130000}"/>
    <cellStyle name="Normal 4 11 3 3 2" xfId="34365" xr:uid="{FDCDF81D-5384-4152-BABD-AC4B04E5310A}"/>
    <cellStyle name="Normal 4 11 3 4" xfId="27755" xr:uid="{00000000-0005-0000-0000-0000EE130000}"/>
    <cellStyle name="Normal 4 11 3 4 2" xfId="34366" xr:uid="{BF8F7631-09C8-4D7D-83F8-0A65C699C2F1}"/>
    <cellStyle name="Normal 4 11 3 5" xfId="27756" xr:uid="{00000000-0005-0000-0000-0000EF130000}"/>
    <cellStyle name="Normal 4 11 3 5 2" xfId="34367" xr:uid="{0ED34C61-1A8E-418E-A227-427E27E774B7}"/>
    <cellStyle name="Normal 4 11 3 6" xfId="34361" xr:uid="{2F3F6FE5-66F5-43AE-97B3-C320AB9EDEB5}"/>
    <cellStyle name="Normal 4 11 4" xfId="27757" xr:uid="{00000000-0005-0000-0000-0000F0130000}"/>
    <cellStyle name="Normal 4 11 4 2" xfId="27758" xr:uid="{00000000-0005-0000-0000-0000F1130000}"/>
    <cellStyle name="Normal 4 11 4 2 2" xfId="34369" xr:uid="{4CA999BB-7194-44ED-9FCD-DC9F6E05C82D}"/>
    <cellStyle name="Normal 4 11 4 3" xfId="27759" xr:uid="{00000000-0005-0000-0000-0000F2130000}"/>
    <cellStyle name="Normal 4 11 4 3 2" xfId="34370" xr:uid="{E5064448-80BB-43E7-BCFB-D537261C312A}"/>
    <cellStyle name="Normal 4 11 4 4" xfId="34368" xr:uid="{9927F826-D90C-4DAB-BAD0-381DB23FD258}"/>
    <cellStyle name="Normal 4 11 5" xfId="27760" xr:uid="{00000000-0005-0000-0000-0000F3130000}"/>
    <cellStyle name="Normal 4 11 5 2" xfId="34371" xr:uid="{F8D24976-6D37-4DA1-9939-1E77370B7B6E}"/>
    <cellStyle name="Normal 4 11 6" xfId="27761" xr:uid="{00000000-0005-0000-0000-0000F4130000}"/>
    <cellStyle name="Normal 4 11 6 2" xfId="34372" xr:uid="{E93C9ABC-80E1-4FF9-9B83-FCCA9F82B568}"/>
    <cellStyle name="Normal 4 11 7" xfId="27762" xr:uid="{00000000-0005-0000-0000-0000F5130000}"/>
    <cellStyle name="Normal 4 11 7 2" xfId="34373" xr:uid="{915E94FD-9556-4BE6-9C12-B320F3C3918E}"/>
    <cellStyle name="Normal 4 11 8" xfId="34353" xr:uid="{5446106B-B203-4699-B03F-01891337935A}"/>
    <cellStyle name="Normal 4 12" xfId="27763" xr:uid="{00000000-0005-0000-0000-0000F6130000}"/>
    <cellStyle name="Normal 4 12 2" xfId="27764" xr:uid="{00000000-0005-0000-0000-0000F7130000}"/>
    <cellStyle name="Normal 4 12 2 2" xfId="27765" xr:uid="{00000000-0005-0000-0000-0000F8130000}"/>
    <cellStyle name="Normal 4 12 2 2 2" xfId="27766" xr:uid="{00000000-0005-0000-0000-0000F9130000}"/>
    <cellStyle name="Normal 4 12 2 2 2 2" xfId="34377" xr:uid="{CE853335-A153-463A-8874-E92E44984D3A}"/>
    <cellStyle name="Normal 4 12 2 2 3" xfId="27767" xr:uid="{00000000-0005-0000-0000-0000FA130000}"/>
    <cellStyle name="Normal 4 12 2 2 3 2" xfId="34378" xr:uid="{5F7E8A94-7E6D-4F3F-97F0-F630023E85AD}"/>
    <cellStyle name="Normal 4 12 2 2 4" xfId="34376" xr:uid="{197891B3-1D71-4230-819C-7FAD544E31CB}"/>
    <cellStyle name="Normal 4 12 2 3" xfId="27768" xr:uid="{00000000-0005-0000-0000-0000FB130000}"/>
    <cellStyle name="Normal 4 12 2 3 2" xfId="34379" xr:uid="{B0F6A9BE-4F8B-42EB-94D0-96642B485A8C}"/>
    <cellStyle name="Normal 4 12 2 4" xfId="27769" xr:uid="{00000000-0005-0000-0000-0000FC130000}"/>
    <cellStyle name="Normal 4 12 2 4 2" xfId="34380" xr:uid="{9870CBFE-6E51-45D5-AC0D-1BAC695EA1A2}"/>
    <cellStyle name="Normal 4 12 2 5" xfId="27770" xr:uid="{00000000-0005-0000-0000-0000FD130000}"/>
    <cellStyle name="Normal 4 12 2 5 2" xfId="34381" xr:uid="{C5F14E06-0C4F-421A-8C3C-6A200E2EA3F9}"/>
    <cellStyle name="Normal 4 12 2 6" xfId="34375" xr:uid="{201D481E-B5AC-42E1-82BC-8D232A70BEB3}"/>
    <cellStyle name="Normal 4 12 3" xfId="27771" xr:uid="{00000000-0005-0000-0000-0000FE130000}"/>
    <cellStyle name="Normal 4 12 3 2" xfId="27772" xr:uid="{00000000-0005-0000-0000-0000FF130000}"/>
    <cellStyle name="Normal 4 12 3 2 2" xfId="27773" xr:uid="{00000000-0005-0000-0000-000000140000}"/>
    <cellStyle name="Normal 4 12 3 2 2 2" xfId="34384" xr:uid="{C1D51DA2-1FBD-4A8F-983A-4A72E825748E}"/>
    <cellStyle name="Normal 4 12 3 2 3" xfId="27774" xr:uid="{00000000-0005-0000-0000-000001140000}"/>
    <cellStyle name="Normal 4 12 3 2 3 2" xfId="34385" xr:uid="{93323759-E89B-4E6F-8357-6627FEFF6EEC}"/>
    <cellStyle name="Normal 4 12 3 2 4" xfId="34383" xr:uid="{08A29BBD-13DD-4537-B11F-2D9464D1FF31}"/>
    <cellStyle name="Normal 4 12 3 3" xfId="27775" xr:uid="{00000000-0005-0000-0000-000002140000}"/>
    <cellStyle name="Normal 4 12 3 3 2" xfId="34386" xr:uid="{730E9F6A-67BE-4C58-8E22-358DD57B4117}"/>
    <cellStyle name="Normal 4 12 3 4" xfId="27776" xr:uid="{00000000-0005-0000-0000-000003140000}"/>
    <cellStyle name="Normal 4 12 3 4 2" xfId="34387" xr:uid="{05CEEFDA-A584-48A8-83EC-821F99181D23}"/>
    <cellStyle name="Normal 4 12 3 5" xfId="27777" xr:uid="{00000000-0005-0000-0000-000004140000}"/>
    <cellStyle name="Normal 4 12 3 5 2" xfId="34388" xr:uid="{EE1C4242-46A2-4081-959C-41EFB6F7F9E4}"/>
    <cellStyle name="Normal 4 12 3 6" xfId="34382" xr:uid="{86290101-F42E-418D-938C-49C71DDAC810}"/>
    <cellStyle name="Normal 4 12 4" xfId="27778" xr:uid="{00000000-0005-0000-0000-000005140000}"/>
    <cellStyle name="Normal 4 12 4 2" xfId="27779" xr:uid="{00000000-0005-0000-0000-000006140000}"/>
    <cellStyle name="Normal 4 12 4 2 2" xfId="34390" xr:uid="{36A5891D-EFBB-4B81-9C00-B1F0FD07D4B6}"/>
    <cellStyle name="Normal 4 12 4 3" xfId="27780" xr:uid="{00000000-0005-0000-0000-000007140000}"/>
    <cellStyle name="Normal 4 12 4 3 2" xfId="34391" xr:uid="{03750323-D9E0-49D4-A29B-EF0CDDB44697}"/>
    <cellStyle name="Normal 4 12 4 4" xfId="34389" xr:uid="{56FD3D05-3102-4D54-940F-34503AAC8BB8}"/>
    <cellStyle name="Normal 4 12 5" xfId="27781" xr:uid="{00000000-0005-0000-0000-000008140000}"/>
    <cellStyle name="Normal 4 12 5 2" xfId="34392" xr:uid="{D154C870-C01C-4D3B-9EBC-4E564DE2264D}"/>
    <cellStyle name="Normal 4 12 6" xfId="27782" xr:uid="{00000000-0005-0000-0000-000009140000}"/>
    <cellStyle name="Normal 4 12 6 2" xfId="34393" xr:uid="{E6E2704F-62FB-460C-BA46-E75BF41EEA3B}"/>
    <cellStyle name="Normal 4 12 7" xfId="27783" xr:uid="{00000000-0005-0000-0000-00000A140000}"/>
    <cellStyle name="Normal 4 12 7 2" xfId="34394" xr:uid="{3C6CD480-1ED8-4AEC-A24D-9B1547BC083A}"/>
    <cellStyle name="Normal 4 12 8" xfId="34374" xr:uid="{5ADCD9E4-012C-4513-9FD7-ECE14BE2ECEF}"/>
    <cellStyle name="Normal 4 13" xfId="27784" xr:uid="{00000000-0005-0000-0000-00000B140000}"/>
    <cellStyle name="Normal 4 13 2" xfId="27785" xr:uid="{00000000-0005-0000-0000-00000C140000}"/>
    <cellStyle name="Normal 4 13 2 2" xfId="27786" xr:uid="{00000000-0005-0000-0000-00000D140000}"/>
    <cellStyle name="Normal 4 13 2 2 2" xfId="34397" xr:uid="{42F2DD23-94A7-4E4A-BC06-F3790AC1945A}"/>
    <cellStyle name="Normal 4 13 2 3" xfId="27787" xr:uid="{00000000-0005-0000-0000-00000E140000}"/>
    <cellStyle name="Normal 4 13 2 3 2" xfId="34398" xr:uid="{75D9696A-4691-4E16-BFF8-E8B9A635A9B5}"/>
    <cellStyle name="Normal 4 13 2 4" xfId="34396" xr:uid="{B1214EDE-B1A3-464C-A887-7A9CBC06CBD8}"/>
    <cellStyle name="Normal 4 13 3" xfId="27788" xr:uid="{00000000-0005-0000-0000-00000F140000}"/>
    <cellStyle name="Normal 4 13 3 2" xfId="34399" xr:uid="{F0C25B47-FCAD-4895-B535-55AB4A0E074E}"/>
    <cellStyle name="Normal 4 13 4" xfId="27789" xr:uid="{00000000-0005-0000-0000-000010140000}"/>
    <cellStyle name="Normal 4 13 4 2" xfId="34400" xr:uid="{1BFF1E3F-1F93-45A6-BCB6-E9B5DFF0542F}"/>
    <cellStyle name="Normal 4 13 5" xfId="27790" xr:uid="{00000000-0005-0000-0000-000011140000}"/>
    <cellStyle name="Normal 4 13 5 2" xfId="34401" xr:uid="{40D60302-1693-468F-98CA-0F671DCD3C02}"/>
    <cellStyle name="Normal 4 13 6" xfId="34395" xr:uid="{863559A7-5C0C-4DF8-8223-09EE666A796A}"/>
    <cellStyle name="Normal 4 14" xfId="27791" xr:uid="{00000000-0005-0000-0000-000012140000}"/>
    <cellStyle name="Normal 4 14 2" xfId="27792" xr:uid="{00000000-0005-0000-0000-000013140000}"/>
    <cellStyle name="Normal 4 14 2 2" xfId="27793" xr:uid="{00000000-0005-0000-0000-000014140000}"/>
    <cellStyle name="Normal 4 14 2 2 2" xfId="34404" xr:uid="{DFE0B59F-829A-41A8-87FA-857E3E12D6D3}"/>
    <cellStyle name="Normal 4 14 2 3" xfId="27794" xr:uid="{00000000-0005-0000-0000-000015140000}"/>
    <cellStyle name="Normal 4 14 2 3 2" xfId="34405" xr:uid="{BEE67022-8A9F-4E9C-8FB5-D3F9722CBB2D}"/>
    <cellStyle name="Normal 4 14 2 4" xfId="34403" xr:uid="{04EF1468-2E54-49DF-89A5-EFA75CB35B49}"/>
    <cellStyle name="Normal 4 14 3" xfId="27795" xr:uid="{00000000-0005-0000-0000-000016140000}"/>
    <cellStyle name="Normal 4 14 3 2" xfId="34406" xr:uid="{5C4CB99E-D4E0-4F62-9767-1AAA78B790CB}"/>
    <cellStyle name="Normal 4 14 4" xfId="27796" xr:uid="{00000000-0005-0000-0000-000017140000}"/>
    <cellStyle name="Normal 4 14 4 2" xfId="34407" xr:uid="{A902372F-C762-4EF2-B659-3868365A573B}"/>
    <cellStyle name="Normal 4 14 5" xfId="27797" xr:uid="{00000000-0005-0000-0000-000018140000}"/>
    <cellStyle name="Normal 4 14 5 2" xfId="34408" xr:uid="{5A4DB9AD-9DA7-4DC2-AE78-F4B669D96DE7}"/>
    <cellStyle name="Normal 4 14 6" xfId="34402" xr:uid="{E7F8A1EB-F4D1-4CAB-A74F-AA244FDC11E8}"/>
    <cellStyle name="Normal 4 15" xfId="32559" xr:uid="{476511A8-E063-4612-B30F-DD98B89205FC}"/>
    <cellStyle name="Normal 4 15 2 3" xfId="26082" xr:uid="{00000000-0005-0000-0000-000019140000}"/>
    <cellStyle name="Normal 4 2" xfId="800" xr:uid="{00000000-0005-0000-0000-00001A140000}"/>
    <cellStyle name="Normal 4 2 10" xfId="27798" xr:uid="{00000000-0005-0000-0000-00001B140000}"/>
    <cellStyle name="Normal 4 2 10 2" xfId="27799" xr:uid="{00000000-0005-0000-0000-00001C140000}"/>
    <cellStyle name="Normal 4 2 10 2 2" xfId="27800" xr:uid="{00000000-0005-0000-0000-00001D140000}"/>
    <cellStyle name="Normal 4 2 10 2 2 2" xfId="27801" xr:uid="{00000000-0005-0000-0000-00001E140000}"/>
    <cellStyle name="Normal 4 2 10 2 2 2 2" xfId="34412" xr:uid="{D229CCAE-16E9-493B-9493-38C3A9B02A41}"/>
    <cellStyle name="Normal 4 2 10 2 2 3" xfId="27802" xr:uid="{00000000-0005-0000-0000-00001F140000}"/>
    <cellStyle name="Normal 4 2 10 2 2 3 2" xfId="34413" xr:uid="{B3A4758D-96CA-4144-97C6-25EEFE775E78}"/>
    <cellStyle name="Normal 4 2 10 2 2 4" xfId="34411" xr:uid="{CF6625EE-C6EC-4571-B554-4969A7DEB2BF}"/>
    <cellStyle name="Normal 4 2 10 2 3" xfId="27803" xr:uid="{00000000-0005-0000-0000-000020140000}"/>
    <cellStyle name="Normal 4 2 10 2 3 2" xfId="34414" xr:uid="{A4833193-C519-4CD2-B079-CC982561AA35}"/>
    <cellStyle name="Normal 4 2 10 2 4" xfId="27804" xr:uid="{00000000-0005-0000-0000-000021140000}"/>
    <cellStyle name="Normal 4 2 10 2 4 2" xfId="34415" xr:uid="{39259806-4CFF-43C0-8F84-DB7D9DD87F32}"/>
    <cellStyle name="Normal 4 2 10 2 5" xfId="27805" xr:uid="{00000000-0005-0000-0000-000022140000}"/>
    <cellStyle name="Normal 4 2 10 2 5 2" xfId="34416" xr:uid="{DFCB8E3E-F26C-4A34-82BD-AE596758430F}"/>
    <cellStyle name="Normal 4 2 10 2 6" xfId="34410" xr:uid="{59DF943C-AC82-4EB7-BDA3-E6491D504BB4}"/>
    <cellStyle name="Normal 4 2 10 3" xfId="27806" xr:uid="{00000000-0005-0000-0000-000023140000}"/>
    <cellStyle name="Normal 4 2 10 3 2" xfId="27807" xr:uid="{00000000-0005-0000-0000-000024140000}"/>
    <cellStyle name="Normal 4 2 10 3 2 2" xfId="27808" xr:uid="{00000000-0005-0000-0000-000025140000}"/>
    <cellStyle name="Normal 4 2 10 3 2 2 2" xfId="34419" xr:uid="{DCE9E8BB-BE0A-4872-918A-E5FE825D538F}"/>
    <cellStyle name="Normal 4 2 10 3 2 3" xfId="27809" xr:uid="{00000000-0005-0000-0000-000026140000}"/>
    <cellStyle name="Normal 4 2 10 3 2 3 2" xfId="34420" xr:uid="{5CC5BC68-B76C-4B79-B135-027DE51862ED}"/>
    <cellStyle name="Normal 4 2 10 3 2 4" xfId="34418" xr:uid="{DAF7CAA7-6D95-4B2E-94FF-1EE6DDA0576D}"/>
    <cellStyle name="Normal 4 2 10 3 3" xfId="27810" xr:uid="{00000000-0005-0000-0000-000027140000}"/>
    <cellStyle name="Normal 4 2 10 3 3 2" xfId="34421" xr:uid="{B4F522F3-31BF-444C-B07E-26C3A7396F17}"/>
    <cellStyle name="Normal 4 2 10 3 4" xfId="27811" xr:uid="{00000000-0005-0000-0000-000028140000}"/>
    <cellStyle name="Normal 4 2 10 3 4 2" xfId="34422" xr:uid="{CD660D15-0B6F-4A0E-A000-94D8E3603B35}"/>
    <cellStyle name="Normal 4 2 10 3 5" xfId="27812" xr:uid="{00000000-0005-0000-0000-000029140000}"/>
    <cellStyle name="Normal 4 2 10 3 5 2" xfId="34423" xr:uid="{A305FB0C-8A69-4DFD-BF2E-2950D0535FBB}"/>
    <cellStyle name="Normal 4 2 10 3 6" xfId="34417" xr:uid="{FE749D42-DCFD-4426-93F5-CD05AE7BDB69}"/>
    <cellStyle name="Normal 4 2 10 4" xfId="27813" xr:uid="{00000000-0005-0000-0000-00002A140000}"/>
    <cellStyle name="Normal 4 2 10 4 2" xfId="27814" xr:uid="{00000000-0005-0000-0000-00002B140000}"/>
    <cellStyle name="Normal 4 2 10 4 2 2" xfId="34425" xr:uid="{EB93AC98-005D-4D5C-9DE5-E6493AE467A8}"/>
    <cellStyle name="Normal 4 2 10 4 3" xfId="27815" xr:uid="{00000000-0005-0000-0000-00002C140000}"/>
    <cellStyle name="Normal 4 2 10 4 3 2" xfId="34426" xr:uid="{F95D2294-987E-4D87-A4E8-7516B0CD3FD6}"/>
    <cellStyle name="Normal 4 2 10 4 4" xfId="34424" xr:uid="{0D3879CB-D7BF-43D0-868D-BB58EE83AC67}"/>
    <cellStyle name="Normal 4 2 10 5" xfId="27816" xr:uid="{00000000-0005-0000-0000-00002D140000}"/>
    <cellStyle name="Normal 4 2 10 5 2" xfId="34427" xr:uid="{80631B30-7A9F-4740-9E94-0A4CE70720B1}"/>
    <cellStyle name="Normal 4 2 10 6" xfId="27817" xr:uid="{00000000-0005-0000-0000-00002E140000}"/>
    <cellStyle name="Normal 4 2 10 6 2" xfId="34428" xr:uid="{7214EFF0-4947-48B3-A01C-DCCA2ECF3675}"/>
    <cellStyle name="Normal 4 2 10 7" xfId="27818" xr:uid="{00000000-0005-0000-0000-00002F140000}"/>
    <cellStyle name="Normal 4 2 10 7 2" xfId="34429" xr:uid="{C137A588-4204-470B-9F75-B515494170C3}"/>
    <cellStyle name="Normal 4 2 10 8" xfId="34409" xr:uid="{BEE180A7-F77E-48C4-A920-34A2BABC594A}"/>
    <cellStyle name="Normal 4 2 11" xfId="27819" xr:uid="{00000000-0005-0000-0000-000030140000}"/>
    <cellStyle name="Normal 4 2 11 2" xfId="27820" xr:uid="{00000000-0005-0000-0000-000031140000}"/>
    <cellStyle name="Normal 4 2 11 2 2" xfId="27821" xr:uid="{00000000-0005-0000-0000-000032140000}"/>
    <cellStyle name="Normal 4 2 11 2 2 2" xfId="34432" xr:uid="{7705A147-AD57-4366-A244-B1CAB3F6890A}"/>
    <cellStyle name="Normal 4 2 11 2 3" xfId="27822" xr:uid="{00000000-0005-0000-0000-000033140000}"/>
    <cellStyle name="Normal 4 2 11 2 3 2" xfId="34433" xr:uid="{51E1976E-F99C-46D6-9907-FC314AE392CF}"/>
    <cellStyle name="Normal 4 2 11 2 4" xfId="34431" xr:uid="{E12E44C9-51DD-45CC-B801-2FEA9397973C}"/>
    <cellStyle name="Normal 4 2 11 3" xfId="27823" xr:uid="{00000000-0005-0000-0000-000034140000}"/>
    <cellStyle name="Normal 4 2 11 3 2" xfId="34434" xr:uid="{9CDB5B9C-B17A-4326-B408-E498B6C85B44}"/>
    <cellStyle name="Normal 4 2 11 4" xfId="27824" xr:uid="{00000000-0005-0000-0000-000035140000}"/>
    <cellStyle name="Normal 4 2 11 4 2" xfId="34435" xr:uid="{918C91A8-CBDA-43C1-9976-374683EB0F91}"/>
    <cellStyle name="Normal 4 2 11 5" xfId="27825" xr:uid="{00000000-0005-0000-0000-000036140000}"/>
    <cellStyle name="Normal 4 2 11 5 2" xfId="34436" xr:uid="{70EF279C-0DAF-4C34-B213-D6F64F2B3AB3}"/>
    <cellStyle name="Normal 4 2 11 6" xfId="34430" xr:uid="{650397BA-87C7-47F5-A6D2-C1D751B75FD8}"/>
    <cellStyle name="Normal 4 2 12" xfId="27826" xr:uid="{00000000-0005-0000-0000-000037140000}"/>
    <cellStyle name="Normal 4 2 12 2" xfId="27827" xr:uid="{00000000-0005-0000-0000-000038140000}"/>
    <cellStyle name="Normal 4 2 12 2 2" xfId="27828" xr:uid="{00000000-0005-0000-0000-000039140000}"/>
    <cellStyle name="Normal 4 2 12 2 2 2" xfId="34439" xr:uid="{DA6F2985-9734-409F-BABF-2D8FF2617F01}"/>
    <cellStyle name="Normal 4 2 12 2 3" xfId="27829" xr:uid="{00000000-0005-0000-0000-00003A140000}"/>
    <cellStyle name="Normal 4 2 12 2 3 2" xfId="34440" xr:uid="{E7FDBC63-432C-48D4-9E85-C8892259E1B0}"/>
    <cellStyle name="Normal 4 2 12 2 4" xfId="34438" xr:uid="{388A9EF2-6577-4F21-820A-FD089B90252A}"/>
    <cellStyle name="Normal 4 2 12 3" xfId="27830" xr:uid="{00000000-0005-0000-0000-00003B140000}"/>
    <cellStyle name="Normal 4 2 12 3 2" xfId="34441" xr:uid="{09030B6D-7C87-46DC-B2A9-C9ED607403B2}"/>
    <cellStyle name="Normal 4 2 12 4" xfId="27831" xr:uid="{00000000-0005-0000-0000-00003C140000}"/>
    <cellStyle name="Normal 4 2 12 4 2" xfId="34442" xr:uid="{E2C44671-4EAC-42A2-9919-3F672CB39C49}"/>
    <cellStyle name="Normal 4 2 12 5" xfId="27832" xr:uid="{00000000-0005-0000-0000-00003D140000}"/>
    <cellStyle name="Normal 4 2 12 5 2" xfId="34443" xr:uid="{29D7EA6A-B89E-4FA9-AE6B-54AC8B635AB0}"/>
    <cellStyle name="Normal 4 2 12 6" xfId="34437" xr:uid="{884DE43A-740E-4923-BA5D-CD01D3E1576B}"/>
    <cellStyle name="Normal 4 2 2" xfId="801" xr:uid="{00000000-0005-0000-0000-00003E140000}"/>
    <cellStyle name="Normal 4 2 2 10" xfId="27833" xr:uid="{00000000-0005-0000-0000-00003F140000}"/>
    <cellStyle name="Normal 4 2 2 10 2" xfId="27834" xr:uid="{00000000-0005-0000-0000-000040140000}"/>
    <cellStyle name="Normal 4 2 2 10 2 2" xfId="27835" xr:uid="{00000000-0005-0000-0000-000041140000}"/>
    <cellStyle name="Normal 4 2 2 10 2 2 2" xfId="34446" xr:uid="{338D2AC6-283F-41B3-9431-D2D06A5A1D39}"/>
    <cellStyle name="Normal 4 2 2 10 2 3" xfId="27836" xr:uid="{00000000-0005-0000-0000-000042140000}"/>
    <cellStyle name="Normal 4 2 2 10 2 3 2" xfId="34447" xr:uid="{75F9D2EE-7773-4DE6-9CE7-4CCD340C8739}"/>
    <cellStyle name="Normal 4 2 2 10 2 4" xfId="34445" xr:uid="{C1383272-5C83-4F95-A8B4-91926C561B20}"/>
    <cellStyle name="Normal 4 2 2 10 3" xfId="27837" xr:uid="{00000000-0005-0000-0000-000043140000}"/>
    <cellStyle name="Normal 4 2 2 10 3 2" xfId="34448" xr:uid="{DE68528D-3A5C-436C-B65D-356A94846338}"/>
    <cellStyle name="Normal 4 2 2 10 4" xfId="27838" xr:uid="{00000000-0005-0000-0000-000044140000}"/>
    <cellStyle name="Normal 4 2 2 10 4 2" xfId="34449" xr:uid="{42AB48A4-DAA1-4D6E-9890-46DD76DC346D}"/>
    <cellStyle name="Normal 4 2 2 10 5" xfId="27839" xr:uid="{00000000-0005-0000-0000-000045140000}"/>
    <cellStyle name="Normal 4 2 2 10 5 2" xfId="34450" xr:uid="{CFAAFBC0-74B4-42DE-8CB5-3F398EFFC259}"/>
    <cellStyle name="Normal 4 2 2 10 6" xfId="34444" xr:uid="{A37FDD2B-CACD-4738-8F60-65FBC89FDFD3}"/>
    <cellStyle name="Normal 4 2 2 11" xfId="27840" xr:uid="{00000000-0005-0000-0000-000046140000}"/>
    <cellStyle name="Normal 4 2 2 11 2" xfId="27841" xr:uid="{00000000-0005-0000-0000-000047140000}"/>
    <cellStyle name="Normal 4 2 2 11 2 2" xfId="34452" xr:uid="{1C845D68-B20D-482F-9319-E686D8392AD0}"/>
    <cellStyle name="Normal 4 2 2 11 3" xfId="27842" xr:uid="{00000000-0005-0000-0000-000048140000}"/>
    <cellStyle name="Normal 4 2 2 11 3 2" xfId="34453" xr:uid="{B2EFC35C-C20D-4F31-80A2-BDE205409B89}"/>
    <cellStyle name="Normal 4 2 2 11 4" xfId="34451" xr:uid="{30DA2054-1237-4CA3-8D16-B7426F1F5E03}"/>
    <cellStyle name="Normal 4 2 2 12" xfId="27843" xr:uid="{00000000-0005-0000-0000-000049140000}"/>
    <cellStyle name="Normal 4 2 2 12 2" xfId="34454" xr:uid="{D4953125-9348-4FFB-9AF4-CF47473563E1}"/>
    <cellStyle name="Normal 4 2 2 13" xfId="27844" xr:uid="{00000000-0005-0000-0000-00004A140000}"/>
    <cellStyle name="Normal 4 2 2 13 2" xfId="34455" xr:uid="{170B9061-6B41-492F-842D-FD2171A850A4}"/>
    <cellStyle name="Normal 4 2 2 14" xfId="27845" xr:uid="{00000000-0005-0000-0000-00004B140000}"/>
    <cellStyle name="Normal 4 2 2 14 2" xfId="34456" xr:uid="{401030B1-BE1F-47CD-8F50-04061AE88528}"/>
    <cellStyle name="Normal 4 2 2 2" xfId="802" xr:uid="{00000000-0005-0000-0000-00004C140000}"/>
    <cellStyle name="Normal 4 2 2 2 10" xfId="27847" xr:uid="{00000000-0005-0000-0000-00004D140000}"/>
    <cellStyle name="Normal 4 2 2 2 10 2" xfId="27848" xr:uid="{00000000-0005-0000-0000-00004E140000}"/>
    <cellStyle name="Normal 4 2 2 2 10 2 2" xfId="34459" xr:uid="{91E1B899-A383-4497-BC48-B1E578F1AC19}"/>
    <cellStyle name="Normal 4 2 2 2 10 3" xfId="27849" xr:uid="{00000000-0005-0000-0000-00004F140000}"/>
    <cellStyle name="Normal 4 2 2 2 10 3 2" xfId="34460" xr:uid="{E67F5C83-719E-4233-9CFF-F91DD0CB8412}"/>
    <cellStyle name="Normal 4 2 2 2 10 4" xfId="34458" xr:uid="{B620AAE3-9385-4F10-BE27-A435D5E057DE}"/>
    <cellStyle name="Normal 4 2 2 2 11" xfId="27850" xr:uid="{00000000-0005-0000-0000-000050140000}"/>
    <cellStyle name="Normal 4 2 2 2 11 2" xfId="34461" xr:uid="{0BEC10A7-B701-4081-A80C-3C0CC693BFAF}"/>
    <cellStyle name="Normal 4 2 2 2 12" xfId="27851" xr:uid="{00000000-0005-0000-0000-000051140000}"/>
    <cellStyle name="Normal 4 2 2 2 12 2" xfId="34462" xr:uid="{40C8CE1A-0E3B-43CC-B2B9-6A82FD4FBEE9}"/>
    <cellStyle name="Normal 4 2 2 2 13" xfId="27852" xr:uid="{00000000-0005-0000-0000-000052140000}"/>
    <cellStyle name="Normal 4 2 2 2 13 2" xfId="34463" xr:uid="{B2C69745-4B30-4AB4-833A-7D98EAD26028}"/>
    <cellStyle name="Normal 4 2 2 2 14" xfId="27846" xr:uid="{00000000-0005-0000-0000-000053140000}"/>
    <cellStyle name="Normal 4 2 2 2 15" xfId="34457" xr:uid="{6190D0B1-B4FD-49D3-A7B6-B75265AC7CA2}"/>
    <cellStyle name="Normal 4 2 2 2 2" xfId="5387" xr:uid="{00000000-0005-0000-0000-000054140000}"/>
    <cellStyle name="Normal 4 2 2 2 2 10" xfId="27853" xr:uid="{00000000-0005-0000-0000-000055140000}"/>
    <cellStyle name="Normal 4 2 2 2 2 11" xfId="34464" xr:uid="{ED60840D-4FE9-4EB2-AF23-8F98B1A64F35}"/>
    <cellStyle name="Normal 4 2 2 2 2 2" xfId="27854" xr:uid="{00000000-0005-0000-0000-000056140000}"/>
    <cellStyle name="Normal 4 2 2 2 2 2 2" xfId="27855" xr:uid="{00000000-0005-0000-0000-000057140000}"/>
    <cellStyle name="Normal 4 2 2 2 2 2 2 2" xfId="27856" xr:uid="{00000000-0005-0000-0000-000058140000}"/>
    <cellStyle name="Normal 4 2 2 2 2 2 2 2 2" xfId="27857" xr:uid="{00000000-0005-0000-0000-000059140000}"/>
    <cellStyle name="Normal 4 2 2 2 2 2 2 2 2 2" xfId="27858" xr:uid="{00000000-0005-0000-0000-00005A140000}"/>
    <cellStyle name="Normal 4 2 2 2 2 2 2 2 2 2 2" xfId="34469" xr:uid="{0C0D9C0A-F543-4025-BAC7-7E8C1BC734D6}"/>
    <cellStyle name="Normal 4 2 2 2 2 2 2 2 2 3" xfId="27859" xr:uid="{00000000-0005-0000-0000-00005B140000}"/>
    <cellStyle name="Normal 4 2 2 2 2 2 2 2 2 3 2" xfId="34470" xr:uid="{66D53821-857A-4686-85A1-8E079B28B4DF}"/>
    <cellStyle name="Normal 4 2 2 2 2 2 2 2 2 4" xfId="34468" xr:uid="{4E52CAB9-35A3-4CE4-BBFE-CAE72A69021B}"/>
    <cellStyle name="Normal 4 2 2 2 2 2 2 2 3" xfId="27860" xr:uid="{00000000-0005-0000-0000-00005C140000}"/>
    <cellStyle name="Normal 4 2 2 2 2 2 2 2 3 2" xfId="34471" xr:uid="{963A6E65-51CE-4118-B104-70616264C872}"/>
    <cellStyle name="Normal 4 2 2 2 2 2 2 2 4" xfId="27861" xr:uid="{00000000-0005-0000-0000-00005D140000}"/>
    <cellStyle name="Normal 4 2 2 2 2 2 2 2 4 2" xfId="34472" xr:uid="{A9D24F1E-19E7-4F8D-A137-344ADCB024D0}"/>
    <cellStyle name="Normal 4 2 2 2 2 2 2 2 5" xfId="27862" xr:uid="{00000000-0005-0000-0000-00005E140000}"/>
    <cellStyle name="Normal 4 2 2 2 2 2 2 2 5 2" xfId="34473" xr:uid="{835D6C4E-8E75-48A3-A7E4-B4DC278AF8F4}"/>
    <cellStyle name="Normal 4 2 2 2 2 2 2 2 6" xfId="34467" xr:uid="{8166298D-2B34-456D-BD8A-35F5C105D0C4}"/>
    <cellStyle name="Normal 4 2 2 2 2 2 2 3" xfId="27863" xr:uid="{00000000-0005-0000-0000-00005F140000}"/>
    <cellStyle name="Normal 4 2 2 2 2 2 2 3 2" xfId="27864" xr:uid="{00000000-0005-0000-0000-000060140000}"/>
    <cellStyle name="Normal 4 2 2 2 2 2 2 3 2 2" xfId="27865" xr:uid="{00000000-0005-0000-0000-000061140000}"/>
    <cellStyle name="Normal 4 2 2 2 2 2 2 3 2 2 2" xfId="34476" xr:uid="{03376514-C23B-49CA-88F2-5AB59F6C4BCD}"/>
    <cellStyle name="Normal 4 2 2 2 2 2 2 3 2 3" xfId="27866" xr:uid="{00000000-0005-0000-0000-000062140000}"/>
    <cellStyle name="Normal 4 2 2 2 2 2 2 3 2 3 2" xfId="34477" xr:uid="{F742B1FC-0BA0-4ED8-86E1-B77CD2550811}"/>
    <cellStyle name="Normal 4 2 2 2 2 2 2 3 2 4" xfId="34475" xr:uid="{0BF7C996-A1E8-49F7-8AC0-5CF2AF1CBFF8}"/>
    <cellStyle name="Normal 4 2 2 2 2 2 2 3 3" xfId="27867" xr:uid="{00000000-0005-0000-0000-000063140000}"/>
    <cellStyle name="Normal 4 2 2 2 2 2 2 3 3 2" xfId="34478" xr:uid="{D900AD09-DC32-4582-B2DD-9BBABFA2D7CA}"/>
    <cellStyle name="Normal 4 2 2 2 2 2 2 3 4" xfId="27868" xr:uid="{00000000-0005-0000-0000-000064140000}"/>
    <cellStyle name="Normal 4 2 2 2 2 2 2 3 4 2" xfId="34479" xr:uid="{AFD5D3CA-53A3-4D77-ABD0-69234379A605}"/>
    <cellStyle name="Normal 4 2 2 2 2 2 2 3 5" xfId="27869" xr:uid="{00000000-0005-0000-0000-000065140000}"/>
    <cellStyle name="Normal 4 2 2 2 2 2 2 3 5 2" xfId="34480" xr:uid="{28BAE084-54D3-497A-B790-46A3DF3E5DF3}"/>
    <cellStyle name="Normal 4 2 2 2 2 2 2 3 6" xfId="34474" xr:uid="{8D6D2C3D-667C-451D-83BD-6372FC151186}"/>
    <cellStyle name="Normal 4 2 2 2 2 2 2 4" xfId="27870" xr:uid="{00000000-0005-0000-0000-000066140000}"/>
    <cellStyle name="Normal 4 2 2 2 2 2 2 4 2" xfId="27871" xr:uid="{00000000-0005-0000-0000-000067140000}"/>
    <cellStyle name="Normal 4 2 2 2 2 2 2 4 2 2" xfId="34482" xr:uid="{6E5EA710-7DBA-4711-A69E-13BE3FAEDC4A}"/>
    <cellStyle name="Normal 4 2 2 2 2 2 2 4 3" xfId="27872" xr:uid="{00000000-0005-0000-0000-000068140000}"/>
    <cellStyle name="Normal 4 2 2 2 2 2 2 4 3 2" xfId="34483" xr:uid="{8D244218-CE3B-4AD7-962C-C08BD29F30E2}"/>
    <cellStyle name="Normal 4 2 2 2 2 2 2 4 4" xfId="34481" xr:uid="{F14F0B2E-B3B6-4C33-A02C-566FF84FF5C4}"/>
    <cellStyle name="Normal 4 2 2 2 2 2 2 5" xfId="27873" xr:uid="{00000000-0005-0000-0000-000069140000}"/>
    <cellStyle name="Normal 4 2 2 2 2 2 2 5 2" xfId="34484" xr:uid="{F26BB1BD-A17B-4B3E-B3E6-67E7283607F9}"/>
    <cellStyle name="Normal 4 2 2 2 2 2 2 6" xfId="27874" xr:uid="{00000000-0005-0000-0000-00006A140000}"/>
    <cellStyle name="Normal 4 2 2 2 2 2 2 6 2" xfId="34485" xr:uid="{28DE8749-8D0C-4831-A5E5-4403DC3B0523}"/>
    <cellStyle name="Normal 4 2 2 2 2 2 2 7" xfId="27875" xr:uid="{00000000-0005-0000-0000-00006B140000}"/>
    <cellStyle name="Normal 4 2 2 2 2 2 2 7 2" xfId="34486" xr:uid="{14BF3A77-8D2D-4CD1-BA84-F821D80614F7}"/>
    <cellStyle name="Normal 4 2 2 2 2 2 2 8" xfId="34466" xr:uid="{07E58BF5-C44B-4CB3-9BF2-5AC124A9301C}"/>
    <cellStyle name="Normal 4 2 2 2 2 2 3" xfId="27876" xr:uid="{00000000-0005-0000-0000-00006C140000}"/>
    <cellStyle name="Normal 4 2 2 2 2 2 3 2" xfId="27877" xr:uid="{00000000-0005-0000-0000-00006D140000}"/>
    <cellStyle name="Normal 4 2 2 2 2 2 3 2 2" xfId="27878" xr:uid="{00000000-0005-0000-0000-00006E140000}"/>
    <cellStyle name="Normal 4 2 2 2 2 2 3 2 2 2" xfId="34489" xr:uid="{D32B307F-2162-45E5-A15E-CDCC341E9BB1}"/>
    <cellStyle name="Normal 4 2 2 2 2 2 3 2 3" xfId="27879" xr:uid="{00000000-0005-0000-0000-00006F140000}"/>
    <cellStyle name="Normal 4 2 2 2 2 2 3 2 3 2" xfId="34490" xr:uid="{5D3D55D2-373D-489C-867F-4D02A3501EC1}"/>
    <cellStyle name="Normal 4 2 2 2 2 2 3 2 4" xfId="34488" xr:uid="{65CE768B-8B5B-43FB-A727-341ED4148A87}"/>
    <cellStyle name="Normal 4 2 2 2 2 2 3 3" xfId="27880" xr:uid="{00000000-0005-0000-0000-000070140000}"/>
    <cellStyle name="Normal 4 2 2 2 2 2 3 3 2" xfId="34491" xr:uid="{DB39C74F-BC15-4542-9778-4115C1D8F46F}"/>
    <cellStyle name="Normal 4 2 2 2 2 2 3 4" xfId="27881" xr:uid="{00000000-0005-0000-0000-000071140000}"/>
    <cellStyle name="Normal 4 2 2 2 2 2 3 4 2" xfId="34492" xr:uid="{D35ADD7C-178A-42AE-8A4F-1BAAEB2154F7}"/>
    <cellStyle name="Normal 4 2 2 2 2 2 3 5" xfId="27882" xr:uid="{00000000-0005-0000-0000-000072140000}"/>
    <cellStyle name="Normal 4 2 2 2 2 2 3 5 2" xfId="34493" xr:uid="{7B9B0058-0F1C-422E-A30C-7B6DEB431C04}"/>
    <cellStyle name="Normal 4 2 2 2 2 2 3 6" xfId="34487" xr:uid="{44DEF4D5-CD70-4945-AC82-583981477C2B}"/>
    <cellStyle name="Normal 4 2 2 2 2 2 4" xfId="27883" xr:uid="{00000000-0005-0000-0000-000073140000}"/>
    <cellStyle name="Normal 4 2 2 2 2 2 4 2" xfId="27884" xr:uid="{00000000-0005-0000-0000-000074140000}"/>
    <cellStyle name="Normal 4 2 2 2 2 2 4 2 2" xfId="27885" xr:uid="{00000000-0005-0000-0000-000075140000}"/>
    <cellStyle name="Normal 4 2 2 2 2 2 4 2 2 2" xfId="34496" xr:uid="{ABA2E328-A6B0-409C-91B7-4EE5B48BB867}"/>
    <cellStyle name="Normal 4 2 2 2 2 2 4 2 3" xfId="27886" xr:uid="{00000000-0005-0000-0000-000076140000}"/>
    <cellStyle name="Normal 4 2 2 2 2 2 4 2 3 2" xfId="34497" xr:uid="{20624EEB-188B-4E57-8CFE-4CBF3B3CEDDA}"/>
    <cellStyle name="Normal 4 2 2 2 2 2 4 2 4" xfId="34495" xr:uid="{3C2817AA-2A3E-44DC-9530-2E0D82F10780}"/>
    <cellStyle name="Normal 4 2 2 2 2 2 4 3" xfId="27887" xr:uid="{00000000-0005-0000-0000-000077140000}"/>
    <cellStyle name="Normal 4 2 2 2 2 2 4 3 2" xfId="34498" xr:uid="{E1F555B9-E29C-4B8E-B3DA-293D3712F1DF}"/>
    <cellStyle name="Normal 4 2 2 2 2 2 4 4" xfId="27888" xr:uid="{00000000-0005-0000-0000-000078140000}"/>
    <cellStyle name="Normal 4 2 2 2 2 2 4 4 2" xfId="34499" xr:uid="{6D4863A3-6328-4AB2-8664-9F3C3F9273D3}"/>
    <cellStyle name="Normal 4 2 2 2 2 2 4 5" xfId="27889" xr:uid="{00000000-0005-0000-0000-000079140000}"/>
    <cellStyle name="Normal 4 2 2 2 2 2 4 5 2" xfId="34500" xr:uid="{AF8F02F5-6635-4419-95BE-EB362A4B058B}"/>
    <cellStyle name="Normal 4 2 2 2 2 2 4 6" xfId="34494" xr:uid="{5F3379A2-1D5D-428F-9B99-A57E4C0D61C4}"/>
    <cellStyle name="Normal 4 2 2 2 2 2 5" xfId="27890" xr:uid="{00000000-0005-0000-0000-00007A140000}"/>
    <cellStyle name="Normal 4 2 2 2 2 2 5 2" xfId="27891" xr:uid="{00000000-0005-0000-0000-00007B140000}"/>
    <cellStyle name="Normal 4 2 2 2 2 2 5 2 2" xfId="34502" xr:uid="{CEF66630-FA01-43A8-B8D2-75134DF1597A}"/>
    <cellStyle name="Normal 4 2 2 2 2 2 5 3" xfId="27892" xr:uid="{00000000-0005-0000-0000-00007C140000}"/>
    <cellStyle name="Normal 4 2 2 2 2 2 5 3 2" xfId="34503" xr:uid="{27EB5E80-69B6-4606-8205-DC732AE74EE8}"/>
    <cellStyle name="Normal 4 2 2 2 2 2 5 4" xfId="34501" xr:uid="{87AA810B-DDBE-4302-88F8-21E441EBB443}"/>
    <cellStyle name="Normal 4 2 2 2 2 2 6" xfId="27893" xr:uid="{00000000-0005-0000-0000-00007D140000}"/>
    <cellStyle name="Normal 4 2 2 2 2 2 6 2" xfId="34504" xr:uid="{15F2497C-C870-46C3-A33F-2FB8D653F566}"/>
    <cellStyle name="Normal 4 2 2 2 2 2 7" xfId="27894" xr:uid="{00000000-0005-0000-0000-00007E140000}"/>
    <cellStyle name="Normal 4 2 2 2 2 2 7 2" xfId="34505" xr:uid="{C6B4E1CC-7D01-4BEA-A041-23D9303FF82C}"/>
    <cellStyle name="Normal 4 2 2 2 2 2 8" xfId="27895" xr:uid="{00000000-0005-0000-0000-00007F140000}"/>
    <cellStyle name="Normal 4 2 2 2 2 2 8 2" xfId="34506" xr:uid="{A03C7567-F743-4F42-BBF3-637DC487B0F7}"/>
    <cellStyle name="Normal 4 2 2 2 2 2 9" xfId="34465" xr:uid="{6067F4EC-702C-494E-A77E-85570AE33189}"/>
    <cellStyle name="Normal 4 2 2 2 2 3" xfId="27896" xr:uid="{00000000-0005-0000-0000-000080140000}"/>
    <cellStyle name="Normal 4 2 2 2 2 3 2" xfId="27897" xr:uid="{00000000-0005-0000-0000-000081140000}"/>
    <cellStyle name="Normal 4 2 2 2 2 3 2 2" xfId="27898" xr:uid="{00000000-0005-0000-0000-000082140000}"/>
    <cellStyle name="Normal 4 2 2 2 2 3 2 2 2" xfId="27899" xr:uid="{00000000-0005-0000-0000-000083140000}"/>
    <cellStyle name="Normal 4 2 2 2 2 3 2 2 2 2" xfId="34510" xr:uid="{987356F6-BAD9-4EFC-A85C-F639421ED0A5}"/>
    <cellStyle name="Normal 4 2 2 2 2 3 2 2 3" xfId="27900" xr:uid="{00000000-0005-0000-0000-000084140000}"/>
    <cellStyle name="Normal 4 2 2 2 2 3 2 2 3 2" xfId="34511" xr:uid="{D7CB4829-F78C-4CB3-83FB-82F16F6D0A0E}"/>
    <cellStyle name="Normal 4 2 2 2 2 3 2 2 4" xfId="34509" xr:uid="{E278E264-D1C5-40BA-AE76-012C691D8F7C}"/>
    <cellStyle name="Normal 4 2 2 2 2 3 2 3" xfId="27901" xr:uid="{00000000-0005-0000-0000-000085140000}"/>
    <cellStyle name="Normal 4 2 2 2 2 3 2 3 2" xfId="34512" xr:uid="{17DE9C6D-A9E4-4148-B422-CC0BA733284B}"/>
    <cellStyle name="Normal 4 2 2 2 2 3 2 4" xfId="27902" xr:uid="{00000000-0005-0000-0000-000086140000}"/>
    <cellStyle name="Normal 4 2 2 2 2 3 2 4 2" xfId="34513" xr:uid="{23D8FF90-70E7-45F3-93B1-181FC8660B1B}"/>
    <cellStyle name="Normal 4 2 2 2 2 3 2 5" xfId="27903" xr:uid="{00000000-0005-0000-0000-000087140000}"/>
    <cellStyle name="Normal 4 2 2 2 2 3 2 5 2" xfId="34514" xr:uid="{0020CA75-0EC0-4934-B460-AFF09EDE7999}"/>
    <cellStyle name="Normal 4 2 2 2 2 3 2 6" xfId="34508" xr:uid="{DD4006AF-0C1F-4018-A673-9D9C20DE8EE5}"/>
    <cellStyle name="Normal 4 2 2 2 2 3 3" xfId="27904" xr:uid="{00000000-0005-0000-0000-000088140000}"/>
    <cellStyle name="Normal 4 2 2 2 2 3 3 2" xfId="27905" xr:uid="{00000000-0005-0000-0000-000089140000}"/>
    <cellStyle name="Normal 4 2 2 2 2 3 3 2 2" xfId="27906" xr:uid="{00000000-0005-0000-0000-00008A140000}"/>
    <cellStyle name="Normal 4 2 2 2 2 3 3 2 2 2" xfId="34517" xr:uid="{42418DAC-3C0D-4023-BF9E-604977608AF1}"/>
    <cellStyle name="Normal 4 2 2 2 2 3 3 2 3" xfId="27907" xr:uid="{00000000-0005-0000-0000-00008B140000}"/>
    <cellStyle name="Normal 4 2 2 2 2 3 3 2 3 2" xfId="34518" xr:uid="{CF148B8F-371E-4BE7-A2DF-D742041913C8}"/>
    <cellStyle name="Normal 4 2 2 2 2 3 3 2 4" xfId="34516" xr:uid="{965269FA-E257-4C94-A316-5172BEE52C0D}"/>
    <cellStyle name="Normal 4 2 2 2 2 3 3 3" xfId="27908" xr:uid="{00000000-0005-0000-0000-00008C140000}"/>
    <cellStyle name="Normal 4 2 2 2 2 3 3 3 2" xfId="34519" xr:uid="{6DB2D918-895D-456B-9C63-E17B0BA7D03F}"/>
    <cellStyle name="Normal 4 2 2 2 2 3 3 4" xfId="27909" xr:uid="{00000000-0005-0000-0000-00008D140000}"/>
    <cellStyle name="Normal 4 2 2 2 2 3 3 4 2" xfId="34520" xr:uid="{1E5C37A2-97C7-4143-BBE7-8ADBD3322ABB}"/>
    <cellStyle name="Normal 4 2 2 2 2 3 3 5" xfId="27910" xr:uid="{00000000-0005-0000-0000-00008E140000}"/>
    <cellStyle name="Normal 4 2 2 2 2 3 3 5 2" xfId="34521" xr:uid="{1EAF95BC-685D-43D4-AA58-36120C404CBC}"/>
    <cellStyle name="Normal 4 2 2 2 2 3 3 6" xfId="34515" xr:uid="{F2842564-07E9-48BB-B02A-63EC305CAEAF}"/>
    <cellStyle name="Normal 4 2 2 2 2 3 4" xfId="27911" xr:uid="{00000000-0005-0000-0000-00008F140000}"/>
    <cellStyle name="Normal 4 2 2 2 2 3 4 2" xfId="27912" xr:uid="{00000000-0005-0000-0000-000090140000}"/>
    <cellStyle name="Normal 4 2 2 2 2 3 4 2 2" xfId="34523" xr:uid="{20985B5F-CCB0-45E4-A3AB-4F05EB967DBD}"/>
    <cellStyle name="Normal 4 2 2 2 2 3 4 3" xfId="27913" xr:uid="{00000000-0005-0000-0000-000091140000}"/>
    <cellStyle name="Normal 4 2 2 2 2 3 4 3 2" xfId="34524" xr:uid="{E98B901A-8870-4513-832C-77F81831D86E}"/>
    <cellStyle name="Normal 4 2 2 2 2 3 4 4" xfId="34522" xr:uid="{B172E3A5-1FDF-43FC-A09D-893B10303A7E}"/>
    <cellStyle name="Normal 4 2 2 2 2 3 5" xfId="27914" xr:uid="{00000000-0005-0000-0000-000092140000}"/>
    <cellStyle name="Normal 4 2 2 2 2 3 5 2" xfId="34525" xr:uid="{FAF2818F-DCC2-4F35-A231-54E1AF0046C6}"/>
    <cellStyle name="Normal 4 2 2 2 2 3 6" xfId="27915" xr:uid="{00000000-0005-0000-0000-000093140000}"/>
    <cellStyle name="Normal 4 2 2 2 2 3 6 2" xfId="34526" xr:uid="{6864477F-868F-473B-938B-D98640F2F93C}"/>
    <cellStyle name="Normal 4 2 2 2 2 3 7" xfId="27916" xr:uid="{00000000-0005-0000-0000-000094140000}"/>
    <cellStyle name="Normal 4 2 2 2 2 3 7 2" xfId="34527" xr:uid="{5C19C924-5A9A-4F6A-AFE9-9056527ECB07}"/>
    <cellStyle name="Normal 4 2 2 2 2 3 8" xfId="34507" xr:uid="{699DB6B8-1C3B-41E1-8AA5-44B363FE6C8A}"/>
    <cellStyle name="Normal 4 2 2 2 2 4" xfId="27917" xr:uid="{00000000-0005-0000-0000-000095140000}"/>
    <cellStyle name="Normal 4 2 2 2 2 4 2" xfId="27918" xr:uid="{00000000-0005-0000-0000-000096140000}"/>
    <cellStyle name="Normal 4 2 2 2 2 4 2 2" xfId="27919" xr:uid="{00000000-0005-0000-0000-000097140000}"/>
    <cellStyle name="Normal 4 2 2 2 2 4 2 2 2" xfId="34530" xr:uid="{DA083768-E635-4AD0-8127-26FC229CF804}"/>
    <cellStyle name="Normal 4 2 2 2 2 4 2 3" xfId="27920" xr:uid="{00000000-0005-0000-0000-000098140000}"/>
    <cellStyle name="Normal 4 2 2 2 2 4 2 3 2" xfId="34531" xr:uid="{614AE9AF-3A2A-467C-8782-5692149BAB58}"/>
    <cellStyle name="Normal 4 2 2 2 2 4 2 4" xfId="34529" xr:uid="{D9CF769B-EFA6-48F0-B456-C11A2C678F5A}"/>
    <cellStyle name="Normal 4 2 2 2 2 4 3" xfId="27921" xr:uid="{00000000-0005-0000-0000-000099140000}"/>
    <cellStyle name="Normal 4 2 2 2 2 4 3 2" xfId="34532" xr:uid="{589A85AA-D86C-43F2-AB0A-117C3CF38D03}"/>
    <cellStyle name="Normal 4 2 2 2 2 4 4" xfId="27922" xr:uid="{00000000-0005-0000-0000-00009A140000}"/>
    <cellStyle name="Normal 4 2 2 2 2 4 4 2" xfId="34533" xr:uid="{16054600-2B2E-4934-A671-836C2624A0AC}"/>
    <cellStyle name="Normal 4 2 2 2 2 4 5" xfId="27923" xr:uid="{00000000-0005-0000-0000-00009B140000}"/>
    <cellStyle name="Normal 4 2 2 2 2 4 5 2" xfId="34534" xr:uid="{C4ADE77C-3E62-44FA-A51F-FA655A8865B3}"/>
    <cellStyle name="Normal 4 2 2 2 2 4 6" xfId="34528" xr:uid="{A0567EA0-3327-4D70-80F5-80BB82AEF7C9}"/>
    <cellStyle name="Normal 4 2 2 2 2 5" xfId="27924" xr:uid="{00000000-0005-0000-0000-00009C140000}"/>
    <cellStyle name="Normal 4 2 2 2 2 5 2" xfId="27925" xr:uid="{00000000-0005-0000-0000-00009D140000}"/>
    <cellStyle name="Normal 4 2 2 2 2 5 2 2" xfId="27926" xr:uid="{00000000-0005-0000-0000-00009E140000}"/>
    <cellStyle name="Normal 4 2 2 2 2 5 2 2 2" xfId="34537" xr:uid="{E93A426C-6AA9-4C7C-B9D5-8B713DDC0B50}"/>
    <cellStyle name="Normal 4 2 2 2 2 5 2 3" xfId="27927" xr:uid="{00000000-0005-0000-0000-00009F140000}"/>
    <cellStyle name="Normal 4 2 2 2 2 5 2 3 2" xfId="34538" xr:uid="{4E7AEBDF-7B38-4548-A48D-3035894764AF}"/>
    <cellStyle name="Normal 4 2 2 2 2 5 2 4" xfId="34536" xr:uid="{463BD629-FCB2-4375-ADF4-9F2738DC0D23}"/>
    <cellStyle name="Normal 4 2 2 2 2 5 3" xfId="27928" xr:uid="{00000000-0005-0000-0000-0000A0140000}"/>
    <cellStyle name="Normal 4 2 2 2 2 5 3 2" xfId="34539" xr:uid="{AD27BE18-81B2-43A1-A3DC-30E6B45C8308}"/>
    <cellStyle name="Normal 4 2 2 2 2 5 4" xfId="27929" xr:uid="{00000000-0005-0000-0000-0000A1140000}"/>
    <cellStyle name="Normal 4 2 2 2 2 5 4 2" xfId="34540" xr:uid="{0D00341F-D82F-40DD-B637-E53B209CD93E}"/>
    <cellStyle name="Normal 4 2 2 2 2 5 5" xfId="27930" xr:uid="{00000000-0005-0000-0000-0000A2140000}"/>
    <cellStyle name="Normal 4 2 2 2 2 5 5 2" xfId="34541" xr:uid="{F2A57008-D1E5-4507-9128-4764A7FE85C0}"/>
    <cellStyle name="Normal 4 2 2 2 2 5 6" xfId="34535" xr:uid="{9E9C4139-069D-41C0-B6AC-DEAD3845FFCA}"/>
    <cellStyle name="Normal 4 2 2 2 2 6" xfId="27931" xr:uid="{00000000-0005-0000-0000-0000A3140000}"/>
    <cellStyle name="Normal 4 2 2 2 2 6 2" xfId="27932" xr:uid="{00000000-0005-0000-0000-0000A4140000}"/>
    <cellStyle name="Normal 4 2 2 2 2 6 2 2" xfId="34543" xr:uid="{73A5172E-9E0D-4BEE-87E5-502E1130AE41}"/>
    <cellStyle name="Normal 4 2 2 2 2 6 3" xfId="27933" xr:uid="{00000000-0005-0000-0000-0000A5140000}"/>
    <cellStyle name="Normal 4 2 2 2 2 6 3 2" xfId="34544" xr:uid="{939F0A31-39B5-4A5F-9315-4A0E7209B6ED}"/>
    <cellStyle name="Normal 4 2 2 2 2 6 4" xfId="34542" xr:uid="{E643CC9A-A811-453C-8F17-FCE25C7FD52D}"/>
    <cellStyle name="Normal 4 2 2 2 2 7" xfId="27934" xr:uid="{00000000-0005-0000-0000-0000A6140000}"/>
    <cellStyle name="Normal 4 2 2 2 2 7 2" xfId="34545" xr:uid="{2A5BDE4A-BC0D-44DB-962E-F027E98C3F5F}"/>
    <cellStyle name="Normal 4 2 2 2 2 8" xfId="27935" xr:uid="{00000000-0005-0000-0000-0000A7140000}"/>
    <cellStyle name="Normal 4 2 2 2 2 8 2" xfId="34546" xr:uid="{DD88362A-E9B9-4A83-9D9D-867EB08058D6}"/>
    <cellStyle name="Normal 4 2 2 2 2 9" xfId="27936" xr:uid="{00000000-0005-0000-0000-0000A8140000}"/>
    <cellStyle name="Normal 4 2 2 2 2 9 2" xfId="34547" xr:uid="{B07F7DAB-50CE-42F2-8F6D-C244B5E50B28}"/>
    <cellStyle name="Normal 4 2 2 2 3" xfId="27937" xr:uid="{00000000-0005-0000-0000-0000A9140000}"/>
    <cellStyle name="Normal 4 2 2 2 3 10" xfId="34548" xr:uid="{FE0F7160-50B6-4CEB-B20E-A00D751A7EBA}"/>
    <cellStyle name="Normal 4 2 2 2 3 2" xfId="27938" xr:uid="{00000000-0005-0000-0000-0000AA140000}"/>
    <cellStyle name="Normal 4 2 2 2 3 2 2" xfId="27939" xr:uid="{00000000-0005-0000-0000-0000AB140000}"/>
    <cellStyle name="Normal 4 2 2 2 3 2 2 2" xfId="27940" xr:uid="{00000000-0005-0000-0000-0000AC140000}"/>
    <cellStyle name="Normal 4 2 2 2 3 2 2 2 2" xfId="27941" xr:uid="{00000000-0005-0000-0000-0000AD140000}"/>
    <cellStyle name="Normal 4 2 2 2 3 2 2 2 2 2" xfId="27942" xr:uid="{00000000-0005-0000-0000-0000AE140000}"/>
    <cellStyle name="Normal 4 2 2 2 3 2 2 2 2 2 2" xfId="34553" xr:uid="{AD22E3C8-D5E5-4F64-9B72-CF734E36BB82}"/>
    <cellStyle name="Normal 4 2 2 2 3 2 2 2 2 3" xfId="27943" xr:uid="{00000000-0005-0000-0000-0000AF140000}"/>
    <cellStyle name="Normal 4 2 2 2 3 2 2 2 2 3 2" xfId="34554" xr:uid="{514D61FC-420F-4041-8B8C-5F5D47B62CDE}"/>
    <cellStyle name="Normal 4 2 2 2 3 2 2 2 2 4" xfId="34552" xr:uid="{887E6913-6960-4DE6-A074-DD473D956FCC}"/>
    <cellStyle name="Normal 4 2 2 2 3 2 2 2 3" xfId="27944" xr:uid="{00000000-0005-0000-0000-0000B0140000}"/>
    <cellStyle name="Normal 4 2 2 2 3 2 2 2 3 2" xfId="34555" xr:uid="{F3468726-1294-4B76-96D4-E3DF1B4A0184}"/>
    <cellStyle name="Normal 4 2 2 2 3 2 2 2 4" xfId="27945" xr:uid="{00000000-0005-0000-0000-0000B1140000}"/>
    <cellStyle name="Normal 4 2 2 2 3 2 2 2 4 2" xfId="34556" xr:uid="{94481A90-0EF2-4D7B-9DDF-14BCE8390DF3}"/>
    <cellStyle name="Normal 4 2 2 2 3 2 2 2 5" xfId="27946" xr:uid="{00000000-0005-0000-0000-0000B2140000}"/>
    <cellStyle name="Normal 4 2 2 2 3 2 2 2 5 2" xfId="34557" xr:uid="{76C3362D-DAE8-4F48-8F02-242D2F31609F}"/>
    <cellStyle name="Normal 4 2 2 2 3 2 2 2 6" xfId="34551" xr:uid="{969CC502-5E9B-445A-91E2-48B5EA008077}"/>
    <cellStyle name="Normal 4 2 2 2 3 2 2 3" xfId="27947" xr:uid="{00000000-0005-0000-0000-0000B3140000}"/>
    <cellStyle name="Normal 4 2 2 2 3 2 2 3 2" xfId="27948" xr:uid="{00000000-0005-0000-0000-0000B4140000}"/>
    <cellStyle name="Normal 4 2 2 2 3 2 2 3 2 2" xfId="27949" xr:uid="{00000000-0005-0000-0000-0000B5140000}"/>
    <cellStyle name="Normal 4 2 2 2 3 2 2 3 2 2 2" xfId="34560" xr:uid="{45BAF72D-BE6C-4463-BED3-09DA1CFF97F1}"/>
    <cellStyle name="Normal 4 2 2 2 3 2 2 3 2 3" xfId="27950" xr:uid="{00000000-0005-0000-0000-0000B6140000}"/>
    <cellStyle name="Normal 4 2 2 2 3 2 2 3 2 3 2" xfId="34561" xr:uid="{5CDEF4F5-427C-4830-85D8-4613C551140C}"/>
    <cellStyle name="Normal 4 2 2 2 3 2 2 3 2 4" xfId="34559" xr:uid="{D1974235-B933-40C7-A8BD-D21E6FF3188B}"/>
    <cellStyle name="Normal 4 2 2 2 3 2 2 3 3" xfId="27951" xr:uid="{00000000-0005-0000-0000-0000B7140000}"/>
    <cellStyle name="Normal 4 2 2 2 3 2 2 3 3 2" xfId="34562" xr:uid="{38639E33-E100-4762-93BB-FB86A27E5059}"/>
    <cellStyle name="Normal 4 2 2 2 3 2 2 3 4" xfId="27952" xr:uid="{00000000-0005-0000-0000-0000B8140000}"/>
    <cellStyle name="Normal 4 2 2 2 3 2 2 3 4 2" xfId="34563" xr:uid="{E2D6A722-B38B-4BBF-9E82-FA152AC52CEC}"/>
    <cellStyle name="Normal 4 2 2 2 3 2 2 3 5" xfId="27953" xr:uid="{00000000-0005-0000-0000-0000B9140000}"/>
    <cellStyle name="Normal 4 2 2 2 3 2 2 3 5 2" xfId="34564" xr:uid="{1D46684B-153F-4B48-A2AF-484830E720D9}"/>
    <cellStyle name="Normal 4 2 2 2 3 2 2 3 6" xfId="34558" xr:uid="{E9078DD4-BC66-4D03-A7B2-A40FB370C48F}"/>
    <cellStyle name="Normal 4 2 2 2 3 2 2 4" xfId="27954" xr:uid="{00000000-0005-0000-0000-0000BA140000}"/>
    <cellStyle name="Normal 4 2 2 2 3 2 2 4 2" xfId="27955" xr:uid="{00000000-0005-0000-0000-0000BB140000}"/>
    <cellStyle name="Normal 4 2 2 2 3 2 2 4 2 2" xfId="34566" xr:uid="{99A1E7AC-E240-46AB-82A6-0DEFDD4D33F9}"/>
    <cellStyle name="Normal 4 2 2 2 3 2 2 4 3" xfId="27956" xr:uid="{00000000-0005-0000-0000-0000BC140000}"/>
    <cellStyle name="Normal 4 2 2 2 3 2 2 4 3 2" xfId="34567" xr:uid="{8ADCCA7E-2A63-49B2-A507-E1E060B3067F}"/>
    <cellStyle name="Normal 4 2 2 2 3 2 2 4 4" xfId="34565" xr:uid="{A9623986-C142-4E32-861F-B059BAF96349}"/>
    <cellStyle name="Normal 4 2 2 2 3 2 2 5" xfId="27957" xr:uid="{00000000-0005-0000-0000-0000BD140000}"/>
    <cellStyle name="Normal 4 2 2 2 3 2 2 5 2" xfId="34568" xr:uid="{8F02965F-57A9-428E-BFF8-FA4EDA11958E}"/>
    <cellStyle name="Normal 4 2 2 2 3 2 2 6" xfId="27958" xr:uid="{00000000-0005-0000-0000-0000BE140000}"/>
    <cellStyle name="Normal 4 2 2 2 3 2 2 6 2" xfId="34569" xr:uid="{010FD370-1029-4A01-ABB7-34B24D09466F}"/>
    <cellStyle name="Normal 4 2 2 2 3 2 2 7" xfId="27959" xr:uid="{00000000-0005-0000-0000-0000BF140000}"/>
    <cellStyle name="Normal 4 2 2 2 3 2 2 7 2" xfId="34570" xr:uid="{2CAEE8CC-2A01-4DC5-BBD4-0A5F67BE4BC4}"/>
    <cellStyle name="Normal 4 2 2 2 3 2 2 8" xfId="34550" xr:uid="{C2925D4A-E6B4-44C5-B095-A6A09C92F7EE}"/>
    <cellStyle name="Normal 4 2 2 2 3 2 3" xfId="27960" xr:uid="{00000000-0005-0000-0000-0000C0140000}"/>
    <cellStyle name="Normal 4 2 2 2 3 2 3 2" xfId="27961" xr:uid="{00000000-0005-0000-0000-0000C1140000}"/>
    <cellStyle name="Normal 4 2 2 2 3 2 3 2 2" xfId="27962" xr:uid="{00000000-0005-0000-0000-0000C2140000}"/>
    <cellStyle name="Normal 4 2 2 2 3 2 3 2 2 2" xfId="34573" xr:uid="{712DAD42-9F21-4C2C-A6B2-D635C045E49C}"/>
    <cellStyle name="Normal 4 2 2 2 3 2 3 2 3" xfId="27963" xr:uid="{00000000-0005-0000-0000-0000C3140000}"/>
    <cellStyle name="Normal 4 2 2 2 3 2 3 2 3 2" xfId="34574" xr:uid="{5BBEBF2B-8D08-4713-AADB-FA490A21F220}"/>
    <cellStyle name="Normal 4 2 2 2 3 2 3 2 4" xfId="34572" xr:uid="{64152F04-DB71-45A5-B6A2-FD0381C7FD00}"/>
    <cellStyle name="Normal 4 2 2 2 3 2 3 3" xfId="27964" xr:uid="{00000000-0005-0000-0000-0000C4140000}"/>
    <cellStyle name="Normal 4 2 2 2 3 2 3 3 2" xfId="34575" xr:uid="{8C2CE679-4B78-40CA-804C-6ECBD0E0DEAF}"/>
    <cellStyle name="Normal 4 2 2 2 3 2 3 4" xfId="27965" xr:uid="{00000000-0005-0000-0000-0000C5140000}"/>
    <cellStyle name="Normal 4 2 2 2 3 2 3 4 2" xfId="34576" xr:uid="{9211B68A-C43E-4B90-BFD7-A1B4E10475C5}"/>
    <cellStyle name="Normal 4 2 2 2 3 2 3 5" xfId="27966" xr:uid="{00000000-0005-0000-0000-0000C6140000}"/>
    <cellStyle name="Normal 4 2 2 2 3 2 3 5 2" xfId="34577" xr:uid="{88B9AB2D-E5CA-419D-9D2A-93699B4A1209}"/>
    <cellStyle name="Normal 4 2 2 2 3 2 3 6" xfId="34571" xr:uid="{6DCA8714-1F03-4BF5-9A0B-AC996E9AB499}"/>
    <cellStyle name="Normal 4 2 2 2 3 2 4" xfId="27967" xr:uid="{00000000-0005-0000-0000-0000C7140000}"/>
    <cellStyle name="Normal 4 2 2 2 3 2 4 2" xfId="27968" xr:uid="{00000000-0005-0000-0000-0000C8140000}"/>
    <cellStyle name="Normal 4 2 2 2 3 2 4 2 2" xfId="27969" xr:uid="{00000000-0005-0000-0000-0000C9140000}"/>
    <cellStyle name="Normal 4 2 2 2 3 2 4 2 2 2" xfId="34580" xr:uid="{5044A090-CD1C-47E6-89AA-2F6E94372320}"/>
    <cellStyle name="Normal 4 2 2 2 3 2 4 2 3" xfId="27970" xr:uid="{00000000-0005-0000-0000-0000CA140000}"/>
    <cellStyle name="Normal 4 2 2 2 3 2 4 2 3 2" xfId="34581" xr:uid="{E3953581-6355-422B-ABF5-3AAF2D0FF842}"/>
    <cellStyle name="Normal 4 2 2 2 3 2 4 2 4" xfId="34579" xr:uid="{6CAB73C3-4B0D-4B97-8ED7-AC55195D6263}"/>
    <cellStyle name="Normal 4 2 2 2 3 2 4 3" xfId="27971" xr:uid="{00000000-0005-0000-0000-0000CB140000}"/>
    <cellStyle name="Normal 4 2 2 2 3 2 4 3 2" xfId="34582" xr:uid="{1E89658B-2DD1-4324-B859-31E5723906CA}"/>
    <cellStyle name="Normal 4 2 2 2 3 2 4 4" xfId="27972" xr:uid="{00000000-0005-0000-0000-0000CC140000}"/>
    <cellStyle name="Normal 4 2 2 2 3 2 4 4 2" xfId="34583" xr:uid="{449846A1-5760-4C9F-A925-CA553D4E715C}"/>
    <cellStyle name="Normal 4 2 2 2 3 2 4 5" xfId="27973" xr:uid="{00000000-0005-0000-0000-0000CD140000}"/>
    <cellStyle name="Normal 4 2 2 2 3 2 4 5 2" xfId="34584" xr:uid="{09720D04-7B09-4AE7-86A3-C9E4A1B4CA3D}"/>
    <cellStyle name="Normal 4 2 2 2 3 2 4 6" xfId="34578" xr:uid="{7766237D-AB25-4373-8D27-CF629C4BF2A7}"/>
    <cellStyle name="Normal 4 2 2 2 3 2 5" xfId="27974" xr:uid="{00000000-0005-0000-0000-0000CE140000}"/>
    <cellStyle name="Normal 4 2 2 2 3 2 5 2" xfId="27975" xr:uid="{00000000-0005-0000-0000-0000CF140000}"/>
    <cellStyle name="Normal 4 2 2 2 3 2 5 2 2" xfId="34586" xr:uid="{11D0439D-7EB0-441A-A73B-3EB22FABB33D}"/>
    <cellStyle name="Normal 4 2 2 2 3 2 5 3" xfId="27976" xr:uid="{00000000-0005-0000-0000-0000D0140000}"/>
    <cellStyle name="Normal 4 2 2 2 3 2 5 3 2" xfId="34587" xr:uid="{2D225D24-0758-4578-BB2B-A4872F025C26}"/>
    <cellStyle name="Normal 4 2 2 2 3 2 5 4" xfId="34585" xr:uid="{3A12AC09-F993-49E7-8ECD-C00D3CF5884C}"/>
    <cellStyle name="Normal 4 2 2 2 3 2 6" xfId="27977" xr:uid="{00000000-0005-0000-0000-0000D1140000}"/>
    <cellStyle name="Normal 4 2 2 2 3 2 6 2" xfId="34588" xr:uid="{EA5ACA70-E373-45DE-87A4-697BB63081C9}"/>
    <cellStyle name="Normal 4 2 2 2 3 2 7" xfId="27978" xr:uid="{00000000-0005-0000-0000-0000D2140000}"/>
    <cellStyle name="Normal 4 2 2 2 3 2 7 2" xfId="34589" xr:uid="{97A83B29-9B53-4544-B217-67D1000545DD}"/>
    <cellStyle name="Normal 4 2 2 2 3 2 8" xfId="27979" xr:uid="{00000000-0005-0000-0000-0000D3140000}"/>
    <cellStyle name="Normal 4 2 2 2 3 2 8 2" xfId="34590" xr:uid="{67D94AA3-177E-4A49-AC7D-BC8B592D4C08}"/>
    <cellStyle name="Normal 4 2 2 2 3 2 9" xfId="34549" xr:uid="{DB257AF6-DC86-4C72-BE9C-618E9689E47A}"/>
    <cellStyle name="Normal 4 2 2 2 3 3" xfId="27980" xr:uid="{00000000-0005-0000-0000-0000D4140000}"/>
    <cellStyle name="Normal 4 2 2 2 3 3 2" xfId="27981" xr:uid="{00000000-0005-0000-0000-0000D5140000}"/>
    <cellStyle name="Normal 4 2 2 2 3 3 2 2" xfId="27982" xr:uid="{00000000-0005-0000-0000-0000D6140000}"/>
    <cellStyle name="Normal 4 2 2 2 3 3 2 2 2" xfId="27983" xr:uid="{00000000-0005-0000-0000-0000D7140000}"/>
    <cellStyle name="Normal 4 2 2 2 3 3 2 2 2 2" xfId="34594" xr:uid="{2A803D8C-75AF-48AE-8515-A65655D1536F}"/>
    <cellStyle name="Normal 4 2 2 2 3 3 2 2 3" xfId="27984" xr:uid="{00000000-0005-0000-0000-0000D8140000}"/>
    <cellStyle name="Normal 4 2 2 2 3 3 2 2 3 2" xfId="34595" xr:uid="{A0D117CB-C6B9-4D7E-B3E1-6AF15055A66C}"/>
    <cellStyle name="Normal 4 2 2 2 3 3 2 2 4" xfId="34593" xr:uid="{2BE4712C-8CC1-4DF6-9AF6-8BE129B1EB38}"/>
    <cellStyle name="Normal 4 2 2 2 3 3 2 3" xfId="27985" xr:uid="{00000000-0005-0000-0000-0000D9140000}"/>
    <cellStyle name="Normal 4 2 2 2 3 3 2 3 2" xfId="34596" xr:uid="{2E164D39-871B-44A6-8F4C-67C71766E64D}"/>
    <cellStyle name="Normal 4 2 2 2 3 3 2 4" xfId="27986" xr:uid="{00000000-0005-0000-0000-0000DA140000}"/>
    <cellStyle name="Normal 4 2 2 2 3 3 2 4 2" xfId="34597" xr:uid="{E9C3F85E-8892-4EDC-AFC1-FBD57703294C}"/>
    <cellStyle name="Normal 4 2 2 2 3 3 2 5" xfId="27987" xr:uid="{00000000-0005-0000-0000-0000DB140000}"/>
    <cellStyle name="Normal 4 2 2 2 3 3 2 5 2" xfId="34598" xr:uid="{94BE501D-AD10-43C2-A4A7-1387ADFF39D5}"/>
    <cellStyle name="Normal 4 2 2 2 3 3 2 6" xfId="34592" xr:uid="{276751ED-49CB-415C-BD66-F633C3C71F43}"/>
    <cellStyle name="Normal 4 2 2 2 3 3 3" xfId="27988" xr:uid="{00000000-0005-0000-0000-0000DC140000}"/>
    <cellStyle name="Normal 4 2 2 2 3 3 3 2" xfId="27989" xr:uid="{00000000-0005-0000-0000-0000DD140000}"/>
    <cellStyle name="Normal 4 2 2 2 3 3 3 2 2" xfId="27990" xr:uid="{00000000-0005-0000-0000-0000DE140000}"/>
    <cellStyle name="Normal 4 2 2 2 3 3 3 2 2 2" xfId="34601" xr:uid="{42607A47-A6CC-4D2B-BFC8-94E686CA2C2F}"/>
    <cellStyle name="Normal 4 2 2 2 3 3 3 2 3" xfId="27991" xr:uid="{00000000-0005-0000-0000-0000DF140000}"/>
    <cellStyle name="Normal 4 2 2 2 3 3 3 2 3 2" xfId="34602" xr:uid="{E1E0C4A6-3889-4E23-8AD2-1EC4BE52E9A3}"/>
    <cellStyle name="Normal 4 2 2 2 3 3 3 2 4" xfId="34600" xr:uid="{7DF883CB-97B8-47B4-ADCA-B4AD62C26307}"/>
    <cellStyle name="Normal 4 2 2 2 3 3 3 3" xfId="27992" xr:uid="{00000000-0005-0000-0000-0000E0140000}"/>
    <cellStyle name="Normal 4 2 2 2 3 3 3 3 2" xfId="34603" xr:uid="{723E9843-6E2D-43D2-B942-F71FE601A156}"/>
    <cellStyle name="Normal 4 2 2 2 3 3 3 4" xfId="27993" xr:uid="{00000000-0005-0000-0000-0000E1140000}"/>
    <cellStyle name="Normal 4 2 2 2 3 3 3 4 2" xfId="34604" xr:uid="{85143058-4EE1-4F01-B4FF-E2B67B509B56}"/>
    <cellStyle name="Normal 4 2 2 2 3 3 3 5" xfId="27994" xr:uid="{00000000-0005-0000-0000-0000E2140000}"/>
    <cellStyle name="Normal 4 2 2 2 3 3 3 5 2" xfId="34605" xr:uid="{F776DFBC-C9D8-4CCC-873A-3AB263C2CB87}"/>
    <cellStyle name="Normal 4 2 2 2 3 3 3 6" xfId="34599" xr:uid="{6D4E705C-E53E-4F36-AE03-31EC11EF1697}"/>
    <cellStyle name="Normal 4 2 2 2 3 3 4" xfId="27995" xr:uid="{00000000-0005-0000-0000-0000E3140000}"/>
    <cellStyle name="Normal 4 2 2 2 3 3 4 2" xfId="27996" xr:uid="{00000000-0005-0000-0000-0000E4140000}"/>
    <cellStyle name="Normal 4 2 2 2 3 3 4 2 2" xfId="34607" xr:uid="{10F78330-D34F-47D0-A1CD-7A7CB232CDAC}"/>
    <cellStyle name="Normal 4 2 2 2 3 3 4 3" xfId="27997" xr:uid="{00000000-0005-0000-0000-0000E5140000}"/>
    <cellStyle name="Normal 4 2 2 2 3 3 4 3 2" xfId="34608" xr:uid="{57986F29-8A23-4BD8-A164-A8E3B942552E}"/>
    <cellStyle name="Normal 4 2 2 2 3 3 4 4" xfId="34606" xr:uid="{6E229BC2-6171-489A-8CA9-BAF6671F965C}"/>
    <cellStyle name="Normal 4 2 2 2 3 3 5" xfId="27998" xr:uid="{00000000-0005-0000-0000-0000E6140000}"/>
    <cellStyle name="Normal 4 2 2 2 3 3 5 2" xfId="34609" xr:uid="{EA665B67-8C90-4215-9272-B63A99845CCB}"/>
    <cellStyle name="Normal 4 2 2 2 3 3 6" xfId="27999" xr:uid="{00000000-0005-0000-0000-0000E7140000}"/>
    <cellStyle name="Normal 4 2 2 2 3 3 6 2" xfId="34610" xr:uid="{6B627A53-0C96-4350-A1EE-566EE15EEB00}"/>
    <cellStyle name="Normal 4 2 2 2 3 3 7" xfId="28000" xr:uid="{00000000-0005-0000-0000-0000E8140000}"/>
    <cellStyle name="Normal 4 2 2 2 3 3 7 2" xfId="34611" xr:uid="{15E712A8-ACD3-4C00-B227-04E0B1E60643}"/>
    <cellStyle name="Normal 4 2 2 2 3 3 8" xfId="34591" xr:uid="{71208DCF-0AA2-4231-8F48-5255B837569E}"/>
    <cellStyle name="Normal 4 2 2 2 3 4" xfId="28001" xr:uid="{00000000-0005-0000-0000-0000E9140000}"/>
    <cellStyle name="Normal 4 2 2 2 3 4 2" xfId="28002" xr:uid="{00000000-0005-0000-0000-0000EA140000}"/>
    <cellStyle name="Normal 4 2 2 2 3 4 2 2" xfId="28003" xr:uid="{00000000-0005-0000-0000-0000EB140000}"/>
    <cellStyle name="Normal 4 2 2 2 3 4 2 2 2" xfId="34614" xr:uid="{24F7469F-C911-448B-BF04-82970B7F1D89}"/>
    <cellStyle name="Normal 4 2 2 2 3 4 2 3" xfId="28004" xr:uid="{00000000-0005-0000-0000-0000EC140000}"/>
    <cellStyle name="Normal 4 2 2 2 3 4 2 3 2" xfId="34615" xr:uid="{C8F50FD6-0CDA-4B2F-88C8-719586DB973D}"/>
    <cellStyle name="Normal 4 2 2 2 3 4 2 4" xfId="34613" xr:uid="{786690E1-E68D-4C14-8A94-867938247125}"/>
    <cellStyle name="Normal 4 2 2 2 3 4 3" xfId="28005" xr:uid="{00000000-0005-0000-0000-0000ED140000}"/>
    <cellStyle name="Normal 4 2 2 2 3 4 3 2" xfId="34616" xr:uid="{11BBECBB-E162-456D-AB40-9D15224ADCA6}"/>
    <cellStyle name="Normal 4 2 2 2 3 4 4" xfId="28006" xr:uid="{00000000-0005-0000-0000-0000EE140000}"/>
    <cellStyle name="Normal 4 2 2 2 3 4 4 2" xfId="34617" xr:uid="{67E0EE55-9B46-48EF-945E-A6E8BD46924E}"/>
    <cellStyle name="Normal 4 2 2 2 3 4 5" xfId="28007" xr:uid="{00000000-0005-0000-0000-0000EF140000}"/>
    <cellStyle name="Normal 4 2 2 2 3 4 5 2" xfId="34618" xr:uid="{7341AD40-819A-4E24-9C30-27AE20212C82}"/>
    <cellStyle name="Normal 4 2 2 2 3 4 6" xfId="34612" xr:uid="{CBE02A64-69B2-463A-954B-8C8F1BEE4E1D}"/>
    <cellStyle name="Normal 4 2 2 2 3 5" xfId="28008" xr:uid="{00000000-0005-0000-0000-0000F0140000}"/>
    <cellStyle name="Normal 4 2 2 2 3 5 2" xfId="28009" xr:uid="{00000000-0005-0000-0000-0000F1140000}"/>
    <cellStyle name="Normal 4 2 2 2 3 5 2 2" xfId="28010" xr:uid="{00000000-0005-0000-0000-0000F2140000}"/>
    <cellStyle name="Normal 4 2 2 2 3 5 2 2 2" xfId="34621" xr:uid="{AB34B19C-AA27-4FC5-860E-6639E7788E02}"/>
    <cellStyle name="Normal 4 2 2 2 3 5 2 3" xfId="28011" xr:uid="{00000000-0005-0000-0000-0000F3140000}"/>
    <cellStyle name="Normal 4 2 2 2 3 5 2 3 2" xfId="34622" xr:uid="{244A91E3-F866-436D-8D54-0EB27A323E29}"/>
    <cellStyle name="Normal 4 2 2 2 3 5 2 4" xfId="34620" xr:uid="{7D05DF3E-2294-434A-8DAE-554714C23625}"/>
    <cellStyle name="Normal 4 2 2 2 3 5 3" xfId="28012" xr:uid="{00000000-0005-0000-0000-0000F4140000}"/>
    <cellStyle name="Normal 4 2 2 2 3 5 3 2" xfId="34623" xr:uid="{483C1C6B-0C74-433E-B21F-A72D10C899BC}"/>
    <cellStyle name="Normal 4 2 2 2 3 5 4" xfId="28013" xr:uid="{00000000-0005-0000-0000-0000F5140000}"/>
    <cellStyle name="Normal 4 2 2 2 3 5 4 2" xfId="34624" xr:uid="{903007CD-A437-409B-9DE6-8848CD06C068}"/>
    <cellStyle name="Normal 4 2 2 2 3 5 5" xfId="28014" xr:uid="{00000000-0005-0000-0000-0000F6140000}"/>
    <cellStyle name="Normal 4 2 2 2 3 5 5 2" xfId="34625" xr:uid="{D563D65D-5900-4CC5-BDD5-26B1299242B2}"/>
    <cellStyle name="Normal 4 2 2 2 3 5 6" xfId="34619" xr:uid="{32EFB959-6876-4DBD-BB11-98732044FCE5}"/>
    <cellStyle name="Normal 4 2 2 2 3 6" xfId="28015" xr:uid="{00000000-0005-0000-0000-0000F7140000}"/>
    <cellStyle name="Normal 4 2 2 2 3 6 2" xfId="28016" xr:uid="{00000000-0005-0000-0000-0000F8140000}"/>
    <cellStyle name="Normal 4 2 2 2 3 6 2 2" xfId="34627" xr:uid="{36A6D1DC-6A24-4CC3-9254-1C56408F5117}"/>
    <cellStyle name="Normal 4 2 2 2 3 6 3" xfId="28017" xr:uid="{00000000-0005-0000-0000-0000F9140000}"/>
    <cellStyle name="Normal 4 2 2 2 3 6 3 2" xfId="34628" xr:uid="{F5604F8B-AF5F-4845-8994-1853433CCE48}"/>
    <cellStyle name="Normal 4 2 2 2 3 6 4" xfId="34626" xr:uid="{867B8D4D-405F-4109-91E4-80870F3BD2A7}"/>
    <cellStyle name="Normal 4 2 2 2 3 7" xfId="28018" xr:uid="{00000000-0005-0000-0000-0000FA140000}"/>
    <cellStyle name="Normal 4 2 2 2 3 7 2" xfId="34629" xr:uid="{ECA24901-CC1F-480F-B1AB-D34595D74097}"/>
    <cellStyle name="Normal 4 2 2 2 3 8" xfId="28019" xr:uid="{00000000-0005-0000-0000-0000FB140000}"/>
    <cellStyle name="Normal 4 2 2 2 3 8 2" xfId="34630" xr:uid="{1DAE7134-5E48-4D78-BAC6-3B7AAF4BBBDB}"/>
    <cellStyle name="Normal 4 2 2 2 3 9" xfId="28020" xr:uid="{00000000-0005-0000-0000-0000FC140000}"/>
    <cellStyle name="Normal 4 2 2 2 3 9 2" xfId="34631" xr:uid="{8F7216A5-53F8-45CB-8531-4BC684A22C0C}"/>
    <cellStyle name="Normal 4 2 2 2 4" xfId="28021" xr:uid="{00000000-0005-0000-0000-0000FD140000}"/>
    <cellStyle name="Normal 4 2 2 2 4 10" xfId="34632" xr:uid="{E1EFDDAB-93E4-45DC-8128-5162FA847E85}"/>
    <cellStyle name="Normal 4 2 2 2 4 2" xfId="28022" xr:uid="{00000000-0005-0000-0000-0000FE140000}"/>
    <cellStyle name="Normal 4 2 2 2 4 2 2" xfId="28023" xr:uid="{00000000-0005-0000-0000-0000FF140000}"/>
    <cellStyle name="Normal 4 2 2 2 4 2 2 2" xfId="28024" xr:uid="{00000000-0005-0000-0000-000000150000}"/>
    <cellStyle name="Normal 4 2 2 2 4 2 2 2 2" xfId="28025" xr:uid="{00000000-0005-0000-0000-000001150000}"/>
    <cellStyle name="Normal 4 2 2 2 4 2 2 2 2 2" xfId="28026" xr:uid="{00000000-0005-0000-0000-000002150000}"/>
    <cellStyle name="Normal 4 2 2 2 4 2 2 2 2 2 2" xfId="34637" xr:uid="{F0F3AD80-BC7C-452E-B9C8-E208A6772F85}"/>
    <cellStyle name="Normal 4 2 2 2 4 2 2 2 2 3" xfId="28027" xr:uid="{00000000-0005-0000-0000-000003150000}"/>
    <cellStyle name="Normal 4 2 2 2 4 2 2 2 2 3 2" xfId="34638" xr:uid="{97C94343-95C1-4CF5-A6F3-A7EE5810EE50}"/>
    <cellStyle name="Normal 4 2 2 2 4 2 2 2 2 4" xfId="34636" xr:uid="{116CEB36-BD4A-4EBB-9672-7B3CA9F6367E}"/>
    <cellStyle name="Normal 4 2 2 2 4 2 2 2 3" xfId="28028" xr:uid="{00000000-0005-0000-0000-000004150000}"/>
    <cellStyle name="Normal 4 2 2 2 4 2 2 2 3 2" xfId="34639" xr:uid="{B5F50038-BEDD-4872-80A0-EDEB91C68C27}"/>
    <cellStyle name="Normal 4 2 2 2 4 2 2 2 4" xfId="28029" xr:uid="{00000000-0005-0000-0000-000005150000}"/>
    <cellStyle name="Normal 4 2 2 2 4 2 2 2 4 2" xfId="34640" xr:uid="{431BF78B-8C85-4E9E-9B05-50AAE185994C}"/>
    <cellStyle name="Normal 4 2 2 2 4 2 2 2 5" xfId="28030" xr:uid="{00000000-0005-0000-0000-000006150000}"/>
    <cellStyle name="Normal 4 2 2 2 4 2 2 2 5 2" xfId="34641" xr:uid="{24526226-DBCB-4CFA-B95F-EAD62D3FAD51}"/>
    <cellStyle name="Normal 4 2 2 2 4 2 2 2 6" xfId="34635" xr:uid="{9EA1BE88-A977-40F1-A89E-5779D3271D22}"/>
    <cellStyle name="Normal 4 2 2 2 4 2 2 3" xfId="28031" xr:uid="{00000000-0005-0000-0000-000007150000}"/>
    <cellStyle name="Normal 4 2 2 2 4 2 2 3 2" xfId="28032" xr:uid="{00000000-0005-0000-0000-000008150000}"/>
    <cellStyle name="Normal 4 2 2 2 4 2 2 3 2 2" xfId="28033" xr:uid="{00000000-0005-0000-0000-000009150000}"/>
    <cellStyle name="Normal 4 2 2 2 4 2 2 3 2 2 2" xfId="34644" xr:uid="{C25BFE49-D202-40FD-A7B8-BCF669735981}"/>
    <cellStyle name="Normal 4 2 2 2 4 2 2 3 2 3" xfId="28034" xr:uid="{00000000-0005-0000-0000-00000A150000}"/>
    <cellStyle name="Normal 4 2 2 2 4 2 2 3 2 3 2" xfId="34645" xr:uid="{274470B3-D1D0-43A9-983B-5A00DB0FCD4A}"/>
    <cellStyle name="Normal 4 2 2 2 4 2 2 3 2 4" xfId="34643" xr:uid="{669E5BE1-668C-4607-A58D-9DAA0C7D007C}"/>
    <cellStyle name="Normal 4 2 2 2 4 2 2 3 3" xfId="28035" xr:uid="{00000000-0005-0000-0000-00000B150000}"/>
    <cellStyle name="Normal 4 2 2 2 4 2 2 3 3 2" xfId="34646" xr:uid="{F6E69F05-7359-4642-94F0-AB333062002E}"/>
    <cellStyle name="Normal 4 2 2 2 4 2 2 3 4" xfId="28036" xr:uid="{00000000-0005-0000-0000-00000C150000}"/>
    <cellStyle name="Normal 4 2 2 2 4 2 2 3 4 2" xfId="34647" xr:uid="{551E39CC-2E5F-4B22-A3A0-D4D3687F310B}"/>
    <cellStyle name="Normal 4 2 2 2 4 2 2 3 5" xfId="28037" xr:uid="{00000000-0005-0000-0000-00000D150000}"/>
    <cellStyle name="Normal 4 2 2 2 4 2 2 3 5 2" xfId="34648" xr:uid="{BDFE28C3-06CB-40F6-99C1-9E30CF8211D6}"/>
    <cellStyle name="Normal 4 2 2 2 4 2 2 3 6" xfId="34642" xr:uid="{D961B56A-F63C-478D-8AFA-48AFF5BED5D5}"/>
    <cellStyle name="Normal 4 2 2 2 4 2 2 4" xfId="28038" xr:uid="{00000000-0005-0000-0000-00000E150000}"/>
    <cellStyle name="Normal 4 2 2 2 4 2 2 4 2" xfId="28039" xr:uid="{00000000-0005-0000-0000-00000F150000}"/>
    <cellStyle name="Normal 4 2 2 2 4 2 2 4 2 2" xfId="34650" xr:uid="{A926B1E3-CFE0-44F8-81DD-2429C330DFB9}"/>
    <cellStyle name="Normal 4 2 2 2 4 2 2 4 3" xfId="28040" xr:uid="{00000000-0005-0000-0000-000010150000}"/>
    <cellStyle name="Normal 4 2 2 2 4 2 2 4 3 2" xfId="34651" xr:uid="{5FEF2E2A-AA3E-4801-887B-325314F063BB}"/>
    <cellStyle name="Normal 4 2 2 2 4 2 2 4 4" xfId="34649" xr:uid="{3AAA5E7F-9587-440B-B60A-4B5B5253639B}"/>
    <cellStyle name="Normal 4 2 2 2 4 2 2 5" xfId="28041" xr:uid="{00000000-0005-0000-0000-000011150000}"/>
    <cellStyle name="Normal 4 2 2 2 4 2 2 5 2" xfId="34652" xr:uid="{7F5E8C94-A3B9-4B5A-9CE0-F38862D77F66}"/>
    <cellStyle name="Normal 4 2 2 2 4 2 2 6" xfId="28042" xr:uid="{00000000-0005-0000-0000-000012150000}"/>
    <cellStyle name="Normal 4 2 2 2 4 2 2 6 2" xfId="34653" xr:uid="{408D8F62-DC12-44B1-8E0A-C3B5756A0F60}"/>
    <cellStyle name="Normal 4 2 2 2 4 2 2 7" xfId="28043" xr:uid="{00000000-0005-0000-0000-000013150000}"/>
    <cellStyle name="Normal 4 2 2 2 4 2 2 7 2" xfId="34654" xr:uid="{EC56144B-8545-49EC-A597-48E2FC7CA005}"/>
    <cellStyle name="Normal 4 2 2 2 4 2 2 8" xfId="34634" xr:uid="{5FAB7A95-DA67-4C70-913C-37D0670962B6}"/>
    <cellStyle name="Normal 4 2 2 2 4 2 3" xfId="28044" xr:uid="{00000000-0005-0000-0000-000014150000}"/>
    <cellStyle name="Normal 4 2 2 2 4 2 3 2" xfId="28045" xr:uid="{00000000-0005-0000-0000-000015150000}"/>
    <cellStyle name="Normal 4 2 2 2 4 2 3 2 2" xfId="28046" xr:uid="{00000000-0005-0000-0000-000016150000}"/>
    <cellStyle name="Normal 4 2 2 2 4 2 3 2 2 2" xfId="34657" xr:uid="{86592F76-E042-49F5-BA88-C772D547B07A}"/>
    <cellStyle name="Normal 4 2 2 2 4 2 3 2 3" xfId="28047" xr:uid="{00000000-0005-0000-0000-000017150000}"/>
    <cellStyle name="Normal 4 2 2 2 4 2 3 2 3 2" xfId="34658" xr:uid="{02C74AA8-3BE4-45F0-927F-083A0BD12011}"/>
    <cellStyle name="Normal 4 2 2 2 4 2 3 2 4" xfId="34656" xr:uid="{2B4254D3-8737-48D5-9BD2-922B68807800}"/>
    <cellStyle name="Normal 4 2 2 2 4 2 3 3" xfId="28048" xr:uid="{00000000-0005-0000-0000-000018150000}"/>
    <cellStyle name="Normal 4 2 2 2 4 2 3 3 2" xfId="34659" xr:uid="{5D913DD3-45EB-4252-A964-0FAF9C2A155A}"/>
    <cellStyle name="Normal 4 2 2 2 4 2 3 4" xfId="28049" xr:uid="{00000000-0005-0000-0000-000019150000}"/>
    <cellStyle name="Normal 4 2 2 2 4 2 3 4 2" xfId="34660" xr:uid="{BB7F27DD-875C-4369-B832-D278AE8A29D8}"/>
    <cellStyle name="Normal 4 2 2 2 4 2 3 5" xfId="28050" xr:uid="{00000000-0005-0000-0000-00001A150000}"/>
    <cellStyle name="Normal 4 2 2 2 4 2 3 5 2" xfId="34661" xr:uid="{3B37BDC8-140E-460C-838C-BABFDCBBE6A9}"/>
    <cellStyle name="Normal 4 2 2 2 4 2 3 6" xfId="34655" xr:uid="{A7921B1C-96F1-4EA2-83C5-5E7D3C7612E4}"/>
    <cellStyle name="Normal 4 2 2 2 4 2 4" xfId="28051" xr:uid="{00000000-0005-0000-0000-00001B150000}"/>
    <cellStyle name="Normal 4 2 2 2 4 2 4 2" xfId="28052" xr:uid="{00000000-0005-0000-0000-00001C150000}"/>
    <cellStyle name="Normal 4 2 2 2 4 2 4 2 2" xfId="28053" xr:uid="{00000000-0005-0000-0000-00001D150000}"/>
    <cellStyle name="Normal 4 2 2 2 4 2 4 2 2 2" xfId="34664" xr:uid="{88ED2E43-8945-420F-A47D-572EFE088E4D}"/>
    <cellStyle name="Normal 4 2 2 2 4 2 4 2 3" xfId="28054" xr:uid="{00000000-0005-0000-0000-00001E150000}"/>
    <cellStyle name="Normal 4 2 2 2 4 2 4 2 3 2" xfId="34665" xr:uid="{D94420F5-2C88-4B6D-B1C8-806E58778AB4}"/>
    <cellStyle name="Normal 4 2 2 2 4 2 4 2 4" xfId="34663" xr:uid="{C8A55BEC-3AFC-4231-9836-190E582B09A3}"/>
    <cellStyle name="Normal 4 2 2 2 4 2 4 3" xfId="28055" xr:uid="{00000000-0005-0000-0000-00001F150000}"/>
    <cellStyle name="Normal 4 2 2 2 4 2 4 3 2" xfId="34666" xr:uid="{4D299EAE-A7D7-4A67-A2C0-1F2E72CAE05F}"/>
    <cellStyle name="Normal 4 2 2 2 4 2 4 4" xfId="28056" xr:uid="{00000000-0005-0000-0000-000020150000}"/>
    <cellStyle name="Normal 4 2 2 2 4 2 4 4 2" xfId="34667" xr:uid="{9F07384C-A2C1-40B3-86F4-C8EB317A3B97}"/>
    <cellStyle name="Normal 4 2 2 2 4 2 4 5" xfId="28057" xr:uid="{00000000-0005-0000-0000-000021150000}"/>
    <cellStyle name="Normal 4 2 2 2 4 2 4 5 2" xfId="34668" xr:uid="{D4EE171B-292C-4E5B-884E-46418962DDC8}"/>
    <cellStyle name="Normal 4 2 2 2 4 2 4 6" xfId="34662" xr:uid="{0364188E-2467-44F5-9DCE-21A1183523E8}"/>
    <cellStyle name="Normal 4 2 2 2 4 2 5" xfId="28058" xr:uid="{00000000-0005-0000-0000-000022150000}"/>
    <cellStyle name="Normal 4 2 2 2 4 2 5 2" xfId="28059" xr:uid="{00000000-0005-0000-0000-000023150000}"/>
    <cellStyle name="Normal 4 2 2 2 4 2 5 2 2" xfId="34670" xr:uid="{6285AD47-141A-4D70-96A6-B6E622F103AD}"/>
    <cellStyle name="Normal 4 2 2 2 4 2 5 3" xfId="28060" xr:uid="{00000000-0005-0000-0000-000024150000}"/>
    <cellStyle name="Normal 4 2 2 2 4 2 5 3 2" xfId="34671" xr:uid="{2C5A04CD-4CD6-4721-BC64-928B9D8EB531}"/>
    <cellStyle name="Normal 4 2 2 2 4 2 5 4" xfId="34669" xr:uid="{C89EA334-4717-468C-BEF4-6769471CDE72}"/>
    <cellStyle name="Normal 4 2 2 2 4 2 6" xfId="28061" xr:uid="{00000000-0005-0000-0000-000025150000}"/>
    <cellStyle name="Normal 4 2 2 2 4 2 6 2" xfId="34672" xr:uid="{09C86B49-6BE0-4B62-AA58-78FE8C96CA77}"/>
    <cellStyle name="Normal 4 2 2 2 4 2 7" xfId="28062" xr:uid="{00000000-0005-0000-0000-000026150000}"/>
    <cellStyle name="Normal 4 2 2 2 4 2 7 2" xfId="34673" xr:uid="{EE1ECF93-1793-4269-87BC-05D5B1E62346}"/>
    <cellStyle name="Normal 4 2 2 2 4 2 8" xfId="28063" xr:uid="{00000000-0005-0000-0000-000027150000}"/>
    <cellStyle name="Normal 4 2 2 2 4 2 8 2" xfId="34674" xr:uid="{E5885343-2923-4259-A301-83DE682A2F59}"/>
    <cellStyle name="Normal 4 2 2 2 4 2 9" xfId="34633" xr:uid="{D36480BB-AC65-4440-81BE-E3F8740E822C}"/>
    <cellStyle name="Normal 4 2 2 2 4 3" xfId="28064" xr:uid="{00000000-0005-0000-0000-000028150000}"/>
    <cellStyle name="Normal 4 2 2 2 4 3 2" xfId="28065" xr:uid="{00000000-0005-0000-0000-000029150000}"/>
    <cellStyle name="Normal 4 2 2 2 4 3 2 2" xfId="28066" xr:uid="{00000000-0005-0000-0000-00002A150000}"/>
    <cellStyle name="Normal 4 2 2 2 4 3 2 2 2" xfId="28067" xr:uid="{00000000-0005-0000-0000-00002B150000}"/>
    <cellStyle name="Normal 4 2 2 2 4 3 2 2 2 2" xfId="34678" xr:uid="{4EC1D2D8-96B0-409E-B53F-D93696CB5799}"/>
    <cellStyle name="Normal 4 2 2 2 4 3 2 2 3" xfId="28068" xr:uid="{00000000-0005-0000-0000-00002C150000}"/>
    <cellStyle name="Normal 4 2 2 2 4 3 2 2 3 2" xfId="34679" xr:uid="{F8CD7C6E-79AD-4E3F-9374-C7505DCFD752}"/>
    <cellStyle name="Normal 4 2 2 2 4 3 2 2 4" xfId="34677" xr:uid="{6DC651F7-C535-420A-826E-A5A96B7F9746}"/>
    <cellStyle name="Normal 4 2 2 2 4 3 2 3" xfId="28069" xr:uid="{00000000-0005-0000-0000-00002D150000}"/>
    <cellStyle name="Normal 4 2 2 2 4 3 2 3 2" xfId="34680" xr:uid="{B4FCB16E-81F7-40DF-8AF0-3EC80BC42A6E}"/>
    <cellStyle name="Normal 4 2 2 2 4 3 2 4" xfId="28070" xr:uid="{00000000-0005-0000-0000-00002E150000}"/>
    <cellStyle name="Normal 4 2 2 2 4 3 2 4 2" xfId="34681" xr:uid="{BC40B34D-9324-4505-A03B-60B5738167EA}"/>
    <cellStyle name="Normal 4 2 2 2 4 3 2 5" xfId="28071" xr:uid="{00000000-0005-0000-0000-00002F150000}"/>
    <cellStyle name="Normal 4 2 2 2 4 3 2 5 2" xfId="34682" xr:uid="{31201860-9BAD-4F39-8F04-511BF114C342}"/>
    <cellStyle name="Normal 4 2 2 2 4 3 2 6" xfId="34676" xr:uid="{CB0FBBB4-36C7-45AA-A1A1-B9B747B07344}"/>
    <cellStyle name="Normal 4 2 2 2 4 3 3" xfId="28072" xr:uid="{00000000-0005-0000-0000-000030150000}"/>
    <cellStyle name="Normal 4 2 2 2 4 3 3 2" xfId="28073" xr:uid="{00000000-0005-0000-0000-000031150000}"/>
    <cellStyle name="Normal 4 2 2 2 4 3 3 2 2" xfId="28074" xr:uid="{00000000-0005-0000-0000-000032150000}"/>
    <cellStyle name="Normal 4 2 2 2 4 3 3 2 2 2" xfId="34685" xr:uid="{E8EA8119-721F-4D25-A9DB-69B7773187A2}"/>
    <cellStyle name="Normal 4 2 2 2 4 3 3 2 3" xfId="28075" xr:uid="{00000000-0005-0000-0000-000033150000}"/>
    <cellStyle name="Normal 4 2 2 2 4 3 3 2 3 2" xfId="34686" xr:uid="{004518D1-7417-4787-9495-6DE30DAE4629}"/>
    <cellStyle name="Normal 4 2 2 2 4 3 3 2 4" xfId="34684" xr:uid="{5A12D7ED-1516-463F-8B64-4AF0668D267D}"/>
    <cellStyle name="Normal 4 2 2 2 4 3 3 3" xfId="28076" xr:uid="{00000000-0005-0000-0000-000034150000}"/>
    <cellStyle name="Normal 4 2 2 2 4 3 3 3 2" xfId="34687" xr:uid="{271D8494-AB7B-4AEF-AF91-1325DBF231AD}"/>
    <cellStyle name="Normal 4 2 2 2 4 3 3 4" xfId="28077" xr:uid="{00000000-0005-0000-0000-000035150000}"/>
    <cellStyle name="Normal 4 2 2 2 4 3 3 4 2" xfId="34688" xr:uid="{EAC92B56-2D40-417D-8CB8-0A489E9292F1}"/>
    <cellStyle name="Normal 4 2 2 2 4 3 3 5" xfId="28078" xr:uid="{00000000-0005-0000-0000-000036150000}"/>
    <cellStyle name="Normal 4 2 2 2 4 3 3 5 2" xfId="34689" xr:uid="{FF57990E-B717-4700-B4A1-F35F13941D88}"/>
    <cellStyle name="Normal 4 2 2 2 4 3 3 6" xfId="34683" xr:uid="{9E52D8EC-7930-4789-8E67-22C71C950CAF}"/>
    <cellStyle name="Normal 4 2 2 2 4 3 4" xfId="28079" xr:uid="{00000000-0005-0000-0000-000037150000}"/>
    <cellStyle name="Normal 4 2 2 2 4 3 4 2" xfId="28080" xr:uid="{00000000-0005-0000-0000-000038150000}"/>
    <cellStyle name="Normal 4 2 2 2 4 3 4 2 2" xfId="34691" xr:uid="{BF6A9743-8350-426F-8426-27D427DB7A44}"/>
    <cellStyle name="Normal 4 2 2 2 4 3 4 3" xfId="28081" xr:uid="{00000000-0005-0000-0000-000039150000}"/>
    <cellStyle name="Normal 4 2 2 2 4 3 4 3 2" xfId="34692" xr:uid="{9412349C-5C6E-4473-ABCC-777BA8C36ABA}"/>
    <cellStyle name="Normal 4 2 2 2 4 3 4 4" xfId="34690" xr:uid="{23812ACB-00DF-4E50-8BB7-3C15E8230FB0}"/>
    <cellStyle name="Normal 4 2 2 2 4 3 5" xfId="28082" xr:uid="{00000000-0005-0000-0000-00003A150000}"/>
    <cellStyle name="Normal 4 2 2 2 4 3 5 2" xfId="34693" xr:uid="{40B9420F-4843-4921-B804-CABC58098E65}"/>
    <cellStyle name="Normal 4 2 2 2 4 3 6" xfId="28083" xr:uid="{00000000-0005-0000-0000-00003B150000}"/>
    <cellStyle name="Normal 4 2 2 2 4 3 6 2" xfId="34694" xr:uid="{05ED1912-FCF1-4929-9CD8-2B04E228CB17}"/>
    <cellStyle name="Normal 4 2 2 2 4 3 7" xfId="28084" xr:uid="{00000000-0005-0000-0000-00003C150000}"/>
    <cellStyle name="Normal 4 2 2 2 4 3 7 2" xfId="34695" xr:uid="{29B618BF-CE49-4820-955F-33AAA42E5F15}"/>
    <cellStyle name="Normal 4 2 2 2 4 3 8" xfId="34675" xr:uid="{D8478EF7-8BAB-4AD1-B8B2-47419709129E}"/>
    <cellStyle name="Normal 4 2 2 2 4 4" xfId="28085" xr:uid="{00000000-0005-0000-0000-00003D150000}"/>
    <cellStyle name="Normal 4 2 2 2 4 4 2" xfId="28086" xr:uid="{00000000-0005-0000-0000-00003E150000}"/>
    <cellStyle name="Normal 4 2 2 2 4 4 2 2" xfId="28087" xr:uid="{00000000-0005-0000-0000-00003F150000}"/>
    <cellStyle name="Normal 4 2 2 2 4 4 2 2 2" xfId="34698" xr:uid="{E6AC4E5C-15B9-4CF6-B573-4E4AE15FB288}"/>
    <cellStyle name="Normal 4 2 2 2 4 4 2 3" xfId="28088" xr:uid="{00000000-0005-0000-0000-000040150000}"/>
    <cellStyle name="Normal 4 2 2 2 4 4 2 3 2" xfId="34699" xr:uid="{EFA9FD7F-B2E1-4D1D-96A7-7C656A35EF9E}"/>
    <cellStyle name="Normal 4 2 2 2 4 4 2 4" xfId="34697" xr:uid="{CFECF2F8-FD02-4859-9166-0A567BEC9E74}"/>
    <cellStyle name="Normal 4 2 2 2 4 4 3" xfId="28089" xr:uid="{00000000-0005-0000-0000-000041150000}"/>
    <cellStyle name="Normal 4 2 2 2 4 4 3 2" xfId="34700" xr:uid="{C4996E19-A9B4-448A-BB6A-EF1043F22EC3}"/>
    <cellStyle name="Normal 4 2 2 2 4 4 4" xfId="28090" xr:uid="{00000000-0005-0000-0000-000042150000}"/>
    <cellStyle name="Normal 4 2 2 2 4 4 4 2" xfId="34701" xr:uid="{EF2E7791-2A6A-492D-B7F5-83CDF90A7F85}"/>
    <cellStyle name="Normal 4 2 2 2 4 4 5" xfId="28091" xr:uid="{00000000-0005-0000-0000-000043150000}"/>
    <cellStyle name="Normal 4 2 2 2 4 4 5 2" xfId="34702" xr:uid="{68D3B1D0-9ED7-4187-B8E3-9445B6E06C54}"/>
    <cellStyle name="Normal 4 2 2 2 4 4 6" xfId="34696" xr:uid="{874AB848-3914-47DA-AFAA-9140A38FEFC0}"/>
    <cellStyle name="Normal 4 2 2 2 4 5" xfId="28092" xr:uid="{00000000-0005-0000-0000-000044150000}"/>
    <cellStyle name="Normal 4 2 2 2 4 5 2" xfId="28093" xr:uid="{00000000-0005-0000-0000-000045150000}"/>
    <cellStyle name="Normal 4 2 2 2 4 5 2 2" xfId="28094" xr:uid="{00000000-0005-0000-0000-000046150000}"/>
    <cellStyle name="Normal 4 2 2 2 4 5 2 2 2" xfId="34705" xr:uid="{AA13D418-B912-46B1-AC73-849FFC98698B}"/>
    <cellStyle name="Normal 4 2 2 2 4 5 2 3" xfId="28095" xr:uid="{00000000-0005-0000-0000-000047150000}"/>
    <cellStyle name="Normal 4 2 2 2 4 5 2 3 2" xfId="34706" xr:uid="{818407DB-08CF-40D7-95EC-43E6BD5DC0F3}"/>
    <cellStyle name="Normal 4 2 2 2 4 5 2 4" xfId="34704" xr:uid="{A9633348-6AB4-47AB-B7AA-B9871700E7A1}"/>
    <cellStyle name="Normal 4 2 2 2 4 5 3" xfId="28096" xr:uid="{00000000-0005-0000-0000-000048150000}"/>
    <cellStyle name="Normal 4 2 2 2 4 5 3 2" xfId="34707" xr:uid="{67F85BAB-81FA-473A-97F7-619C7EAB53B7}"/>
    <cellStyle name="Normal 4 2 2 2 4 5 4" xfId="28097" xr:uid="{00000000-0005-0000-0000-000049150000}"/>
    <cellStyle name="Normal 4 2 2 2 4 5 4 2" xfId="34708" xr:uid="{340F423B-FAAB-453B-B076-2FCCF6B325B3}"/>
    <cellStyle name="Normal 4 2 2 2 4 5 5" xfId="28098" xr:uid="{00000000-0005-0000-0000-00004A150000}"/>
    <cellStyle name="Normal 4 2 2 2 4 5 5 2" xfId="34709" xr:uid="{F08FCDDA-DB3D-40A3-B1E7-2CD35CE465B0}"/>
    <cellStyle name="Normal 4 2 2 2 4 5 6" xfId="34703" xr:uid="{48BA446B-FD96-40CC-9C14-A9590847A345}"/>
    <cellStyle name="Normal 4 2 2 2 4 6" xfId="28099" xr:uid="{00000000-0005-0000-0000-00004B150000}"/>
    <cellStyle name="Normal 4 2 2 2 4 6 2" xfId="28100" xr:uid="{00000000-0005-0000-0000-00004C150000}"/>
    <cellStyle name="Normal 4 2 2 2 4 6 2 2" xfId="34711" xr:uid="{D7904969-58E3-45F3-B243-DD495C6457D4}"/>
    <cellStyle name="Normal 4 2 2 2 4 6 3" xfId="28101" xr:uid="{00000000-0005-0000-0000-00004D150000}"/>
    <cellStyle name="Normal 4 2 2 2 4 6 3 2" xfId="34712" xr:uid="{49618358-A584-499B-84EE-AF75C550A373}"/>
    <cellStyle name="Normal 4 2 2 2 4 6 4" xfId="34710" xr:uid="{5FFD69A4-ACB6-4B1A-82B9-46412EA2DF5A}"/>
    <cellStyle name="Normal 4 2 2 2 4 7" xfId="28102" xr:uid="{00000000-0005-0000-0000-00004E150000}"/>
    <cellStyle name="Normal 4 2 2 2 4 7 2" xfId="34713" xr:uid="{7D6337A4-4BA2-45F1-A9AC-FD03BF1E60D9}"/>
    <cellStyle name="Normal 4 2 2 2 4 8" xfId="28103" xr:uid="{00000000-0005-0000-0000-00004F150000}"/>
    <cellStyle name="Normal 4 2 2 2 4 8 2" xfId="34714" xr:uid="{5D59B7AE-3AC0-4251-991E-FD2702B17748}"/>
    <cellStyle name="Normal 4 2 2 2 4 9" xfId="28104" xr:uid="{00000000-0005-0000-0000-000050150000}"/>
    <cellStyle name="Normal 4 2 2 2 4 9 2" xfId="34715" xr:uid="{04755E80-D653-4CA8-B5C7-DF5FD882F076}"/>
    <cellStyle name="Normal 4 2 2 2 5" xfId="28105" xr:uid="{00000000-0005-0000-0000-000051150000}"/>
    <cellStyle name="Normal 4 2 2 2 5 2" xfId="28106" xr:uid="{00000000-0005-0000-0000-000052150000}"/>
    <cellStyle name="Normal 4 2 2 2 5 2 2" xfId="28107" xr:uid="{00000000-0005-0000-0000-000053150000}"/>
    <cellStyle name="Normal 4 2 2 2 5 2 2 2" xfId="28108" xr:uid="{00000000-0005-0000-0000-000054150000}"/>
    <cellStyle name="Normal 4 2 2 2 5 2 2 2 2" xfId="28109" xr:uid="{00000000-0005-0000-0000-000055150000}"/>
    <cellStyle name="Normal 4 2 2 2 5 2 2 2 2 2" xfId="34720" xr:uid="{13637906-987A-465F-A8A5-C079EA4A1220}"/>
    <cellStyle name="Normal 4 2 2 2 5 2 2 2 3" xfId="28110" xr:uid="{00000000-0005-0000-0000-000056150000}"/>
    <cellStyle name="Normal 4 2 2 2 5 2 2 2 3 2" xfId="34721" xr:uid="{F0BF017D-E7F2-4BD2-93E4-7B5D9610C860}"/>
    <cellStyle name="Normal 4 2 2 2 5 2 2 2 4" xfId="34719" xr:uid="{5BEE499D-AE06-4F91-8ACF-F02EF2712EBD}"/>
    <cellStyle name="Normal 4 2 2 2 5 2 2 3" xfId="28111" xr:uid="{00000000-0005-0000-0000-000057150000}"/>
    <cellStyle name="Normal 4 2 2 2 5 2 2 3 2" xfId="34722" xr:uid="{E2F2541E-4487-4C53-AB11-973E21EC542B}"/>
    <cellStyle name="Normal 4 2 2 2 5 2 2 4" xfId="28112" xr:uid="{00000000-0005-0000-0000-000058150000}"/>
    <cellStyle name="Normal 4 2 2 2 5 2 2 4 2" xfId="34723" xr:uid="{B43ABD63-2698-413A-8CC9-865A07D2F2F0}"/>
    <cellStyle name="Normal 4 2 2 2 5 2 2 5" xfId="28113" xr:uid="{00000000-0005-0000-0000-000059150000}"/>
    <cellStyle name="Normal 4 2 2 2 5 2 2 5 2" xfId="34724" xr:uid="{19406579-1BF3-4282-B399-54EB2D34E74A}"/>
    <cellStyle name="Normal 4 2 2 2 5 2 2 6" xfId="34718" xr:uid="{E04B0F3B-8429-4BB1-8759-C3499A92FD49}"/>
    <cellStyle name="Normal 4 2 2 2 5 2 3" xfId="28114" xr:uid="{00000000-0005-0000-0000-00005A150000}"/>
    <cellStyle name="Normal 4 2 2 2 5 2 3 2" xfId="28115" xr:uid="{00000000-0005-0000-0000-00005B150000}"/>
    <cellStyle name="Normal 4 2 2 2 5 2 3 2 2" xfId="28116" xr:uid="{00000000-0005-0000-0000-00005C150000}"/>
    <cellStyle name="Normal 4 2 2 2 5 2 3 2 2 2" xfId="34727" xr:uid="{7CEACA9B-1CC7-49C1-B98D-B5FECDE01CD2}"/>
    <cellStyle name="Normal 4 2 2 2 5 2 3 2 3" xfId="28117" xr:uid="{00000000-0005-0000-0000-00005D150000}"/>
    <cellStyle name="Normal 4 2 2 2 5 2 3 2 3 2" xfId="34728" xr:uid="{D29A1C68-B1C9-4EA2-8562-D39F0488EB0A}"/>
    <cellStyle name="Normal 4 2 2 2 5 2 3 2 4" xfId="34726" xr:uid="{F0250009-3B76-4B91-A159-A9A5BC28C984}"/>
    <cellStyle name="Normal 4 2 2 2 5 2 3 3" xfId="28118" xr:uid="{00000000-0005-0000-0000-00005E150000}"/>
    <cellStyle name="Normal 4 2 2 2 5 2 3 3 2" xfId="34729" xr:uid="{EC567C7A-9F79-4B57-9F73-42DFE68A7EDC}"/>
    <cellStyle name="Normal 4 2 2 2 5 2 3 4" xfId="28119" xr:uid="{00000000-0005-0000-0000-00005F150000}"/>
    <cellStyle name="Normal 4 2 2 2 5 2 3 4 2" xfId="34730" xr:uid="{EA9260A1-EA70-4FE3-93B2-75517999F33C}"/>
    <cellStyle name="Normal 4 2 2 2 5 2 3 5" xfId="28120" xr:uid="{00000000-0005-0000-0000-000060150000}"/>
    <cellStyle name="Normal 4 2 2 2 5 2 3 5 2" xfId="34731" xr:uid="{98685F8C-8873-4A3A-B746-5F1F3B0096D7}"/>
    <cellStyle name="Normal 4 2 2 2 5 2 3 6" xfId="34725" xr:uid="{29484661-0D5D-4A5D-A67D-8CC51F6C6073}"/>
    <cellStyle name="Normal 4 2 2 2 5 2 4" xfId="28121" xr:uid="{00000000-0005-0000-0000-000061150000}"/>
    <cellStyle name="Normal 4 2 2 2 5 2 4 2" xfId="28122" xr:uid="{00000000-0005-0000-0000-000062150000}"/>
    <cellStyle name="Normal 4 2 2 2 5 2 4 2 2" xfId="34733" xr:uid="{BF39E3C3-5C04-4552-A0A8-DFC40AF8CFFC}"/>
    <cellStyle name="Normal 4 2 2 2 5 2 4 3" xfId="28123" xr:uid="{00000000-0005-0000-0000-000063150000}"/>
    <cellStyle name="Normal 4 2 2 2 5 2 4 3 2" xfId="34734" xr:uid="{35A615B8-994B-4AF6-8DA9-F2F79204C554}"/>
    <cellStyle name="Normal 4 2 2 2 5 2 4 4" xfId="34732" xr:uid="{2B7E610C-1762-4289-B773-12AA49F76733}"/>
    <cellStyle name="Normal 4 2 2 2 5 2 5" xfId="28124" xr:uid="{00000000-0005-0000-0000-000064150000}"/>
    <cellStyle name="Normal 4 2 2 2 5 2 5 2" xfId="34735" xr:uid="{42B859E0-4E59-41A9-87E4-9D46EF69D0ED}"/>
    <cellStyle name="Normal 4 2 2 2 5 2 6" xfId="28125" xr:uid="{00000000-0005-0000-0000-000065150000}"/>
    <cellStyle name="Normal 4 2 2 2 5 2 6 2" xfId="34736" xr:uid="{6DDE5E44-872A-4878-80D0-098EE01ACB34}"/>
    <cellStyle name="Normal 4 2 2 2 5 2 7" xfId="28126" xr:uid="{00000000-0005-0000-0000-000066150000}"/>
    <cellStyle name="Normal 4 2 2 2 5 2 7 2" xfId="34737" xr:uid="{76AA31D6-0F95-4F49-A598-69E193639AE3}"/>
    <cellStyle name="Normal 4 2 2 2 5 2 8" xfId="34717" xr:uid="{134F6BBC-372D-4FA4-ABAF-E052B926EBC6}"/>
    <cellStyle name="Normal 4 2 2 2 5 3" xfId="28127" xr:uid="{00000000-0005-0000-0000-000067150000}"/>
    <cellStyle name="Normal 4 2 2 2 5 3 2" xfId="28128" xr:uid="{00000000-0005-0000-0000-000068150000}"/>
    <cellStyle name="Normal 4 2 2 2 5 3 2 2" xfId="28129" xr:uid="{00000000-0005-0000-0000-000069150000}"/>
    <cellStyle name="Normal 4 2 2 2 5 3 2 2 2" xfId="34740" xr:uid="{B84E1D6D-92C7-4AA0-9DDD-287A5687B57A}"/>
    <cellStyle name="Normal 4 2 2 2 5 3 2 3" xfId="28130" xr:uid="{00000000-0005-0000-0000-00006A150000}"/>
    <cellStyle name="Normal 4 2 2 2 5 3 2 3 2" xfId="34741" xr:uid="{A32C5B01-F84D-4E68-BEBA-AB3C35A86E72}"/>
    <cellStyle name="Normal 4 2 2 2 5 3 2 4" xfId="34739" xr:uid="{B8585E62-5BC6-47DF-89AB-0CE94697015F}"/>
    <cellStyle name="Normal 4 2 2 2 5 3 3" xfId="28131" xr:uid="{00000000-0005-0000-0000-00006B150000}"/>
    <cellStyle name="Normal 4 2 2 2 5 3 3 2" xfId="34742" xr:uid="{B559C687-8823-46F3-B520-039D407DEC94}"/>
    <cellStyle name="Normal 4 2 2 2 5 3 4" xfId="28132" xr:uid="{00000000-0005-0000-0000-00006C150000}"/>
    <cellStyle name="Normal 4 2 2 2 5 3 4 2" xfId="34743" xr:uid="{EB14EE8C-2BE4-47F5-B9D3-34E71FBA164E}"/>
    <cellStyle name="Normal 4 2 2 2 5 3 5" xfId="28133" xr:uid="{00000000-0005-0000-0000-00006D150000}"/>
    <cellStyle name="Normal 4 2 2 2 5 3 5 2" xfId="34744" xr:uid="{2D5D210A-FD66-409C-BA8D-DB26FBBFEF41}"/>
    <cellStyle name="Normal 4 2 2 2 5 3 6" xfId="34738" xr:uid="{1E89A67C-126E-45B9-B904-FCD9C095D5C3}"/>
    <cellStyle name="Normal 4 2 2 2 5 4" xfId="28134" xr:uid="{00000000-0005-0000-0000-00006E150000}"/>
    <cellStyle name="Normal 4 2 2 2 5 4 2" xfId="28135" xr:uid="{00000000-0005-0000-0000-00006F150000}"/>
    <cellStyle name="Normal 4 2 2 2 5 4 2 2" xfId="28136" xr:uid="{00000000-0005-0000-0000-000070150000}"/>
    <cellStyle name="Normal 4 2 2 2 5 4 2 2 2" xfId="34747" xr:uid="{B99B0773-7D8C-496E-A790-B45191D3BBDB}"/>
    <cellStyle name="Normal 4 2 2 2 5 4 2 3" xfId="28137" xr:uid="{00000000-0005-0000-0000-000071150000}"/>
    <cellStyle name="Normal 4 2 2 2 5 4 2 3 2" xfId="34748" xr:uid="{E3A3671A-672E-4FAA-A52F-9A6B83CE03EA}"/>
    <cellStyle name="Normal 4 2 2 2 5 4 2 4" xfId="34746" xr:uid="{EB5EC5CF-736C-48A2-A58C-59A38C89E20C}"/>
    <cellStyle name="Normal 4 2 2 2 5 4 3" xfId="28138" xr:uid="{00000000-0005-0000-0000-000072150000}"/>
    <cellStyle name="Normal 4 2 2 2 5 4 3 2" xfId="34749" xr:uid="{11C0AFE1-5B31-4126-B889-D9B9BDEB2408}"/>
    <cellStyle name="Normal 4 2 2 2 5 4 4" xfId="28139" xr:uid="{00000000-0005-0000-0000-000073150000}"/>
    <cellStyle name="Normal 4 2 2 2 5 4 4 2" xfId="34750" xr:uid="{761E4440-4DE3-413C-9B18-07B08E284883}"/>
    <cellStyle name="Normal 4 2 2 2 5 4 5" xfId="28140" xr:uid="{00000000-0005-0000-0000-000074150000}"/>
    <cellStyle name="Normal 4 2 2 2 5 4 5 2" xfId="34751" xr:uid="{4FB1F164-D924-454F-93C2-0961EC051E79}"/>
    <cellStyle name="Normal 4 2 2 2 5 4 6" xfId="34745" xr:uid="{4F0E7A44-9C82-40C5-BA92-9D84D9F30CD3}"/>
    <cellStyle name="Normal 4 2 2 2 5 5" xfId="28141" xr:uid="{00000000-0005-0000-0000-000075150000}"/>
    <cellStyle name="Normal 4 2 2 2 5 5 2" xfId="28142" xr:uid="{00000000-0005-0000-0000-000076150000}"/>
    <cellStyle name="Normal 4 2 2 2 5 5 2 2" xfId="34753" xr:uid="{921FB24C-20CC-4EE8-9106-67467C40A735}"/>
    <cellStyle name="Normal 4 2 2 2 5 5 3" xfId="28143" xr:uid="{00000000-0005-0000-0000-000077150000}"/>
    <cellStyle name="Normal 4 2 2 2 5 5 3 2" xfId="34754" xr:uid="{F8E00158-DC7E-4C6D-8F61-E50942B7E218}"/>
    <cellStyle name="Normal 4 2 2 2 5 5 4" xfId="34752" xr:uid="{01337F5F-58D9-41CE-8B10-B005ECA9397C}"/>
    <cellStyle name="Normal 4 2 2 2 5 6" xfId="28144" xr:uid="{00000000-0005-0000-0000-000078150000}"/>
    <cellStyle name="Normal 4 2 2 2 5 6 2" xfId="34755" xr:uid="{1DDD3CC3-2527-4160-A2AA-4AB9D80EED87}"/>
    <cellStyle name="Normal 4 2 2 2 5 7" xfId="28145" xr:uid="{00000000-0005-0000-0000-000079150000}"/>
    <cellStyle name="Normal 4 2 2 2 5 7 2" xfId="34756" xr:uid="{4861A7A2-7849-4061-BC1E-187D58528733}"/>
    <cellStyle name="Normal 4 2 2 2 5 8" xfId="28146" xr:uid="{00000000-0005-0000-0000-00007A150000}"/>
    <cellStyle name="Normal 4 2 2 2 5 8 2" xfId="34757" xr:uid="{9146220C-E91D-4EA6-9678-47835CBFA259}"/>
    <cellStyle name="Normal 4 2 2 2 5 9" xfId="34716" xr:uid="{AB55CFC8-E1E6-487A-AC00-032983C42395}"/>
    <cellStyle name="Normal 4 2 2 2 6" xfId="28147" xr:uid="{00000000-0005-0000-0000-00007B150000}"/>
    <cellStyle name="Normal 4 2 2 2 6 2" xfId="28148" xr:uid="{00000000-0005-0000-0000-00007C150000}"/>
    <cellStyle name="Normal 4 2 2 2 6 2 2" xfId="28149" xr:uid="{00000000-0005-0000-0000-00007D150000}"/>
    <cellStyle name="Normal 4 2 2 2 6 2 2 2" xfId="28150" xr:uid="{00000000-0005-0000-0000-00007E150000}"/>
    <cellStyle name="Normal 4 2 2 2 6 2 2 2 2" xfId="34761" xr:uid="{1DF9E098-370B-4B15-99A3-D331F99A2ECB}"/>
    <cellStyle name="Normal 4 2 2 2 6 2 2 3" xfId="28151" xr:uid="{00000000-0005-0000-0000-00007F150000}"/>
    <cellStyle name="Normal 4 2 2 2 6 2 2 3 2" xfId="34762" xr:uid="{A029E34A-2A48-41FA-B4DE-97058152CAF6}"/>
    <cellStyle name="Normal 4 2 2 2 6 2 2 4" xfId="34760" xr:uid="{CC7EC48E-123B-4145-B6F8-ED298D591BE1}"/>
    <cellStyle name="Normal 4 2 2 2 6 2 3" xfId="28152" xr:uid="{00000000-0005-0000-0000-000080150000}"/>
    <cellStyle name="Normal 4 2 2 2 6 2 3 2" xfId="34763" xr:uid="{C4A400AC-567D-4F9E-AA8D-1CF8D4C3C555}"/>
    <cellStyle name="Normal 4 2 2 2 6 2 4" xfId="28153" xr:uid="{00000000-0005-0000-0000-000081150000}"/>
    <cellStyle name="Normal 4 2 2 2 6 2 4 2" xfId="34764" xr:uid="{116903F4-DBB1-48FC-AAB1-A237F51F8670}"/>
    <cellStyle name="Normal 4 2 2 2 6 2 5" xfId="28154" xr:uid="{00000000-0005-0000-0000-000082150000}"/>
    <cellStyle name="Normal 4 2 2 2 6 2 5 2" xfId="34765" xr:uid="{F044E350-C8F8-44CD-8234-273047A84129}"/>
    <cellStyle name="Normal 4 2 2 2 6 2 6" xfId="34759" xr:uid="{590716EB-5397-463F-9E21-E77FC1F8389D}"/>
    <cellStyle name="Normal 4 2 2 2 6 3" xfId="28155" xr:uid="{00000000-0005-0000-0000-000083150000}"/>
    <cellStyle name="Normal 4 2 2 2 6 3 2" xfId="28156" xr:uid="{00000000-0005-0000-0000-000084150000}"/>
    <cellStyle name="Normal 4 2 2 2 6 3 2 2" xfId="28157" xr:uid="{00000000-0005-0000-0000-000085150000}"/>
    <cellStyle name="Normal 4 2 2 2 6 3 2 2 2" xfId="34768" xr:uid="{2AF40269-62C0-4BAA-8A0B-600DCE67079A}"/>
    <cellStyle name="Normal 4 2 2 2 6 3 2 3" xfId="28158" xr:uid="{00000000-0005-0000-0000-000086150000}"/>
    <cellStyle name="Normal 4 2 2 2 6 3 2 3 2" xfId="34769" xr:uid="{E4766DA5-D7CB-45EF-82E1-A3D8C87B3507}"/>
    <cellStyle name="Normal 4 2 2 2 6 3 2 4" xfId="34767" xr:uid="{3E63C399-950B-42EF-A30F-A15835AF9ADE}"/>
    <cellStyle name="Normal 4 2 2 2 6 3 3" xfId="28159" xr:uid="{00000000-0005-0000-0000-000087150000}"/>
    <cellStyle name="Normal 4 2 2 2 6 3 3 2" xfId="34770" xr:uid="{3F48DEC8-613A-4778-A191-636ED7643D75}"/>
    <cellStyle name="Normal 4 2 2 2 6 3 4" xfId="28160" xr:uid="{00000000-0005-0000-0000-000088150000}"/>
    <cellStyle name="Normal 4 2 2 2 6 3 4 2" xfId="34771" xr:uid="{F68B116C-7C43-4A32-B973-58D556641F78}"/>
    <cellStyle name="Normal 4 2 2 2 6 3 5" xfId="28161" xr:uid="{00000000-0005-0000-0000-000089150000}"/>
    <cellStyle name="Normal 4 2 2 2 6 3 5 2" xfId="34772" xr:uid="{8402EE1D-FC0A-4470-A5F2-BD4DE923A333}"/>
    <cellStyle name="Normal 4 2 2 2 6 3 6" xfId="34766" xr:uid="{475A15D5-B6F6-4C1C-9CC6-9E8A8BAC9B80}"/>
    <cellStyle name="Normal 4 2 2 2 6 4" xfId="28162" xr:uid="{00000000-0005-0000-0000-00008A150000}"/>
    <cellStyle name="Normal 4 2 2 2 6 4 2" xfId="28163" xr:uid="{00000000-0005-0000-0000-00008B150000}"/>
    <cellStyle name="Normal 4 2 2 2 6 4 2 2" xfId="34774" xr:uid="{75C530F7-F144-4EE9-A446-EABAD480D898}"/>
    <cellStyle name="Normal 4 2 2 2 6 4 3" xfId="28164" xr:uid="{00000000-0005-0000-0000-00008C150000}"/>
    <cellStyle name="Normal 4 2 2 2 6 4 3 2" xfId="34775" xr:uid="{0A5A39AE-E2CE-4F35-A654-934B35A0BB0B}"/>
    <cellStyle name="Normal 4 2 2 2 6 4 4" xfId="34773" xr:uid="{91A3245A-FB22-4872-A073-26683C49B3B7}"/>
    <cellStyle name="Normal 4 2 2 2 6 5" xfId="28165" xr:uid="{00000000-0005-0000-0000-00008D150000}"/>
    <cellStyle name="Normal 4 2 2 2 6 5 2" xfId="34776" xr:uid="{FA2A86EC-7059-4C66-8682-A03ACCFF0709}"/>
    <cellStyle name="Normal 4 2 2 2 6 6" xfId="28166" xr:uid="{00000000-0005-0000-0000-00008E150000}"/>
    <cellStyle name="Normal 4 2 2 2 6 6 2" xfId="34777" xr:uid="{AE44DDAA-EDD4-4394-9597-DC81F3E3BCD0}"/>
    <cellStyle name="Normal 4 2 2 2 6 7" xfId="28167" xr:uid="{00000000-0005-0000-0000-00008F150000}"/>
    <cellStyle name="Normal 4 2 2 2 6 7 2" xfId="34778" xr:uid="{DA738A47-ED6D-44E3-A0C9-44491BC50BE3}"/>
    <cellStyle name="Normal 4 2 2 2 6 8" xfId="34758" xr:uid="{0DD2039F-763B-4477-9627-8D150E15209A}"/>
    <cellStyle name="Normal 4 2 2 2 7" xfId="28168" xr:uid="{00000000-0005-0000-0000-000090150000}"/>
    <cellStyle name="Normal 4 2 2 2 7 2" xfId="28169" xr:uid="{00000000-0005-0000-0000-000091150000}"/>
    <cellStyle name="Normal 4 2 2 2 7 2 2" xfId="28170" xr:uid="{00000000-0005-0000-0000-000092150000}"/>
    <cellStyle name="Normal 4 2 2 2 7 2 2 2" xfId="28171" xr:uid="{00000000-0005-0000-0000-000093150000}"/>
    <cellStyle name="Normal 4 2 2 2 7 2 2 2 2" xfId="34782" xr:uid="{69A7521A-8C88-4B77-980C-81C206F94F73}"/>
    <cellStyle name="Normal 4 2 2 2 7 2 2 3" xfId="28172" xr:uid="{00000000-0005-0000-0000-000094150000}"/>
    <cellStyle name="Normal 4 2 2 2 7 2 2 3 2" xfId="34783" xr:uid="{02E98559-1FE9-42D6-A9EF-4E96F2058C63}"/>
    <cellStyle name="Normal 4 2 2 2 7 2 2 4" xfId="34781" xr:uid="{C99351AB-F6E1-4B1F-9A48-3980875EDF47}"/>
    <cellStyle name="Normal 4 2 2 2 7 2 3" xfId="28173" xr:uid="{00000000-0005-0000-0000-000095150000}"/>
    <cellStyle name="Normal 4 2 2 2 7 2 3 2" xfId="34784" xr:uid="{49633F38-0315-4C27-81C3-19FCECACDB25}"/>
    <cellStyle name="Normal 4 2 2 2 7 2 4" xfId="28174" xr:uid="{00000000-0005-0000-0000-000096150000}"/>
    <cellStyle name="Normal 4 2 2 2 7 2 4 2" xfId="34785" xr:uid="{BC2194B6-4782-4117-AA94-57FB0346636E}"/>
    <cellStyle name="Normal 4 2 2 2 7 2 5" xfId="28175" xr:uid="{00000000-0005-0000-0000-000097150000}"/>
    <cellStyle name="Normal 4 2 2 2 7 2 5 2" xfId="34786" xr:uid="{989A80F5-757D-45B4-806B-31E894BA4104}"/>
    <cellStyle name="Normal 4 2 2 2 7 2 6" xfId="34780" xr:uid="{E7173565-0DC5-40CD-924A-BF3A65794775}"/>
    <cellStyle name="Normal 4 2 2 2 7 3" xfId="28176" xr:uid="{00000000-0005-0000-0000-000098150000}"/>
    <cellStyle name="Normal 4 2 2 2 7 3 2" xfId="28177" xr:uid="{00000000-0005-0000-0000-000099150000}"/>
    <cellStyle name="Normal 4 2 2 2 7 3 2 2" xfId="28178" xr:uid="{00000000-0005-0000-0000-00009A150000}"/>
    <cellStyle name="Normal 4 2 2 2 7 3 2 2 2" xfId="34789" xr:uid="{D97FCF54-AF66-4FEF-AB7B-008C8E2562ED}"/>
    <cellStyle name="Normal 4 2 2 2 7 3 2 3" xfId="28179" xr:uid="{00000000-0005-0000-0000-00009B150000}"/>
    <cellStyle name="Normal 4 2 2 2 7 3 2 3 2" xfId="34790" xr:uid="{01F2D0E5-EB89-4660-AC98-C4C6F6B9317C}"/>
    <cellStyle name="Normal 4 2 2 2 7 3 2 4" xfId="34788" xr:uid="{6513383A-F2C5-4AE3-A21E-1EB8D0EC175B}"/>
    <cellStyle name="Normal 4 2 2 2 7 3 3" xfId="28180" xr:uid="{00000000-0005-0000-0000-00009C150000}"/>
    <cellStyle name="Normal 4 2 2 2 7 3 3 2" xfId="34791" xr:uid="{A8AA1B88-A01A-4A60-A99A-4FF63A4FB561}"/>
    <cellStyle name="Normal 4 2 2 2 7 3 4" xfId="28181" xr:uid="{00000000-0005-0000-0000-00009D150000}"/>
    <cellStyle name="Normal 4 2 2 2 7 3 4 2" xfId="34792" xr:uid="{DF1C3921-E933-4EF1-899A-E84C6CC876E1}"/>
    <cellStyle name="Normal 4 2 2 2 7 3 5" xfId="28182" xr:uid="{00000000-0005-0000-0000-00009E150000}"/>
    <cellStyle name="Normal 4 2 2 2 7 3 5 2" xfId="34793" xr:uid="{D5261FD4-09F6-48FF-A11E-0F802B0EF4E0}"/>
    <cellStyle name="Normal 4 2 2 2 7 3 6" xfId="34787" xr:uid="{C9A24379-DF75-4549-87BA-CCA494CFBDE7}"/>
    <cellStyle name="Normal 4 2 2 2 7 4" xfId="28183" xr:uid="{00000000-0005-0000-0000-00009F150000}"/>
    <cellStyle name="Normal 4 2 2 2 7 4 2" xfId="28184" xr:uid="{00000000-0005-0000-0000-0000A0150000}"/>
    <cellStyle name="Normal 4 2 2 2 7 4 2 2" xfId="34795" xr:uid="{7181E7D0-C1D0-4D76-8500-99D916EE88F2}"/>
    <cellStyle name="Normal 4 2 2 2 7 4 3" xfId="28185" xr:uid="{00000000-0005-0000-0000-0000A1150000}"/>
    <cellStyle name="Normal 4 2 2 2 7 4 3 2" xfId="34796" xr:uid="{4D23C62C-66E0-42D9-B63E-3346196E0C84}"/>
    <cellStyle name="Normal 4 2 2 2 7 4 4" xfId="34794" xr:uid="{28FF05B8-1F5E-46EF-AE8B-D2478CB12F67}"/>
    <cellStyle name="Normal 4 2 2 2 7 5" xfId="28186" xr:uid="{00000000-0005-0000-0000-0000A2150000}"/>
    <cellStyle name="Normal 4 2 2 2 7 5 2" xfId="34797" xr:uid="{D76C35D4-39CA-489B-BA3E-F7592EED3DF6}"/>
    <cellStyle name="Normal 4 2 2 2 7 6" xfId="28187" xr:uid="{00000000-0005-0000-0000-0000A3150000}"/>
    <cellStyle name="Normal 4 2 2 2 7 6 2" xfId="34798" xr:uid="{0E2DD5CE-A5B0-48C2-A8E5-86199F1F1005}"/>
    <cellStyle name="Normal 4 2 2 2 7 7" xfId="28188" xr:uid="{00000000-0005-0000-0000-0000A4150000}"/>
    <cellStyle name="Normal 4 2 2 2 7 7 2" xfId="34799" xr:uid="{03C983B8-24E6-422A-A0D2-9CCA3CCBBF84}"/>
    <cellStyle name="Normal 4 2 2 2 7 8" xfId="34779" xr:uid="{E8C542FD-7452-4E77-81A6-4B13B9439B6E}"/>
    <cellStyle name="Normal 4 2 2 2 8" xfId="28189" xr:uid="{00000000-0005-0000-0000-0000A5150000}"/>
    <cellStyle name="Normal 4 2 2 2 8 2" xfId="28190" xr:uid="{00000000-0005-0000-0000-0000A6150000}"/>
    <cellStyle name="Normal 4 2 2 2 8 2 2" xfId="28191" xr:uid="{00000000-0005-0000-0000-0000A7150000}"/>
    <cellStyle name="Normal 4 2 2 2 8 2 2 2" xfId="34802" xr:uid="{B56FF52D-F335-4E79-B90B-CAB575CEE73E}"/>
    <cellStyle name="Normal 4 2 2 2 8 2 3" xfId="28192" xr:uid="{00000000-0005-0000-0000-0000A8150000}"/>
    <cellStyle name="Normal 4 2 2 2 8 2 3 2" xfId="34803" xr:uid="{99FD827E-ECC0-4BC6-8393-717D26442CED}"/>
    <cellStyle name="Normal 4 2 2 2 8 2 4" xfId="34801" xr:uid="{C50594FA-8A22-41EB-BA31-EC576F52D018}"/>
    <cellStyle name="Normal 4 2 2 2 8 3" xfId="28193" xr:uid="{00000000-0005-0000-0000-0000A9150000}"/>
    <cellStyle name="Normal 4 2 2 2 8 3 2" xfId="34804" xr:uid="{B9059984-C24B-490B-94C9-77BE253A1638}"/>
    <cellStyle name="Normal 4 2 2 2 8 4" xfId="28194" xr:uid="{00000000-0005-0000-0000-0000AA150000}"/>
    <cellStyle name="Normal 4 2 2 2 8 4 2" xfId="34805" xr:uid="{90FF1D85-8D04-422D-A991-3030940DF898}"/>
    <cellStyle name="Normal 4 2 2 2 8 5" xfId="28195" xr:uid="{00000000-0005-0000-0000-0000AB150000}"/>
    <cellStyle name="Normal 4 2 2 2 8 5 2" xfId="34806" xr:uid="{CF8A95A8-6AC1-49A4-945B-AA34D05991E5}"/>
    <cellStyle name="Normal 4 2 2 2 8 6" xfId="34800" xr:uid="{A8D5D851-1CBB-476C-A2D1-1CE39FE8368B}"/>
    <cellStyle name="Normal 4 2 2 2 9" xfId="28196" xr:uid="{00000000-0005-0000-0000-0000AC150000}"/>
    <cellStyle name="Normal 4 2 2 2 9 2" xfId="28197" xr:uid="{00000000-0005-0000-0000-0000AD150000}"/>
    <cellStyle name="Normal 4 2 2 2 9 2 2" xfId="28198" xr:uid="{00000000-0005-0000-0000-0000AE150000}"/>
    <cellStyle name="Normal 4 2 2 2 9 2 2 2" xfId="34809" xr:uid="{9ADFEE73-FBD2-4946-B095-0AFDC90D5A45}"/>
    <cellStyle name="Normal 4 2 2 2 9 2 3" xfId="28199" xr:uid="{00000000-0005-0000-0000-0000AF150000}"/>
    <cellStyle name="Normal 4 2 2 2 9 2 3 2" xfId="34810" xr:uid="{B3A2150E-9F2B-493F-82B0-4F96C379D3B8}"/>
    <cellStyle name="Normal 4 2 2 2 9 2 4" xfId="34808" xr:uid="{A2053C32-E66B-45F5-859B-51701096A622}"/>
    <cellStyle name="Normal 4 2 2 2 9 3" xfId="28200" xr:uid="{00000000-0005-0000-0000-0000B0150000}"/>
    <cellStyle name="Normal 4 2 2 2 9 3 2" xfId="34811" xr:uid="{3A784924-02D8-4BBD-987B-3E31FBE160FA}"/>
    <cellStyle name="Normal 4 2 2 2 9 4" xfId="28201" xr:uid="{00000000-0005-0000-0000-0000B1150000}"/>
    <cellStyle name="Normal 4 2 2 2 9 4 2" xfId="34812" xr:uid="{5E5103E0-33B4-4C78-8AB4-2BB543DF0CCB}"/>
    <cellStyle name="Normal 4 2 2 2 9 5" xfId="28202" xr:uid="{00000000-0005-0000-0000-0000B2150000}"/>
    <cellStyle name="Normal 4 2 2 2 9 5 2" xfId="34813" xr:uid="{938A0819-F07E-4C70-A608-6548080A0F64}"/>
    <cellStyle name="Normal 4 2 2 2 9 6" xfId="34807" xr:uid="{EEA975AC-AA0D-461C-8C00-B5ABB433AFBF}"/>
    <cellStyle name="Normal 4 2 2 3" xfId="28203" xr:uid="{00000000-0005-0000-0000-0000B3150000}"/>
    <cellStyle name="Normal 4 2 2 3 10" xfId="34814" xr:uid="{405E5397-626A-4228-AECC-B2662F79EF70}"/>
    <cellStyle name="Normal 4 2 2 3 2" xfId="28204" xr:uid="{00000000-0005-0000-0000-0000B4150000}"/>
    <cellStyle name="Normal 4 2 2 3 2 2" xfId="28205" xr:uid="{00000000-0005-0000-0000-0000B5150000}"/>
    <cellStyle name="Normal 4 2 2 3 2 2 2" xfId="28206" xr:uid="{00000000-0005-0000-0000-0000B6150000}"/>
    <cellStyle name="Normal 4 2 2 3 2 2 2 2" xfId="28207" xr:uid="{00000000-0005-0000-0000-0000B7150000}"/>
    <cellStyle name="Normal 4 2 2 3 2 2 2 2 2" xfId="28208" xr:uid="{00000000-0005-0000-0000-0000B8150000}"/>
    <cellStyle name="Normal 4 2 2 3 2 2 2 2 2 2" xfId="34819" xr:uid="{24D9B64D-4F38-41B6-A98D-A27ACB2F7845}"/>
    <cellStyle name="Normal 4 2 2 3 2 2 2 2 3" xfId="28209" xr:uid="{00000000-0005-0000-0000-0000B9150000}"/>
    <cellStyle name="Normal 4 2 2 3 2 2 2 2 3 2" xfId="34820" xr:uid="{13BF9FB4-0951-4642-BD78-6EF336EE6F0C}"/>
    <cellStyle name="Normal 4 2 2 3 2 2 2 2 4" xfId="34818" xr:uid="{A9D8DA12-77D4-4224-AEF7-99164ADF8742}"/>
    <cellStyle name="Normal 4 2 2 3 2 2 2 3" xfId="28210" xr:uid="{00000000-0005-0000-0000-0000BA150000}"/>
    <cellStyle name="Normal 4 2 2 3 2 2 2 3 2" xfId="34821" xr:uid="{C3E4080A-E691-4487-AF8B-AD10635B3063}"/>
    <cellStyle name="Normal 4 2 2 3 2 2 2 4" xfId="28211" xr:uid="{00000000-0005-0000-0000-0000BB150000}"/>
    <cellStyle name="Normal 4 2 2 3 2 2 2 4 2" xfId="34822" xr:uid="{33D81F39-8644-4C9F-8460-FCA944AAAA08}"/>
    <cellStyle name="Normal 4 2 2 3 2 2 2 5" xfId="28212" xr:uid="{00000000-0005-0000-0000-0000BC150000}"/>
    <cellStyle name="Normal 4 2 2 3 2 2 2 5 2" xfId="34823" xr:uid="{94C2605B-9DA9-477B-8F59-0AD9593BEB67}"/>
    <cellStyle name="Normal 4 2 2 3 2 2 2 6" xfId="34817" xr:uid="{D8DC8A2A-8BB7-4850-A124-498B752F3400}"/>
    <cellStyle name="Normal 4 2 2 3 2 2 3" xfId="28213" xr:uid="{00000000-0005-0000-0000-0000BD150000}"/>
    <cellStyle name="Normal 4 2 2 3 2 2 3 2" xfId="28214" xr:uid="{00000000-0005-0000-0000-0000BE150000}"/>
    <cellStyle name="Normal 4 2 2 3 2 2 3 2 2" xfId="28215" xr:uid="{00000000-0005-0000-0000-0000BF150000}"/>
    <cellStyle name="Normal 4 2 2 3 2 2 3 2 2 2" xfId="34826" xr:uid="{76955A82-8F7E-4E64-BE98-9735BCAA52F2}"/>
    <cellStyle name="Normal 4 2 2 3 2 2 3 2 3" xfId="28216" xr:uid="{00000000-0005-0000-0000-0000C0150000}"/>
    <cellStyle name="Normal 4 2 2 3 2 2 3 2 3 2" xfId="34827" xr:uid="{6DD956CD-1C73-40A0-B498-23C1C0609323}"/>
    <cellStyle name="Normal 4 2 2 3 2 2 3 2 4" xfId="34825" xr:uid="{B8B67707-0830-4A2F-9B68-76B66CF2AE87}"/>
    <cellStyle name="Normal 4 2 2 3 2 2 3 3" xfId="28217" xr:uid="{00000000-0005-0000-0000-0000C1150000}"/>
    <cellStyle name="Normal 4 2 2 3 2 2 3 3 2" xfId="34828" xr:uid="{C71E1413-8128-4AB9-B235-CE8F280F773F}"/>
    <cellStyle name="Normal 4 2 2 3 2 2 3 4" xfId="28218" xr:uid="{00000000-0005-0000-0000-0000C2150000}"/>
    <cellStyle name="Normal 4 2 2 3 2 2 3 4 2" xfId="34829" xr:uid="{6E5CDDBB-C638-4169-B06A-5942BFD14941}"/>
    <cellStyle name="Normal 4 2 2 3 2 2 3 5" xfId="28219" xr:uid="{00000000-0005-0000-0000-0000C3150000}"/>
    <cellStyle name="Normal 4 2 2 3 2 2 3 5 2" xfId="34830" xr:uid="{168DF9DB-64F6-43B7-B971-B487CBA8D225}"/>
    <cellStyle name="Normal 4 2 2 3 2 2 3 6" xfId="34824" xr:uid="{5371E411-D8AD-469B-AB62-A29A7DF9CA03}"/>
    <cellStyle name="Normal 4 2 2 3 2 2 4" xfId="28220" xr:uid="{00000000-0005-0000-0000-0000C4150000}"/>
    <cellStyle name="Normal 4 2 2 3 2 2 4 2" xfId="28221" xr:uid="{00000000-0005-0000-0000-0000C5150000}"/>
    <cellStyle name="Normal 4 2 2 3 2 2 4 2 2" xfId="34832" xr:uid="{CCD49D9C-CE6E-482B-89EE-071EC4D5C471}"/>
    <cellStyle name="Normal 4 2 2 3 2 2 4 3" xfId="28222" xr:uid="{00000000-0005-0000-0000-0000C6150000}"/>
    <cellStyle name="Normal 4 2 2 3 2 2 4 3 2" xfId="34833" xr:uid="{98E2D844-A65D-4947-AC0B-74E115DD7EE7}"/>
    <cellStyle name="Normal 4 2 2 3 2 2 4 4" xfId="34831" xr:uid="{BE994C0F-720E-43A9-BB3A-7ED082996586}"/>
    <cellStyle name="Normal 4 2 2 3 2 2 5" xfId="28223" xr:uid="{00000000-0005-0000-0000-0000C7150000}"/>
    <cellStyle name="Normal 4 2 2 3 2 2 5 2" xfId="34834" xr:uid="{9F4EE18C-BA04-4265-AF9A-02D9773D7E3D}"/>
    <cellStyle name="Normal 4 2 2 3 2 2 6" xfId="28224" xr:uid="{00000000-0005-0000-0000-0000C8150000}"/>
    <cellStyle name="Normal 4 2 2 3 2 2 6 2" xfId="34835" xr:uid="{B7B67E17-A1D4-46EA-9D98-DBF33CB648AE}"/>
    <cellStyle name="Normal 4 2 2 3 2 2 7" xfId="28225" xr:uid="{00000000-0005-0000-0000-0000C9150000}"/>
    <cellStyle name="Normal 4 2 2 3 2 2 7 2" xfId="34836" xr:uid="{0DC4BD70-B50D-469C-A618-C02C93645E9C}"/>
    <cellStyle name="Normal 4 2 2 3 2 2 8" xfId="34816" xr:uid="{96B786AD-5E2D-45A2-A109-999FADE89C8D}"/>
    <cellStyle name="Normal 4 2 2 3 2 3" xfId="28226" xr:uid="{00000000-0005-0000-0000-0000CA150000}"/>
    <cellStyle name="Normal 4 2 2 3 2 3 2" xfId="28227" xr:uid="{00000000-0005-0000-0000-0000CB150000}"/>
    <cellStyle name="Normal 4 2 2 3 2 3 2 2" xfId="28228" xr:uid="{00000000-0005-0000-0000-0000CC150000}"/>
    <cellStyle name="Normal 4 2 2 3 2 3 2 2 2" xfId="34839" xr:uid="{068123F6-393C-4419-82E7-024E6F99A753}"/>
    <cellStyle name="Normal 4 2 2 3 2 3 2 3" xfId="28229" xr:uid="{00000000-0005-0000-0000-0000CD150000}"/>
    <cellStyle name="Normal 4 2 2 3 2 3 2 3 2" xfId="34840" xr:uid="{AA54F55B-A7D0-49CF-8EC8-F54B056853E1}"/>
    <cellStyle name="Normal 4 2 2 3 2 3 2 4" xfId="34838" xr:uid="{B904D91D-B28C-48E5-84E2-BAF6C7638015}"/>
    <cellStyle name="Normal 4 2 2 3 2 3 3" xfId="28230" xr:uid="{00000000-0005-0000-0000-0000CE150000}"/>
    <cellStyle name="Normal 4 2 2 3 2 3 3 2" xfId="34841" xr:uid="{23D8ABE7-274F-4064-8C9B-6C1D7E186D30}"/>
    <cellStyle name="Normal 4 2 2 3 2 3 4" xfId="28231" xr:uid="{00000000-0005-0000-0000-0000CF150000}"/>
    <cellStyle name="Normal 4 2 2 3 2 3 4 2" xfId="34842" xr:uid="{AFBE8955-7B45-49C0-82ED-4408A68C0A70}"/>
    <cellStyle name="Normal 4 2 2 3 2 3 5" xfId="28232" xr:uid="{00000000-0005-0000-0000-0000D0150000}"/>
    <cellStyle name="Normal 4 2 2 3 2 3 5 2" xfId="34843" xr:uid="{569CF4F8-E919-4882-8FF5-2F79FCF5C22E}"/>
    <cellStyle name="Normal 4 2 2 3 2 3 6" xfId="34837" xr:uid="{48134145-883C-4BA9-8CE7-BEC2B48FAEA2}"/>
    <cellStyle name="Normal 4 2 2 3 2 4" xfId="28233" xr:uid="{00000000-0005-0000-0000-0000D1150000}"/>
    <cellStyle name="Normal 4 2 2 3 2 4 2" xfId="28234" xr:uid="{00000000-0005-0000-0000-0000D2150000}"/>
    <cellStyle name="Normal 4 2 2 3 2 4 2 2" xfId="28235" xr:uid="{00000000-0005-0000-0000-0000D3150000}"/>
    <cellStyle name="Normal 4 2 2 3 2 4 2 2 2" xfId="34846" xr:uid="{267D9821-2A91-4EA0-B938-57B0706C300E}"/>
    <cellStyle name="Normal 4 2 2 3 2 4 2 3" xfId="28236" xr:uid="{00000000-0005-0000-0000-0000D4150000}"/>
    <cellStyle name="Normal 4 2 2 3 2 4 2 3 2" xfId="34847" xr:uid="{66EE26FB-3923-48D2-83AE-E3467303D202}"/>
    <cellStyle name="Normal 4 2 2 3 2 4 2 4" xfId="34845" xr:uid="{174616E0-6AD3-422D-9C55-E9EED2395DF1}"/>
    <cellStyle name="Normal 4 2 2 3 2 4 3" xfId="28237" xr:uid="{00000000-0005-0000-0000-0000D5150000}"/>
    <cellStyle name="Normal 4 2 2 3 2 4 3 2" xfId="34848" xr:uid="{92E18060-368A-4269-94E6-B68ECE0382A5}"/>
    <cellStyle name="Normal 4 2 2 3 2 4 4" xfId="28238" xr:uid="{00000000-0005-0000-0000-0000D6150000}"/>
    <cellStyle name="Normal 4 2 2 3 2 4 4 2" xfId="34849" xr:uid="{39D3DBAF-DB4A-4927-B083-574460BB91AB}"/>
    <cellStyle name="Normal 4 2 2 3 2 4 5" xfId="28239" xr:uid="{00000000-0005-0000-0000-0000D7150000}"/>
    <cellStyle name="Normal 4 2 2 3 2 4 5 2" xfId="34850" xr:uid="{715454DE-7B45-4285-956F-FA2490273141}"/>
    <cellStyle name="Normal 4 2 2 3 2 4 6" xfId="34844" xr:uid="{08239402-3C9F-42EA-BC28-C6EDD089BC26}"/>
    <cellStyle name="Normal 4 2 2 3 2 5" xfId="28240" xr:uid="{00000000-0005-0000-0000-0000D8150000}"/>
    <cellStyle name="Normal 4 2 2 3 2 5 2" xfId="28241" xr:uid="{00000000-0005-0000-0000-0000D9150000}"/>
    <cellStyle name="Normal 4 2 2 3 2 5 2 2" xfId="34852" xr:uid="{06533AE7-1F3C-4820-9E38-F488F3596220}"/>
    <cellStyle name="Normal 4 2 2 3 2 5 3" xfId="28242" xr:uid="{00000000-0005-0000-0000-0000DA150000}"/>
    <cellStyle name="Normal 4 2 2 3 2 5 3 2" xfId="34853" xr:uid="{577A5B7E-F09A-4CD0-BFF7-A1979FDBA75E}"/>
    <cellStyle name="Normal 4 2 2 3 2 5 4" xfId="34851" xr:uid="{7BB1E1BA-784C-4E27-BB4F-6C92A62119C9}"/>
    <cellStyle name="Normal 4 2 2 3 2 6" xfId="28243" xr:uid="{00000000-0005-0000-0000-0000DB150000}"/>
    <cellStyle name="Normal 4 2 2 3 2 6 2" xfId="34854" xr:uid="{FDCE5892-8B78-47A4-82D2-AD595340709C}"/>
    <cellStyle name="Normal 4 2 2 3 2 7" xfId="28244" xr:uid="{00000000-0005-0000-0000-0000DC150000}"/>
    <cellStyle name="Normal 4 2 2 3 2 7 2" xfId="34855" xr:uid="{EE812C31-735C-4306-A280-82B6C1FE8238}"/>
    <cellStyle name="Normal 4 2 2 3 2 8" xfId="28245" xr:uid="{00000000-0005-0000-0000-0000DD150000}"/>
    <cellStyle name="Normal 4 2 2 3 2 8 2" xfId="34856" xr:uid="{F0E0B0C1-2624-4EFD-9A1C-05ABB1653B5E}"/>
    <cellStyle name="Normal 4 2 2 3 2 9" xfId="34815" xr:uid="{0684F3C1-9CF0-4576-8BF7-C0A5506C8853}"/>
    <cellStyle name="Normal 4 2 2 3 3" xfId="28246" xr:uid="{00000000-0005-0000-0000-0000DE150000}"/>
    <cellStyle name="Normal 4 2 2 3 3 2" xfId="28247" xr:uid="{00000000-0005-0000-0000-0000DF150000}"/>
    <cellStyle name="Normal 4 2 2 3 3 2 2" xfId="28248" xr:uid="{00000000-0005-0000-0000-0000E0150000}"/>
    <cellStyle name="Normal 4 2 2 3 3 2 2 2" xfId="28249" xr:uid="{00000000-0005-0000-0000-0000E1150000}"/>
    <cellStyle name="Normal 4 2 2 3 3 2 2 2 2" xfId="34860" xr:uid="{7950A7A7-EC1B-44A4-A028-A4BF4B98C880}"/>
    <cellStyle name="Normal 4 2 2 3 3 2 2 3" xfId="28250" xr:uid="{00000000-0005-0000-0000-0000E2150000}"/>
    <cellStyle name="Normal 4 2 2 3 3 2 2 3 2" xfId="34861" xr:uid="{35B4ADD3-0BDE-4123-A57E-3AC9B2933D12}"/>
    <cellStyle name="Normal 4 2 2 3 3 2 2 4" xfId="34859" xr:uid="{8981D093-737C-4DF2-A096-5C1DDBD5D253}"/>
    <cellStyle name="Normal 4 2 2 3 3 2 3" xfId="28251" xr:uid="{00000000-0005-0000-0000-0000E3150000}"/>
    <cellStyle name="Normal 4 2 2 3 3 2 3 2" xfId="34862" xr:uid="{09EC234D-5AAB-4E9B-9303-56C23C0331B1}"/>
    <cellStyle name="Normal 4 2 2 3 3 2 4" xfId="28252" xr:uid="{00000000-0005-0000-0000-0000E4150000}"/>
    <cellStyle name="Normal 4 2 2 3 3 2 4 2" xfId="34863" xr:uid="{D95AA6B9-ED61-498B-98B7-AC0209291B91}"/>
    <cellStyle name="Normal 4 2 2 3 3 2 5" xfId="28253" xr:uid="{00000000-0005-0000-0000-0000E5150000}"/>
    <cellStyle name="Normal 4 2 2 3 3 2 5 2" xfId="34864" xr:uid="{697C34CB-6AFD-4373-BC33-E607DBE60EE1}"/>
    <cellStyle name="Normal 4 2 2 3 3 2 6" xfId="34858" xr:uid="{55862315-1CEB-4731-B855-36DFD1CE5025}"/>
    <cellStyle name="Normal 4 2 2 3 3 3" xfId="28254" xr:uid="{00000000-0005-0000-0000-0000E6150000}"/>
    <cellStyle name="Normal 4 2 2 3 3 3 2" xfId="28255" xr:uid="{00000000-0005-0000-0000-0000E7150000}"/>
    <cellStyle name="Normal 4 2 2 3 3 3 2 2" xfId="28256" xr:uid="{00000000-0005-0000-0000-0000E8150000}"/>
    <cellStyle name="Normal 4 2 2 3 3 3 2 2 2" xfId="34867" xr:uid="{28765E8C-B362-4358-AA2F-876DA5D21EE2}"/>
    <cellStyle name="Normal 4 2 2 3 3 3 2 3" xfId="28257" xr:uid="{00000000-0005-0000-0000-0000E9150000}"/>
    <cellStyle name="Normal 4 2 2 3 3 3 2 3 2" xfId="34868" xr:uid="{A6556646-7F14-49FF-8354-A6B0455E40CC}"/>
    <cellStyle name="Normal 4 2 2 3 3 3 2 4" xfId="34866" xr:uid="{48E97BBC-5762-4D1C-9F08-C184F24397D9}"/>
    <cellStyle name="Normal 4 2 2 3 3 3 3" xfId="28258" xr:uid="{00000000-0005-0000-0000-0000EA150000}"/>
    <cellStyle name="Normal 4 2 2 3 3 3 3 2" xfId="34869" xr:uid="{E8CA45B3-BA2D-4992-8BCC-7027FEA99E38}"/>
    <cellStyle name="Normal 4 2 2 3 3 3 4" xfId="28259" xr:uid="{00000000-0005-0000-0000-0000EB150000}"/>
    <cellStyle name="Normal 4 2 2 3 3 3 4 2" xfId="34870" xr:uid="{24E6862C-9346-47FC-A8A1-016965F66AE5}"/>
    <cellStyle name="Normal 4 2 2 3 3 3 5" xfId="28260" xr:uid="{00000000-0005-0000-0000-0000EC150000}"/>
    <cellStyle name="Normal 4 2 2 3 3 3 5 2" xfId="34871" xr:uid="{BC3FD286-D17E-47E1-88A0-569BDD4E8DAC}"/>
    <cellStyle name="Normal 4 2 2 3 3 3 6" xfId="34865" xr:uid="{210F2088-1110-4F91-837E-7F680531A16C}"/>
    <cellStyle name="Normal 4 2 2 3 3 4" xfId="28261" xr:uid="{00000000-0005-0000-0000-0000ED150000}"/>
    <cellStyle name="Normal 4 2 2 3 3 4 2" xfId="28262" xr:uid="{00000000-0005-0000-0000-0000EE150000}"/>
    <cellStyle name="Normal 4 2 2 3 3 4 2 2" xfId="34873" xr:uid="{6E14BDBE-A956-4556-ACAF-FB62B82CC811}"/>
    <cellStyle name="Normal 4 2 2 3 3 4 3" xfId="28263" xr:uid="{00000000-0005-0000-0000-0000EF150000}"/>
    <cellStyle name="Normal 4 2 2 3 3 4 3 2" xfId="34874" xr:uid="{6D2B225A-766C-415D-B877-A6210B109C0C}"/>
    <cellStyle name="Normal 4 2 2 3 3 4 4" xfId="34872" xr:uid="{379769A2-901A-49A0-AA29-71829EF4EC0B}"/>
    <cellStyle name="Normal 4 2 2 3 3 5" xfId="28264" xr:uid="{00000000-0005-0000-0000-0000F0150000}"/>
    <cellStyle name="Normal 4 2 2 3 3 5 2" xfId="34875" xr:uid="{F123AF86-12C5-443F-9034-47CD9886F38B}"/>
    <cellStyle name="Normal 4 2 2 3 3 6" xfId="28265" xr:uid="{00000000-0005-0000-0000-0000F1150000}"/>
    <cellStyle name="Normal 4 2 2 3 3 6 2" xfId="34876" xr:uid="{8B465372-4E93-4461-8F36-6188546F47AA}"/>
    <cellStyle name="Normal 4 2 2 3 3 7" xfId="28266" xr:uid="{00000000-0005-0000-0000-0000F2150000}"/>
    <cellStyle name="Normal 4 2 2 3 3 7 2" xfId="34877" xr:uid="{A7A4A94F-701D-4A9B-B4C6-1E2A9B339A95}"/>
    <cellStyle name="Normal 4 2 2 3 3 8" xfId="34857" xr:uid="{F5FA82F6-CF75-40AF-8341-F9CDD85ACF8E}"/>
    <cellStyle name="Normal 4 2 2 3 4" xfId="28267" xr:uid="{00000000-0005-0000-0000-0000F3150000}"/>
    <cellStyle name="Normal 4 2 2 3 4 2" xfId="28268" xr:uid="{00000000-0005-0000-0000-0000F4150000}"/>
    <cellStyle name="Normal 4 2 2 3 4 2 2" xfId="28269" xr:uid="{00000000-0005-0000-0000-0000F5150000}"/>
    <cellStyle name="Normal 4 2 2 3 4 2 2 2" xfId="34880" xr:uid="{6A1CBDDD-9E3D-4640-A407-66537DEFA396}"/>
    <cellStyle name="Normal 4 2 2 3 4 2 3" xfId="28270" xr:uid="{00000000-0005-0000-0000-0000F6150000}"/>
    <cellStyle name="Normal 4 2 2 3 4 2 3 2" xfId="34881" xr:uid="{6796076A-0D22-4AA6-AFF6-128CE2869463}"/>
    <cellStyle name="Normal 4 2 2 3 4 2 4" xfId="34879" xr:uid="{DDC23555-5AEE-44B6-B94D-A489522ED5D7}"/>
    <cellStyle name="Normal 4 2 2 3 4 3" xfId="28271" xr:uid="{00000000-0005-0000-0000-0000F7150000}"/>
    <cellStyle name="Normal 4 2 2 3 4 3 2" xfId="34882" xr:uid="{D603905E-0517-4A43-ACB9-22AAB863F403}"/>
    <cellStyle name="Normal 4 2 2 3 4 4" xfId="28272" xr:uid="{00000000-0005-0000-0000-0000F8150000}"/>
    <cellStyle name="Normal 4 2 2 3 4 4 2" xfId="34883" xr:uid="{26CE847A-3F2C-4046-AD64-031F02794140}"/>
    <cellStyle name="Normal 4 2 2 3 4 5" xfId="28273" xr:uid="{00000000-0005-0000-0000-0000F9150000}"/>
    <cellStyle name="Normal 4 2 2 3 4 5 2" xfId="34884" xr:uid="{6C68AE06-70F8-4507-9823-A00F87359C4A}"/>
    <cellStyle name="Normal 4 2 2 3 4 6" xfId="34878" xr:uid="{2954ABB4-CB5D-477E-9265-15DD4B7D4D51}"/>
    <cellStyle name="Normal 4 2 2 3 5" xfId="28274" xr:uid="{00000000-0005-0000-0000-0000FA150000}"/>
    <cellStyle name="Normal 4 2 2 3 5 2" xfId="28275" xr:uid="{00000000-0005-0000-0000-0000FB150000}"/>
    <cellStyle name="Normal 4 2 2 3 5 2 2" xfId="28276" xr:uid="{00000000-0005-0000-0000-0000FC150000}"/>
    <cellStyle name="Normal 4 2 2 3 5 2 2 2" xfId="34887" xr:uid="{95FFD783-0FD5-4A00-A776-C76BA2D49EE8}"/>
    <cellStyle name="Normal 4 2 2 3 5 2 3" xfId="28277" xr:uid="{00000000-0005-0000-0000-0000FD150000}"/>
    <cellStyle name="Normal 4 2 2 3 5 2 3 2" xfId="34888" xr:uid="{AADED15E-458A-40AF-88AA-699FC6988D43}"/>
    <cellStyle name="Normal 4 2 2 3 5 2 4" xfId="34886" xr:uid="{46635E09-51FE-4225-B4E5-CCB185FD00F1}"/>
    <cellStyle name="Normal 4 2 2 3 5 3" xfId="28278" xr:uid="{00000000-0005-0000-0000-0000FE150000}"/>
    <cellStyle name="Normal 4 2 2 3 5 3 2" xfId="34889" xr:uid="{7450B503-9A49-4567-B702-17A1E327EC96}"/>
    <cellStyle name="Normal 4 2 2 3 5 4" xfId="28279" xr:uid="{00000000-0005-0000-0000-0000FF150000}"/>
    <cellStyle name="Normal 4 2 2 3 5 4 2" xfId="34890" xr:uid="{943322D3-5D3E-4FBD-87CF-A4D50A6810F2}"/>
    <cellStyle name="Normal 4 2 2 3 5 5" xfId="28280" xr:uid="{00000000-0005-0000-0000-000000160000}"/>
    <cellStyle name="Normal 4 2 2 3 5 5 2" xfId="34891" xr:uid="{292A4304-9F65-41C9-986D-0C73470D52EB}"/>
    <cellStyle name="Normal 4 2 2 3 5 6" xfId="34885" xr:uid="{0D56FA00-638A-4E3E-A58D-2102FD7F13CF}"/>
    <cellStyle name="Normal 4 2 2 3 6" xfId="28281" xr:uid="{00000000-0005-0000-0000-000001160000}"/>
    <cellStyle name="Normal 4 2 2 3 6 2" xfId="28282" xr:uid="{00000000-0005-0000-0000-000002160000}"/>
    <cellStyle name="Normal 4 2 2 3 6 2 2" xfId="34893" xr:uid="{227C6E9A-90C1-4393-A176-58107858A6C5}"/>
    <cellStyle name="Normal 4 2 2 3 6 3" xfId="28283" xr:uid="{00000000-0005-0000-0000-000003160000}"/>
    <cellStyle name="Normal 4 2 2 3 6 3 2" xfId="34894" xr:uid="{70EF87EC-A832-454A-9735-BCE0CF2298FE}"/>
    <cellStyle name="Normal 4 2 2 3 6 4" xfId="34892" xr:uid="{19C8D18A-CE6B-406D-91C3-B0A645705B1A}"/>
    <cellStyle name="Normal 4 2 2 3 7" xfId="28284" xr:uid="{00000000-0005-0000-0000-000004160000}"/>
    <cellStyle name="Normal 4 2 2 3 7 2" xfId="34895" xr:uid="{9DA423C1-1894-4A75-AF64-077D2DC496E2}"/>
    <cellStyle name="Normal 4 2 2 3 8" xfId="28285" xr:uid="{00000000-0005-0000-0000-000005160000}"/>
    <cellStyle name="Normal 4 2 2 3 8 2" xfId="34896" xr:uid="{570F898B-F33E-421E-BF72-1812A9677B23}"/>
    <cellStyle name="Normal 4 2 2 3 9" xfId="28286" xr:uid="{00000000-0005-0000-0000-000006160000}"/>
    <cellStyle name="Normal 4 2 2 3 9 2" xfId="34897" xr:uid="{DC5F71AC-7D88-48AE-BBA6-B0D7B914CD15}"/>
    <cellStyle name="Normal 4 2 2 4" xfId="28287" xr:uid="{00000000-0005-0000-0000-000007160000}"/>
    <cellStyle name="Normal 4 2 2 4 10" xfId="34898" xr:uid="{1CE98106-0B07-4D70-B636-C7E368B6EB82}"/>
    <cellStyle name="Normal 4 2 2 4 2" xfId="28288" xr:uid="{00000000-0005-0000-0000-000008160000}"/>
    <cellStyle name="Normal 4 2 2 4 2 2" xfId="28289" xr:uid="{00000000-0005-0000-0000-000009160000}"/>
    <cellStyle name="Normal 4 2 2 4 2 2 2" xfId="28290" xr:uid="{00000000-0005-0000-0000-00000A160000}"/>
    <cellStyle name="Normal 4 2 2 4 2 2 2 2" xfId="28291" xr:uid="{00000000-0005-0000-0000-00000B160000}"/>
    <cellStyle name="Normal 4 2 2 4 2 2 2 2 2" xfId="28292" xr:uid="{00000000-0005-0000-0000-00000C160000}"/>
    <cellStyle name="Normal 4 2 2 4 2 2 2 2 2 2" xfId="34903" xr:uid="{3152A6AE-7477-4697-9FE1-D3522A6CE9F9}"/>
    <cellStyle name="Normal 4 2 2 4 2 2 2 2 3" xfId="28293" xr:uid="{00000000-0005-0000-0000-00000D160000}"/>
    <cellStyle name="Normal 4 2 2 4 2 2 2 2 3 2" xfId="34904" xr:uid="{F31ABCEE-AE74-411B-AAF0-3925A967B6AD}"/>
    <cellStyle name="Normal 4 2 2 4 2 2 2 2 4" xfId="34902" xr:uid="{AD2BD277-08FB-4BA8-A7D2-3C1DFCDC57EC}"/>
    <cellStyle name="Normal 4 2 2 4 2 2 2 3" xfId="28294" xr:uid="{00000000-0005-0000-0000-00000E160000}"/>
    <cellStyle name="Normal 4 2 2 4 2 2 2 3 2" xfId="34905" xr:uid="{C2B5197C-1A2D-49F2-9E73-C948D0FD4AE3}"/>
    <cellStyle name="Normal 4 2 2 4 2 2 2 4" xfId="28295" xr:uid="{00000000-0005-0000-0000-00000F160000}"/>
    <cellStyle name="Normal 4 2 2 4 2 2 2 4 2" xfId="34906" xr:uid="{A6581671-7D95-483A-B510-3DA74FA4F8AE}"/>
    <cellStyle name="Normal 4 2 2 4 2 2 2 5" xfId="28296" xr:uid="{00000000-0005-0000-0000-000010160000}"/>
    <cellStyle name="Normal 4 2 2 4 2 2 2 5 2" xfId="34907" xr:uid="{4BFBEB99-17E3-4265-B9FB-9753298DAA3A}"/>
    <cellStyle name="Normal 4 2 2 4 2 2 2 6" xfId="34901" xr:uid="{6CBE8F48-3E3D-4136-B910-D17BE370CE5A}"/>
    <cellStyle name="Normal 4 2 2 4 2 2 3" xfId="28297" xr:uid="{00000000-0005-0000-0000-000011160000}"/>
    <cellStyle name="Normal 4 2 2 4 2 2 3 2" xfId="28298" xr:uid="{00000000-0005-0000-0000-000012160000}"/>
    <cellStyle name="Normal 4 2 2 4 2 2 3 2 2" xfId="28299" xr:uid="{00000000-0005-0000-0000-000013160000}"/>
    <cellStyle name="Normal 4 2 2 4 2 2 3 2 2 2" xfId="34910" xr:uid="{E40AB04B-8340-4685-BE80-3D5900E47E3C}"/>
    <cellStyle name="Normal 4 2 2 4 2 2 3 2 3" xfId="28300" xr:uid="{00000000-0005-0000-0000-000014160000}"/>
    <cellStyle name="Normal 4 2 2 4 2 2 3 2 3 2" xfId="34911" xr:uid="{0D1FAF41-08D0-4797-8340-20DD8B5E3657}"/>
    <cellStyle name="Normal 4 2 2 4 2 2 3 2 4" xfId="34909" xr:uid="{16478936-916A-4702-96F3-730AE5AD1BE8}"/>
    <cellStyle name="Normal 4 2 2 4 2 2 3 3" xfId="28301" xr:uid="{00000000-0005-0000-0000-000015160000}"/>
    <cellStyle name="Normal 4 2 2 4 2 2 3 3 2" xfId="34912" xr:uid="{5DB30242-4F26-4820-B7CC-84406FD616AD}"/>
    <cellStyle name="Normal 4 2 2 4 2 2 3 4" xfId="28302" xr:uid="{00000000-0005-0000-0000-000016160000}"/>
    <cellStyle name="Normal 4 2 2 4 2 2 3 4 2" xfId="34913" xr:uid="{4AC17943-C33A-49AA-8E4C-E2EB0DD20F31}"/>
    <cellStyle name="Normal 4 2 2 4 2 2 3 5" xfId="28303" xr:uid="{00000000-0005-0000-0000-000017160000}"/>
    <cellStyle name="Normal 4 2 2 4 2 2 3 5 2" xfId="34914" xr:uid="{A3DEB6B0-7996-45F7-97E4-A849262A39A4}"/>
    <cellStyle name="Normal 4 2 2 4 2 2 3 6" xfId="34908" xr:uid="{0C830EB8-2030-4FF9-8DB6-39E287E9B236}"/>
    <cellStyle name="Normal 4 2 2 4 2 2 4" xfId="28304" xr:uid="{00000000-0005-0000-0000-000018160000}"/>
    <cellStyle name="Normal 4 2 2 4 2 2 4 2" xfId="28305" xr:uid="{00000000-0005-0000-0000-000019160000}"/>
    <cellStyle name="Normal 4 2 2 4 2 2 4 2 2" xfId="34916" xr:uid="{2D7E2455-B771-42F1-96D7-AB999EA1266B}"/>
    <cellStyle name="Normal 4 2 2 4 2 2 4 3" xfId="28306" xr:uid="{00000000-0005-0000-0000-00001A160000}"/>
    <cellStyle name="Normal 4 2 2 4 2 2 4 3 2" xfId="34917" xr:uid="{71D89348-3821-4A6B-AF59-9EC8FE34100D}"/>
    <cellStyle name="Normal 4 2 2 4 2 2 4 4" xfId="34915" xr:uid="{06A08DDF-E56B-4CEA-867F-BAE2BA572843}"/>
    <cellStyle name="Normal 4 2 2 4 2 2 5" xfId="28307" xr:uid="{00000000-0005-0000-0000-00001B160000}"/>
    <cellStyle name="Normal 4 2 2 4 2 2 5 2" xfId="34918" xr:uid="{0B620FD7-517A-4FE5-8261-459F9C383033}"/>
    <cellStyle name="Normal 4 2 2 4 2 2 6" xfId="28308" xr:uid="{00000000-0005-0000-0000-00001C160000}"/>
    <cellStyle name="Normal 4 2 2 4 2 2 6 2" xfId="34919" xr:uid="{E7DA4816-9F05-4503-BD63-96BD62D97582}"/>
    <cellStyle name="Normal 4 2 2 4 2 2 7" xfId="28309" xr:uid="{00000000-0005-0000-0000-00001D160000}"/>
    <cellStyle name="Normal 4 2 2 4 2 2 7 2" xfId="34920" xr:uid="{4D1A4677-9F14-4740-9A03-697DCCC8D37A}"/>
    <cellStyle name="Normal 4 2 2 4 2 2 8" xfId="34900" xr:uid="{A7364B6C-C4D9-4E10-82F0-9A50028953CB}"/>
    <cellStyle name="Normal 4 2 2 4 2 3" xfId="28310" xr:uid="{00000000-0005-0000-0000-00001E160000}"/>
    <cellStyle name="Normal 4 2 2 4 2 3 2" xfId="28311" xr:uid="{00000000-0005-0000-0000-00001F160000}"/>
    <cellStyle name="Normal 4 2 2 4 2 3 2 2" xfId="28312" xr:uid="{00000000-0005-0000-0000-000020160000}"/>
    <cellStyle name="Normal 4 2 2 4 2 3 2 2 2" xfId="34923" xr:uid="{1CDB25C5-0E3E-48C5-A95E-55F6CE7B7D9A}"/>
    <cellStyle name="Normal 4 2 2 4 2 3 2 3" xfId="28313" xr:uid="{00000000-0005-0000-0000-000021160000}"/>
    <cellStyle name="Normal 4 2 2 4 2 3 2 3 2" xfId="34924" xr:uid="{12DE41B6-3494-4692-911D-09E5A532ED55}"/>
    <cellStyle name="Normal 4 2 2 4 2 3 2 4" xfId="34922" xr:uid="{26FBE02B-BB76-48EF-87EB-5906F8ED5423}"/>
    <cellStyle name="Normal 4 2 2 4 2 3 3" xfId="28314" xr:uid="{00000000-0005-0000-0000-000022160000}"/>
    <cellStyle name="Normal 4 2 2 4 2 3 3 2" xfId="34925" xr:uid="{1EE4947B-3B8E-4D88-9CD7-012C4DA38023}"/>
    <cellStyle name="Normal 4 2 2 4 2 3 4" xfId="28315" xr:uid="{00000000-0005-0000-0000-000023160000}"/>
    <cellStyle name="Normal 4 2 2 4 2 3 4 2" xfId="34926" xr:uid="{2F7D408D-031B-42C8-983C-2AD5FB4F7017}"/>
    <cellStyle name="Normal 4 2 2 4 2 3 5" xfId="28316" xr:uid="{00000000-0005-0000-0000-000024160000}"/>
    <cellStyle name="Normal 4 2 2 4 2 3 5 2" xfId="34927" xr:uid="{60093017-A08C-42FF-8BD4-AB62B166342B}"/>
    <cellStyle name="Normal 4 2 2 4 2 3 6" xfId="34921" xr:uid="{130A0B9C-3AA8-499C-8DAC-74BFFE0A6F21}"/>
    <cellStyle name="Normal 4 2 2 4 2 4" xfId="28317" xr:uid="{00000000-0005-0000-0000-000025160000}"/>
    <cellStyle name="Normal 4 2 2 4 2 4 2" xfId="28318" xr:uid="{00000000-0005-0000-0000-000026160000}"/>
    <cellStyle name="Normal 4 2 2 4 2 4 2 2" xfId="28319" xr:uid="{00000000-0005-0000-0000-000027160000}"/>
    <cellStyle name="Normal 4 2 2 4 2 4 2 2 2" xfId="34930" xr:uid="{1105F1D5-AFC0-44C9-8583-6182B88C37EA}"/>
    <cellStyle name="Normal 4 2 2 4 2 4 2 3" xfId="28320" xr:uid="{00000000-0005-0000-0000-000028160000}"/>
    <cellStyle name="Normal 4 2 2 4 2 4 2 3 2" xfId="34931" xr:uid="{74EBA877-B5C3-4588-AEF4-D808DF3D872E}"/>
    <cellStyle name="Normal 4 2 2 4 2 4 2 4" xfId="34929" xr:uid="{AB5CB6FB-0CCC-4E38-9DB5-4A26F33A47E3}"/>
    <cellStyle name="Normal 4 2 2 4 2 4 3" xfId="28321" xr:uid="{00000000-0005-0000-0000-000029160000}"/>
    <cellStyle name="Normal 4 2 2 4 2 4 3 2" xfId="34932" xr:uid="{F9A81D54-8900-4782-8B79-866EC1563A94}"/>
    <cellStyle name="Normal 4 2 2 4 2 4 4" xfId="28322" xr:uid="{00000000-0005-0000-0000-00002A160000}"/>
    <cellStyle name="Normal 4 2 2 4 2 4 4 2" xfId="34933" xr:uid="{6F436220-DDB0-4B43-A345-489E75DA9109}"/>
    <cellStyle name="Normal 4 2 2 4 2 4 5" xfId="28323" xr:uid="{00000000-0005-0000-0000-00002B160000}"/>
    <cellStyle name="Normal 4 2 2 4 2 4 5 2" xfId="34934" xr:uid="{6A3171EB-FBAF-4527-99AC-1FCF2217A794}"/>
    <cellStyle name="Normal 4 2 2 4 2 4 6" xfId="34928" xr:uid="{A5EE1B55-3AF2-4CEB-9BF9-BBAD1B650E1F}"/>
    <cellStyle name="Normal 4 2 2 4 2 5" xfId="28324" xr:uid="{00000000-0005-0000-0000-00002C160000}"/>
    <cellStyle name="Normal 4 2 2 4 2 5 2" xfId="28325" xr:uid="{00000000-0005-0000-0000-00002D160000}"/>
    <cellStyle name="Normal 4 2 2 4 2 5 2 2" xfId="34936" xr:uid="{B45E4687-E4EC-4EDF-A6DD-141CE3384A0C}"/>
    <cellStyle name="Normal 4 2 2 4 2 5 3" xfId="28326" xr:uid="{00000000-0005-0000-0000-00002E160000}"/>
    <cellStyle name="Normal 4 2 2 4 2 5 3 2" xfId="34937" xr:uid="{9ABD9A4F-C1CF-479F-B1B4-D4D26BF74093}"/>
    <cellStyle name="Normal 4 2 2 4 2 5 4" xfId="34935" xr:uid="{90DD180A-8460-4F46-AC1D-748C2CC3255F}"/>
    <cellStyle name="Normal 4 2 2 4 2 6" xfId="28327" xr:uid="{00000000-0005-0000-0000-00002F160000}"/>
    <cellStyle name="Normal 4 2 2 4 2 6 2" xfId="34938" xr:uid="{B9156A0B-D7F9-4A2C-AC27-A7B7B683BE46}"/>
    <cellStyle name="Normal 4 2 2 4 2 7" xfId="28328" xr:uid="{00000000-0005-0000-0000-000030160000}"/>
    <cellStyle name="Normal 4 2 2 4 2 7 2" xfId="34939" xr:uid="{3210151A-1E69-4B4B-B82C-585CF3465477}"/>
    <cellStyle name="Normal 4 2 2 4 2 8" xfId="28329" xr:uid="{00000000-0005-0000-0000-000031160000}"/>
    <cellStyle name="Normal 4 2 2 4 2 8 2" xfId="34940" xr:uid="{2622012F-2BE7-4267-97E4-BBCFD7F814C5}"/>
    <cellStyle name="Normal 4 2 2 4 2 9" xfId="34899" xr:uid="{BA15B37C-F5CF-4B4D-BD78-BBC351ED6B9D}"/>
    <cellStyle name="Normal 4 2 2 4 3" xfId="28330" xr:uid="{00000000-0005-0000-0000-000032160000}"/>
    <cellStyle name="Normal 4 2 2 4 3 2" xfId="28331" xr:uid="{00000000-0005-0000-0000-000033160000}"/>
    <cellStyle name="Normal 4 2 2 4 3 2 2" xfId="28332" xr:uid="{00000000-0005-0000-0000-000034160000}"/>
    <cellStyle name="Normal 4 2 2 4 3 2 2 2" xfId="28333" xr:uid="{00000000-0005-0000-0000-000035160000}"/>
    <cellStyle name="Normal 4 2 2 4 3 2 2 2 2" xfId="34944" xr:uid="{44F20789-40F9-4361-B82A-1042120DF14E}"/>
    <cellStyle name="Normal 4 2 2 4 3 2 2 3" xfId="28334" xr:uid="{00000000-0005-0000-0000-000036160000}"/>
    <cellStyle name="Normal 4 2 2 4 3 2 2 3 2" xfId="34945" xr:uid="{F757270C-A65C-4F27-8CB8-DCA2B74FFA6B}"/>
    <cellStyle name="Normal 4 2 2 4 3 2 2 4" xfId="34943" xr:uid="{5D42EEA7-EF5D-44EE-B0E5-369F3FBDEA21}"/>
    <cellStyle name="Normal 4 2 2 4 3 2 3" xfId="28335" xr:uid="{00000000-0005-0000-0000-000037160000}"/>
    <cellStyle name="Normal 4 2 2 4 3 2 3 2" xfId="34946" xr:uid="{18A2291A-4FEF-44B6-9933-346052222260}"/>
    <cellStyle name="Normal 4 2 2 4 3 2 4" xfId="28336" xr:uid="{00000000-0005-0000-0000-000038160000}"/>
    <cellStyle name="Normal 4 2 2 4 3 2 4 2" xfId="34947" xr:uid="{AD8DB0F3-AED4-4C57-B11E-A9150DF4A55E}"/>
    <cellStyle name="Normal 4 2 2 4 3 2 5" xfId="28337" xr:uid="{00000000-0005-0000-0000-000039160000}"/>
    <cellStyle name="Normal 4 2 2 4 3 2 5 2" xfId="34948" xr:uid="{5E4E9CBF-CF0B-4263-922F-90509325E0A0}"/>
    <cellStyle name="Normal 4 2 2 4 3 2 6" xfId="34942" xr:uid="{3F0F41EE-0550-427D-8743-FE237A0274CE}"/>
    <cellStyle name="Normal 4 2 2 4 3 3" xfId="28338" xr:uid="{00000000-0005-0000-0000-00003A160000}"/>
    <cellStyle name="Normal 4 2 2 4 3 3 2" xfId="28339" xr:uid="{00000000-0005-0000-0000-00003B160000}"/>
    <cellStyle name="Normal 4 2 2 4 3 3 2 2" xfId="28340" xr:uid="{00000000-0005-0000-0000-00003C160000}"/>
    <cellStyle name="Normal 4 2 2 4 3 3 2 2 2" xfId="34951" xr:uid="{0557402B-A02F-4F0D-B136-14C5A3C51BAA}"/>
    <cellStyle name="Normal 4 2 2 4 3 3 2 3" xfId="28341" xr:uid="{00000000-0005-0000-0000-00003D160000}"/>
    <cellStyle name="Normal 4 2 2 4 3 3 2 3 2" xfId="34952" xr:uid="{9F270F3B-0883-438E-8007-790A30D01832}"/>
    <cellStyle name="Normal 4 2 2 4 3 3 2 4" xfId="34950" xr:uid="{8FF2E72F-A2E7-4A50-84B9-5D30A79AC629}"/>
    <cellStyle name="Normal 4 2 2 4 3 3 3" xfId="28342" xr:uid="{00000000-0005-0000-0000-00003E160000}"/>
    <cellStyle name="Normal 4 2 2 4 3 3 3 2" xfId="34953" xr:uid="{880C1BCD-132D-4886-984D-C6EED9B7ACF6}"/>
    <cellStyle name="Normal 4 2 2 4 3 3 4" xfId="28343" xr:uid="{00000000-0005-0000-0000-00003F160000}"/>
    <cellStyle name="Normal 4 2 2 4 3 3 4 2" xfId="34954" xr:uid="{BC067729-99CF-410A-BDDD-532D96EE3943}"/>
    <cellStyle name="Normal 4 2 2 4 3 3 5" xfId="28344" xr:uid="{00000000-0005-0000-0000-000040160000}"/>
    <cellStyle name="Normal 4 2 2 4 3 3 5 2" xfId="34955" xr:uid="{6093B701-2828-4A36-B538-A8E67AF95B28}"/>
    <cellStyle name="Normal 4 2 2 4 3 3 6" xfId="34949" xr:uid="{7C7486DC-DCF2-4519-9408-95F8280F1A32}"/>
    <cellStyle name="Normal 4 2 2 4 3 4" xfId="28345" xr:uid="{00000000-0005-0000-0000-000041160000}"/>
    <cellStyle name="Normal 4 2 2 4 3 4 2" xfId="28346" xr:uid="{00000000-0005-0000-0000-000042160000}"/>
    <cellStyle name="Normal 4 2 2 4 3 4 2 2" xfId="34957" xr:uid="{6F9670B2-9CB8-424F-8CDA-8439B54DEC44}"/>
    <cellStyle name="Normal 4 2 2 4 3 4 3" xfId="28347" xr:uid="{00000000-0005-0000-0000-000043160000}"/>
    <cellStyle name="Normal 4 2 2 4 3 4 3 2" xfId="34958" xr:uid="{1CCB16CF-8930-49CA-A7D8-BE6344DC2B20}"/>
    <cellStyle name="Normal 4 2 2 4 3 4 4" xfId="34956" xr:uid="{E5EED2D1-8D78-4B17-B3BB-96CA42EE846A}"/>
    <cellStyle name="Normal 4 2 2 4 3 5" xfId="28348" xr:uid="{00000000-0005-0000-0000-000044160000}"/>
    <cellStyle name="Normal 4 2 2 4 3 5 2" xfId="34959" xr:uid="{E2756E10-4DA4-43AC-8590-240EFDAFE24F}"/>
    <cellStyle name="Normal 4 2 2 4 3 6" xfId="28349" xr:uid="{00000000-0005-0000-0000-000045160000}"/>
    <cellStyle name="Normal 4 2 2 4 3 6 2" xfId="34960" xr:uid="{7A98BB3E-7E28-4116-8952-5EBBDA635DA9}"/>
    <cellStyle name="Normal 4 2 2 4 3 7" xfId="28350" xr:uid="{00000000-0005-0000-0000-000046160000}"/>
    <cellStyle name="Normal 4 2 2 4 3 7 2" xfId="34961" xr:uid="{878E3943-1223-41C0-AC37-C7255DDDDEF9}"/>
    <cellStyle name="Normal 4 2 2 4 3 8" xfId="34941" xr:uid="{E87F0CA2-5E48-4B80-B14F-8BCC1FFE8B09}"/>
    <cellStyle name="Normal 4 2 2 4 4" xfId="28351" xr:uid="{00000000-0005-0000-0000-000047160000}"/>
    <cellStyle name="Normal 4 2 2 4 4 2" xfId="28352" xr:uid="{00000000-0005-0000-0000-000048160000}"/>
    <cellStyle name="Normal 4 2 2 4 4 2 2" xfId="28353" xr:uid="{00000000-0005-0000-0000-000049160000}"/>
    <cellStyle name="Normal 4 2 2 4 4 2 2 2" xfId="34964" xr:uid="{7C370BF6-8186-4364-B6C8-8B446D8EE800}"/>
    <cellStyle name="Normal 4 2 2 4 4 2 3" xfId="28354" xr:uid="{00000000-0005-0000-0000-00004A160000}"/>
    <cellStyle name="Normal 4 2 2 4 4 2 3 2" xfId="34965" xr:uid="{F7A8BA72-A3BC-45FD-B0BD-E74ABF86644A}"/>
    <cellStyle name="Normal 4 2 2 4 4 2 4" xfId="34963" xr:uid="{E4106186-6D48-4B58-B0F4-A3F732619B76}"/>
    <cellStyle name="Normal 4 2 2 4 4 3" xfId="28355" xr:uid="{00000000-0005-0000-0000-00004B160000}"/>
    <cellStyle name="Normal 4 2 2 4 4 3 2" xfId="34966" xr:uid="{E2312436-EE39-44EF-B85F-656D5A12F42F}"/>
    <cellStyle name="Normal 4 2 2 4 4 4" xfId="28356" xr:uid="{00000000-0005-0000-0000-00004C160000}"/>
    <cellStyle name="Normal 4 2 2 4 4 4 2" xfId="34967" xr:uid="{2B5BD131-19FA-414C-ACB8-20F925781135}"/>
    <cellStyle name="Normal 4 2 2 4 4 5" xfId="28357" xr:uid="{00000000-0005-0000-0000-00004D160000}"/>
    <cellStyle name="Normal 4 2 2 4 4 5 2" xfId="34968" xr:uid="{DCEB1471-4090-4730-96E2-8495D6D4AC29}"/>
    <cellStyle name="Normal 4 2 2 4 4 6" xfId="34962" xr:uid="{621C4ADB-DDD8-40FF-ACEF-A57903F90D21}"/>
    <cellStyle name="Normal 4 2 2 4 5" xfId="28358" xr:uid="{00000000-0005-0000-0000-00004E160000}"/>
    <cellStyle name="Normal 4 2 2 4 5 2" xfId="28359" xr:uid="{00000000-0005-0000-0000-00004F160000}"/>
    <cellStyle name="Normal 4 2 2 4 5 2 2" xfId="28360" xr:uid="{00000000-0005-0000-0000-000050160000}"/>
    <cellStyle name="Normal 4 2 2 4 5 2 2 2" xfId="34971" xr:uid="{7C0CD184-378C-4AF7-A9A0-65DB8A71503A}"/>
    <cellStyle name="Normal 4 2 2 4 5 2 3" xfId="28361" xr:uid="{00000000-0005-0000-0000-000051160000}"/>
    <cellStyle name="Normal 4 2 2 4 5 2 3 2" xfId="34972" xr:uid="{E595CC54-ADE5-4583-ABD6-F401BCD061C1}"/>
    <cellStyle name="Normal 4 2 2 4 5 2 4" xfId="34970" xr:uid="{CB65CD31-44B0-4CA8-82EC-BE7EFC4A57AE}"/>
    <cellStyle name="Normal 4 2 2 4 5 3" xfId="28362" xr:uid="{00000000-0005-0000-0000-000052160000}"/>
    <cellStyle name="Normal 4 2 2 4 5 3 2" xfId="34973" xr:uid="{D2AF09CF-92EA-4E3F-B129-D22216DB8698}"/>
    <cellStyle name="Normal 4 2 2 4 5 4" xfId="28363" xr:uid="{00000000-0005-0000-0000-000053160000}"/>
    <cellStyle name="Normal 4 2 2 4 5 4 2" xfId="34974" xr:uid="{E2EBF7EA-1B6D-4FC2-B1DF-A578794ED110}"/>
    <cellStyle name="Normal 4 2 2 4 5 5" xfId="28364" xr:uid="{00000000-0005-0000-0000-000054160000}"/>
    <cellStyle name="Normal 4 2 2 4 5 5 2" xfId="34975" xr:uid="{A44FF130-126C-4A34-8198-B078393A94DB}"/>
    <cellStyle name="Normal 4 2 2 4 5 6" xfId="34969" xr:uid="{B379DF07-C9C4-4748-9E62-4099F7BE972B}"/>
    <cellStyle name="Normal 4 2 2 4 6" xfId="28365" xr:uid="{00000000-0005-0000-0000-000055160000}"/>
    <cellStyle name="Normal 4 2 2 4 6 2" xfId="28366" xr:uid="{00000000-0005-0000-0000-000056160000}"/>
    <cellStyle name="Normal 4 2 2 4 6 2 2" xfId="34977" xr:uid="{6ADB33DC-92A4-42AD-84F5-7C4997032BFE}"/>
    <cellStyle name="Normal 4 2 2 4 6 3" xfId="28367" xr:uid="{00000000-0005-0000-0000-000057160000}"/>
    <cellStyle name="Normal 4 2 2 4 6 3 2" xfId="34978" xr:uid="{584B272D-99D7-4FDD-9128-CFE2262D68A0}"/>
    <cellStyle name="Normal 4 2 2 4 6 4" xfId="34976" xr:uid="{46D39289-3DA3-40DC-AE38-909B7866DA19}"/>
    <cellStyle name="Normal 4 2 2 4 7" xfId="28368" xr:uid="{00000000-0005-0000-0000-000058160000}"/>
    <cellStyle name="Normal 4 2 2 4 7 2" xfId="34979" xr:uid="{34105CC6-6ADB-4CE1-A169-15B9FD2EED48}"/>
    <cellStyle name="Normal 4 2 2 4 8" xfId="28369" xr:uid="{00000000-0005-0000-0000-000059160000}"/>
    <cellStyle name="Normal 4 2 2 4 8 2" xfId="34980" xr:uid="{B07C8479-0F51-4CA7-89FF-CF8FDF0ED4AF}"/>
    <cellStyle name="Normal 4 2 2 4 9" xfId="28370" xr:uid="{00000000-0005-0000-0000-00005A160000}"/>
    <cellStyle name="Normal 4 2 2 4 9 2" xfId="34981" xr:uid="{9A609F84-70B7-40C3-9E6C-59D3C5CA761E}"/>
    <cellStyle name="Normal 4 2 2 5" xfId="28371" xr:uid="{00000000-0005-0000-0000-00005B160000}"/>
    <cellStyle name="Normal 4 2 2 5 10" xfId="34982" xr:uid="{90255543-2A72-4AF1-8F5F-FF28B7DBE4A9}"/>
    <cellStyle name="Normal 4 2 2 5 2" xfId="28372" xr:uid="{00000000-0005-0000-0000-00005C160000}"/>
    <cellStyle name="Normal 4 2 2 5 2 2" xfId="28373" xr:uid="{00000000-0005-0000-0000-00005D160000}"/>
    <cellStyle name="Normal 4 2 2 5 2 2 2" xfId="28374" xr:uid="{00000000-0005-0000-0000-00005E160000}"/>
    <cellStyle name="Normal 4 2 2 5 2 2 2 2" xfId="28375" xr:uid="{00000000-0005-0000-0000-00005F160000}"/>
    <cellStyle name="Normal 4 2 2 5 2 2 2 2 2" xfId="28376" xr:uid="{00000000-0005-0000-0000-000060160000}"/>
    <cellStyle name="Normal 4 2 2 5 2 2 2 2 2 2" xfId="34987" xr:uid="{5E940560-1A20-41B8-872E-073A03FE2C62}"/>
    <cellStyle name="Normal 4 2 2 5 2 2 2 2 3" xfId="28377" xr:uid="{00000000-0005-0000-0000-000061160000}"/>
    <cellStyle name="Normal 4 2 2 5 2 2 2 2 3 2" xfId="34988" xr:uid="{D60D97CF-97B2-4DB3-9974-8A223FC9E493}"/>
    <cellStyle name="Normal 4 2 2 5 2 2 2 2 4" xfId="34986" xr:uid="{BED662C9-35BA-4A23-ABB8-1E5B074E9F4C}"/>
    <cellStyle name="Normal 4 2 2 5 2 2 2 3" xfId="28378" xr:uid="{00000000-0005-0000-0000-000062160000}"/>
    <cellStyle name="Normal 4 2 2 5 2 2 2 3 2" xfId="34989" xr:uid="{56E74861-8EE1-4962-9D66-8CEE8EF07311}"/>
    <cellStyle name="Normal 4 2 2 5 2 2 2 4" xfId="28379" xr:uid="{00000000-0005-0000-0000-000063160000}"/>
    <cellStyle name="Normal 4 2 2 5 2 2 2 4 2" xfId="34990" xr:uid="{614D79B2-4075-4B43-B68B-7D811A117C2A}"/>
    <cellStyle name="Normal 4 2 2 5 2 2 2 5" xfId="28380" xr:uid="{00000000-0005-0000-0000-000064160000}"/>
    <cellStyle name="Normal 4 2 2 5 2 2 2 5 2" xfId="34991" xr:uid="{AB67886E-E82C-4280-824A-FA7F84A46368}"/>
    <cellStyle name="Normal 4 2 2 5 2 2 2 6" xfId="34985" xr:uid="{BC249230-3791-44D4-8E22-3083F7837027}"/>
    <cellStyle name="Normal 4 2 2 5 2 2 3" xfId="28381" xr:uid="{00000000-0005-0000-0000-000065160000}"/>
    <cellStyle name="Normal 4 2 2 5 2 2 3 2" xfId="28382" xr:uid="{00000000-0005-0000-0000-000066160000}"/>
    <cellStyle name="Normal 4 2 2 5 2 2 3 2 2" xfId="28383" xr:uid="{00000000-0005-0000-0000-000067160000}"/>
    <cellStyle name="Normal 4 2 2 5 2 2 3 2 2 2" xfId="34994" xr:uid="{C8B4DFE0-3A8D-4986-900B-DF712710A2D0}"/>
    <cellStyle name="Normal 4 2 2 5 2 2 3 2 3" xfId="28384" xr:uid="{00000000-0005-0000-0000-000068160000}"/>
    <cellStyle name="Normal 4 2 2 5 2 2 3 2 3 2" xfId="34995" xr:uid="{0B80CB00-A15B-403F-B7BD-F6DA922DDBAC}"/>
    <cellStyle name="Normal 4 2 2 5 2 2 3 2 4" xfId="34993" xr:uid="{B5E98A25-DE58-4528-88D4-15A0F0ABD1B7}"/>
    <cellStyle name="Normal 4 2 2 5 2 2 3 3" xfId="28385" xr:uid="{00000000-0005-0000-0000-000069160000}"/>
    <cellStyle name="Normal 4 2 2 5 2 2 3 3 2" xfId="34996" xr:uid="{BE563637-DFAF-4DF4-A054-CFE5157C5A08}"/>
    <cellStyle name="Normal 4 2 2 5 2 2 3 4" xfId="28386" xr:uid="{00000000-0005-0000-0000-00006A160000}"/>
    <cellStyle name="Normal 4 2 2 5 2 2 3 4 2" xfId="34997" xr:uid="{A00168D4-3BC6-48E1-BC71-C769AF8C1806}"/>
    <cellStyle name="Normal 4 2 2 5 2 2 3 5" xfId="28387" xr:uid="{00000000-0005-0000-0000-00006B160000}"/>
    <cellStyle name="Normal 4 2 2 5 2 2 3 5 2" xfId="34998" xr:uid="{5CEB07F6-E5F9-4117-91E6-6B7259EB7B3B}"/>
    <cellStyle name="Normal 4 2 2 5 2 2 3 6" xfId="34992" xr:uid="{B23136C5-92D6-4373-8A91-CE8F6F3DAE40}"/>
    <cellStyle name="Normal 4 2 2 5 2 2 4" xfId="28388" xr:uid="{00000000-0005-0000-0000-00006C160000}"/>
    <cellStyle name="Normal 4 2 2 5 2 2 4 2" xfId="28389" xr:uid="{00000000-0005-0000-0000-00006D160000}"/>
    <cellStyle name="Normal 4 2 2 5 2 2 4 2 2" xfId="35000" xr:uid="{F71797DC-5CE4-4FD3-84B9-5D62380F0352}"/>
    <cellStyle name="Normal 4 2 2 5 2 2 4 3" xfId="28390" xr:uid="{00000000-0005-0000-0000-00006E160000}"/>
    <cellStyle name="Normal 4 2 2 5 2 2 4 3 2" xfId="35001" xr:uid="{B6381725-9F12-4B70-AC94-31C0AAF8F14B}"/>
    <cellStyle name="Normal 4 2 2 5 2 2 4 4" xfId="34999" xr:uid="{E6679221-93EB-4AAD-A3ED-926FD0CED5E3}"/>
    <cellStyle name="Normal 4 2 2 5 2 2 5" xfId="28391" xr:uid="{00000000-0005-0000-0000-00006F160000}"/>
    <cellStyle name="Normal 4 2 2 5 2 2 5 2" xfId="35002" xr:uid="{BE7C2D24-A7D0-44FA-8943-B57E3308DEAC}"/>
    <cellStyle name="Normal 4 2 2 5 2 2 6" xfId="28392" xr:uid="{00000000-0005-0000-0000-000070160000}"/>
    <cellStyle name="Normal 4 2 2 5 2 2 6 2" xfId="35003" xr:uid="{A4F434FE-1FA6-4607-8141-D0D98F9C4A8D}"/>
    <cellStyle name="Normal 4 2 2 5 2 2 7" xfId="28393" xr:uid="{00000000-0005-0000-0000-000071160000}"/>
    <cellStyle name="Normal 4 2 2 5 2 2 7 2" xfId="35004" xr:uid="{58DDA972-74A0-4D22-8DA6-6144D760A4F5}"/>
    <cellStyle name="Normal 4 2 2 5 2 2 8" xfId="34984" xr:uid="{CE8F742A-C85F-440B-A234-43EA518DF971}"/>
    <cellStyle name="Normal 4 2 2 5 2 3" xfId="28394" xr:uid="{00000000-0005-0000-0000-000072160000}"/>
    <cellStyle name="Normal 4 2 2 5 2 3 2" xfId="28395" xr:uid="{00000000-0005-0000-0000-000073160000}"/>
    <cellStyle name="Normal 4 2 2 5 2 3 2 2" xfId="28396" xr:uid="{00000000-0005-0000-0000-000074160000}"/>
    <cellStyle name="Normal 4 2 2 5 2 3 2 2 2" xfId="35007" xr:uid="{03F0296E-5439-4E85-8BE8-9364AD48744E}"/>
    <cellStyle name="Normal 4 2 2 5 2 3 2 3" xfId="28397" xr:uid="{00000000-0005-0000-0000-000075160000}"/>
    <cellStyle name="Normal 4 2 2 5 2 3 2 3 2" xfId="35008" xr:uid="{78F55CA6-D7D1-4D00-9CF7-5F45EE21F855}"/>
    <cellStyle name="Normal 4 2 2 5 2 3 2 4" xfId="35006" xr:uid="{AD84947F-75D8-42C3-B3ED-9074FC70CFBE}"/>
    <cellStyle name="Normal 4 2 2 5 2 3 3" xfId="28398" xr:uid="{00000000-0005-0000-0000-000076160000}"/>
    <cellStyle name="Normal 4 2 2 5 2 3 3 2" xfId="35009" xr:uid="{C42BBFD6-B19C-4B7C-9E0E-E1DC14A6D8E8}"/>
    <cellStyle name="Normal 4 2 2 5 2 3 4" xfId="28399" xr:uid="{00000000-0005-0000-0000-000077160000}"/>
    <cellStyle name="Normal 4 2 2 5 2 3 4 2" xfId="35010" xr:uid="{EB43B418-3C9D-4378-A6A2-058524520267}"/>
    <cellStyle name="Normal 4 2 2 5 2 3 5" xfId="28400" xr:uid="{00000000-0005-0000-0000-000078160000}"/>
    <cellStyle name="Normal 4 2 2 5 2 3 5 2" xfId="35011" xr:uid="{746DABB0-7F7C-402C-B60E-930574F14DF2}"/>
    <cellStyle name="Normal 4 2 2 5 2 3 6" xfId="35005" xr:uid="{EBAC72D2-2258-490D-AD50-49BF91A04A6F}"/>
    <cellStyle name="Normal 4 2 2 5 2 4" xfId="28401" xr:uid="{00000000-0005-0000-0000-000079160000}"/>
    <cellStyle name="Normal 4 2 2 5 2 4 2" xfId="28402" xr:uid="{00000000-0005-0000-0000-00007A160000}"/>
    <cellStyle name="Normal 4 2 2 5 2 4 2 2" xfId="28403" xr:uid="{00000000-0005-0000-0000-00007B160000}"/>
    <cellStyle name="Normal 4 2 2 5 2 4 2 2 2" xfId="35014" xr:uid="{AFA8BB31-6037-402F-B503-999E3AFF435A}"/>
    <cellStyle name="Normal 4 2 2 5 2 4 2 3" xfId="28404" xr:uid="{00000000-0005-0000-0000-00007C160000}"/>
    <cellStyle name="Normal 4 2 2 5 2 4 2 3 2" xfId="35015" xr:uid="{A06CA5F3-B752-4E24-9DCB-2B7815CB0586}"/>
    <cellStyle name="Normal 4 2 2 5 2 4 2 4" xfId="35013" xr:uid="{97FA21B1-1FF3-4B6A-AB53-BEDAED2D916D}"/>
    <cellStyle name="Normal 4 2 2 5 2 4 3" xfId="28405" xr:uid="{00000000-0005-0000-0000-00007D160000}"/>
    <cellStyle name="Normal 4 2 2 5 2 4 3 2" xfId="35016" xr:uid="{7770740C-F17A-498D-9CAE-098B81A0D9C8}"/>
    <cellStyle name="Normal 4 2 2 5 2 4 4" xfId="28406" xr:uid="{00000000-0005-0000-0000-00007E160000}"/>
    <cellStyle name="Normal 4 2 2 5 2 4 4 2" xfId="35017" xr:uid="{CEA71F52-7F49-4889-8731-944706C24755}"/>
    <cellStyle name="Normal 4 2 2 5 2 4 5" xfId="28407" xr:uid="{00000000-0005-0000-0000-00007F160000}"/>
    <cellStyle name="Normal 4 2 2 5 2 4 5 2" xfId="35018" xr:uid="{FE7C3DDD-0C53-4E03-9CF5-25000E336A65}"/>
    <cellStyle name="Normal 4 2 2 5 2 4 6" xfId="35012" xr:uid="{16FBF78E-EEC4-45C0-8635-D2034F2A7C40}"/>
    <cellStyle name="Normal 4 2 2 5 2 5" xfId="28408" xr:uid="{00000000-0005-0000-0000-000080160000}"/>
    <cellStyle name="Normal 4 2 2 5 2 5 2" xfId="28409" xr:uid="{00000000-0005-0000-0000-000081160000}"/>
    <cellStyle name="Normal 4 2 2 5 2 5 2 2" xfId="35020" xr:uid="{69C3DEF5-70A9-4030-B07E-B301A2A4CB6A}"/>
    <cellStyle name="Normal 4 2 2 5 2 5 3" xfId="28410" xr:uid="{00000000-0005-0000-0000-000082160000}"/>
    <cellStyle name="Normal 4 2 2 5 2 5 3 2" xfId="35021" xr:uid="{502326B6-2317-4D22-A421-954C19EA775F}"/>
    <cellStyle name="Normal 4 2 2 5 2 5 4" xfId="35019" xr:uid="{5B761336-29A6-4E2B-9D6A-AE7098F331B7}"/>
    <cellStyle name="Normal 4 2 2 5 2 6" xfId="28411" xr:uid="{00000000-0005-0000-0000-000083160000}"/>
    <cellStyle name="Normal 4 2 2 5 2 6 2" xfId="35022" xr:uid="{EFD8FF59-AF38-4C02-A39D-6ED36EFC3A98}"/>
    <cellStyle name="Normal 4 2 2 5 2 7" xfId="28412" xr:uid="{00000000-0005-0000-0000-000084160000}"/>
    <cellStyle name="Normal 4 2 2 5 2 7 2" xfId="35023" xr:uid="{564EEF42-F4EA-4B40-9C37-8DC67E827E9C}"/>
    <cellStyle name="Normal 4 2 2 5 2 8" xfId="28413" xr:uid="{00000000-0005-0000-0000-000085160000}"/>
    <cellStyle name="Normal 4 2 2 5 2 8 2" xfId="35024" xr:uid="{FCCDCD55-8216-4FA0-B0DC-5C454B8C29AC}"/>
    <cellStyle name="Normal 4 2 2 5 2 9" xfId="34983" xr:uid="{7E973E7B-565A-427D-8501-472668CF6562}"/>
    <cellStyle name="Normal 4 2 2 5 3" xfId="28414" xr:uid="{00000000-0005-0000-0000-000086160000}"/>
    <cellStyle name="Normal 4 2 2 5 3 2" xfId="28415" xr:uid="{00000000-0005-0000-0000-000087160000}"/>
    <cellStyle name="Normal 4 2 2 5 3 2 2" xfId="28416" xr:uid="{00000000-0005-0000-0000-000088160000}"/>
    <cellStyle name="Normal 4 2 2 5 3 2 2 2" xfId="28417" xr:uid="{00000000-0005-0000-0000-000089160000}"/>
    <cellStyle name="Normal 4 2 2 5 3 2 2 2 2" xfId="35028" xr:uid="{7138B911-7FE2-4DC5-9F20-86BBDA3BA68F}"/>
    <cellStyle name="Normal 4 2 2 5 3 2 2 3" xfId="28418" xr:uid="{00000000-0005-0000-0000-00008A160000}"/>
    <cellStyle name="Normal 4 2 2 5 3 2 2 3 2" xfId="35029" xr:uid="{BB5877D7-E752-491F-878C-EC745FE341F8}"/>
    <cellStyle name="Normal 4 2 2 5 3 2 2 4" xfId="35027" xr:uid="{654DC659-66D6-4230-BC85-1F1A58AC61C3}"/>
    <cellStyle name="Normal 4 2 2 5 3 2 3" xfId="28419" xr:uid="{00000000-0005-0000-0000-00008B160000}"/>
    <cellStyle name="Normal 4 2 2 5 3 2 3 2" xfId="35030" xr:uid="{CCF6C4BD-7A1B-476D-9A04-587D8986865D}"/>
    <cellStyle name="Normal 4 2 2 5 3 2 4" xfId="28420" xr:uid="{00000000-0005-0000-0000-00008C160000}"/>
    <cellStyle name="Normal 4 2 2 5 3 2 4 2" xfId="35031" xr:uid="{34DC3C49-143C-49CA-92C9-8608B308841D}"/>
    <cellStyle name="Normal 4 2 2 5 3 2 5" xfId="28421" xr:uid="{00000000-0005-0000-0000-00008D160000}"/>
    <cellStyle name="Normal 4 2 2 5 3 2 5 2" xfId="35032" xr:uid="{948863A5-5A58-4160-8BA2-91D521AA6C14}"/>
    <cellStyle name="Normal 4 2 2 5 3 2 6" xfId="35026" xr:uid="{AA502DC7-33A4-4CB9-9EC4-23C7CF4D81F7}"/>
    <cellStyle name="Normal 4 2 2 5 3 3" xfId="28422" xr:uid="{00000000-0005-0000-0000-00008E160000}"/>
    <cellStyle name="Normal 4 2 2 5 3 3 2" xfId="28423" xr:uid="{00000000-0005-0000-0000-00008F160000}"/>
    <cellStyle name="Normal 4 2 2 5 3 3 2 2" xfId="28424" xr:uid="{00000000-0005-0000-0000-000090160000}"/>
    <cellStyle name="Normal 4 2 2 5 3 3 2 2 2" xfId="35035" xr:uid="{EFC36D82-7642-4CB9-909E-4C10E61AE9B7}"/>
    <cellStyle name="Normal 4 2 2 5 3 3 2 3" xfId="28425" xr:uid="{00000000-0005-0000-0000-000091160000}"/>
    <cellStyle name="Normal 4 2 2 5 3 3 2 3 2" xfId="35036" xr:uid="{7E78A198-1499-4554-BF01-7804E849FEA8}"/>
    <cellStyle name="Normal 4 2 2 5 3 3 2 4" xfId="35034" xr:uid="{928CEA9B-8144-4B1E-8351-2B4864D29F72}"/>
    <cellStyle name="Normal 4 2 2 5 3 3 3" xfId="28426" xr:uid="{00000000-0005-0000-0000-000092160000}"/>
    <cellStyle name="Normal 4 2 2 5 3 3 3 2" xfId="35037" xr:uid="{B493D4E6-2DCD-464D-9E9C-23B819C9393E}"/>
    <cellStyle name="Normal 4 2 2 5 3 3 4" xfId="28427" xr:uid="{00000000-0005-0000-0000-000093160000}"/>
    <cellStyle name="Normal 4 2 2 5 3 3 4 2" xfId="35038" xr:uid="{1298A919-E07B-462D-8199-9FD52D07B89D}"/>
    <cellStyle name="Normal 4 2 2 5 3 3 5" xfId="28428" xr:uid="{00000000-0005-0000-0000-000094160000}"/>
    <cellStyle name="Normal 4 2 2 5 3 3 5 2" xfId="35039" xr:uid="{FBBD1FF4-6750-4B76-85E7-7F388B13173B}"/>
    <cellStyle name="Normal 4 2 2 5 3 3 6" xfId="35033" xr:uid="{A0D3B6FF-F5E9-46B1-B3F9-AB70EDDC72BA}"/>
    <cellStyle name="Normal 4 2 2 5 3 4" xfId="28429" xr:uid="{00000000-0005-0000-0000-000095160000}"/>
    <cellStyle name="Normal 4 2 2 5 3 4 2" xfId="28430" xr:uid="{00000000-0005-0000-0000-000096160000}"/>
    <cellStyle name="Normal 4 2 2 5 3 4 2 2" xfId="35041" xr:uid="{3DC45FA3-5DCA-47A8-8A9D-FA335F46EB65}"/>
    <cellStyle name="Normal 4 2 2 5 3 4 3" xfId="28431" xr:uid="{00000000-0005-0000-0000-000097160000}"/>
    <cellStyle name="Normal 4 2 2 5 3 4 3 2" xfId="35042" xr:uid="{46A8A0B6-4EB5-4A29-8CAC-3550796759D7}"/>
    <cellStyle name="Normal 4 2 2 5 3 4 4" xfId="35040" xr:uid="{46C1757F-764A-4912-91CB-34A0017BC804}"/>
    <cellStyle name="Normal 4 2 2 5 3 5" xfId="28432" xr:uid="{00000000-0005-0000-0000-000098160000}"/>
    <cellStyle name="Normal 4 2 2 5 3 5 2" xfId="35043" xr:uid="{D25732BB-CB8A-4B27-AAA0-CA50F8B5A97F}"/>
    <cellStyle name="Normal 4 2 2 5 3 6" xfId="28433" xr:uid="{00000000-0005-0000-0000-000099160000}"/>
    <cellStyle name="Normal 4 2 2 5 3 6 2" xfId="35044" xr:uid="{00812726-ACF7-4EA9-8207-60FEAEC30265}"/>
    <cellStyle name="Normal 4 2 2 5 3 7" xfId="28434" xr:uid="{00000000-0005-0000-0000-00009A160000}"/>
    <cellStyle name="Normal 4 2 2 5 3 7 2" xfId="35045" xr:uid="{628EF3CB-39A1-44C3-A608-D1EB565FE8B1}"/>
    <cellStyle name="Normal 4 2 2 5 3 8" xfId="35025" xr:uid="{F0B1380E-5A7F-4F57-A668-1CB1DF6F903D}"/>
    <cellStyle name="Normal 4 2 2 5 4" xfId="28435" xr:uid="{00000000-0005-0000-0000-00009B160000}"/>
    <cellStyle name="Normal 4 2 2 5 4 2" xfId="28436" xr:uid="{00000000-0005-0000-0000-00009C160000}"/>
    <cellStyle name="Normal 4 2 2 5 4 2 2" xfId="28437" xr:uid="{00000000-0005-0000-0000-00009D160000}"/>
    <cellStyle name="Normal 4 2 2 5 4 2 2 2" xfId="35048" xr:uid="{87B9A5A5-49B0-4353-8A92-CC1A398D3AB9}"/>
    <cellStyle name="Normal 4 2 2 5 4 2 3" xfId="28438" xr:uid="{00000000-0005-0000-0000-00009E160000}"/>
    <cellStyle name="Normal 4 2 2 5 4 2 3 2" xfId="35049" xr:uid="{3F114BE3-384C-4310-83EC-4889C1E2DE11}"/>
    <cellStyle name="Normal 4 2 2 5 4 2 4" xfId="35047" xr:uid="{456142F1-C53E-42AF-AFAA-BC88A855BC8C}"/>
    <cellStyle name="Normal 4 2 2 5 4 3" xfId="28439" xr:uid="{00000000-0005-0000-0000-00009F160000}"/>
    <cellStyle name="Normal 4 2 2 5 4 3 2" xfId="35050" xr:uid="{17E85417-A8EC-46F3-B425-4B2BA6A48759}"/>
    <cellStyle name="Normal 4 2 2 5 4 4" xfId="28440" xr:uid="{00000000-0005-0000-0000-0000A0160000}"/>
    <cellStyle name="Normal 4 2 2 5 4 4 2" xfId="35051" xr:uid="{E6ADB30D-D651-4D5F-B662-B809B2B06045}"/>
    <cellStyle name="Normal 4 2 2 5 4 5" xfId="28441" xr:uid="{00000000-0005-0000-0000-0000A1160000}"/>
    <cellStyle name="Normal 4 2 2 5 4 5 2" xfId="35052" xr:uid="{D3F658AB-4415-464C-AEEA-481ED7FDB4D1}"/>
    <cellStyle name="Normal 4 2 2 5 4 6" xfId="35046" xr:uid="{728F97FF-C8A4-4C8D-B7EA-57D69BDD6D94}"/>
    <cellStyle name="Normal 4 2 2 5 5" xfId="28442" xr:uid="{00000000-0005-0000-0000-0000A2160000}"/>
    <cellStyle name="Normal 4 2 2 5 5 2" xfId="28443" xr:uid="{00000000-0005-0000-0000-0000A3160000}"/>
    <cellStyle name="Normal 4 2 2 5 5 2 2" xfId="28444" xr:uid="{00000000-0005-0000-0000-0000A4160000}"/>
    <cellStyle name="Normal 4 2 2 5 5 2 2 2" xfId="35055" xr:uid="{45659747-6D96-4942-96B8-745E44FCDC79}"/>
    <cellStyle name="Normal 4 2 2 5 5 2 3" xfId="28445" xr:uid="{00000000-0005-0000-0000-0000A5160000}"/>
    <cellStyle name="Normal 4 2 2 5 5 2 3 2" xfId="35056" xr:uid="{110C5E35-5CA8-42C5-AF26-2A6DF9930B09}"/>
    <cellStyle name="Normal 4 2 2 5 5 2 4" xfId="35054" xr:uid="{CA87A7A8-C1A4-4E24-BC34-EE15436BB6A5}"/>
    <cellStyle name="Normal 4 2 2 5 5 3" xfId="28446" xr:uid="{00000000-0005-0000-0000-0000A6160000}"/>
    <cellStyle name="Normal 4 2 2 5 5 3 2" xfId="35057" xr:uid="{D081B2D8-4412-4271-BC80-BBA07B607DF7}"/>
    <cellStyle name="Normal 4 2 2 5 5 4" xfId="28447" xr:uid="{00000000-0005-0000-0000-0000A7160000}"/>
    <cellStyle name="Normal 4 2 2 5 5 4 2" xfId="35058" xr:uid="{8A41FD05-D93A-4FDA-95B6-A331EE2F952D}"/>
    <cellStyle name="Normal 4 2 2 5 5 5" xfId="28448" xr:uid="{00000000-0005-0000-0000-0000A8160000}"/>
    <cellStyle name="Normal 4 2 2 5 5 5 2" xfId="35059" xr:uid="{07C49E4D-6123-4EE7-BA17-4AD44816BA8C}"/>
    <cellStyle name="Normal 4 2 2 5 5 6" xfId="35053" xr:uid="{8C265EBF-8E71-4CF9-A591-E0D0F8DCDD4F}"/>
    <cellStyle name="Normal 4 2 2 5 6" xfId="28449" xr:uid="{00000000-0005-0000-0000-0000A9160000}"/>
    <cellStyle name="Normal 4 2 2 5 6 2" xfId="28450" xr:uid="{00000000-0005-0000-0000-0000AA160000}"/>
    <cellStyle name="Normal 4 2 2 5 6 2 2" xfId="35061" xr:uid="{0DE80DC3-80F1-4515-B7DC-BFAAEBD4A99B}"/>
    <cellStyle name="Normal 4 2 2 5 6 3" xfId="28451" xr:uid="{00000000-0005-0000-0000-0000AB160000}"/>
    <cellStyle name="Normal 4 2 2 5 6 3 2" xfId="35062" xr:uid="{39A12E42-DB09-47A9-B7BF-DC620DC9C257}"/>
    <cellStyle name="Normal 4 2 2 5 6 4" xfId="35060" xr:uid="{C1F66AA5-8757-4A72-9AE2-8A0ED1A84B65}"/>
    <cellStyle name="Normal 4 2 2 5 7" xfId="28452" xr:uid="{00000000-0005-0000-0000-0000AC160000}"/>
    <cellStyle name="Normal 4 2 2 5 7 2" xfId="35063" xr:uid="{C24A67B8-2B9C-449D-9459-AFB25C52580B}"/>
    <cellStyle name="Normal 4 2 2 5 8" xfId="28453" xr:uid="{00000000-0005-0000-0000-0000AD160000}"/>
    <cellStyle name="Normal 4 2 2 5 8 2" xfId="35064" xr:uid="{A3D6233F-FCE4-4B92-9097-9BDD4593548D}"/>
    <cellStyle name="Normal 4 2 2 5 9" xfId="28454" xr:uid="{00000000-0005-0000-0000-0000AE160000}"/>
    <cellStyle name="Normal 4 2 2 5 9 2" xfId="35065" xr:uid="{1064AA3E-325E-48DE-AD01-58521A55C8B8}"/>
    <cellStyle name="Normal 4 2 2 6" xfId="28455" xr:uid="{00000000-0005-0000-0000-0000AF160000}"/>
    <cellStyle name="Normal 4 2 2 6 2" xfId="28456" xr:uid="{00000000-0005-0000-0000-0000B0160000}"/>
    <cellStyle name="Normal 4 2 2 6 2 2" xfId="28457" xr:uid="{00000000-0005-0000-0000-0000B1160000}"/>
    <cellStyle name="Normal 4 2 2 6 2 2 2" xfId="28458" xr:uid="{00000000-0005-0000-0000-0000B2160000}"/>
    <cellStyle name="Normal 4 2 2 6 2 2 2 2" xfId="28459" xr:uid="{00000000-0005-0000-0000-0000B3160000}"/>
    <cellStyle name="Normal 4 2 2 6 2 2 2 2 2" xfId="35070" xr:uid="{D149F391-6718-4F3F-A994-446A020E6684}"/>
    <cellStyle name="Normal 4 2 2 6 2 2 2 3" xfId="28460" xr:uid="{00000000-0005-0000-0000-0000B4160000}"/>
    <cellStyle name="Normal 4 2 2 6 2 2 2 3 2" xfId="35071" xr:uid="{83421964-9F71-4A0F-BE83-B6C147EAD643}"/>
    <cellStyle name="Normal 4 2 2 6 2 2 2 4" xfId="35069" xr:uid="{C4629AA3-2629-4BA6-8E63-7AAF1E2B2143}"/>
    <cellStyle name="Normal 4 2 2 6 2 2 3" xfId="28461" xr:uid="{00000000-0005-0000-0000-0000B5160000}"/>
    <cellStyle name="Normal 4 2 2 6 2 2 3 2" xfId="35072" xr:uid="{66DF9533-6B7C-4D15-BBEA-EDA2B1EC1390}"/>
    <cellStyle name="Normal 4 2 2 6 2 2 4" xfId="28462" xr:uid="{00000000-0005-0000-0000-0000B6160000}"/>
    <cellStyle name="Normal 4 2 2 6 2 2 4 2" xfId="35073" xr:uid="{C2081EB3-BDD0-46A1-9C13-7E5FD20C0A3C}"/>
    <cellStyle name="Normal 4 2 2 6 2 2 5" xfId="28463" xr:uid="{00000000-0005-0000-0000-0000B7160000}"/>
    <cellStyle name="Normal 4 2 2 6 2 2 5 2" xfId="35074" xr:uid="{14CFDEAF-DFF6-4A0C-A13D-966B52CCCA71}"/>
    <cellStyle name="Normal 4 2 2 6 2 2 6" xfId="35068" xr:uid="{AF642B25-B36D-425E-8982-26E25641F817}"/>
    <cellStyle name="Normal 4 2 2 6 2 3" xfId="28464" xr:uid="{00000000-0005-0000-0000-0000B8160000}"/>
    <cellStyle name="Normal 4 2 2 6 2 3 2" xfId="28465" xr:uid="{00000000-0005-0000-0000-0000B9160000}"/>
    <cellStyle name="Normal 4 2 2 6 2 3 2 2" xfId="28466" xr:uid="{00000000-0005-0000-0000-0000BA160000}"/>
    <cellStyle name="Normal 4 2 2 6 2 3 2 2 2" xfId="35077" xr:uid="{0E880129-7123-488A-ABA1-36C39ED89FF0}"/>
    <cellStyle name="Normal 4 2 2 6 2 3 2 3" xfId="28467" xr:uid="{00000000-0005-0000-0000-0000BB160000}"/>
    <cellStyle name="Normal 4 2 2 6 2 3 2 3 2" xfId="35078" xr:uid="{72B3503C-A141-4877-9F89-2F353D8BDBA8}"/>
    <cellStyle name="Normal 4 2 2 6 2 3 2 4" xfId="35076" xr:uid="{F8782C45-CC4C-441E-9B47-8133E827D52A}"/>
    <cellStyle name="Normal 4 2 2 6 2 3 3" xfId="28468" xr:uid="{00000000-0005-0000-0000-0000BC160000}"/>
    <cellStyle name="Normal 4 2 2 6 2 3 3 2" xfId="35079" xr:uid="{C7608AFB-063B-43E6-A957-A6ABEDBB2249}"/>
    <cellStyle name="Normal 4 2 2 6 2 3 4" xfId="28469" xr:uid="{00000000-0005-0000-0000-0000BD160000}"/>
    <cellStyle name="Normal 4 2 2 6 2 3 4 2" xfId="35080" xr:uid="{EB214601-0733-426B-B9F9-07DF73402525}"/>
    <cellStyle name="Normal 4 2 2 6 2 3 5" xfId="28470" xr:uid="{00000000-0005-0000-0000-0000BE160000}"/>
    <cellStyle name="Normal 4 2 2 6 2 3 5 2" xfId="35081" xr:uid="{840475CA-927A-40A0-86B5-5F997ED8445A}"/>
    <cellStyle name="Normal 4 2 2 6 2 3 6" xfId="35075" xr:uid="{F354F5FE-8E11-4591-B38E-24810230F12D}"/>
    <cellStyle name="Normal 4 2 2 6 2 4" xfId="28471" xr:uid="{00000000-0005-0000-0000-0000BF160000}"/>
    <cellStyle name="Normal 4 2 2 6 2 4 2" xfId="28472" xr:uid="{00000000-0005-0000-0000-0000C0160000}"/>
    <cellStyle name="Normal 4 2 2 6 2 4 2 2" xfId="35083" xr:uid="{3503AC7C-E17D-4CD4-B6E4-360F4BA42403}"/>
    <cellStyle name="Normal 4 2 2 6 2 4 3" xfId="28473" xr:uid="{00000000-0005-0000-0000-0000C1160000}"/>
    <cellStyle name="Normal 4 2 2 6 2 4 3 2" xfId="35084" xr:uid="{08FD70D3-C192-4D57-B068-427E82920AD2}"/>
    <cellStyle name="Normal 4 2 2 6 2 4 4" xfId="35082" xr:uid="{7842F852-440C-492E-8FBB-2F09B350E7ED}"/>
    <cellStyle name="Normal 4 2 2 6 2 5" xfId="28474" xr:uid="{00000000-0005-0000-0000-0000C2160000}"/>
    <cellStyle name="Normal 4 2 2 6 2 5 2" xfId="35085" xr:uid="{11001B27-EB02-49B4-B029-FAE0BE607DFB}"/>
    <cellStyle name="Normal 4 2 2 6 2 6" xfId="28475" xr:uid="{00000000-0005-0000-0000-0000C3160000}"/>
    <cellStyle name="Normal 4 2 2 6 2 6 2" xfId="35086" xr:uid="{8AC51533-462A-4780-BCA9-594F22865260}"/>
    <cellStyle name="Normal 4 2 2 6 2 7" xfId="28476" xr:uid="{00000000-0005-0000-0000-0000C4160000}"/>
    <cellStyle name="Normal 4 2 2 6 2 7 2" xfId="35087" xr:uid="{A323CE4D-C6F4-433B-A7EF-080EE633B793}"/>
    <cellStyle name="Normal 4 2 2 6 2 8" xfId="35067" xr:uid="{3D6E0361-2966-4542-9226-9A8A2FB20E91}"/>
    <cellStyle name="Normal 4 2 2 6 3" xfId="28477" xr:uid="{00000000-0005-0000-0000-0000C5160000}"/>
    <cellStyle name="Normal 4 2 2 6 3 2" xfId="28478" xr:uid="{00000000-0005-0000-0000-0000C6160000}"/>
    <cellStyle name="Normal 4 2 2 6 3 2 2" xfId="28479" xr:uid="{00000000-0005-0000-0000-0000C7160000}"/>
    <cellStyle name="Normal 4 2 2 6 3 2 2 2" xfId="35090" xr:uid="{0077E243-3B84-44E2-B00E-BFA841192AD2}"/>
    <cellStyle name="Normal 4 2 2 6 3 2 3" xfId="28480" xr:uid="{00000000-0005-0000-0000-0000C8160000}"/>
    <cellStyle name="Normal 4 2 2 6 3 2 3 2" xfId="35091" xr:uid="{96879CF1-EA38-4415-BE65-06E3ED99E616}"/>
    <cellStyle name="Normal 4 2 2 6 3 2 4" xfId="35089" xr:uid="{3952B6DE-3F2A-4F25-8790-EB5FED30C1A4}"/>
    <cellStyle name="Normal 4 2 2 6 3 3" xfId="28481" xr:uid="{00000000-0005-0000-0000-0000C9160000}"/>
    <cellStyle name="Normal 4 2 2 6 3 3 2" xfId="35092" xr:uid="{6383EA81-A13E-47E3-A3F8-7B21771DB933}"/>
    <cellStyle name="Normal 4 2 2 6 3 4" xfId="28482" xr:uid="{00000000-0005-0000-0000-0000CA160000}"/>
    <cellStyle name="Normal 4 2 2 6 3 4 2" xfId="35093" xr:uid="{FF7D39EA-CD47-4449-913A-35CBF4784A04}"/>
    <cellStyle name="Normal 4 2 2 6 3 5" xfId="28483" xr:uid="{00000000-0005-0000-0000-0000CB160000}"/>
    <cellStyle name="Normal 4 2 2 6 3 5 2" xfId="35094" xr:uid="{D9CD602F-091C-47B3-8EAC-477A123636A0}"/>
    <cellStyle name="Normal 4 2 2 6 3 6" xfId="35088" xr:uid="{D87BCC8E-F560-4906-AABA-13B566A21704}"/>
    <cellStyle name="Normal 4 2 2 6 4" xfId="28484" xr:uid="{00000000-0005-0000-0000-0000CC160000}"/>
    <cellStyle name="Normal 4 2 2 6 4 2" xfId="28485" xr:uid="{00000000-0005-0000-0000-0000CD160000}"/>
    <cellStyle name="Normal 4 2 2 6 4 2 2" xfId="28486" xr:uid="{00000000-0005-0000-0000-0000CE160000}"/>
    <cellStyle name="Normal 4 2 2 6 4 2 2 2" xfId="35097" xr:uid="{E5C85F25-F545-452B-BC61-949F6BB676C8}"/>
    <cellStyle name="Normal 4 2 2 6 4 2 3" xfId="28487" xr:uid="{00000000-0005-0000-0000-0000CF160000}"/>
    <cellStyle name="Normal 4 2 2 6 4 2 3 2" xfId="35098" xr:uid="{D9E40D8B-87CC-49F9-957D-C2370326AA88}"/>
    <cellStyle name="Normal 4 2 2 6 4 2 4" xfId="35096" xr:uid="{B6A0D4C8-2826-4D48-82E3-3BBEE5383EFB}"/>
    <cellStyle name="Normal 4 2 2 6 4 3" xfId="28488" xr:uid="{00000000-0005-0000-0000-0000D0160000}"/>
    <cellStyle name="Normal 4 2 2 6 4 3 2" xfId="35099" xr:uid="{675D2CE1-DE8B-4432-B3DC-FD9E2E7E4FC5}"/>
    <cellStyle name="Normal 4 2 2 6 4 4" xfId="28489" xr:uid="{00000000-0005-0000-0000-0000D1160000}"/>
    <cellStyle name="Normal 4 2 2 6 4 4 2" xfId="35100" xr:uid="{4DBF9648-872C-4424-88FC-6A70B3CE8216}"/>
    <cellStyle name="Normal 4 2 2 6 4 5" xfId="28490" xr:uid="{00000000-0005-0000-0000-0000D2160000}"/>
    <cellStyle name="Normal 4 2 2 6 4 5 2" xfId="35101" xr:uid="{D1B148D8-40DE-47EF-8B87-4B7D457DF457}"/>
    <cellStyle name="Normal 4 2 2 6 4 6" xfId="35095" xr:uid="{831DF0A1-F6FC-4923-A4A2-196D788723B7}"/>
    <cellStyle name="Normal 4 2 2 6 5" xfId="28491" xr:uid="{00000000-0005-0000-0000-0000D3160000}"/>
    <cellStyle name="Normal 4 2 2 6 5 2" xfId="28492" xr:uid="{00000000-0005-0000-0000-0000D4160000}"/>
    <cellStyle name="Normal 4 2 2 6 5 2 2" xfId="35103" xr:uid="{456A5809-235C-43AF-B3F5-0D12E1DE34B9}"/>
    <cellStyle name="Normal 4 2 2 6 5 3" xfId="28493" xr:uid="{00000000-0005-0000-0000-0000D5160000}"/>
    <cellStyle name="Normal 4 2 2 6 5 3 2" xfId="35104" xr:uid="{01A22F53-6E5B-48AD-8C9F-F465C6C48340}"/>
    <cellStyle name="Normal 4 2 2 6 5 4" xfId="35102" xr:uid="{76C93B62-25CA-493C-ABCF-C9B4C570FBC9}"/>
    <cellStyle name="Normal 4 2 2 6 6" xfId="28494" xr:uid="{00000000-0005-0000-0000-0000D6160000}"/>
    <cellStyle name="Normal 4 2 2 6 6 2" xfId="35105" xr:uid="{EC15D469-22FC-41F1-BEEF-7A70182208CC}"/>
    <cellStyle name="Normal 4 2 2 6 7" xfId="28495" xr:uid="{00000000-0005-0000-0000-0000D7160000}"/>
    <cellStyle name="Normal 4 2 2 6 7 2" xfId="35106" xr:uid="{7E711DBD-9909-4157-899D-677D5B76F4C4}"/>
    <cellStyle name="Normal 4 2 2 6 8" xfId="28496" xr:uid="{00000000-0005-0000-0000-0000D8160000}"/>
    <cellStyle name="Normal 4 2 2 6 8 2" xfId="35107" xr:uid="{D74E9BE2-717E-4235-9958-69B7A80A2FE2}"/>
    <cellStyle name="Normal 4 2 2 6 9" xfId="35066" xr:uid="{6BCF92EF-7FB9-4108-B797-3DFDA0E84968}"/>
    <cellStyle name="Normal 4 2 2 7" xfId="28497" xr:uid="{00000000-0005-0000-0000-0000D9160000}"/>
    <cellStyle name="Normal 4 2 2 7 2" xfId="28498" xr:uid="{00000000-0005-0000-0000-0000DA160000}"/>
    <cellStyle name="Normal 4 2 2 7 2 2" xfId="28499" xr:uid="{00000000-0005-0000-0000-0000DB160000}"/>
    <cellStyle name="Normal 4 2 2 7 2 2 2" xfId="28500" xr:uid="{00000000-0005-0000-0000-0000DC160000}"/>
    <cellStyle name="Normal 4 2 2 7 2 2 2 2" xfId="35111" xr:uid="{D53304FD-C5A8-40F2-AAC2-F74D72383781}"/>
    <cellStyle name="Normal 4 2 2 7 2 2 3" xfId="28501" xr:uid="{00000000-0005-0000-0000-0000DD160000}"/>
    <cellStyle name="Normal 4 2 2 7 2 2 3 2" xfId="35112" xr:uid="{91AD8B0E-ECE8-4D56-A0D2-1D5211EDEF3F}"/>
    <cellStyle name="Normal 4 2 2 7 2 2 4" xfId="35110" xr:uid="{DA2B18F4-53AF-4003-9F8E-B59CF3A14881}"/>
    <cellStyle name="Normal 4 2 2 7 2 3" xfId="28502" xr:uid="{00000000-0005-0000-0000-0000DE160000}"/>
    <cellStyle name="Normal 4 2 2 7 2 3 2" xfId="35113" xr:uid="{1C75F058-1825-43CA-BD1E-952BA964372B}"/>
    <cellStyle name="Normal 4 2 2 7 2 4" xfId="28503" xr:uid="{00000000-0005-0000-0000-0000DF160000}"/>
    <cellStyle name="Normal 4 2 2 7 2 4 2" xfId="35114" xr:uid="{ED3DA720-0D6A-4A0D-B49B-73CDA4E05DFB}"/>
    <cellStyle name="Normal 4 2 2 7 2 5" xfId="28504" xr:uid="{00000000-0005-0000-0000-0000E0160000}"/>
    <cellStyle name="Normal 4 2 2 7 2 5 2" xfId="35115" xr:uid="{CF8AFE8A-127D-4DA8-9DC4-684F44C80120}"/>
    <cellStyle name="Normal 4 2 2 7 2 6" xfId="35109" xr:uid="{24BE0FA5-90F4-462B-B455-6BD87575EEA3}"/>
    <cellStyle name="Normal 4 2 2 7 3" xfId="28505" xr:uid="{00000000-0005-0000-0000-0000E1160000}"/>
    <cellStyle name="Normal 4 2 2 7 3 2" xfId="28506" xr:uid="{00000000-0005-0000-0000-0000E2160000}"/>
    <cellStyle name="Normal 4 2 2 7 3 2 2" xfId="28507" xr:uid="{00000000-0005-0000-0000-0000E3160000}"/>
    <cellStyle name="Normal 4 2 2 7 3 2 2 2" xfId="35118" xr:uid="{DF3F8054-A169-42BD-BA99-68D698E8D20A}"/>
    <cellStyle name="Normal 4 2 2 7 3 2 3" xfId="28508" xr:uid="{00000000-0005-0000-0000-0000E4160000}"/>
    <cellStyle name="Normal 4 2 2 7 3 2 3 2" xfId="35119" xr:uid="{D6A8A1BD-1BC2-4B60-94FD-25AEB23E818F}"/>
    <cellStyle name="Normal 4 2 2 7 3 2 4" xfId="35117" xr:uid="{5FFBC684-6D14-41ED-B17C-2BD830E24851}"/>
    <cellStyle name="Normal 4 2 2 7 3 3" xfId="28509" xr:uid="{00000000-0005-0000-0000-0000E5160000}"/>
    <cellStyle name="Normal 4 2 2 7 3 3 2" xfId="35120" xr:uid="{5CDD6DE4-6EF4-4822-9D16-0E8666C3B267}"/>
    <cellStyle name="Normal 4 2 2 7 3 4" xfId="28510" xr:uid="{00000000-0005-0000-0000-0000E6160000}"/>
    <cellStyle name="Normal 4 2 2 7 3 4 2" xfId="35121" xr:uid="{D9FA12CA-90F9-4175-9929-DF10459DE00A}"/>
    <cellStyle name="Normal 4 2 2 7 3 5" xfId="28511" xr:uid="{00000000-0005-0000-0000-0000E7160000}"/>
    <cellStyle name="Normal 4 2 2 7 3 5 2" xfId="35122" xr:uid="{735E468B-6D9A-48F7-A619-8C7EF8B59FF5}"/>
    <cellStyle name="Normal 4 2 2 7 3 6" xfId="35116" xr:uid="{7087B0BA-2B1F-4504-898F-E7E127BD8537}"/>
    <cellStyle name="Normal 4 2 2 7 4" xfId="28512" xr:uid="{00000000-0005-0000-0000-0000E8160000}"/>
    <cellStyle name="Normal 4 2 2 7 4 2" xfId="28513" xr:uid="{00000000-0005-0000-0000-0000E9160000}"/>
    <cellStyle name="Normal 4 2 2 7 4 2 2" xfId="35124" xr:uid="{BCC2056A-00C6-464B-ADE9-82A2776F0F11}"/>
    <cellStyle name="Normal 4 2 2 7 4 3" xfId="28514" xr:uid="{00000000-0005-0000-0000-0000EA160000}"/>
    <cellStyle name="Normal 4 2 2 7 4 3 2" xfId="35125" xr:uid="{0DEF9513-7506-411E-908C-87D5ACEB8834}"/>
    <cellStyle name="Normal 4 2 2 7 4 4" xfId="35123" xr:uid="{ABF49767-9C66-40E1-9679-755D09A5F708}"/>
    <cellStyle name="Normal 4 2 2 7 5" xfId="28515" xr:uid="{00000000-0005-0000-0000-0000EB160000}"/>
    <cellStyle name="Normal 4 2 2 7 5 2" xfId="35126" xr:uid="{89033E99-4B20-408E-85B7-E28E5307CC5B}"/>
    <cellStyle name="Normal 4 2 2 7 6" xfId="28516" xr:uid="{00000000-0005-0000-0000-0000EC160000}"/>
    <cellStyle name="Normal 4 2 2 7 6 2" xfId="35127" xr:uid="{3CCE0D2A-88EC-425E-B0A2-6B71A299BE0A}"/>
    <cellStyle name="Normal 4 2 2 7 7" xfId="28517" xr:uid="{00000000-0005-0000-0000-0000ED160000}"/>
    <cellStyle name="Normal 4 2 2 7 7 2" xfId="35128" xr:uid="{ADF2ABB9-4090-4550-B42A-15DD3DD465D9}"/>
    <cellStyle name="Normal 4 2 2 7 8" xfId="35108" xr:uid="{6AA46149-2021-4471-AC09-50C050338B2E}"/>
    <cellStyle name="Normal 4 2 2 8" xfId="28518" xr:uid="{00000000-0005-0000-0000-0000EE160000}"/>
    <cellStyle name="Normal 4 2 2 8 2" xfId="28519" xr:uid="{00000000-0005-0000-0000-0000EF160000}"/>
    <cellStyle name="Normal 4 2 2 8 2 2" xfId="28520" xr:uid="{00000000-0005-0000-0000-0000F0160000}"/>
    <cellStyle name="Normal 4 2 2 8 2 2 2" xfId="28521" xr:uid="{00000000-0005-0000-0000-0000F1160000}"/>
    <cellStyle name="Normal 4 2 2 8 2 2 2 2" xfId="35132" xr:uid="{467E5108-5622-435E-B08A-26E8D7DF3D98}"/>
    <cellStyle name="Normal 4 2 2 8 2 2 3" xfId="28522" xr:uid="{00000000-0005-0000-0000-0000F2160000}"/>
    <cellStyle name="Normal 4 2 2 8 2 2 3 2" xfId="35133" xr:uid="{2F6B2695-DAC7-4955-812F-492EFE0CE1EC}"/>
    <cellStyle name="Normal 4 2 2 8 2 2 4" xfId="35131" xr:uid="{5C82BA24-402C-40E0-8C15-9E7EAF67E87F}"/>
    <cellStyle name="Normal 4 2 2 8 2 3" xfId="28523" xr:uid="{00000000-0005-0000-0000-0000F3160000}"/>
    <cellStyle name="Normal 4 2 2 8 2 3 2" xfId="35134" xr:uid="{D7DDFB22-7632-4A35-8227-75E15B8FBAB4}"/>
    <cellStyle name="Normal 4 2 2 8 2 4" xfId="28524" xr:uid="{00000000-0005-0000-0000-0000F4160000}"/>
    <cellStyle name="Normal 4 2 2 8 2 4 2" xfId="35135" xr:uid="{EF3383BC-E1DC-4023-B378-DF50A5FF7B27}"/>
    <cellStyle name="Normal 4 2 2 8 2 5" xfId="28525" xr:uid="{00000000-0005-0000-0000-0000F5160000}"/>
    <cellStyle name="Normal 4 2 2 8 2 5 2" xfId="35136" xr:uid="{FBC45D10-FB2A-4570-BFA0-219E01692FD0}"/>
    <cellStyle name="Normal 4 2 2 8 2 6" xfId="35130" xr:uid="{24227B88-C966-42DE-BCC1-9DAA25D61E56}"/>
    <cellStyle name="Normal 4 2 2 8 3" xfId="28526" xr:uid="{00000000-0005-0000-0000-0000F6160000}"/>
    <cellStyle name="Normal 4 2 2 8 3 2" xfId="28527" xr:uid="{00000000-0005-0000-0000-0000F7160000}"/>
    <cellStyle name="Normal 4 2 2 8 3 2 2" xfId="28528" xr:uid="{00000000-0005-0000-0000-0000F8160000}"/>
    <cellStyle name="Normal 4 2 2 8 3 2 2 2" xfId="35139" xr:uid="{184C9CCA-4618-4C3D-9F44-040671B52EE0}"/>
    <cellStyle name="Normal 4 2 2 8 3 2 3" xfId="28529" xr:uid="{00000000-0005-0000-0000-0000F9160000}"/>
    <cellStyle name="Normal 4 2 2 8 3 2 3 2" xfId="35140" xr:uid="{595F2246-CC03-438C-9FAB-833036DFD59F}"/>
    <cellStyle name="Normal 4 2 2 8 3 2 4" xfId="35138" xr:uid="{FB7D5561-3E85-4930-83D4-9AD77C3C4C34}"/>
    <cellStyle name="Normal 4 2 2 8 3 3" xfId="28530" xr:uid="{00000000-0005-0000-0000-0000FA160000}"/>
    <cellStyle name="Normal 4 2 2 8 3 3 2" xfId="35141" xr:uid="{25CD5C71-DF7E-4990-B5F3-E873C3D30B02}"/>
    <cellStyle name="Normal 4 2 2 8 3 4" xfId="28531" xr:uid="{00000000-0005-0000-0000-0000FB160000}"/>
    <cellStyle name="Normal 4 2 2 8 3 4 2" xfId="35142" xr:uid="{85CBB7C5-F825-4040-8023-F51F20ABC93C}"/>
    <cellStyle name="Normal 4 2 2 8 3 5" xfId="28532" xr:uid="{00000000-0005-0000-0000-0000FC160000}"/>
    <cellStyle name="Normal 4 2 2 8 3 5 2" xfId="35143" xr:uid="{3ECB32CA-91A9-438A-B818-8A8AFD075AAE}"/>
    <cellStyle name="Normal 4 2 2 8 3 6" xfId="35137" xr:uid="{D82288F2-8B7E-4031-A91A-B2C5B04F4DDA}"/>
    <cellStyle name="Normal 4 2 2 8 4" xfId="28533" xr:uid="{00000000-0005-0000-0000-0000FD160000}"/>
    <cellStyle name="Normal 4 2 2 8 4 2" xfId="28534" xr:uid="{00000000-0005-0000-0000-0000FE160000}"/>
    <cellStyle name="Normal 4 2 2 8 4 2 2" xfId="35145" xr:uid="{FD833281-7152-401A-990E-F70F68985740}"/>
    <cellStyle name="Normal 4 2 2 8 4 3" xfId="28535" xr:uid="{00000000-0005-0000-0000-0000FF160000}"/>
    <cellStyle name="Normal 4 2 2 8 4 3 2" xfId="35146" xr:uid="{7BD7994C-82AE-44CF-96D2-2308E47BB3CC}"/>
    <cellStyle name="Normal 4 2 2 8 4 4" xfId="35144" xr:uid="{A3B20E2E-524A-4155-9D2B-8BBEBB40ED19}"/>
    <cellStyle name="Normal 4 2 2 8 5" xfId="28536" xr:uid="{00000000-0005-0000-0000-000000170000}"/>
    <cellStyle name="Normal 4 2 2 8 5 2" xfId="35147" xr:uid="{5B6C7D17-FA9D-4A1D-910D-7D0EC66D05BD}"/>
    <cellStyle name="Normal 4 2 2 8 6" xfId="28537" xr:uid="{00000000-0005-0000-0000-000001170000}"/>
    <cellStyle name="Normal 4 2 2 8 6 2" xfId="35148" xr:uid="{6AA958E0-452F-47CA-B264-F660DA7F0C67}"/>
    <cellStyle name="Normal 4 2 2 8 7" xfId="28538" xr:uid="{00000000-0005-0000-0000-000002170000}"/>
    <cellStyle name="Normal 4 2 2 8 7 2" xfId="35149" xr:uid="{22E60B77-3201-46CE-900A-786F183262EB}"/>
    <cellStyle name="Normal 4 2 2 8 8" xfId="35129" xr:uid="{9186CB53-B8D7-4323-84DB-A73817627045}"/>
    <cellStyle name="Normal 4 2 2 9" xfId="28539" xr:uid="{00000000-0005-0000-0000-000003170000}"/>
    <cellStyle name="Normal 4 2 2 9 2" xfId="28540" xr:uid="{00000000-0005-0000-0000-000004170000}"/>
    <cellStyle name="Normal 4 2 2 9 2 2" xfId="28541" xr:uid="{00000000-0005-0000-0000-000005170000}"/>
    <cellStyle name="Normal 4 2 2 9 2 2 2" xfId="35152" xr:uid="{25684255-C44E-4922-B024-80255D8136CD}"/>
    <cellStyle name="Normal 4 2 2 9 2 3" xfId="28542" xr:uid="{00000000-0005-0000-0000-000006170000}"/>
    <cellStyle name="Normal 4 2 2 9 2 3 2" xfId="35153" xr:uid="{9B41CC05-1764-48BF-A850-6E24F90BFA37}"/>
    <cellStyle name="Normal 4 2 2 9 2 4" xfId="35151" xr:uid="{A44F41BC-03FC-4AF8-BDE4-718BDD1B811A}"/>
    <cellStyle name="Normal 4 2 2 9 3" xfId="28543" xr:uid="{00000000-0005-0000-0000-000007170000}"/>
    <cellStyle name="Normal 4 2 2 9 3 2" xfId="35154" xr:uid="{F369E88E-9393-4952-8B71-FF0FF02306DE}"/>
    <cellStyle name="Normal 4 2 2 9 4" xfId="28544" xr:uid="{00000000-0005-0000-0000-000008170000}"/>
    <cellStyle name="Normal 4 2 2 9 4 2" xfId="35155" xr:uid="{6EADA728-82F8-429C-B152-B40A31A76671}"/>
    <cellStyle name="Normal 4 2 2 9 5" xfId="28545" xr:uid="{00000000-0005-0000-0000-000009170000}"/>
    <cellStyle name="Normal 4 2 2 9 5 2" xfId="35156" xr:uid="{B0DB5A42-9BC9-4440-A378-B34DE0C18053}"/>
    <cellStyle name="Normal 4 2 2 9 6" xfId="35150" xr:uid="{DA364D13-2158-4088-9460-271CDB133277}"/>
    <cellStyle name="Normal 4 2 3" xfId="2164" xr:uid="{00000000-0005-0000-0000-00000A170000}"/>
    <cellStyle name="Normal 4 2 3 10" xfId="28547" xr:uid="{00000000-0005-0000-0000-00000B170000}"/>
    <cellStyle name="Normal 4 2 3 10 2" xfId="28548" xr:uid="{00000000-0005-0000-0000-00000C170000}"/>
    <cellStyle name="Normal 4 2 3 10 2 2" xfId="28549" xr:uid="{00000000-0005-0000-0000-00000D170000}"/>
    <cellStyle name="Normal 4 2 3 10 2 2 2" xfId="35160" xr:uid="{16A53E1F-0C38-42BE-814F-A1221D0488BC}"/>
    <cellStyle name="Normal 4 2 3 10 2 3" xfId="28550" xr:uid="{00000000-0005-0000-0000-00000E170000}"/>
    <cellStyle name="Normal 4 2 3 10 2 3 2" xfId="35161" xr:uid="{2CDEEEFF-9492-4C0F-B52E-3E67643CF84E}"/>
    <cellStyle name="Normal 4 2 3 10 2 4" xfId="35159" xr:uid="{DFC0A4C2-2F82-4B8A-B4A8-B5BF79361036}"/>
    <cellStyle name="Normal 4 2 3 10 3" xfId="28551" xr:uid="{00000000-0005-0000-0000-00000F170000}"/>
    <cellStyle name="Normal 4 2 3 10 3 2" xfId="35162" xr:uid="{69EA2F5E-6A97-438D-8191-AAD5F991E0BA}"/>
    <cellStyle name="Normal 4 2 3 10 4" xfId="28552" xr:uid="{00000000-0005-0000-0000-000010170000}"/>
    <cellStyle name="Normal 4 2 3 10 4 2" xfId="35163" xr:uid="{E75EFF1E-A9DB-433D-8606-080B41ABC567}"/>
    <cellStyle name="Normal 4 2 3 10 5" xfId="28553" xr:uid="{00000000-0005-0000-0000-000011170000}"/>
    <cellStyle name="Normal 4 2 3 10 5 2" xfId="35164" xr:uid="{7F65DEE0-271E-4452-961A-2ECD03037BB2}"/>
    <cellStyle name="Normal 4 2 3 10 6" xfId="35158" xr:uid="{5739EB28-C446-4802-8570-1245323A1260}"/>
    <cellStyle name="Normal 4 2 3 11" xfId="28554" xr:uid="{00000000-0005-0000-0000-000012170000}"/>
    <cellStyle name="Normal 4 2 3 11 2" xfId="28555" xr:uid="{00000000-0005-0000-0000-000013170000}"/>
    <cellStyle name="Normal 4 2 3 11 2 2" xfId="35166" xr:uid="{F47666EF-A594-4507-BC41-57D6A340BC0F}"/>
    <cellStyle name="Normal 4 2 3 11 3" xfId="28556" xr:uid="{00000000-0005-0000-0000-000014170000}"/>
    <cellStyle name="Normal 4 2 3 11 3 2" xfId="35167" xr:uid="{F3741ACF-174A-4C7F-935D-5415EC177659}"/>
    <cellStyle name="Normal 4 2 3 11 4" xfId="35165" xr:uid="{035D5125-D679-47FF-B736-F79418E702F2}"/>
    <cellStyle name="Normal 4 2 3 12" xfId="28557" xr:uid="{00000000-0005-0000-0000-000015170000}"/>
    <cellStyle name="Normal 4 2 3 12 2" xfId="35168" xr:uid="{3F309383-501D-4D47-8780-279E6980BB2C}"/>
    <cellStyle name="Normal 4 2 3 13" xfId="28558" xr:uid="{00000000-0005-0000-0000-000016170000}"/>
    <cellStyle name="Normal 4 2 3 13 2" xfId="35169" xr:uid="{682958BE-3EB0-41EA-B076-1F32A2827974}"/>
    <cellStyle name="Normal 4 2 3 14" xfId="28559" xr:uid="{00000000-0005-0000-0000-000017170000}"/>
    <cellStyle name="Normal 4 2 3 14 2" xfId="35170" xr:uid="{639000B8-77EB-4F51-B1D8-9DEA3D9AC754}"/>
    <cellStyle name="Normal 4 2 3 15" xfId="28546" xr:uid="{00000000-0005-0000-0000-000018170000}"/>
    <cellStyle name="Normal 4 2 3 16" xfId="35157" xr:uid="{C413625B-ED48-4C19-B0E9-C96C18597BAB}"/>
    <cellStyle name="Normal 4 2 3 2" xfId="7783" xr:uid="{00000000-0005-0000-0000-000019170000}"/>
    <cellStyle name="Normal 4 2 3 2 10" xfId="28561" xr:uid="{00000000-0005-0000-0000-00001A170000}"/>
    <cellStyle name="Normal 4 2 3 2 10 2" xfId="35172" xr:uid="{5B88D94E-B892-4431-B323-92ADC1D9C5A5}"/>
    <cellStyle name="Normal 4 2 3 2 11" xfId="28562" xr:uid="{00000000-0005-0000-0000-00001B170000}"/>
    <cellStyle name="Normal 4 2 3 2 11 2" xfId="35173" xr:uid="{1D918743-E79D-4521-98FF-8789B49102E3}"/>
    <cellStyle name="Normal 4 2 3 2 12" xfId="28563" xr:uid="{00000000-0005-0000-0000-00001C170000}"/>
    <cellStyle name="Normal 4 2 3 2 12 2" xfId="35174" xr:uid="{499F7D14-D311-40FF-BA9C-114BBC13D7FC}"/>
    <cellStyle name="Normal 4 2 3 2 13" xfId="28560" xr:uid="{00000000-0005-0000-0000-00001D170000}"/>
    <cellStyle name="Normal 4 2 3 2 14" xfId="35171" xr:uid="{8B3362E0-8C30-4BDE-8C47-D5AA3724E990}"/>
    <cellStyle name="Normal 4 2 3 2 2" xfId="28564" xr:uid="{00000000-0005-0000-0000-00001E170000}"/>
    <cellStyle name="Normal 4 2 3 2 2 10" xfId="35175" xr:uid="{470E459A-7280-411C-8E54-F0E38CE6D9F3}"/>
    <cellStyle name="Normal 4 2 3 2 2 2" xfId="28565" xr:uid="{00000000-0005-0000-0000-00001F170000}"/>
    <cellStyle name="Normal 4 2 3 2 2 2 2" xfId="28566" xr:uid="{00000000-0005-0000-0000-000020170000}"/>
    <cellStyle name="Normal 4 2 3 2 2 2 2 2" xfId="28567" xr:uid="{00000000-0005-0000-0000-000021170000}"/>
    <cellStyle name="Normal 4 2 3 2 2 2 2 2 2" xfId="28568" xr:uid="{00000000-0005-0000-0000-000022170000}"/>
    <cellStyle name="Normal 4 2 3 2 2 2 2 2 2 2" xfId="28569" xr:uid="{00000000-0005-0000-0000-000023170000}"/>
    <cellStyle name="Normal 4 2 3 2 2 2 2 2 2 2 2" xfId="35180" xr:uid="{D78BB71F-1C78-42AD-9D80-DFEBC921D06D}"/>
    <cellStyle name="Normal 4 2 3 2 2 2 2 2 2 3" xfId="28570" xr:uid="{00000000-0005-0000-0000-000024170000}"/>
    <cellStyle name="Normal 4 2 3 2 2 2 2 2 2 3 2" xfId="35181" xr:uid="{EC399853-6837-48F6-8536-A0BEA99D5E1D}"/>
    <cellStyle name="Normal 4 2 3 2 2 2 2 2 2 4" xfId="35179" xr:uid="{8B7D2EE8-5519-4631-BD3C-7256F4F32F75}"/>
    <cellStyle name="Normal 4 2 3 2 2 2 2 2 3" xfId="28571" xr:uid="{00000000-0005-0000-0000-000025170000}"/>
    <cellStyle name="Normal 4 2 3 2 2 2 2 2 3 2" xfId="35182" xr:uid="{1CE718BF-7E37-41A1-B628-F9BC5674D000}"/>
    <cellStyle name="Normal 4 2 3 2 2 2 2 2 4" xfId="28572" xr:uid="{00000000-0005-0000-0000-000026170000}"/>
    <cellStyle name="Normal 4 2 3 2 2 2 2 2 4 2" xfId="35183" xr:uid="{E059E446-2174-4B83-8224-D3227AA4E754}"/>
    <cellStyle name="Normal 4 2 3 2 2 2 2 2 5" xfId="28573" xr:uid="{00000000-0005-0000-0000-000027170000}"/>
    <cellStyle name="Normal 4 2 3 2 2 2 2 2 5 2" xfId="35184" xr:uid="{1FB90163-1E25-403A-96B2-464C38EF8652}"/>
    <cellStyle name="Normal 4 2 3 2 2 2 2 2 6" xfId="35178" xr:uid="{184FFC7B-17F1-43F4-8CA3-154DE1298190}"/>
    <cellStyle name="Normal 4 2 3 2 2 2 2 3" xfId="28574" xr:uid="{00000000-0005-0000-0000-000028170000}"/>
    <cellStyle name="Normal 4 2 3 2 2 2 2 3 2" xfId="28575" xr:uid="{00000000-0005-0000-0000-000029170000}"/>
    <cellStyle name="Normal 4 2 3 2 2 2 2 3 2 2" xfId="28576" xr:uid="{00000000-0005-0000-0000-00002A170000}"/>
    <cellStyle name="Normal 4 2 3 2 2 2 2 3 2 2 2" xfId="35187" xr:uid="{052D9386-A6FD-4729-B550-204FA2F79DC2}"/>
    <cellStyle name="Normal 4 2 3 2 2 2 2 3 2 3" xfId="28577" xr:uid="{00000000-0005-0000-0000-00002B170000}"/>
    <cellStyle name="Normal 4 2 3 2 2 2 2 3 2 3 2" xfId="35188" xr:uid="{B8947969-BF7E-4EAE-8922-D8425F135323}"/>
    <cellStyle name="Normal 4 2 3 2 2 2 2 3 2 4" xfId="35186" xr:uid="{1892F16D-4C7D-4DCE-8D9B-F2BA9AA0A7C9}"/>
    <cellStyle name="Normal 4 2 3 2 2 2 2 3 3" xfId="28578" xr:uid="{00000000-0005-0000-0000-00002C170000}"/>
    <cellStyle name="Normal 4 2 3 2 2 2 2 3 3 2" xfId="35189" xr:uid="{D7A6A495-3084-46D5-A023-313CE424059F}"/>
    <cellStyle name="Normal 4 2 3 2 2 2 2 3 4" xfId="28579" xr:uid="{00000000-0005-0000-0000-00002D170000}"/>
    <cellStyle name="Normal 4 2 3 2 2 2 2 3 4 2" xfId="35190" xr:uid="{FBD5F10C-D53A-4F82-8D33-4D68D1739080}"/>
    <cellStyle name="Normal 4 2 3 2 2 2 2 3 5" xfId="28580" xr:uid="{00000000-0005-0000-0000-00002E170000}"/>
    <cellStyle name="Normal 4 2 3 2 2 2 2 3 5 2" xfId="35191" xr:uid="{F5AFA286-E782-42C3-BCF9-A4BCD90BA4CF}"/>
    <cellStyle name="Normal 4 2 3 2 2 2 2 3 6" xfId="35185" xr:uid="{AFC39E39-4EDF-4B68-84A3-F546E79AFD05}"/>
    <cellStyle name="Normal 4 2 3 2 2 2 2 4" xfId="28581" xr:uid="{00000000-0005-0000-0000-00002F170000}"/>
    <cellStyle name="Normal 4 2 3 2 2 2 2 4 2" xfId="28582" xr:uid="{00000000-0005-0000-0000-000030170000}"/>
    <cellStyle name="Normal 4 2 3 2 2 2 2 4 2 2" xfId="35193" xr:uid="{FDC1FEA8-8028-4152-AB2C-BB14532D4F8C}"/>
    <cellStyle name="Normal 4 2 3 2 2 2 2 4 3" xfId="28583" xr:uid="{00000000-0005-0000-0000-000031170000}"/>
    <cellStyle name="Normal 4 2 3 2 2 2 2 4 3 2" xfId="35194" xr:uid="{3ADC8546-F443-44B7-81F7-FD133BF2E881}"/>
    <cellStyle name="Normal 4 2 3 2 2 2 2 4 4" xfId="35192" xr:uid="{0B945F1A-DECB-44D6-85AB-676C427FBC41}"/>
    <cellStyle name="Normal 4 2 3 2 2 2 2 5" xfId="28584" xr:uid="{00000000-0005-0000-0000-000032170000}"/>
    <cellStyle name="Normal 4 2 3 2 2 2 2 5 2" xfId="35195" xr:uid="{195AD7E8-B3D8-413C-B1BC-8D095B422A0C}"/>
    <cellStyle name="Normal 4 2 3 2 2 2 2 6" xfId="28585" xr:uid="{00000000-0005-0000-0000-000033170000}"/>
    <cellStyle name="Normal 4 2 3 2 2 2 2 6 2" xfId="35196" xr:uid="{980B8725-B13C-4828-ACB9-8ECA3174FF5F}"/>
    <cellStyle name="Normal 4 2 3 2 2 2 2 7" xfId="28586" xr:uid="{00000000-0005-0000-0000-000034170000}"/>
    <cellStyle name="Normal 4 2 3 2 2 2 2 7 2" xfId="35197" xr:uid="{A481A667-94DD-40DD-B2D5-D3E8E40D3900}"/>
    <cellStyle name="Normal 4 2 3 2 2 2 2 8" xfId="35177" xr:uid="{EE5704A5-7CBD-45A3-BA0E-E5E1CDF9BBFD}"/>
    <cellStyle name="Normal 4 2 3 2 2 2 3" xfId="28587" xr:uid="{00000000-0005-0000-0000-000035170000}"/>
    <cellStyle name="Normal 4 2 3 2 2 2 3 2" xfId="28588" xr:uid="{00000000-0005-0000-0000-000036170000}"/>
    <cellStyle name="Normal 4 2 3 2 2 2 3 2 2" xfId="28589" xr:uid="{00000000-0005-0000-0000-000037170000}"/>
    <cellStyle name="Normal 4 2 3 2 2 2 3 2 2 2" xfId="35200" xr:uid="{AAA1B863-15B8-4235-9671-FD7CF94DB813}"/>
    <cellStyle name="Normal 4 2 3 2 2 2 3 2 3" xfId="28590" xr:uid="{00000000-0005-0000-0000-000038170000}"/>
    <cellStyle name="Normal 4 2 3 2 2 2 3 2 3 2" xfId="35201" xr:uid="{6DC255ED-335B-4441-BA92-3FC621AAFD69}"/>
    <cellStyle name="Normal 4 2 3 2 2 2 3 2 4" xfId="35199" xr:uid="{0002A862-CD48-448F-A23F-6CBDE9567036}"/>
    <cellStyle name="Normal 4 2 3 2 2 2 3 3" xfId="28591" xr:uid="{00000000-0005-0000-0000-000039170000}"/>
    <cellStyle name="Normal 4 2 3 2 2 2 3 3 2" xfId="35202" xr:uid="{E25F32D3-2AF5-49DB-81B3-A5970EEA2431}"/>
    <cellStyle name="Normal 4 2 3 2 2 2 3 4" xfId="28592" xr:uid="{00000000-0005-0000-0000-00003A170000}"/>
    <cellStyle name="Normal 4 2 3 2 2 2 3 4 2" xfId="35203" xr:uid="{D6B37B6C-C72E-4D36-871D-B3BA425458C3}"/>
    <cellStyle name="Normal 4 2 3 2 2 2 3 5" xfId="28593" xr:uid="{00000000-0005-0000-0000-00003B170000}"/>
    <cellStyle name="Normal 4 2 3 2 2 2 3 5 2" xfId="35204" xr:uid="{2095E3E0-73F1-48AE-8459-0F0148824E3A}"/>
    <cellStyle name="Normal 4 2 3 2 2 2 3 6" xfId="35198" xr:uid="{A7BDB05A-5BEE-4242-9039-BB63B7230941}"/>
    <cellStyle name="Normal 4 2 3 2 2 2 4" xfId="28594" xr:uid="{00000000-0005-0000-0000-00003C170000}"/>
    <cellStyle name="Normal 4 2 3 2 2 2 4 2" xfId="28595" xr:uid="{00000000-0005-0000-0000-00003D170000}"/>
    <cellStyle name="Normal 4 2 3 2 2 2 4 2 2" xfId="28596" xr:uid="{00000000-0005-0000-0000-00003E170000}"/>
    <cellStyle name="Normal 4 2 3 2 2 2 4 2 2 2" xfId="35207" xr:uid="{53A48395-B9F0-4011-82F4-A0563EC80E9A}"/>
    <cellStyle name="Normal 4 2 3 2 2 2 4 2 3" xfId="28597" xr:uid="{00000000-0005-0000-0000-00003F170000}"/>
    <cellStyle name="Normal 4 2 3 2 2 2 4 2 3 2" xfId="35208" xr:uid="{3B64ACEF-66E2-47DC-AEA2-A43DE20D97F7}"/>
    <cellStyle name="Normal 4 2 3 2 2 2 4 2 4" xfId="35206" xr:uid="{55D3D17D-B404-4E30-A38E-190ED804C901}"/>
    <cellStyle name="Normal 4 2 3 2 2 2 4 3" xfId="28598" xr:uid="{00000000-0005-0000-0000-000040170000}"/>
    <cellStyle name="Normal 4 2 3 2 2 2 4 3 2" xfId="35209" xr:uid="{8D45BB0C-101D-4198-B12A-CDCA9AF55914}"/>
    <cellStyle name="Normal 4 2 3 2 2 2 4 4" xfId="28599" xr:uid="{00000000-0005-0000-0000-000041170000}"/>
    <cellStyle name="Normal 4 2 3 2 2 2 4 4 2" xfId="35210" xr:uid="{4AB2268E-9CAF-46B9-B0A8-7FD69FD601DD}"/>
    <cellStyle name="Normal 4 2 3 2 2 2 4 5" xfId="28600" xr:uid="{00000000-0005-0000-0000-000042170000}"/>
    <cellStyle name="Normal 4 2 3 2 2 2 4 5 2" xfId="35211" xr:uid="{0995DA8D-61FF-4481-BEF9-FFA1836BD23B}"/>
    <cellStyle name="Normal 4 2 3 2 2 2 4 6" xfId="35205" xr:uid="{6288F72B-683B-49B2-954E-83A8725B6E52}"/>
    <cellStyle name="Normal 4 2 3 2 2 2 5" xfId="28601" xr:uid="{00000000-0005-0000-0000-000043170000}"/>
    <cellStyle name="Normal 4 2 3 2 2 2 5 2" xfId="28602" xr:uid="{00000000-0005-0000-0000-000044170000}"/>
    <cellStyle name="Normal 4 2 3 2 2 2 5 2 2" xfId="35213" xr:uid="{EB87B7FA-217C-4CD0-BF29-83C90CBB6140}"/>
    <cellStyle name="Normal 4 2 3 2 2 2 5 3" xfId="28603" xr:uid="{00000000-0005-0000-0000-000045170000}"/>
    <cellStyle name="Normal 4 2 3 2 2 2 5 3 2" xfId="35214" xr:uid="{5A1F5A51-8122-45A6-B5AA-1D2E278BA840}"/>
    <cellStyle name="Normal 4 2 3 2 2 2 5 4" xfId="35212" xr:uid="{283A6123-1409-44A1-A8E1-04C94EB548CD}"/>
    <cellStyle name="Normal 4 2 3 2 2 2 6" xfId="28604" xr:uid="{00000000-0005-0000-0000-000046170000}"/>
    <cellStyle name="Normal 4 2 3 2 2 2 6 2" xfId="35215" xr:uid="{F0759DA0-CBBB-49D4-BE27-585FC21497BD}"/>
    <cellStyle name="Normal 4 2 3 2 2 2 7" xfId="28605" xr:uid="{00000000-0005-0000-0000-000047170000}"/>
    <cellStyle name="Normal 4 2 3 2 2 2 7 2" xfId="35216" xr:uid="{72D3FDDB-228C-4C47-9B16-029CDF8B75DA}"/>
    <cellStyle name="Normal 4 2 3 2 2 2 8" xfId="28606" xr:uid="{00000000-0005-0000-0000-000048170000}"/>
    <cellStyle name="Normal 4 2 3 2 2 2 8 2" xfId="35217" xr:uid="{B9C4BDA6-B69C-43C3-9106-7CCC7D7BFA2B}"/>
    <cellStyle name="Normal 4 2 3 2 2 2 9" xfId="35176" xr:uid="{BA92768D-D57B-4797-AAA2-59F678F755C6}"/>
    <cellStyle name="Normal 4 2 3 2 2 3" xfId="28607" xr:uid="{00000000-0005-0000-0000-000049170000}"/>
    <cellStyle name="Normal 4 2 3 2 2 3 2" xfId="28608" xr:uid="{00000000-0005-0000-0000-00004A170000}"/>
    <cellStyle name="Normal 4 2 3 2 2 3 2 2" xfId="28609" xr:uid="{00000000-0005-0000-0000-00004B170000}"/>
    <cellStyle name="Normal 4 2 3 2 2 3 2 2 2" xfId="28610" xr:uid="{00000000-0005-0000-0000-00004C170000}"/>
    <cellStyle name="Normal 4 2 3 2 2 3 2 2 2 2" xfId="35221" xr:uid="{683A664A-A2FF-4861-A371-6D1EA8440766}"/>
    <cellStyle name="Normal 4 2 3 2 2 3 2 2 3" xfId="28611" xr:uid="{00000000-0005-0000-0000-00004D170000}"/>
    <cellStyle name="Normal 4 2 3 2 2 3 2 2 3 2" xfId="35222" xr:uid="{771F4B4B-D2D8-4CDB-AAC8-35DCD34748DA}"/>
    <cellStyle name="Normal 4 2 3 2 2 3 2 2 4" xfId="35220" xr:uid="{ED26A8F9-D428-481C-A74A-FB6A00D06E21}"/>
    <cellStyle name="Normal 4 2 3 2 2 3 2 3" xfId="28612" xr:uid="{00000000-0005-0000-0000-00004E170000}"/>
    <cellStyle name="Normal 4 2 3 2 2 3 2 3 2" xfId="35223" xr:uid="{47328BF2-C3EB-4A15-A0C3-EEE5EC07CBE3}"/>
    <cellStyle name="Normal 4 2 3 2 2 3 2 4" xfId="28613" xr:uid="{00000000-0005-0000-0000-00004F170000}"/>
    <cellStyle name="Normal 4 2 3 2 2 3 2 4 2" xfId="35224" xr:uid="{B30E5A0B-4D4E-4672-B1F1-9E0BA7BE1806}"/>
    <cellStyle name="Normal 4 2 3 2 2 3 2 5" xfId="28614" xr:uid="{00000000-0005-0000-0000-000050170000}"/>
    <cellStyle name="Normal 4 2 3 2 2 3 2 5 2" xfId="35225" xr:uid="{779493CD-75C6-4E6C-82C0-893B3D09F18B}"/>
    <cellStyle name="Normal 4 2 3 2 2 3 2 6" xfId="35219" xr:uid="{40DF719C-AE58-4683-A5E6-8AE070E399FE}"/>
    <cellStyle name="Normal 4 2 3 2 2 3 3" xfId="28615" xr:uid="{00000000-0005-0000-0000-000051170000}"/>
    <cellStyle name="Normal 4 2 3 2 2 3 3 2" xfId="28616" xr:uid="{00000000-0005-0000-0000-000052170000}"/>
    <cellStyle name="Normal 4 2 3 2 2 3 3 2 2" xfId="28617" xr:uid="{00000000-0005-0000-0000-000053170000}"/>
    <cellStyle name="Normal 4 2 3 2 2 3 3 2 2 2" xfId="35228" xr:uid="{86034E14-6CCC-4DCE-880E-60B785EFC108}"/>
    <cellStyle name="Normal 4 2 3 2 2 3 3 2 3" xfId="28618" xr:uid="{00000000-0005-0000-0000-000054170000}"/>
    <cellStyle name="Normal 4 2 3 2 2 3 3 2 3 2" xfId="35229" xr:uid="{E4BE18B9-9F1D-42D5-8F51-C2BB916DACA6}"/>
    <cellStyle name="Normal 4 2 3 2 2 3 3 2 4" xfId="35227" xr:uid="{1D4C73F6-D56D-449D-8FBF-EBCEA38648FB}"/>
    <cellStyle name="Normal 4 2 3 2 2 3 3 3" xfId="28619" xr:uid="{00000000-0005-0000-0000-000055170000}"/>
    <cellStyle name="Normal 4 2 3 2 2 3 3 3 2" xfId="35230" xr:uid="{08264564-8E4D-42C6-BDE8-96F7C1D99B2F}"/>
    <cellStyle name="Normal 4 2 3 2 2 3 3 4" xfId="28620" xr:uid="{00000000-0005-0000-0000-000056170000}"/>
    <cellStyle name="Normal 4 2 3 2 2 3 3 4 2" xfId="35231" xr:uid="{F42F4AD6-C006-4EA2-AD8E-6B0C74B74198}"/>
    <cellStyle name="Normal 4 2 3 2 2 3 3 5" xfId="28621" xr:uid="{00000000-0005-0000-0000-000057170000}"/>
    <cellStyle name="Normal 4 2 3 2 2 3 3 5 2" xfId="35232" xr:uid="{4DA34998-5273-4DCE-BC95-32909EDCB45D}"/>
    <cellStyle name="Normal 4 2 3 2 2 3 3 6" xfId="35226" xr:uid="{01B1D7EA-2E45-4147-8A08-6F99AB22B223}"/>
    <cellStyle name="Normal 4 2 3 2 2 3 4" xfId="28622" xr:uid="{00000000-0005-0000-0000-000058170000}"/>
    <cellStyle name="Normal 4 2 3 2 2 3 4 2" xfId="28623" xr:uid="{00000000-0005-0000-0000-000059170000}"/>
    <cellStyle name="Normal 4 2 3 2 2 3 4 2 2" xfId="35234" xr:uid="{17D76088-6D59-485D-9978-E605E5C41B8F}"/>
    <cellStyle name="Normal 4 2 3 2 2 3 4 3" xfId="28624" xr:uid="{00000000-0005-0000-0000-00005A170000}"/>
    <cellStyle name="Normal 4 2 3 2 2 3 4 3 2" xfId="35235" xr:uid="{CF0C305E-F7E7-447B-A257-169E1138368D}"/>
    <cellStyle name="Normal 4 2 3 2 2 3 4 4" xfId="35233" xr:uid="{7AEA43F5-3469-4011-94D9-E0164A30089F}"/>
    <cellStyle name="Normal 4 2 3 2 2 3 5" xfId="28625" xr:uid="{00000000-0005-0000-0000-00005B170000}"/>
    <cellStyle name="Normal 4 2 3 2 2 3 5 2" xfId="35236" xr:uid="{B1133FF7-2967-42C4-9DCA-A7AB37C1FEF4}"/>
    <cellStyle name="Normal 4 2 3 2 2 3 6" xfId="28626" xr:uid="{00000000-0005-0000-0000-00005C170000}"/>
    <cellStyle name="Normal 4 2 3 2 2 3 6 2" xfId="35237" xr:uid="{257A2E51-BD9C-410A-A859-3C5843D91D16}"/>
    <cellStyle name="Normal 4 2 3 2 2 3 7" xfId="28627" xr:uid="{00000000-0005-0000-0000-00005D170000}"/>
    <cellStyle name="Normal 4 2 3 2 2 3 7 2" xfId="35238" xr:uid="{4828584C-C3F2-4291-986B-C03A25E96BB3}"/>
    <cellStyle name="Normal 4 2 3 2 2 3 8" xfId="35218" xr:uid="{CA1D9D49-3472-4B95-BD0A-2170093123AC}"/>
    <cellStyle name="Normal 4 2 3 2 2 4" xfId="28628" xr:uid="{00000000-0005-0000-0000-00005E170000}"/>
    <cellStyle name="Normal 4 2 3 2 2 4 2" xfId="28629" xr:uid="{00000000-0005-0000-0000-00005F170000}"/>
    <cellStyle name="Normal 4 2 3 2 2 4 2 2" xfId="28630" xr:uid="{00000000-0005-0000-0000-000060170000}"/>
    <cellStyle name="Normal 4 2 3 2 2 4 2 2 2" xfId="35241" xr:uid="{3E032B00-3350-49E9-B9B3-C8B33B11B7B8}"/>
    <cellStyle name="Normal 4 2 3 2 2 4 2 3" xfId="28631" xr:uid="{00000000-0005-0000-0000-000061170000}"/>
    <cellStyle name="Normal 4 2 3 2 2 4 2 3 2" xfId="35242" xr:uid="{4AAD9DCB-B1FB-4741-B97C-76CCEF6D770A}"/>
    <cellStyle name="Normal 4 2 3 2 2 4 2 4" xfId="35240" xr:uid="{1D5ACE81-5694-4FEF-B9E0-2AF40CF61872}"/>
    <cellStyle name="Normal 4 2 3 2 2 4 3" xfId="28632" xr:uid="{00000000-0005-0000-0000-000062170000}"/>
    <cellStyle name="Normal 4 2 3 2 2 4 3 2" xfId="35243" xr:uid="{DEB14B5C-5424-4383-9BA4-11881FD39B70}"/>
    <cellStyle name="Normal 4 2 3 2 2 4 4" xfId="28633" xr:uid="{00000000-0005-0000-0000-000063170000}"/>
    <cellStyle name="Normal 4 2 3 2 2 4 4 2" xfId="35244" xr:uid="{37CD43A8-226E-4641-B5C5-9CE9B6625DFE}"/>
    <cellStyle name="Normal 4 2 3 2 2 4 5" xfId="28634" xr:uid="{00000000-0005-0000-0000-000064170000}"/>
    <cellStyle name="Normal 4 2 3 2 2 4 5 2" xfId="35245" xr:uid="{69BD4851-DEC6-4706-B2A6-6B75891D2FC7}"/>
    <cellStyle name="Normal 4 2 3 2 2 4 6" xfId="35239" xr:uid="{3FE3CE93-BD5D-490C-998E-DE6DB76A3554}"/>
    <cellStyle name="Normal 4 2 3 2 2 5" xfId="28635" xr:uid="{00000000-0005-0000-0000-000065170000}"/>
    <cellStyle name="Normal 4 2 3 2 2 5 2" xfId="28636" xr:uid="{00000000-0005-0000-0000-000066170000}"/>
    <cellStyle name="Normal 4 2 3 2 2 5 2 2" xfId="28637" xr:uid="{00000000-0005-0000-0000-000067170000}"/>
    <cellStyle name="Normal 4 2 3 2 2 5 2 2 2" xfId="35248" xr:uid="{B9C3B011-AC56-49B4-BD49-7DBE96E2F896}"/>
    <cellStyle name="Normal 4 2 3 2 2 5 2 3" xfId="28638" xr:uid="{00000000-0005-0000-0000-000068170000}"/>
    <cellStyle name="Normal 4 2 3 2 2 5 2 3 2" xfId="35249" xr:uid="{DC2B583D-FB4D-4525-8683-E5235BDDAEDD}"/>
    <cellStyle name="Normal 4 2 3 2 2 5 2 4" xfId="35247" xr:uid="{DBAECC34-C5B7-49B9-80F1-C5AC95389988}"/>
    <cellStyle name="Normal 4 2 3 2 2 5 3" xfId="28639" xr:uid="{00000000-0005-0000-0000-000069170000}"/>
    <cellStyle name="Normal 4 2 3 2 2 5 3 2" xfId="35250" xr:uid="{CE8FFE67-2DE8-4E97-85D9-6A9EC80B85B1}"/>
    <cellStyle name="Normal 4 2 3 2 2 5 4" xfId="28640" xr:uid="{00000000-0005-0000-0000-00006A170000}"/>
    <cellStyle name="Normal 4 2 3 2 2 5 4 2" xfId="35251" xr:uid="{10A3D581-041E-40D5-A189-7B9AD3F88B0B}"/>
    <cellStyle name="Normal 4 2 3 2 2 5 5" xfId="28641" xr:uid="{00000000-0005-0000-0000-00006B170000}"/>
    <cellStyle name="Normal 4 2 3 2 2 5 5 2" xfId="35252" xr:uid="{E8CBCC92-0D5F-469F-91BC-E57BB8729216}"/>
    <cellStyle name="Normal 4 2 3 2 2 5 6" xfId="35246" xr:uid="{BCAC71A8-5790-4B3B-B05A-2F934A85E8E9}"/>
    <cellStyle name="Normal 4 2 3 2 2 6" xfId="28642" xr:uid="{00000000-0005-0000-0000-00006C170000}"/>
    <cellStyle name="Normal 4 2 3 2 2 6 2" xfId="28643" xr:uid="{00000000-0005-0000-0000-00006D170000}"/>
    <cellStyle name="Normal 4 2 3 2 2 6 2 2" xfId="35254" xr:uid="{0D27943C-CAAB-4E98-815E-8C6AACBE5CFC}"/>
    <cellStyle name="Normal 4 2 3 2 2 6 3" xfId="28644" xr:uid="{00000000-0005-0000-0000-00006E170000}"/>
    <cellStyle name="Normal 4 2 3 2 2 6 3 2" xfId="35255" xr:uid="{B99F9A99-5696-47E7-9352-A0CACFCBC850}"/>
    <cellStyle name="Normal 4 2 3 2 2 6 4" xfId="35253" xr:uid="{08D3E8B9-BFE2-4D20-B6D2-EF11FA5AB19E}"/>
    <cellStyle name="Normal 4 2 3 2 2 7" xfId="28645" xr:uid="{00000000-0005-0000-0000-00006F170000}"/>
    <cellStyle name="Normal 4 2 3 2 2 7 2" xfId="35256" xr:uid="{7E0E69D6-356F-419C-8FA5-68431A5316FB}"/>
    <cellStyle name="Normal 4 2 3 2 2 8" xfId="28646" xr:uid="{00000000-0005-0000-0000-000070170000}"/>
    <cellStyle name="Normal 4 2 3 2 2 8 2" xfId="35257" xr:uid="{82855730-7F21-46AE-A271-C0A44D4A977E}"/>
    <cellStyle name="Normal 4 2 3 2 2 9" xfId="28647" xr:uid="{00000000-0005-0000-0000-000071170000}"/>
    <cellStyle name="Normal 4 2 3 2 2 9 2" xfId="35258" xr:uid="{64FABE7C-77FC-4EE1-A5E5-12D1C2E431EE}"/>
    <cellStyle name="Normal 4 2 3 2 3" xfId="28648" xr:uid="{00000000-0005-0000-0000-000072170000}"/>
    <cellStyle name="Normal 4 2 3 2 3 10" xfId="35259" xr:uid="{A9FC44EE-C70D-4357-AF75-0A9E52225CB0}"/>
    <cellStyle name="Normal 4 2 3 2 3 2" xfId="28649" xr:uid="{00000000-0005-0000-0000-000073170000}"/>
    <cellStyle name="Normal 4 2 3 2 3 2 2" xfId="28650" xr:uid="{00000000-0005-0000-0000-000074170000}"/>
    <cellStyle name="Normal 4 2 3 2 3 2 2 2" xfId="28651" xr:uid="{00000000-0005-0000-0000-000075170000}"/>
    <cellStyle name="Normal 4 2 3 2 3 2 2 2 2" xfId="28652" xr:uid="{00000000-0005-0000-0000-000076170000}"/>
    <cellStyle name="Normal 4 2 3 2 3 2 2 2 2 2" xfId="28653" xr:uid="{00000000-0005-0000-0000-000077170000}"/>
    <cellStyle name="Normal 4 2 3 2 3 2 2 2 2 2 2" xfId="35264" xr:uid="{C4D9042F-979C-463D-9FD4-4BCC24B799D5}"/>
    <cellStyle name="Normal 4 2 3 2 3 2 2 2 2 3" xfId="28654" xr:uid="{00000000-0005-0000-0000-000078170000}"/>
    <cellStyle name="Normal 4 2 3 2 3 2 2 2 2 3 2" xfId="35265" xr:uid="{7B91FB9E-1478-498B-BD9A-CD4540772BFA}"/>
    <cellStyle name="Normal 4 2 3 2 3 2 2 2 2 4" xfId="35263" xr:uid="{BC32E317-8CA1-4441-AEFE-565EAF71A029}"/>
    <cellStyle name="Normal 4 2 3 2 3 2 2 2 3" xfId="28655" xr:uid="{00000000-0005-0000-0000-000079170000}"/>
    <cellStyle name="Normal 4 2 3 2 3 2 2 2 3 2" xfId="35266" xr:uid="{3D779C93-5885-44B6-BEEB-2462C917A2AD}"/>
    <cellStyle name="Normal 4 2 3 2 3 2 2 2 4" xfId="28656" xr:uid="{00000000-0005-0000-0000-00007A170000}"/>
    <cellStyle name="Normal 4 2 3 2 3 2 2 2 4 2" xfId="35267" xr:uid="{52756030-F638-4F4E-986B-F9EF2BD609D1}"/>
    <cellStyle name="Normal 4 2 3 2 3 2 2 2 5" xfId="28657" xr:uid="{00000000-0005-0000-0000-00007B170000}"/>
    <cellStyle name="Normal 4 2 3 2 3 2 2 2 5 2" xfId="35268" xr:uid="{4654C497-F27F-4B40-AC43-DFBBCBD4C6BA}"/>
    <cellStyle name="Normal 4 2 3 2 3 2 2 2 6" xfId="35262" xr:uid="{526E4BB0-33EB-4A25-811B-1CCF82638CC0}"/>
    <cellStyle name="Normal 4 2 3 2 3 2 2 3" xfId="28658" xr:uid="{00000000-0005-0000-0000-00007C170000}"/>
    <cellStyle name="Normal 4 2 3 2 3 2 2 3 2" xfId="28659" xr:uid="{00000000-0005-0000-0000-00007D170000}"/>
    <cellStyle name="Normal 4 2 3 2 3 2 2 3 2 2" xfId="28660" xr:uid="{00000000-0005-0000-0000-00007E170000}"/>
    <cellStyle name="Normal 4 2 3 2 3 2 2 3 2 2 2" xfId="35271" xr:uid="{C1B70FF6-0476-484B-B3B0-19880E2DA5BB}"/>
    <cellStyle name="Normal 4 2 3 2 3 2 2 3 2 3" xfId="28661" xr:uid="{00000000-0005-0000-0000-00007F170000}"/>
    <cellStyle name="Normal 4 2 3 2 3 2 2 3 2 3 2" xfId="35272" xr:uid="{8AC1946B-1FED-4D91-A35E-DF2799F3A00B}"/>
    <cellStyle name="Normal 4 2 3 2 3 2 2 3 2 4" xfId="35270" xr:uid="{AA729580-CC34-48B1-A3A0-6955306FD8BA}"/>
    <cellStyle name="Normal 4 2 3 2 3 2 2 3 3" xfId="28662" xr:uid="{00000000-0005-0000-0000-000080170000}"/>
    <cellStyle name="Normal 4 2 3 2 3 2 2 3 3 2" xfId="35273" xr:uid="{40E2946A-F56C-4F98-8DF1-4002B27455BF}"/>
    <cellStyle name="Normal 4 2 3 2 3 2 2 3 4" xfId="28663" xr:uid="{00000000-0005-0000-0000-000081170000}"/>
    <cellStyle name="Normal 4 2 3 2 3 2 2 3 4 2" xfId="35274" xr:uid="{5CD71483-DDF5-4AB9-A778-A698246EAFE6}"/>
    <cellStyle name="Normal 4 2 3 2 3 2 2 3 5" xfId="28664" xr:uid="{00000000-0005-0000-0000-000082170000}"/>
    <cellStyle name="Normal 4 2 3 2 3 2 2 3 5 2" xfId="35275" xr:uid="{1470BAEA-3CCC-41D2-BD3C-D143252E6912}"/>
    <cellStyle name="Normal 4 2 3 2 3 2 2 3 6" xfId="35269" xr:uid="{2561CA90-5256-4530-8B2B-1D5ECBBA6F76}"/>
    <cellStyle name="Normal 4 2 3 2 3 2 2 4" xfId="28665" xr:uid="{00000000-0005-0000-0000-000083170000}"/>
    <cellStyle name="Normal 4 2 3 2 3 2 2 4 2" xfId="28666" xr:uid="{00000000-0005-0000-0000-000084170000}"/>
    <cellStyle name="Normal 4 2 3 2 3 2 2 4 2 2" xfId="35277" xr:uid="{5EDED4C1-C047-4AAC-8B42-715C5BEBC813}"/>
    <cellStyle name="Normal 4 2 3 2 3 2 2 4 3" xfId="28667" xr:uid="{00000000-0005-0000-0000-000085170000}"/>
    <cellStyle name="Normal 4 2 3 2 3 2 2 4 3 2" xfId="35278" xr:uid="{2825727D-719D-4514-AACB-F7AB27F20332}"/>
    <cellStyle name="Normal 4 2 3 2 3 2 2 4 4" xfId="35276" xr:uid="{611D3EB8-CF6B-4684-84BE-81778F2B33AB}"/>
    <cellStyle name="Normal 4 2 3 2 3 2 2 5" xfId="28668" xr:uid="{00000000-0005-0000-0000-000086170000}"/>
    <cellStyle name="Normal 4 2 3 2 3 2 2 5 2" xfId="35279" xr:uid="{F31604C9-2F82-4C98-8A3D-B070729DDA41}"/>
    <cellStyle name="Normal 4 2 3 2 3 2 2 6" xfId="28669" xr:uid="{00000000-0005-0000-0000-000087170000}"/>
    <cellStyle name="Normal 4 2 3 2 3 2 2 6 2" xfId="35280" xr:uid="{330A6374-1478-4F72-9A76-4AB15653A00F}"/>
    <cellStyle name="Normal 4 2 3 2 3 2 2 7" xfId="28670" xr:uid="{00000000-0005-0000-0000-000088170000}"/>
    <cellStyle name="Normal 4 2 3 2 3 2 2 7 2" xfId="35281" xr:uid="{29785C4E-9F05-4BAD-9AEA-93951B7109F5}"/>
    <cellStyle name="Normal 4 2 3 2 3 2 2 8" xfId="35261" xr:uid="{E8BF1099-ED5C-47F3-ADBB-03DFFC9417FC}"/>
    <cellStyle name="Normal 4 2 3 2 3 2 3" xfId="28671" xr:uid="{00000000-0005-0000-0000-000089170000}"/>
    <cellStyle name="Normal 4 2 3 2 3 2 3 2" xfId="28672" xr:uid="{00000000-0005-0000-0000-00008A170000}"/>
    <cellStyle name="Normal 4 2 3 2 3 2 3 2 2" xfId="28673" xr:uid="{00000000-0005-0000-0000-00008B170000}"/>
    <cellStyle name="Normal 4 2 3 2 3 2 3 2 2 2" xfId="35284" xr:uid="{6521822E-1833-47BC-883F-6CAF7A7000A8}"/>
    <cellStyle name="Normal 4 2 3 2 3 2 3 2 3" xfId="28674" xr:uid="{00000000-0005-0000-0000-00008C170000}"/>
    <cellStyle name="Normal 4 2 3 2 3 2 3 2 3 2" xfId="35285" xr:uid="{32853579-38E2-4779-A207-A9620BC9AB98}"/>
    <cellStyle name="Normal 4 2 3 2 3 2 3 2 4" xfId="35283" xr:uid="{7B80F059-756A-49D7-B666-6D8C52ABDF3F}"/>
    <cellStyle name="Normal 4 2 3 2 3 2 3 3" xfId="28675" xr:uid="{00000000-0005-0000-0000-00008D170000}"/>
    <cellStyle name="Normal 4 2 3 2 3 2 3 3 2" xfId="35286" xr:uid="{1A110D9B-A524-4341-97FA-57B77C463422}"/>
    <cellStyle name="Normal 4 2 3 2 3 2 3 4" xfId="28676" xr:uid="{00000000-0005-0000-0000-00008E170000}"/>
    <cellStyle name="Normal 4 2 3 2 3 2 3 4 2" xfId="35287" xr:uid="{65CB9D94-2C3B-48D9-B2AD-373E0C0FC6F7}"/>
    <cellStyle name="Normal 4 2 3 2 3 2 3 5" xfId="28677" xr:uid="{00000000-0005-0000-0000-00008F170000}"/>
    <cellStyle name="Normal 4 2 3 2 3 2 3 5 2" xfId="35288" xr:uid="{FDD05403-F3DF-4FB4-99AA-E6323A2FE9BB}"/>
    <cellStyle name="Normal 4 2 3 2 3 2 3 6" xfId="35282" xr:uid="{B734B136-9577-4C27-9548-D07AB0969F33}"/>
    <cellStyle name="Normal 4 2 3 2 3 2 4" xfId="28678" xr:uid="{00000000-0005-0000-0000-000090170000}"/>
    <cellStyle name="Normal 4 2 3 2 3 2 4 2" xfId="28679" xr:uid="{00000000-0005-0000-0000-000091170000}"/>
    <cellStyle name="Normal 4 2 3 2 3 2 4 2 2" xfId="28680" xr:uid="{00000000-0005-0000-0000-000092170000}"/>
    <cellStyle name="Normal 4 2 3 2 3 2 4 2 2 2" xfId="35291" xr:uid="{BD10A537-3D13-4952-9B27-EA09458359F7}"/>
    <cellStyle name="Normal 4 2 3 2 3 2 4 2 3" xfId="28681" xr:uid="{00000000-0005-0000-0000-000093170000}"/>
    <cellStyle name="Normal 4 2 3 2 3 2 4 2 3 2" xfId="35292" xr:uid="{C63C92E4-AA45-4779-9E08-235E55EC4EFB}"/>
    <cellStyle name="Normal 4 2 3 2 3 2 4 2 4" xfId="35290" xr:uid="{9A7ABA69-6AC8-4746-A137-49626E9E27E1}"/>
    <cellStyle name="Normal 4 2 3 2 3 2 4 3" xfId="28682" xr:uid="{00000000-0005-0000-0000-000094170000}"/>
    <cellStyle name="Normal 4 2 3 2 3 2 4 3 2" xfId="35293" xr:uid="{469D7348-E9F9-4D62-B1AE-CD02AA351595}"/>
    <cellStyle name="Normal 4 2 3 2 3 2 4 4" xfId="28683" xr:uid="{00000000-0005-0000-0000-000095170000}"/>
    <cellStyle name="Normal 4 2 3 2 3 2 4 4 2" xfId="35294" xr:uid="{C5E12891-C554-4D48-A396-51FF8EE8726E}"/>
    <cellStyle name="Normal 4 2 3 2 3 2 4 5" xfId="28684" xr:uid="{00000000-0005-0000-0000-000096170000}"/>
    <cellStyle name="Normal 4 2 3 2 3 2 4 5 2" xfId="35295" xr:uid="{FD5B5FCB-39F3-45C5-9C7B-D8B5A0B4A368}"/>
    <cellStyle name="Normal 4 2 3 2 3 2 4 6" xfId="35289" xr:uid="{42723769-6DEE-487E-A89C-6A4B23D17EE9}"/>
    <cellStyle name="Normal 4 2 3 2 3 2 5" xfId="28685" xr:uid="{00000000-0005-0000-0000-000097170000}"/>
    <cellStyle name="Normal 4 2 3 2 3 2 5 2" xfId="28686" xr:uid="{00000000-0005-0000-0000-000098170000}"/>
    <cellStyle name="Normal 4 2 3 2 3 2 5 2 2" xfId="35297" xr:uid="{CAE4B3A4-6512-48E3-863B-7BB2C43DA754}"/>
    <cellStyle name="Normal 4 2 3 2 3 2 5 3" xfId="28687" xr:uid="{00000000-0005-0000-0000-000099170000}"/>
    <cellStyle name="Normal 4 2 3 2 3 2 5 3 2" xfId="35298" xr:uid="{B077C038-1C11-4ACA-9D54-F26D0AECEB41}"/>
    <cellStyle name="Normal 4 2 3 2 3 2 5 4" xfId="35296" xr:uid="{B7D899BA-55CA-4919-BB3C-27D3D8C058A9}"/>
    <cellStyle name="Normal 4 2 3 2 3 2 6" xfId="28688" xr:uid="{00000000-0005-0000-0000-00009A170000}"/>
    <cellStyle name="Normal 4 2 3 2 3 2 6 2" xfId="35299" xr:uid="{01D67865-AF1D-469F-8097-1A8460D820A7}"/>
    <cellStyle name="Normal 4 2 3 2 3 2 7" xfId="28689" xr:uid="{00000000-0005-0000-0000-00009B170000}"/>
    <cellStyle name="Normal 4 2 3 2 3 2 7 2" xfId="35300" xr:uid="{EF6282F9-39FD-4183-9C69-1EC9A673CADB}"/>
    <cellStyle name="Normal 4 2 3 2 3 2 8" xfId="28690" xr:uid="{00000000-0005-0000-0000-00009C170000}"/>
    <cellStyle name="Normal 4 2 3 2 3 2 8 2" xfId="35301" xr:uid="{270F79F8-4B7D-4213-B8D7-157AD9D845AE}"/>
    <cellStyle name="Normal 4 2 3 2 3 2 9" xfId="35260" xr:uid="{E62AB3C2-39B6-4764-B71A-BA73F28CF5AC}"/>
    <cellStyle name="Normal 4 2 3 2 3 3" xfId="28691" xr:uid="{00000000-0005-0000-0000-00009D170000}"/>
    <cellStyle name="Normal 4 2 3 2 3 3 2" xfId="28692" xr:uid="{00000000-0005-0000-0000-00009E170000}"/>
    <cellStyle name="Normal 4 2 3 2 3 3 2 2" xfId="28693" xr:uid="{00000000-0005-0000-0000-00009F170000}"/>
    <cellStyle name="Normal 4 2 3 2 3 3 2 2 2" xfId="28694" xr:uid="{00000000-0005-0000-0000-0000A0170000}"/>
    <cellStyle name="Normal 4 2 3 2 3 3 2 2 2 2" xfId="35305" xr:uid="{9DBA799B-109C-48D7-AC1C-2538D205CAE2}"/>
    <cellStyle name="Normal 4 2 3 2 3 3 2 2 3" xfId="28695" xr:uid="{00000000-0005-0000-0000-0000A1170000}"/>
    <cellStyle name="Normal 4 2 3 2 3 3 2 2 3 2" xfId="35306" xr:uid="{C50BCFF8-2FB1-463F-9495-7BCD967910DB}"/>
    <cellStyle name="Normal 4 2 3 2 3 3 2 2 4" xfId="35304" xr:uid="{2D158667-7A45-4311-A264-7858979C424B}"/>
    <cellStyle name="Normal 4 2 3 2 3 3 2 3" xfId="28696" xr:uid="{00000000-0005-0000-0000-0000A2170000}"/>
    <cellStyle name="Normal 4 2 3 2 3 3 2 3 2" xfId="35307" xr:uid="{6204586E-6603-488C-BAE1-210CB4234A7F}"/>
    <cellStyle name="Normal 4 2 3 2 3 3 2 4" xfId="28697" xr:uid="{00000000-0005-0000-0000-0000A3170000}"/>
    <cellStyle name="Normal 4 2 3 2 3 3 2 4 2" xfId="35308" xr:uid="{5085258E-919D-4AA7-A9E5-4DD27886067F}"/>
    <cellStyle name="Normal 4 2 3 2 3 3 2 5" xfId="28698" xr:uid="{00000000-0005-0000-0000-0000A4170000}"/>
    <cellStyle name="Normal 4 2 3 2 3 3 2 5 2" xfId="35309" xr:uid="{033FCC52-B6E4-4B66-AB7E-138F788773B3}"/>
    <cellStyle name="Normal 4 2 3 2 3 3 2 6" xfId="35303" xr:uid="{763E0613-9583-4E9B-B695-E4F8EE9E4FE3}"/>
    <cellStyle name="Normal 4 2 3 2 3 3 3" xfId="28699" xr:uid="{00000000-0005-0000-0000-0000A5170000}"/>
    <cellStyle name="Normal 4 2 3 2 3 3 3 2" xfId="28700" xr:uid="{00000000-0005-0000-0000-0000A6170000}"/>
    <cellStyle name="Normal 4 2 3 2 3 3 3 2 2" xfId="28701" xr:uid="{00000000-0005-0000-0000-0000A7170000}"/>
    <cellStyle name="Normal 4 2 3 2 3 3 3 2 2 2" xfId="35312" xr:uid="{1BAAA055-3327-4E79-A725-46076559E1C3}"/>
    <cellStyle name="Normal 4 2 3 2 3 3 3 2 3" xfId="28702" xr:uid="{00000000-0005-0000-0000-0000A8170000}"/>
    <cellStyle name="Normal 4 2 3 2 3 3 3 2 3 2" xfId="35313" xr:uid="{4AD00758-38D7-4A1E-BC2B-D995316B3785}"/>
    <cellStyle name="Normal 4 2 3 2 3 3 3 2 4" xfId="35311" xr:uid="{FA158AFE-DEE7-4A89-A1CF-BE3E266FE259}"/>
    <cellStyle name="Normal 4 2 3 2 3 3 3 3" xfId="28703" xr:uid="{00000000-0005-0000-0000-0000A9170000}"/>
    <cellStyle name="Normal 4 2 3 2 3 3 3 3 2" xfId="35314" xr:uid="{CD6B7D29-554F-40A6-9F66-18A4260875AC}"/>
    <cellStyle name="Normal 4 2 3 2 3 3 3 4" xfId="28704" xr:uid="{00000000-0005-0000-0000-0000AA170000}"/>
    <cellStyle name="Normal 4 2 3 2 3 3 3 4 2" xfId="35315" xr:uid="{0AE73E91-3B27-4C62-9BCD-77B4128A901A}"/>
    <cellStyle name="Normal 4 2 3 2 3 3 3 5" xfId="28705" xr:uid="{00000000-0005-0000-0000-0000AB170000}"/>
    <cellStyle name="Normal 4 2 3 2 3 3 3 5 2" xfId="35316" xr:uid="{054D946C-508C-4FB1-B4C9-5700B8A55D2E}"/>
    <cellStyle name="Normal 4 2 3 2 3 3 3 6" xfId="35310" xr:uid="{18A34139-E2F8-4A8A-95EC-0F998A8F6ABB}"/>
    <cellStyle name="Normal 4 2 3 2 3 3 4" xfId="28706" xr:uid="{00000000-0005-0000-0000-0000AC170000}"/>
    <cellStyle name="Normal 4 2 3 2 3 3 4 2" xfId="28707" xr:uid="{00000000-0005-0000-0000-0000AD170000}"/>
    <cellStyle name="Normal 4 2 3 2 3 3 4 2 2" xfId="35318" xr:uid="{FEEE7C52-8688-45A9-A10E-8F407DD29D6C}"/>
    <cellStyle name="Normal 4 2 3 2 3 3 4 3" xfId="28708" xr:uid="{00000000-0005-0000-0000-0000AE170000}"/>
    <cellStyle name="Normal 4 2 3 2 3 3 4 3 2" xfId="35319" xr:uid="{33DADC60-9D1C-4DC6-B37E-1DC5E9437987}"/>
    <cellStyle name="Normal 4 2 3 2 3 3 4 4" xfId="35317" xr:uid="{1E58D1B9-EBC4-4A21-ACD4-CDB062B7A59F}"/>
    <cellStyle name="Normal 4 2 3 2 3 3 5" xfId="28709" xr:uid="{00000000-0005-0000-0000-0000AF170000}"/>
    <cellStyle name="Normal 4 2 3 2 3 3 5 2" xfId="35320" xr:uid="{5FEDB22E-7698-416C-80CD-BA27BFB3515C}"/>
    <cellStyle name="Normal 4 2 3 2 3 3 6" xfId="28710" xr:uid="{00000000-0005-0000-0000-0000B0170000}"/>
    <cellStyle name="Normal 4 2 3 2 3 3 6 2" xfId="35321" xr:uid="{B4138E7D-D4FC-44B5-8EB6-4FB04C9B6C55}"/>
    <cellStyle name="Normal 4 2 3 2 3 3 7" xfId="28711" xr:uid="{00000000-0005-0000-0000-0000B1170000}"/>
    <cellStyle name="Normal 4 2 3 2 3 3 7 2" xfId="35322" xr:uid="{20C3AC00-AE68-49B7-95F5-02F1B1D10343}"/>
    <cellStyle name="Normal 4 2 3 2 3 3 8" xfId="35302" xr:uid="{D7840B12-E3D5-4B67-9665-33B437865295}"/>
    <cellStyle name="Normal 4 2 3 2 3 4" xfId="28712" xr:uid="{00000000-0005-0000-0000-0000B2170000}"/>
    <cellStyle name="Normal 4 2 3 2 3 4 2" xfId="28713" xr:uid="{00000000-0005-0000-0000-0000B3170000}"/>
    <cellStyle name="Normal 4 2 3 2 3 4 2 2" xfId="28714" xr:uid="{00000000-0005-0000-0000-0000B4170000}"/>
    <cellStyle name="Normal 4 2 3 2 3 4 2 2 2" xfId="35325" xr:uid="{6A8FEC73-2988-43D6-9C52-32693EBDD0FA}"/>
    <cellStyle name="Normal 4 2 3 2 3 4 2 3" xfId="28715" xr:uid="{00000000-0005-0000-0000-0000B5170000}"/>
    <cellStyle name="Normal 4 2 3 2 3 4 2 3 2" xfId="35326" xr:uid="{EE0D9A64-C22E-40ED-A749-BD385D5FE49E}"/>
    <cellStyle name="Normal 4 2 3 2 3 4 2 4" xfId="35324" xr:uid="{40CF7359-160D-486D-8BA8-18125095669E}"/>
    <cellStyle name="Normal 4 2 3 2 3 4 3" xfId="28716" xr:uid="{00000000-0005-0000-0000-0000B6170000}"/>
    <cellStyle name="Normal 4 2 3 2 3 4 3 2" xfId="35327" xr:uid="{812B5A6A-20B1-41CB-8832-054FD0594D24}"/>
    <cellStyle name="Normal 4 2 3 2 3 4 4" xfId="28717" xr:uid="{00000000-0005-0000-0000-0000B7170000}"/>
    <cellStyle name="Normal 4 2 3 2 3 4 4 2" xfId="35328" xr:uid="{681DF772-CDFA-4E92-A15B-96BB777B8CCE}"/>
    <cellStyle name="Normal 4 2 3 2 3 4 5" xfId="28718" xr:uid="{00000000-0005-0000-0000-0000B8170000}"/>
    <cellStyle name="Normal 4 2 3 2 3 4 5 2" xfId="35329" xr:uid="{B0A2DEF0-9255-4782-A874-6D0E971E4708}"/>
    <cellStyle name="Normal 4 2 3 2 3 4 6" xfId="35323" xr:uid="{B0BFB7EA-0CEB-4414-9D8F-FE262D824CF0}"/>
    <cellStyle name="Normal 4 2 3 2 3 5" xfId="28719" xr:uid="{00000000-0005-0000-0000-0000B9170000}"/>
    <cellStyle name="Normal 4 2 3 2 3 5 2" xfId="28720" xr:uid="{00000000-0005-0000-0000-0000BA170000}"/>
    <cellStyle name="Normal 4 2 3 2 3 5 2 2" xfId="28721" xr:uid="{00000000-0005-0000-0000-0000BB170000}"/>
    <cellStyle name="Normal 4 2 3 2 3 5 2 2 2" xfId="35332" xr:uid="{BCE7CE28-0F74-4003-BD4A-FC1A372A43B1}"/>
    <cellStyle name="Normal 4 2 3 2 3 5 2 3" xfId="28722" xr:uid="{00000000-0005-0000-0000-0000BC170000}"/>
    <cellStyle name="Normal 4 2 3 2 3 5 2 3 2" xfId="35333" xr:uid="{2AF19416-53C2-4AD8-AA2B-D3D5420C2822}"/>
    <cellStyle name="Normal 4 2 3 2 3 5 2 4" xfId="35331" xr:uid="{D7EF254B-3DFE-4B6D-8EFE-1E2483E169F3}"/>
    <cellStyle name="Normal 4 2 3 2 3 5 3" xfId="28723" xr:uid="{00000000-0005-0000-0000-0000BD170000}"/>
    <cellStyle name="Normal 4 2 3 2 3 5 3 2" xfId="35334" xr:uid="{E8A5D5F6-D83E-47BE-9195-B0DCC0C6F236}"/>
    <cellStyle name="Normal 4 2 3 2 3 5 4" xfId="28724" xr:uid="{00000000-0005-0000-0000-0000BE170000}"/>
    <cellStyle name="Normal 4 2 3 2 3 5 4 2" xfId="35335" xr:uid="{E9746249-3225-465A-BB37-263422127F5B}"/>
    <cellStyle name="Normal 4 2 3 2 3 5 5" xfId="28725" xr:uid="{00000000-0005-0000-0000-0000BF170000}"/>
    <cellStyle name="Normal 4 2 3 2 3 5 5 2" xfId="35336" xr:uid="{2917C018-028B-43F6-B981-F6BA820E823E}"/>
    <cellStyle name="Normal 4 2 3 2 3 5 6" xfId="35330" xr:uid="{3A75D955-0F13-4961-A1E7-EE94EF08BC38}"/>
    <cellStyle name="Normal 4 2 3 2 3 6" xfId="28726" xr:uid="{00000000-0005-0000-0000-0000C0170000}"/>
    <cellStyle name="Normal 4 2 3 2 3 6 2" xfId="28727" xr:uid="{00000000-0005-0000-0000-0000C1170000}"/>
    <cellStyle name="Normal 4 2 3 2 3 6 2 2" xfId="35338" xr:uid="{5EF7F5BA-C110-4F65-B816-48E438FD1F29}"/>
    <cellStyle name="Normal 4 2 3 2 3 6 3" xfId="28728" xr:uid="{00000000-0005-0000-0000-0000C2170000}"/>
    <cellStyle name="Normal 4 2 3 2 3 6 3 2" xfId="35339" xr:uid="{AF711E66-C657-4CA2-8365-BB9C3D184878}"/>
    <cellStyle name="Normal 4 2 3 2 3 6 4" xfId="35337" xr:uid="{6A7D236D-9846-4A7A-94C8-A1FEEBFB852A}"/>
    <cellStyle name="Normal 4 2 3 2 3 7" xfId="28729" xr:uid="{00000000-0005-0000-0000-0000C3170000}"/>
    <cellStyle name="Normal 4 2 3 2 3 7 2" xfId="35340" xr:uid="{E19BC01B-4223-4F54-9852-16DD32D2228A}"/>
    <cellStyle name="Normal 4 2 3 2 3 8" xfId="28730" xr:uid="{00000000-0005-0000-0000-0000C4170000}"/>
    <cellStyle name="Normal 4 2 3 2 3 8 2" xfId="35341" xr:uid="{9E9D28BB-FAE8-4D9F-A3C9-CF6904B5BAE9}"/>
    <cellStyle name="Normal 4 2 3 2 3 9" xfId="28731" xr:uid="{00000000-0005-0000-0000-0000C5170000}"/>
    <cellStyle name="Normal 4 2 3 2 3 9 2" xfId="35342" xr:uid="{1754057F-D608-4181-944D-6D0BE982FCF8}"/>
    <cellStyle name="Normal 4 2 3 2 4" xfId="28732" xr:uid="{00000000-0005-0000-0000-0000C6170000}"/>
    <cellStyle name="Normal 4 2 3 2 4 10" xfId="35343" xr:uid="{48E670BD-096E-44E5-A113-5B536C061ADB}"/>
    <cellStyle name="Normal 4 2 3 2 4 2" xfId="28733" xr:uid="{00000000-0005-0000-0000-0000C7170000}"/>
    <cellStyle name="Normal 4 2 3 2 4 2 2" xfId="28734" xr:uid="{00000000-0005-0000-0000-0000C8170000}"/>
    <cellStyle name="Normal 4 2 3 2 4 2 2 2" xfId="28735" xr:uid="{00000000-0005-0000-0000-0000C9170000}"/>
    <cellStyle name="Normal 4 2 3 2 4 2 2 2 2" xfId="28736" xr:uid="{00000000-0005-0000-0000-0000CA170000}"/>
    <cellStyle name="Normal 4 2 3 2 4 2 2 2 2 2" xfId="28737" xr:uid="{00000000-0005-0000-0000-0000CB170000}"/>
    <cellStyle name="Normal 4 2 3 2 4 2 2 2 2 2 2" xfId="35348" xr:uid="{51652BE1-0440-4AD0-803E-75893CC64139}"/>
    <cellStyle name="Normal 4 2 3 2 4 2 2 2 2 3" xfId="28738" xr:uid="{00000000-0005-0000-0000-0000CC170000}"/>
    <cellStyle name="Normal 4 2 3 2 4 2 2 2 2 3 2" xfId="35349" xr:uid="{3FB7463C-FCE2-4E1D-ADA2-5A40B3A34F58}"/>
    <cellStyle name="Normal 4 2 3 2 4 2 2 2 2 4" xfId="35347" xr:uid="{B1F389EC-7459-4210-956A-94FF5A27E721}"/>
    <cellStyle name="Normal 4 2 3 2 4 2 2 2 3" xfId="28739" xr:uid="{00000000-0005-0000-0000-0000CD170000}"/>
    <cellStyle name="Normal 4 2 3 2 4 2 2 2 3 2" xfId="35350" xr:uid="{BD52C2BD-6CA9-4D7B-A672-67DC5671CC18}"/>
    <cellStyle name="Normal 4 2 3 2 4 2 2 2 4" xfId="28740" xr:uid="{00000000-0005-0000-0000-0000CE170000}"/>
    <cellStyle name="Normal 4 2 3 2 4 2 2 2 4 2" xfId="35351" xr:uid="{DF0F45DA-CDD7-4EC6-81E3-59128C532D1E}"/>
    <cellStyle name="Normal 4 2 3 2 4 2 2 2 5" xfId="28741" xr:uid="{00000000-0005-0000-0000-0000CF170000}"/>
    <cellStyle name="Normal 4 2 3 2 4 2 2 2 5 2" xfId="35352" xr:uid="{F74FAB00-5F2A-45F6-AE9A-201450BAA7B6}"/>
    <cellStyle name="Normal 4 2 3 2 4 2 2 2 6" xfId="35346" xr:uid="{7AEE75A5-7F23-44B8-95CB-C8C857C85BF4}"/>
    <cellStyle name="Normal 4 2 3 2 4 2 2 3" xfId="28742" xr:uid="{00000000-0005-0000-0000-0000D0170000}"/>
    <cellStyle name="Normal 4 2 3 2 4 2 2 3 2" xfId="28743" xr:uid="{00000000-0005-0000-0000-0000D1170000}"/>
    <cellStyle name="Normal 4 2 3 2 4 2 2 3 2 2" xfId="28744" xr:uid="{00000000-0005-0000-0000-0000D2170000}"/>
    <cellStyle name="Normal 4 2 3 2 4 2 2 3 2 2 2" xfId="35355" xr:uid="{17482AFA-CB28-46D5-AA7E-17C829D43911}"/>
    <cellStyle name="Normal 4 2 3 2 4 2 2 3 2 3" xfId="28745" xr:uid="{00000000-0005-0000-0000-0000D3170000}"/>
    <cellStyle name="Normal 4 2 3 2 4 2 2 3 2 3 2" xfId="35356" xr:uid="{DB9FD1AC-4938-44C6-8CEE-E93C8BC7E402}"/>
    <cellStyle name="Normal 4 2 3 2 4 2 2 3 2 4" xfId="35354" xr:uid="{AD0A9633-1E44-4D56-9C60-0DDA993CD0CD}"/>
    <cellStyle name="Normal 4 2 3 2 4 2 2 3 3" xfId="28746" xr:uid="{00000000-0005-0000-0000-0000D4170000}"/>
    <cellStyle name="Normal 4 2 3 2 4 2 2 3 3 2" xfId="35357" xr:uid="{A15B3D69-30ED-49DB-B1F9-99324C27344A}"/>
    <cellStyle name="Normal 4 2 3 2 4 2 2 3 4" xfId="28747" xr:uid="{00000000-0005-0000-0000-0000D5170000}"/>
    <cellStyle name="Normal 4 2 3 2 4 2 2 3 4 2" xfId="35358" xr:uid="{410A8A99-95AC-4E40-8190-4017458C929D}"/>
    <cellStyle name="Normal 4 2 3 2 4 2 2 3 5" xfId="28748" xr:uid="{00000000-0005-0000-0000-0000D6170000}"/>
    <cellStyle name="Normal 4 2 3 2 4 2 2 3 5 2" xfId="35359" xr:uid="{5C629D54-A4A4-46F1-B5C5-AC29CC8BA2FE}"/>
    <cellStyle name="Normal 4 2 3 2 4 2 2 3 6" xfId="35353" xr:uid="{B0CC32E1-1511-4EDF-977A-3B5CE5D266ED}"/>
    <cellStyle name="Normal 4 2 3 2 4 2 2 4" xfId="28749" xr:uid="{00000000-0005-0000-0000-0000D7170000}"/>
    <cellStyle name="Normal 4 2 3 2 4 2 2 4 2" xfId="28750" xr:uid="{00000000-0005-0000-0000-0000D8170000}"/>
    <cellStyle name="Normal 4 2 3 2 4 2 2 4 2 2" xfId="35361" xr:uid="{819B83E4-C019-4608-8438-0A3753818383}"/>
    <cellStyle name="Normal 4 2 3 2 4 2 2 4 3" xfId="28751" xr:uid="{00000000-0005-0000-0000-0000D9170000}"/>
    <cellStyle name="Normal 4 2 3 2 4 2 2 4 3 2" xfId="35362" xr:uid="{B0ACF2C0-D649-4EF2-852E-6EFEAA4656CE}"/>
    <cellStyle name="Normal 4 2 3 2 4 2 2 4 4" xfId="35360" xr:uid="{8D039407-A688-4F50-8332-16CAEE201B2D}"/>
    <cellStyle name="Normal 4 2 3 2 4 2 2 5" xfId="28752" xr:uid="{00000000-0005-0000-0000-0000DA170000}"/>
    <cellStyle name="Normal 4 2 3 2 4 2 2 5 2" xfId="35363" xr:uid="{0ED5D267-906D-4B53-96A7-E3164E5497E0}"/>
    <cellStyle name="Normal 4 2 3 2 4 2 2 6" xfId="28753" xr:uid="{00000000-0005-0000-0000-0000DB170000}"/>
    <cellStyle name="Normal 4 2 3 2 4 2 2 6 2" xfId="35364" xr:uid="{8B85F7DC-8341-4990-9691-FF7AFC5290E9}"/>
    <cellStyle name="Normal 4 2 3 2 4 2 2 7" xfId="28754" xr:uid="{00000000-0005-0000-0000-0000DC170000}"/>
    <cellStyle name="Normal 4 2 3 2 4 2 2 7 2" xfId="35365" xr:uid="{0655B2DE-A5D2-434A-AA9D-6DCD6D8402BF}"/>
    <cellStyle name="Normal 4 2 3 2 4 2 2 8" xfId="35345" xr:uid="{DBD26B39-69EF-4B86-A3F4-3B512F9D866A}"/>
    <cellStyle name="Normal 4 2 3 2 4 2 3" xfId="28755" xr:uid="{00000000-0005-0000-0000-0000DD170000}"/>
    <cellStyle name="Normal 4 2 3 2 4 2 3 2" xfId="28756" xr:uid="{00000000-0005-0000-0000-0000DE170000}"/>
    <cellStyle name="Normal 4 2 3 2 4 2 3 2 2" xfId="28757" xr:uid="{00000000-0005-0000-0000-0000DF170000}"/>
    <cellStyle name="Normal 4 2 3 2 4 2 3 2 2 2" xfId="35368" xr:uid="{4C3C5C4D-B444-4D53-AE0A-6238439DFED9}"/>
    <cellStyle name="Normal 4 2 3 2 4 2 3 2 3" xfId="28758" xr:uid="{00000000-0005-0000-0000-0000E0170000}"/>
    <cellStyle name="Normal 4 2 3 2 4 2 3 2 3 2" xfId="35369" xr:uid="{759793F7-97EC-44BC-89B4-BC591D5BF326}"/>
    <cellStyle name="Normal 4 2 3 2 4 2 3 2 4" xfId="35367" xr:uid="{F2ADB222-5418-49C1-A566-43B52ABB69B3}"/>
    <cellStyle name="Normal 4 2 3 2 4 2 3 3" xfId="28759" xr:uid="{00000000-0005-0000-0000-0000E1170000}"/>
    <cellStyle name="Normal 4 2 3 2 4 2 3 3 2" xfId="35370" xr:uid="{5E3046E1-02A9-46F8-85C3-70253D0B58E6}"/>
    <cellStyle name="Normal 4 2 3 2 4 2 3 4" xfId="28760" xr:uid="{00000000-0005-0000-0000-0000E2170000}"/>
    <cellStyle name="Normal 4 2 3 2 4 2 3 4 2" xfId="35371" xr:uid="{132A76CB-46E7-4412-BCA8-29023D922833}"/>
    <cellStyle name="Normal 4 2 3 2 4 2 3 5" xfId="28761" xr:uid="{00000000-0005-0000-0000-0000E3170000}"/>
    <cellStyle name="Normal 4 2 3 2 4 2 3 5 2" xfId="35372" xr:uid="{40F2ED57-10E7-4A08-8CC5-D57E33224228}"/>
    <cellStyle name="Normal 4 2 3 2 4 2 3 6" xfId="35366" xr:uid="{076291C5-8651-411A-9099-D7306D915A16}"/>
    <cellStyle name="Normal 4 2 3 2 4 2 4" xfId="28762" xr:uid="{00000000-0005-0000-0000-0000E4170000}"/>
    <cellStyle name="Normal 4 2 3 2 4 2 4 2" xfId="28763" xr:uid="{00000000-0005-0000-0000-0000E5170000}"/>
    <cellStyle name="Normal 4 2 3 2 4 2 4 2 2" xfId="28764" xr:uid="{00000000-0005-0000-0000-0000E6170000}"/>
    <cellStyle name="Normal 4 2 3 2 4 2 4 2 2 2" xfId="35375" xr:uid="{C7A307ED-6A2D-401B-B0E0-73D3AC345364}"/>
    <cellStyle name="Normal 4 2 3 2 4 2 4 2 3" xfId="28765" xr:uid="{00000000-0005-0000-0000-0000E7170000}"/>
    <cellStyle name="Normal 4 2 3 2 4 2 4 2 3 2" xfId="35376" xr:uid="{F1099C18-68E7-4350-BE55-2D7DD366043C}"/>
    <cellStyle name="Normal 4 2 3 2 4 2 4 2 4" xfId="35374" xr:uid="{9D0F7119-1781-477D-A4B8-A474C8DABF6E}"/>
    <cellStyle name="Normal 4 2 3 2 4 2 4 3" xfId="28766" xr:uid="{00000000-0005-0000-0000-0000E8170000}"/>
    <cellStyle name="Normal 4 2 3 2 4 2 4 3 2" xfId="35377" xr:uid="{0AE93858-8119-43F1-8506-71E28F356E45}"/>
    <cellStyle name="Normal 4 2 3 2 4 2 4 4" xfId="28767" xr:uid="{00000000-0005-0000-0000-0000E9170000}"/>
    <cellStyle name="Normal 4 2 3 2 4 2 4 4 2" xfId="35378" xr:uid="{970F8710-B780-46B1-85C0-CF716870A340}"/>
    <cellStyle name="Normal 4 2 3 2 4 2 4 5" xfId="28768" xr:uid="{00000000-0005-0000-0000-0000EA170000}"/>
    <cellStyle name="Normal 4 2 3 2 4 2 4 5 2" xfId="35379" xr:uid="{587F156C-E60D-408B-91F2-40E9501BCE5B}"/>
    <cellStyle name="Normal 4 2 3 2 4 2 4 6" xfId="35373" xr:uid="{7F6DE591-AD5C-4F53-A36C-69F426499E44}"/>
    <cellStyle name="Normal 4 2 3 2 4 2 5" xfId="28769" xr:uid="{00000000-0005-0000-0000-0000EB170000}"/>
    <cellStyle name="Normal 4 2 3 2 4 2 5 2" xfId="28770" xr:uid="{00000000-0005-0000-0000-0000EC170000}"/>
    <cellStyle name="Normal 4 2 3 2 4 2 5 2 2" xfId="35381" xr:uid="{4DF8719C-93E8-4DA7-899E-007647D88DD2}"/>
    <cellStyle name="Normal 4 2 3 2 4 2 5 3" xfId="28771" xr:uid="{00000000-0005-0000-0000-0000ED170000}"/>
    <cellStyle name="Normal 4 2 3 2 4 2 5 3 2" xfId="35382" xr:uid="{979C6DFA-2C96-4998-A54B-162226F08CE1}"/>
    <cellStyle name="Normal 4 2 3 2 4 2 5 4" xfId="35380" xr:uid="{89C377B1-8B3C-43AA-AC76-3EF7F96071B8}"/>
    <cellStyle name="Normal 4 2 3 2 4 2 6" xfId="28772" xr:uid="{00000000-0005-0000-0000-0000EE170000}"/>
    <cellStyle name="Normal 4 2 3 2 4 2 6 2" xfId="35383" xr:uid="{ECACD412-7396-42DE-80CF-3221B2B2C5D9}"/>
    <cellStyle name="Normal 4 2 3 2 4 2 7" xfId="28773" xr:uid="{00000000-0005-0000-0000-0000EF170000}"/>
    <cellStyle name="Normal 4 2 3 2 4 2 7 2" xfId="35384" xr:uid="{D7A1ACE2-C136-4CC5-BA21-5728CD371C18}"/>
    <cellStyle name="Normal 4 2 3 2 4 2 8" xfId="28774" xr:uid="{00000000-0005-0000-0000-0000F0170000}"/>
    <cellStyle name="Normal 4 2 3 2 4 2 8 2" xfId="35385" xr:uid="{4C226817-6B9F-4655-B084-5501BC99F47E}"/>
    <cellStyle name="Normal 4 2 3 2 4 2 9" xfId="35344" xr:uid="{5B75E34C-44FD-4B1E-BAA3-136E7E09187B}"/>
    <cellStyle name="Normal 4 2 3 2 4 3" xfId="28775" xr:uid="{00000000-0005-0000-0000-0000F1170000}"/>
    <cellStyle name="Normal 4 2 3 2 4 3 2" xfId="28776" xr:uid="{00000000-0005-0000-0000-0000F2170000}"/>
    <cellStyle name="Normal 4 2 3 2 4 3 2 2" xfId="28777" xr:uid="{00000000-0005-0000-0000-0000F3170000}"/>
    <cellStyle name="Normal 4 2 3 2 4 3 2 2 2" xfId="28778" xr:uid="{00000000-0005-0000-0000-0000F4170000}"/>
    <cellStyle name="Normal 4 2 3 2 4 3 2 2 2 2" xfId="35389" xr:uid="{48C727E6-67B9-404D-8464-AC2A46B51776}"/>
    <cellStyle name="Normal 4 2 3 2 4 3 2 2 3" xfId="28779" xr:uid="{00000000-0005-0000-0000-0000F5170000}"/>
    <cellStyle name="Normal 4 2 3 2 4 3 2 2 3 2" xfId="35390" xr:uid="{702C9302-0B9B-443A-86FA-FE15D20D0C77}"/>
    <cellStyle name="Normal 4 2 3 2 4 3 2 2 4" xfId="35388" xr:uid="{4763F65C-8037-44AE-9C71-C75F4EA31EE4}"/>
    <cellStyle name="Normal 4 2 3 2 4 3 2 3" xfId="28780" xr:uid="{00000000-0005-0000-0000-0000F6170000}"/>
    <cellStyle name="Normal 4 2 3 2 4 3 2 3 2" xfId="35391" xr:uid="{92DBAC4B-F91A-4FD0-B865-DEA9CFB1B6D4}"/>
    <cellStyle name="Normal 4 2 3 2 4 3 2 4" xfId="28781" xr:uid="{00000000-0005-0000-0000-0000F7170000}"/>
    <cellStyle name="Normal 4 2 3 2 4 3 2 4 2" xfId="35392" xr:uid="{E71134D8-CF67-40EB-85AF-4531C8297AAC}"/>
    <cellStyle name="Normal 4 2 3 2 4 3 2 5" xfId="28782" xr:uid="{00000000-0005-0000-0000-0000F8170000}"/>
    <cellStyle name="Normal 4 2 3 2 4 3 2 5 2" xfId="35393" xr:uid="{F1BF4CEC-5F03-4DB2-96DD-5447A908EA28}"/>
    <cellStyle name="Normal 4 2 3 2 4 3 2 6" xfId="35387" xr:uid="{EAD85DAE-6708-4704-9BB2-C5FA8B223B4D}"/>
    <cellStyle name="Normal 4 2 3 2 4 3 3" xfId="28783" xr:uid="{00000000-0005-0000-0000-0000F9170000}"/>
    <cellStyle name="Normal 4 2 3 2 4 3 3 2" xfId="28784" xr:uid="{00000000-0005-0000-0000-0000FA170000}"/>
    <cellStyle name="Normal 4 2 3 2 4 3 3 2 2" xfId="28785" xr:uid="{00000000-0005-0000-0000-0000FB170000}"/>
    <cellStyle name="Normal 4 2 3 2 4 3 3 2 2 2" xfId="35396" xr:uid="{37A5E71F-A992-4FEC-9A93-83B40FEF0B6E}"/>
    <cellStyle name="Normal 4 2 3 2 4 3 3 2 3" xfId="28786" xr:uid="{00000000-0005-0000-0000-0000FC170000}"/>
    <cellStyle name="Normal 4 2 3 2 4 3 3 2 3 2" xfId="35397" xr:uid="{49AD3DD1-06B4-4529-865C-E07EAECA2F6F}"/>
    <cellStyle name="Normal 4 2 3 2 4 3 3 2 4" xfId="35395" xr:uid="{0010F4F5-DACC-4A1E-AE2D-BB5818EF7E42}"/>
    <cellStyle name="Normal 4 2 3 2 4 3 3 3" xfId="28787" xr:uid="{00000000-0005-0000-0000-0000FD170000}"/>
    <cellStyle name="Normal 4 2 3 2 4 3 3 3 2" xfId="35398" xr:uid="{64FA860E-5DFD-4C0F-91E5-017E11D66E3B}"/>
    <cellStyle name="Normal 4 2 3 2 4 3 3 4" xfId="28788" xr:uid="{00000000-0005-0000-0000-0000FE170000}"/>
    <cellStyle name="Normal 4 2 3 2 4 3 3 4 2" xfId="35399" xr:uid="{C769D997-68F5-49A3-B09B-983FE4B20F3C}"/>
    <cellStyle name="Normal 4 2 3 2 4 3 3 5" xfId="28789" xr:uid="{00000000-0005-0000-0000-0000FF170000}"/>
    <cellStyle name="Normal 4 2 3 2 4 3 3 5 2" xfId="35400" xr:uid="{59CC45BC-4EB8-4EA6-870C-290539EC4FAD}"/>
    <cellStyle name="Normal 4 2 3 2 4 3 3 6" xfId="35394" xr:uid="{BE6E522C-5C43-46A8-B983-C71713D24799}"/>
    <cellStyle name="Normal 4 2 3 2 4 3 4" xfId="28790" xr:uid="{00000000-0005-0000-0000-000000180000}"/>
    <cellStyle name="Normal 4 2 3 2 4 3 4 2" xfId="28791" xr:uid="{00000000-0005-0000-0000-000001180000}"/>
    <cellStyle name="Normal 4 2 3 2 4 3 4 2 2" xfId="35402" xr:uid="{1B4BE932-C8E1-43CC-B30B-F776F55E9E78}"/>
    <cellStyle name="Normal 4 2 3 2 4 3 4 3" xfId="28792" xr:uid="{00000000-0005-0000-0000-000002180000}"/>
    <cellStyle name="Normal 4 2 3 2 4 3 4 3 2" xfId="35403" xr:uid="{BA50040C-C876-4506-8FF3-34D4AC97D539}"/>
    <cellStyle name="Normal 4 2 3 2 4 3 4 4" xfId="35401" xr:uid="{2CA1471C-64CE-4B7D-9183-39CCC7455BC9}"/>
    <cellStyle name="Normal 4 2 3 2 4 3 5" xfId="28793" xr:uid="{00000000-0005-0000-0000-000003180000}"/>
    <cellStyle name="Normal 4 2 3 2 4 3 5 2" xfId="35404" xr:uid="{516D3E59-DD19-46F5-B785-285B874554A1}"/>
    <cellStyle name="Normal 4 2 3 2 4 3 6" xfId="28794" xr:uid="{00000000-0005-0000-0000-000004180000}"/>
    <cellStyle name="Normal 4 2 3 2 4 3 6 2" xfId="35405" xr:uid="{F6A2ED06-F670-4502-BC43-2DFF1BAEC66D}"/>
    <cellStyle name="Normal 4 2 3 2 4 3 7" xfId="28795" xr:uid="{00000000-0005-0000-0000-000005180000}"/>
    <cellStyle name="Normal 4 2 3 2 4 3 7 2" xfId="35406" xr:uid="{06FC02A0-70F2-4C6B-ABD9-9DDC4B8E84C0}"/>
    <cellStyle name="Normal 4 2 3 2 4 3 8" xfId="35386" xr:uid="{C7B34B59-F2FB-4120-A429-4FB04452495E}"/>
    <cellStyle name="Normal 4 2 3 2 4 4" xfId="28796" xr:uid="{00000000-0005-0000-0000-000006180000}"/>
    <cellStyle name="Normal 4 2 3 2 4 4 2" xfId="28797" xr:uid="{00000000-0005-0000-0000-000007180000}"/>
    <cellStyle name="Normal 4 2 3 2 4 4 2 2" xfId="28798" xr:uid="{00000000-0005-0000-0000-000008180000}"/>
    <cellStyle name="Normal 4 2 3 2 4 4 2 2 2" xfId="35409" xr:uid="{9FBAF8B2-5C7F-490F-AA48-7ECEF19FE6DD}"/>
    <cellStyle name="Normal 4 2 3 2 4 4 2 3" xfId="28799" xr:uid="{00000000-0005-0000-0000-000009180000}"/>
    <cellStyle name="Normal 4 2 3 2 4 4 2 3 2" xfId="35410" xr:uid="{155B44BC-B30F-4FC3-9A7A-162599EDD261}"/>
    <cellStyle name="Normal 4 2 3 2 4 4 2 4" xfId="35408" xr:uid="{7DAF7184-493F-442C-9737-8633D61DC75D}"/>
    <cellStyle name="Normal 4 2 3 2 4 4 3" xfId="28800" xr:uid="{00000000-0005-0000-0000-00000A180000}"/>
    <cellStyle name="Normal 4 2 3 2 4 4 3 2" xfId="35411" xr:uid="{2B7EA583-615B-4CB2-8677-7B6E96213217}"/>
    <cellStyle name="Normal 4 2 3 2 4 4 4" xfId="28801" xr:uid="{00000000-0005-0000-0000-00000B180000}"/>
    <cellStyle name="Normal 4 2 3 2 4 4 4 2" xfId="35412" xr:uid="{33CA5C27-D212-421C-9CFC-8777A8386E65}"/>
    <cellStyle name="Normal 4 2 3 2 4 4 5" xfId="28802" xr:uid="{00000000-0005-0000-0000-00000C180000}"/>
    <cellStyle name="Normal 4 2 3 2 4 4 5 2" xfId="35413" xr:uid="{54B2DB45-63D9-4744-8AE1-0B940CD676B6}"/>
    <cellStyle name="Normal 4 2 3 2 4 4 6" xfId="35407" xr:uid="{B62DBA93-EAD2-4A13-AE3B-03CB1A9367BE}"/>
    <cellStyle name="Normal 4 2 3 2 4 5" xfId="28803" xr:uid="{00000000-0005-0000-0000-00000D180000}"/>
    <cellStyle name="Normal 4 2 3 2 4 5 2" xfId="28804" xr:uid="{00000000-0005-0000-0000-00000E180000}"/>
    <cellStyle name="Normal 4 2 3 2 4 5 2 2" xfId="28805" xr:uid="{00000000-0005-0000-0000-00000F180000}"/>
    <cellStyle name="Normal 4 2 3 2 4 5 2 2 2" xfId="35416" xr:uid="{D32A0A08-28D4-4F67-B7DC-221ACD8EA101}"/>
    <cellStyle name="Normal 4 2 3 2 4 5 2 3" xfId="28806" xr:uid="{00000000-0005-0000-0000-000010180000}"/>
    <cellStyle name="Normal 4 2 3 2 4 5 2 3 2" xfId="35417" xr:uid="{59788F35-129C-4151-BC1D-5204A5AF0F55}"/>
    <cellStyle name="Normal 4 2 3 2 4 5 2 4" xfId="35415" xr:uid="{82FAC533-663C-4BE0-B71E-EB39CA573053}"/>
    <cellStyle name="Normal 4 2 3 2 4 5 3" xfId="28807" xr:uid="{00000000-0005-0000-0000-000011180000}"/>
    <cellStyle name="Normal 4 2 3 2 4 5 3 2" xfId="35418" xr:uid="{58F52581-C600-4325-81A8-ED05DA98FFC2}"/>
    <cellStyle name="Normal 4 2 3 2 4 5 4" xfId="28808" xr:uid="{00000000-0005-0000-0000-000012180000}"/>
    <cellStyle name="Normal 4 2 3 2 4 5 4 2" xfId="35419" xr:uid="{791DD02C-02A4-4104-8F02-122C0C00E75E}"/>
    <cellStyle name="Normal 4 2 3 2 4 5 5" xfId="28809" xr:uid="{00000000-0005-0000-0000-000013180000}"/>
    <cellStyle name="Normal 4 2 3 2 4 5 5 2" xfId="35420" xr:uid="{C5B54978-446F-4CA8-B717-8CEF915CFDC6}"/>
    <cellStyle name="Normal 4 2 3 2 4 5 6" xfId="35414" xr:uid="{FFCF152B-56AE-4814-9D87-8DE48B1A2D22}"/>
    <cellStyle name="Normal 4 2 3 2 4 6" xfId="28810" xr:uid="{00000000-0005-0000-0000-000014180000}"/>
    <cellStyle name="Normal 4 2 3 2 4 6 2" xfId="28811" xr:uid="{00000000-0005-0000-0000-000015180000}"/>
    <cellStyle name="Normal 4 2 3 2 4 6 2 2" xfId="35422" xr:uid="{987408E2-DE9B-4F08-81B7-17A16D8E2FDE}"/>
    <cellStyle name="Normal 4 2 3 2 4 6 3" xfId="28812" xr:uid="{00000000-0005-0000-0000-000016180000}"/>
    <cellStyle name="Normal 4 2 3 2 4 6 3 2" xfId="35423" xr:uid="{245687C7-343A-4881-A60B-05CC818AEE29}"/>
    <cellStyle name="Normal 4 2 3 2 4 6 4" xfId="35421" xr:uid="{097FC363-CD16-40E0-86A5-53C44D158240}"/>
    <cellStyle name="Normal 4 2 3 2 4 7" xfId="28813" xr:uid="{00000000-0005-0000-0000-000017180000}"/>
    <cellStyle name="Normal 4 2 3 2 4 7 2" xfId="35424" xr:uid="{3AE15CE7-D647-4BC7-BC9C-6873CB97CCC1}"/>
    <cellStyle name="Normal 4 2 3 2 4 8" xfId="28814" xr:uid="{00000000-0005-0000-0000-000018180000}"/>
    <cellStyle name="Normal 4 2 3 2 4 8 2" xfId="35425" xr:uid="{E368B150-DD43-4DC3-8010-F3DE7BB67A8C}"/>
    <cellStyle name="Normal 4 2 3 2 4 9" xfId="28815" xr:uid="{00000000-0005-0000-0000-000019180000}"/>
    <cellStyle name="Normal 4 2 3 2 4 9 2" xfId="35426" xr:uid="{54328405-0227-406A-AC53-F5134C390270}"/>
    <cellStyle name="Normal 4 2 3 2 5" xfId="28816" xr:uid="{00000000-0005-0000-0000-00001A180000}"/>
    <cellStyle name="Normal 4 2 3 2 5 2" xfId="28817" xr:uid="{00000000-0005-0000-0000-00001B180000}"/>
    <cellStyle name="Normal 4 2 3 2 5 2 2" xfId="28818" xr:uid="{00000000-0005-0000-0000-00001C180000}"/>
    <cellStyle name="Normal 4 2 3 2 5 2 2 2" xfId="28819" xr:uid="{00000000-0005-0000-0000-00001D180000}"/>
    <cellStyle name="Normal 4 2 3 2 5 2 2 2 2" xfId="28820" xr:uid="{00000000-0005-0000-0000-00001E180000}"/>
    <cellStyle name="Normal 4 2 3 2 5 2 2 2 2 2" xfId="35431" xr:uid="{FCF2012B-2804-4A7C-8458-A5F6557CCE39}"/>
    <cellStyle name="Normal 4 2 3 2 5 2 2 2 3" xfId="28821" xr:uid="{00000000-0005-0000-0000-00001F180000}"/>
    <cellStyle name="Normal 4 2 3 2 5 2 2 2 3 2" xfId="35432" xr:uid="{15374D7A-EF49-4D7C-8AD0-B13EA6E50F44}"/>
    <cellStyle name="Normal 4 2 3 2 5 2 2 2 4" xfId="35430" xr:uid="{95FCB8C3-590C-4BF9-B1EE-03B40FE08555}"/>
    <cellStyle name="Normal 4 2 3 2 5 2 2 3" xfId="28822" xr:uid="{00000000-0005-0000-0000-000020180000}"/>
    <cellStyle name="Normal 4 2 3 2 5 2 2 3 2" xfId="35433" xr:uid="{99777836-9603-4899-9E6B-819E3A7B9B70}"/>
    <cellStyle name="Normal 4 2 3 2 5 2 2 4" xfId="28823" xr:uid="{00000000-0005-0000-0000-000021180000}"/>
    <cellStyle name="Normal 4 2 3 2 5 2 2 4 2" xfId="35434" xr:uid="{6625E574-FCE9-4EB9-8254-4D8D8245F947}"/>
    <cellStyle name="Normal 4 2 3 2 5 2 2 5" xfId="28824" xr:uid="{00000000-0005-0000-0000-000022180000}"/>
    <cellStyle name="Normal 4 2 3 2 5 2 2 5 2" xfId="35435" xr:uid="{35EB4F6C-29FE-493B-BD04-B909E46DD0E3}"/>
    <cellStyle name="Normal 4 2 3 2 5 2 2 6" xfId="35429" xr:uid="{4A95D4E3-858C-4E88-A472-FE578B27BE04}"/>
    <cellStyle name="Normal 4 2 3 2 5 2 3" xfId="28825" xr:uid="{00000000-0005-0000-0000-000023180000}"/>
    <cellStyle name="Normal 4 2 3 2 5 2 3 2" xfId="28826" xr:uid="{00000000-0005-0000-0000-000024180000}"/>
    <cellStyle name="Normal 4 2 3 2 5 2 3 2 2" xfId="28827" xr:uid="{00000000-0005-0000-0000-000025180000}"/>
    <cellStyle name="Normal 4 2 3 2 5 2 3 2 2 2" xfId="35438" xr:uid="{65027820-5CF4-4056-B87C-8DC43FBBAF14}"/>
    <cellStyle name="Normal 4 2 3 2 5 2 3 2 3" xfId="28828" xr:uid="{00000000-0005-0000-0000-000026180000}"/>
    <cellStyle name="Normal 4 2 3 2 5 2 3 2 3 2" xfId="35439" xr:uid="{27ECE794-6D1D-40EF-A0C3-245A6D80C48F}"/>
    <cellStyle name="Normal 4 2 3 2 5 2 3 2 4" xfId="35437" xr:uid="{4F4AD119-96B6-4240-BA58-8354F95F5E6F}"/>
    <cellStyle name="Normal 4 2 3 2 5 2 3 3" xfId="28829" xr:uid="{00000000-0005-0000-0000-000027180000}"/>
    <cellStyle name="Normal 4 2 3 2 5 2 3 3 2" xfId="35440" xr:uid="{A5D93277-8033-4469-A1A5-04E394939077}"/>
    <cellStyle name="Normal 4 2 3 2 5 2 3 4" xfId="28830" xr:uid="{00000000-0005-0000-0000-000028180000}"/>
    <cellStyle name="Normal 4 2 3 2 5 2 3 4 2" xfId="35441" xr:uid="{A996DD82-7B48-4053-9524-24611167FB9C}"/>
    <cellStyle name="Normal 4 2 3 2 5 2 3 5" xfId="28831" xr:uid="{00000000-0005-0000-0000-000029180000}"/>
    <cellStyle name="Normal 4 2 3 2 5 2 3 5 2" xfId="35442" xr:uid="{D36E827C-88B0-4206-AE98-B2C932037F6D}"/>
    <cellStyle name="Normal 4 2 3 2 5 2 3 6" xfId="35436" xr:uid="{88B330DE-5329-44A8-B1A7-CA6512921DAA}"/>
    <cellStyle name="Normal 4 2 3 2 5 2 4" xfId="28832" xr:uid="{00000000-0005-0000-0000-00002A180000}"/>
    <cellStyle name="Normal 4 2 3 2 5 2 4 2" xfId="28833" xr:uid="{00000000-0005-0000-0000-00002B180000}"/>
    <cellStyle name="Normal 4 2 3 2 5 2 4 2 2" xfId="35444" xr:uid="{6B65FC79-F6BE-4297-8721-291FAD3EF65A}"/>
    <cellStyle name="Normal 4 2 3 2 5 2 4 3" xfId="28834" xr:uid="{00000000-0005-0000-0000-00002C180000}"/>
    <cellStyle name="Normal 4 2 3 2 5 2 4 3 2" xfId="35445" xr:uid="{34E5543A-2193-4A92-BF7A-4FB5AE3A8DC2}"/>
    <cellStyle name="Normal 4 2 3 2 5 2 4 4" xfId="35443" xr:uid="{E5000163-79CC-480A-9EEA-D50DC95035F5}"/>
    <cellStyle name="Normal 4 2 3 2 5 2 5" xfId="28835" xr:uid="{00000000-0005-0000-0000-00002D180000}"/>
    <cellStyle name="Normal 4 2 3 2 5 2 5 2" xfId="35446" xr:uid="{13271EE7-9D0D-453D-B0F0-4D6527037E38}"/>
    <cellStyle name="Normal 4 2 3 2 5 2 6" xfId="28836" xr:uid="{00000000-0005-0000-0000-00002E180000}"/>
    <cellStyle name="Normal 4 2 3 2 5 2 6 2" xfId="35447" xr:uid="{849D3DE8-B6C8-43CE-85C8-B7EDFDEDEEE8}"/>
    <cellStyle name="Normal 4 2 3 2 5 2 7" xfId="28837" xr:uid="{00000000-0005-0000-0000-00002F180000}"/>
    <cellStyle name="Normal 4 2 3 2 5 2 7 2" xfId="35448" xr:uid="{07F69AE8-B602-48B3-8F12-34D53BEA5A47}"/>
    <cellStyle name="Normal 4 2 3 2 5 2 8" xfId="35428" xr:uid="{91840970-2D67-41D4-92A8-12304D56BC43}"/>
    <cellStyle name="Normal 4 2 3 2 5 3" xfId="28838" xr:uid="{00000000-0005-0000-0000-000030180000}"/>
    <cellStyle name="Normal 4 2 3 2 5 3 2" xfId="28839" xr:uid="{00000000-0005-0000-0000-000031180000}"/>
    <cellStyle name="Normal 4 2 3 2 5 3 2 2" xfId="28840" xr:uid="{00000000-0005-0000-0000-000032180000}"/>
    <cellStyle name="Normal 4 2 3 2 5 3 2 2 2" xfId="35451" xr:uid="{ACC11B33-8D8A-41C0-84E5-49E2A7C79B68}"/>
    <cellStyle name="Normal 4 2 3 2 5 3 2 3" xfId="28841" xr:uid="{00000000-0005-0000-0000-000033180000}"/>
    <cellStyle name="Normal 4 2 3 2 5 3 2 3 2" xfId="35452" xr:uid="{30FB948E-42ED-4E78-B457-8AC6F8BB7ABD}"/>
    <cellStyle name="Normal 4 2 3 2 5 3 2 4" xfId="35450" xr:uid="{E0FA0484-DDBB-489D-9478-B8C2B5AA5F97}"/>
    <cellStyle name="Normal 4 2 3 2 5 3 3" xfId="28842" xr:uid="{00000000-0005-0000-0000-000034180000}"/>
    <cellStyle name="Normal 4 2 3 2 5 3 3 2" xfId="35453" xr:uid="{48B74A9D-5E18-4BD5-8273-D829719165CB}"/>
    <cellStyle name="Normal 4 2 3 2 5 3 4" xfId="28843" xr:uid="{00000000-0005-0000-0000-000035180000}"/>
    <cellStyle name="Normal 4 2 3 2 5 3 4 2" xfId="35454" xr:uid="{43F1F970-369C-40DA-B86D-43C8669B2A9C}"/>
    <cellStyle name="Normal 4 2 3 2 5 3 5" xfId="28844" xr:uid="{00000000-0005-0000-0000-000036180000}"/>
    <cellStyle name="Normal 4 2 3 2 5 3 5 2" xfId="35455" xr:uid="{B28DEF07-7750-448B-9BA7-DCCB6793747F}"/>
    <cellStyle name="Normal 4 2 3 2 5 3 6" xfId="35449" xr:uid="{4435B5A9-CCA0-4D97-A45D-7032783E4FF6}"/>
    <cellStyle name="Normal 4 2 3 2 5 4" xfId="28845" xr:uid="{00000000-0005-0000-0000-000037180000}"/>
    <cellStyle name="Normal 4 2 3 2 5 4 2" xfId="28846" xr:uid="{00000000-0005-0000-0000-000038180000}"/>
    <cellStyle name="Normal 4 2 3 2 5 4 2 2" xfId="28847" xr:uid="{00000000-0005-0000-0000-000039180000}"/>
    <cellStyle name="Normal 4 2 3 2 5 4 2 2 2" xfId="35458" xr:uid="{90B2E77E-DD46-443C-872F-8517FA42EB4C}"/>
    <cellStyle name="Normal 4 2 3 2 5 4 2 3" xfId="28848" xr:uid="{00000000-0005-0000-0000-00003A180000}"/>
    <cellStyle name="Normal 4 2 3 2 5 4 2 3 2" xfId="35459" xr:uid="{905B2F8A-DA52-4E4C-8BC9-A39557B0822B}"/>
    <cellStyle name="Normal 4 2 3 2 5 4 2 4" xfId="35457" xr:uid="{0F70B9AD-5486-45AF-89D7-C41B3505C20F}"/>
    <cellStyle name="Normal 4 2 3 2 5 4 3" xfId="28849" xr:uid="{00000000-0005-0000-0000-00003B180000}"/>
    <cellStyle name="Normal 4 2 3 2 5 4 3 2" xfId="35460" xr:uid="{0BD5FC52-C423-4E87-A1EA-FF1292847392}"/>
    <cellStyle name="Normal 4 2 3 2 5 4 4" xfId="28850" xr:uid="{00000000-0005-0000-0000-00003C180000}"/>
    <cellStyle name="Normal 4 2 3 2 5 4 4 2" xfId="35461" xr:uid="{C028BFFA-513F-4E27-ADAC-6305F32BD13D}"/>
    <cellStyle name="Normal 4 2 3 2 5 4 5" xfId="28851" xr:uid="{00000000-0005-0000-0000-00003D180000}"/>
    <cellStyle name="Normal 4 2 3 2 5 4 5 2" xfId="35462" xr:uid="{3E83740C-35DF-4800-8E5B-2A1C47EF8393}"/>
    <cellStyle name="Normal 4 2 3 2 5 4 6" xfId="35456" xr:uid="{41B60D1A-7C98-41CA-9720-E748D48673C6}"/>
    <cellStyle name="Normal 4 2 3 2 5 5" xfId="28852" xr:uid="{00000000-0005-0000-0000-00003E180000}"/>
    <cellStyle name="Normal 4 2 3 2 5 5 2" xfId="28853" xr:uid="{00000000-0005-0000-0000-00003F180000}"/>
    <cellStyle name="Normal 4 2 3 2 5 5 2 2" xfId="35464" xr:uid="{3D5EBFC3-89B7-475B-86D0-97F04F7860A4}"/>
    <cellStyle name="Normal 4 2 3 2 5 5 3" xfId="28854" xr:uid="{00000000-0005-0000-0000-000040180000}"/>
    <cellStyle name="Normal 4 2 3 2 5 5 3 2" xfId="35465" xr:uid="{D065AEA6-5FE8-49E7-A285-90A100F046F8}"/>
    <cellStyle name="Normal 4 2 3 2 5 5 4" xfId="35463" xr:uid="{7275D03C-B458-4985-A70D-9E1A7D57D66E}"/>
    <cellStyle name="Normal 4 2 3 2 5 6" xfId="28855" xr:uid="{00000000-0005-0000-0000-000041180000}"/>
    <cellStyle name="Normal 4 2 3 2 5 6 2" xfId="35466" xr:uid="{C86F465A-98EE-4E6D-AFCA-118A3CA8BF8D}"/>
    <cellStyle name="Normal 4 2 3 2 5 7" xfId="28856" xr:uid="{00000000-0005-0000-0000-000042180000}"/>
    <cellStyle name="Normal 4 2 3 2 5 7 2" xfId="35467" xr:uid="{A019B09B-3E78-43CC-88D1-ECD4CFF176DF}"/>
    <cellStyle name="Normal 4 2 3 2 5 8" xfId="28857" xr:uid="{00000000-0005-0000-0000-000043180000}"/>
    <cellStyle name="Normal 4 2 3 2 5 8 2" xfId="35468" xr:uid="{0CF33D05-9936-4F54-8CB3-9B5810D1242B}"/>
    <cellStyle name="Normal 4 2 3 2 5 9" xfId="35427" xr:uid="{D06B9A74-A677-4386-ABE5-576572237B0D}"/>
    <cellStyle name="Normal 4 2 3 2 6" xfId="28858" xr:uid="{00000000-0005-0000-0000-000044180000}"/>
    <cellStyle name="Normal 4 2 3 2 6 2" xfId="28859" xr:uid="{00000000-0005-0000-0000-000045180000}"/>
    <cellStyle name="Normal 4 2 3 2 6 2 2" xfId="28860" xr:uid="{00000000-0005-0000-0000-000046180000}"/>
    <cellStyle name="Normal 4 2 3 2 6 2 2 2" xfId="28861" xr:uid="{00000000-0005-0000-0000-000047180000}"/>
    <cellStyle name="Normal 4 2 3 2 6 2 2 2 2" xfId="35472" xr:uid="{21B2D305-C6ED-4ECF-8162-A7A91060BB44}"/>
    <cellStyle name="Normal 4 2 3 2 6 2 2 3" xfId="28862" xr:uid="{00000000-0005-0000-0000-000048180000}"/>
    <cellStyle name="Normal 4 2 3 2 6 2 2 3 2" xfId="35473" xr:uid="{818B468B-865E-4621-AC5C-F59FCD5FA90D}"/>
    <cellStyle name="Normal 4 2 3 2 6 2 2 4" xfId="35471" xr:uid="{C7E5252E-AC60-4BFC-8733-5C8FAE4D09EA}"/>
    <cellStyle name="Normal 4 2 3 2 6 2 3" xfId="28863" xr:uid="{00000000-0005-0000-0000-000049180000}"/>
    <cellStyle name="Normal 4 2 3 2 6 2 3 2" xfId="35474" xr:uid="{87A20D12-AF12-4D38-BB44-7E3FEF47F4C7}"/>
    <cellStyle name="Normal 4 2 3 2 6 2 4" xfId="28864" xr:uid="{00000000-0005-0000-0000-00004A180000}"/>
    <cellStyle name="Normal 4 2 3 2 6 2 4 2" xfId="35475" xr:uid="{70152BDA-84A7-497F-ADE4-E547B461DA63}"/>
    <cellStyle name="Normal 4 2 3 2 6 2 5" xfId="28865" xr:uid="{00000000-0005-0000-0000-00004B180000}"/>
    <cellStyle name="Normal 4 2 3 2 6 2 5 2" xfId="35476" xr:uid="{30653DEC-44A4-45A7-BA61-78ADAC5497F8}"/>
    <cellStyle name="Normal 4 2 3 2 6 2 6" xfId="35470" xr:uid="{FA7FD26B-4A87-4417-AA12-963B66615691}"/>
    <cellStyle name="Normal 4 2 3 2 6 3" xfId="28866" xr:uid="{00000000-0005-0000-0000-00004C180000}"/>
    <cellStyle name="Normal 4 2 3 2 6 3 2" xfId="28867" xr:uid="{00000000-0005-0000-0000-00004D180000}"/>
    <cellStyle name="Normal 4 2 3 2 6 3 2 2" xfId="28868" xr:uid="{00000000-0005-0000-0000-00004E180000}"/>
    <cellStyle name="Normal 4 2 3 2 6 3 2 2 2" xfId="35479" xr:uid="{2A1B316D-D0D3-47DF-883C-295BE7FC73F8}"/>
    <cellStyle name="Normal 4 2 3 2 6 3 2 3" xfId="28869" xr:uid="{00000000-0005-0000-0000-00004F180000}"/>
    <cellStyle name="Normal 4 2 3 2 6 3 2 3 2" xfId="35480" xr:uid="{9D14FC18-2977-44A9-82C7-56EF17990F62}"/>
    <cellStyle name="Normal 4 2 3 2 6 3 2 4" xfId="35478" xr:uid="{D8906C90-9EF6-4218-B55E-EDAB895DFEE9}"/>
    <cellStyle name="Normal 4 2 3 2 6 3 3" xfId="28870" xr:uid="{00000000-0005-0000-0000-000050180000}"/>
    <cellStyle name="Normal 4 2 3 2 6 3 3 2" xfId="35481" xr:uid="{5B208886-0A53-4F6A-A094-A1A12CB5539D}"/>
    <cellStyle name="Normal 4 2 3 2 6 3 4" xfId="28871" xr:uid="{00000000-0005-0000-0000-000051180000}"/>
    <cellStyle name="Normal 4 2 3 2 6 3 4 2" xfId="35482" xr:uid="{8DB4CF11-91FD-4EFA-B3F8-ECE8F0F87893}"/>
    <cellStyle name="Normal 4 2 3 2 6 3 5" xfId="28872" xr:uid="{00000000-0005-0000-0000-000052180000}"/>
    <cellStyle name="Normal 4 2 3 2 6 3 5 2" xfId="35483" xr:uid="{6C77987C-DA1F-4D41-BCB5-395AD40858C6}"/>
    <cellStyle name="Normal 4 2 3 2 6 3 6" xfId="35477" xr:uid="{B45ADF14-E07B-4D89-8A7C-191C04FFC200}"/>
    <cellStyle name="Normal 4 2 3 2 6 4" xfId="28873" xr:uid="{00000000-0005-0000-0000-000053180000}"/>
    <cellStyle name="Normal 4 2 3 2 6 4 2" xfId="28874" xr:uid="{00000000-0005-0000-0000-000054180000}"/>
    <cellStyle name="Normal 4 2 3 2 6 4 2 2" xfId="35485" xr:uid="{6456A2E1-8942-4627-ACBF-091E49F9E353}"/>
    <cellStyle name="Normal 4 2 3 2 6 4 3" xfId="28875" xr:uid="{00000000-0005-0000-0000-000055180000}"/>
    <cellStyle name="Normal 4 2 3 2 6 4 3 2" xfId="35486" xr:uid="{5E5EF203-F113-44C4-BEBE-22132D898A21}"/>
    <cellStyle name="Normal 4 2 3 2 6 4 4" xfId="35484" xr:uid="{CA23AEEE-FFC5-4961-9E2C-F29FB3F95493}"/>
    <cellStyle name="Normal 4 2 3 2 6 5" xfId="28876" xr:uid="{00000000-0005-0000-0000-000056180000}"/>
    <cellStyle name="Normal 4 2 3 2 6 5 2" xfId="35487" xr:uid="{920E3583-A7D7-4C04-904A-EDEA3776EE0B}"/>
    <cellStyle name="Normal 4 2 3 2 6 6" xfId="28877" xr:uid="{00000000-0005-0000-0000-000057180000}"/>
    <cellStyle name="Normal 4 2 3 2 6 6 2" xfId="35488" xr:uid="{4EF78E63-E5E6-42B1-AD15-EE6D85B457B9}"/>
    <cellStyle name="Normal 4 2 3 2 6 7" xfId="28878" xr:uid="{00000000-0005-0000-0000-000058180000}"/>
    <cellStyle name="Normal 4 2 3 2 6 7 2" xfId="35489" xr:uid="{AE50199D-E7CE-45D9-B65D-72A42D8BEC40}"/>
    <cellStyle name="Normal 4 2 3 2 6 8" xfId="35469" xr:uid="{AC4EB378-F0CF-490E-B91F-0CB09076F4F4}"/>
    <cellStyle name="Normal 4 2 3 2 7" xfId="28879" xr:uid="{00000000-0005-0000-0000-000059180000}"/>
    <cellStyle name="Normal 4 2 3 2 7 2" xfId="28880" xr:uid="{00000000-0005-0000-0000-00005A180000}"/>
    <cellStyle name="Normal 4 2 3 2 7 2 2" xfId="28881" xr:uid="{00000000-0005-0000-0000-00005B180000}"/>
    <cellStyle name="Normal 4 2 3 2 7 2 2 2" xfId="35492" xr:uid="{523B58B6-9D7A-4A66-A4FA-53451CCA73D5}"/>
    <cellStyle name="Normal 4 2 3 2 7 2 3" xfId="28882" xr:uid="{00000000-0005-0000-0000-00005C180000}"/>
    <cellStyle name="Normal 4 2 3 2 7 2 3 2" xfId="35493" xr:uid="{7BC64D14-3FB5-47A5-8018-81E36DC2B91B}"/>
    <cellStyle name="Normal 4 2 3 2 7 2 4" xfId="35491" xr:uid="{BF5B53A5-F722-41BD-9D78-D1DACD9C1F9E}"/>
    <cellStyle name="Normal 4 2 3 2 7 3" xfId="28883" xr:uid="{00000000-0005-0000-0000-00005D180000}"/>
    <cellStyle name="Normal 4 2 3 2 7 3 2" xfId="35494" xr:uid="{759B63A6-7F4B-47AC-879F-D90D89BA30FA}"/>
    <cellStyle name="Normal 4 2 3 2 7 4" xfId="28884" xr:uid="{00000000-0005-0000-0000-00005E180000}"/>
    <cellStyle name="Normal 4 2 3 2 7 4 2" xfId="35495" xr:uid="{DA401551-9AFB-46EB-8F04-12F547951EE9}"/>
    <cellStyle name="Normal 4 2 3 2 7 5" xfId="28885" xr:uid="{00000000-0005-0000-0000-00005F180000}"/>
    <cellStyle name="Normal 4 2 3 2 7 5 2" xfId="35496" xr:uid="{0E47C23C-51C1-41C0-95F0-5CBDD4E5DC83}"/>
    <cellStyle name="Normal 4 2 3 2 7 6" xfId="35490" xr:uid="{61129306-0601-420A-94AD-A86E2EE70851}"/>
    <cellStyle name="Normal 4 2 3 2 8" xfId="28886" xr:uid="{00000000-0005-0000-0000-000060180000}"/>
    <cellStyle name="Normal 4 2 3 2 8 2" xfId="28887" xr:uid="{00000000-0005-0000-0000-000061180000}"/>
    <cellStyle name="Normal 4 2 3 2 8 2 2" xfId="28888" xr:uid="{00000000-0005-0000-0000-000062180000}"/>
    <cellStyle name="Normal 4 2 3 2 8 2 2 2" xfId="35499" xr:uid="{4ECF6BDA-B94B-4A85-8E53-62F8A95A9317}"/>
    <cellStyle name="Normal 4 2 3 2 8 2 3" xfId="28889" xr:uid="{00000000-0005-0000-0000-000063180000}"/>
    <cellStyle name="Normal 4 2 3 2 8 2 3 2" xfId="35500" xr:uid="{737BC749-3470-4BDE-A481-848085C9F611}"/>
    <cellStyle name="Normal 4 2 3 2 8 2 4" xfId="35498" xr:uid="{429E0908-8BD3-4195-9CFA-B7887E36FA7A}"/>
    <cellStyle name="Normal 4 2 3 2 8 3" xfId="28890" xr:uid="{00000000-0005-0000-0000-000064180000}"/>
    <cellStyle name="Normal 4 2 3 2 8 3 2" xfId="35501" xr:uid="{0D9345A2-3953-4F52-8300-CFCD0C92C0D8}"/>
    <cellStyle name="Normal 4 2 3 2 8 4" xfId="28891" xr:uid="{00000000-0005-0000-0000-000065180000}"/>
    <cellStyle name="Normal 4 2 3 2 8 4 2" xfId="35502" xr:uid="{237300F1-C973-4689-893E-847E12AC0740}"/>
    <cellStyle name="Normal 4 2 3 2 8 5" xfId="28892" xr:uid="{00000000-0005-0000-0000-000066180000}"/>
    <cellStyle name="Normal 4 2 3 2 8 5 2" xfId="35503" xr:uid="{86B9A279-787A-4D45-BB12-78584A4B0925}"/>
    <cellStyle name="Normal 4 2 3 2 8 6" xfId="35497" xr:uid="{43F38CCD-6E09-4551-B20F-BF6EA293B01E}"/>
    <cellStyle name="Normal 4 2 3 2 9" xfId="28893" xr:uid="{00000000-0005-0000-0000-000067180000}"/>
    <cellStyle name="Normal 4 2 3 2 9 2" xfId="28894" xr:uid="{00000000-0005-0000-0000-000068180000}"/>
    <cellStyle name="Normal 4 2 3 2 9 2 2" xfId="35505" xr:uid="{109EAC75-1623-4A9C-999F-2441B19C916B}"/>
    <cellStyle name="Normal 4 2 3 2 9 3" xfId="28895" xr:uid="{00000000-0005-0000-0000-000069180000}"/>
    <cellStyle name="Normal 4 2 3 2 9 3 2" xfId="35506" xr:uid="{8104AE9E-FF98-4846-9A6E-54A9D971F957}"/>
    <cellStyle name="Normal 4 2 3 2 9 4" xfId="35504" xr:uid="{6817A678-C7FB-4F0F-A884-252B2DB3AB75}"/>
    <cellStyle name="Normal 4 2 3 3" xfId="28896" xr:uid="{00000000-0005-0000-0000-00006A180000}"/>
    <cellStyle name="Normal 4 2 3 3 10" xfId="35507" xr:uid="{0E9A30AC-741C-44C7-A3F6-6A896F876066}"/>
    <cellStyle name="Normal 4 2 3 3 2" xfId="28897" xr:uid="{00000000-0005-0000-0000-00006B180000}"/>
    <cellStyle name="Normal 4 2 3 3 2 2" xfId="28898" xr:uid="{00000000-0005-0000-0000-00006C180000}"/>
    <cellStyle name="Normal 4 2 3 3 2 2 2" xfId="28899" xr:uid="{00000000-0005-0000-0000-00006D180000}"/>
    <cellStyle name="Normal 4 2 3 3 2 2 2 2" xfId="28900" xr:uid="{00000000-0005-0000-0000-00006E180000}"/>
    <cellStyle name="Normal 4 2 3 3 2 2 2 2 2" xfId="28901" xr:uid="{00000000-0005-0000-0000-00006F180000}"/>
    <cellStyle name="Normal 4 2 3 3 2 2 2 2 2 2" xfId="35512" xr:uid="{9BA47E7B-2898-4534-8DC7-0BCBF08EC46E}"/>
    <cellStyle name="Normal 4 2 3 3 2 2 2 2 3" xfId="28902" xr:uid="{00000000-0005-0000-0000-000070180000}"/>
    <cellStyle name="Normal 4 2 3 3 2 2 2 2 3 2" xfId="35513" xr:uid="{54732CAC-163F-45DB-8E15-D13873BD7668}"/>
    <cellStyle name="Normal 4 2 3 3 2 2 2 2 4" xfId="35511" xr:uid="{16C3C794-3780-4757-BBD9-F2360999DF84}"/>
    <cellStyle name="Normal 4 2 3 3 2 2 2 3" xfId="28903" xr:uid="{00000000-0005-0000-0000-000071180000}"/>
    <cellStyle name="Normal 4 2 3 3 2 2 2 3 2" xfId="35514" xr:uid="{03ED21FB-E69C-4E5E-ABA4-6B5919D5D63B}"/>
    <cellStyle name="Normal 4 2 3 3 2 2 2 4" xfId="28904" xr:uid="{00000000-0005-0000-0000-000072180000}"/>
    <cellStyle name="Normal 4 2 3 3 2 2 2 4 2" xfId="35515" xr:uid="{D2199F19-2B0B-402A-A248-BC28C9E35B59}"/>
    <cellStyle name="Normal 4 2 3 3 2 2 2 5" xfId="28905" xr:uid="{00000000-0005-0000-0000-000073180000}"/>
    <cellStyle name="Normal 4 2 3 3 2 2 2 5 2" xfId="35516" xr:uid="{8799591B-5C04-435C-B061-B22C365C9B5E}"/>
    <cellStyle name="Normal 4 2 3 3 2 2 2 6" xfId="35510" xr:uid="{95767B83-0454-4D4D-8BD1-5EAD383B2FB5}"/>
    <cellStyle name="Normal 4 2 3 3 2 2 3" xfId="28906" xr:uid="{00000000-0005-0000-0000-000074180000}"/>
    <cellStyle name="Normal 4 2 3 3 2 2 3 2" xfId="28907" xr:uid="{00000000-0005-0000-0000-000075180000}"/>
    <cellStyle name="Normal 4 2 3 3 2 2 3 2 2" xfId="28908" xr:uid="{00000000-0005-0000-0000-000076180000}"/>
    <cellStyle name="Normal 4 2 3 3 2 2 3 2 2 2" xfId="35519" xr:uid="{7FA94D15-5104-4BC8-82A7-21BEF6ED198D}"/>
    <cellStyle name="Normal 4 2 3 3 2 2 3 2 3" xfId="28909" xr:uid="{00000000-0005-0000-0000-000077180000}"/>
    <cellStyle name="Normal 4 2 3 3 2 2 3 2 3 2" xfId="35520" xr:uid="{F89ACEAE-DB79-409E-8D9E-7008205722F3}"/>
    <cellStyle name="Normal 4 2 3 3 2 2 3 2 4" xfId="35518" xr:uid="{C849AE88-EE0F-469A-A5F3-CBFD9C2FD2B8}"/>
    <cellStyle name="Normal 4 2 3 3 2 2 3 3" xfId="28910" xr:uid="{00000000-0005-0000-0000-000078180000}"/>
    <cellStyle name="Normal 4 2 3 3 2 2 3 3 2" xfId="35521" xr:uid="{D34F860F-9C95-4828-882E-3AE82E55DC25}"/>
    <cellStyle name="Normal 4 2 3 3 2 2 3 4" xfId="28911" xr:uid="{00000000-0005-0000-0000-000079180000}"/>
    <cellStyle name="Normal 4 2 3 3 2 2 3 4 2" xfId="35522" xr:uid="{B55269D9-A551-4E50-AFB7-53B0480A0CEE}"/>
    <cellStyle name="Normal 4 2 3 3 2 2 3 5" xfId="28912" xr:uid="{00000000-0005-0000-0000-00007A180000}"/>
    <cellStyle name="Normal 4 2 3 3 2 2 3 5 2" xfId="35523" xr:uid="{71286B72-B239-443E-BFA7-7E37096C4E09}"/>
    <cellStyle name="Normal 4 2 3 3 2 2 3 6" xfId="35517" xr:uid="{8B295219-141E-4B9F-990A-2C46E1AFD607}"/>
    <cellStyle name="Normal 4 2 3 3 2 2 4" xfId="28913" xr:uid="{00000000-0005-0000-0000-00007B180000}"/>
    <cellStyle name="Normal 4 2 3 3 2 2 4 2" xfId="28914" xr:uid="{00000000-0005-0000-0000-00007C180000}"/>
    <cellStyle name="Normal 4 2 3 3 2 2 4 2 2" xfId="35525" xr:uid="{CA1464FE-B444-48C1-B0AB-C61D7220FD2D}"/>
    <cellStyle name="Normal 4 2 3 3 2 2 4 3" xfId="28915" xr:uid="{00000000-0005-0000-0000-00007D180000}"/>
    <cellStyle name="Normal 4 2 3 3 2 2 4 3 2" xfId="35526" xr:uid="{A1BE2AB2-7444-46BF-A636-FB9A39AE4553}"/>
    <cellStyle name="Normal 4 2 3 3 2 2 4 4" xfId="35524" xr:uid="{660213BC-2EF8-4CC8-B879-326A38BA4ED5}"/>
    <cellStyle name="Normal 4 2 3 3 2 2 5" xfId="28916" xr:uid="{00000000-0005-0000-0000-00007E180000}"/>
    <cellStyle name="Normal 4 2 3 3 2 2 5 2" xfId="35527" xr:uid="{33D1FBF7-EA2F-4240-B5AC-BB152CFC4DC2}"/>
    <cellStyle name="Normal 4 2 3 3 2 2 6" xfId="28917" xr:uid="{00000000-0005-0000-0000-00007F180000}"/>
    <cellStyle name="Normal 4 2 3 3 2 2 6 2" xfId="35528" xr:uid="{FA5DB09B-45B1-4B51-8AC3-124D334E08D2}"/>
    <cellStyle name="Normal 4 2 3 3 2 2 7" xfId="28918" xr:uid="{00000000-0005-0000-0000-000080180000}"/>
    <cellStyle name="Normal 4 2 3 3 2 2 7 2" xfId="35529" xr:uid="{38E45034-93AD-47D8-832D-1D6D5D832BFD}"/>
    <cellStyle name="Normal 4 2 3 3 2 2 8" xfId="35509" xr:uid="{00F7BB2D-F939-490C-86B3-F251E8EEFA88}"/>
    <cellStyle name="Normal 4 2 3 3 2 3" xfId="28919" xr:uid="{00000000-0005-0000-0000-000081180000}"/>
    <cellStyle name="Normal 4 2 3 3 2 3 2" xfId="28920" xr:uid="{00000000-0005-0000-0000-000082180000}"/>
    <cellStyle name="Normal 4 2 3 3 2 3 2 2" xfId="28921" xr:uid="{00000000-0005-0000-0000-000083180000}"/>
    <cellStyle name="Normal 4 2 3 3 2 3 2 2 2" xfId="35532" xr:uid="{78B3958B-6253-428D-9B6E-5D8B62EB1053}"/>
    <cellStyle name="Normal 4 2 3 3 2 3 2 3" xfId="28922" xr:uid="{00000000-0005-0000-0000-000084180000}"/>
    <cellStyle name="Normal 4 2 3 3 2 3 2 3 2" xfId="35533" xr:uid="{C633A30C-223E-45D5-9E0E-4EA5A53EA795}"/>
    <cellStyle name="Normal 4 2 3 3 2 3 2 4" xfId="35531" xr:uid="{9FAEABBA-ACFB-4444-B6C2-0030E230E392}"/>
    <cellStyle name="Normal 4 2 3 3 2 3 3" xfId="28923" xr:uid="{00000000-0005-0000-0000-000085180000}"/>
    <cellStyle name="Normal 4 2 3 3 2 3 3 2" xfId="35534" xr:uid="{3DAECA9F-EE61-4FC8-9F32-614360DC4BC2}"/>
    <cellStyle name="Normal 4 2 3 3 2 3 4" xfId="28924" xr:uid="{00000000-0005-0000-0000-000086180000}"/>
    <cellStyle name="Normal 4 2 3 3 2 3 4 2" xfId="35535" xr:uid="{C8FACFCB-CC11-481E-8E9C-476F3FEDDE8A}"/>
    <cellStyle name="Normal 4 2 3 3 2 3 5" xfId="28925" xr:uid="{00000000-0005-0000-0000-000087180000}"/>
    <cellStyle name="Normal 4 2 3 3 2 3 5 2" xfId="35536" xr:uid="{C94CEB10-2310-45ED-AC20-2FD415B5F70A}"/>
    <cellStyle name="Normal 4 2 3 3 2 3 6" xfId="35530" xr:uid="{DAD7B3C7-EF7D-4A59-A85A-AD84FECDEE6D}"/>
    <cellStyle name="Normal 4 2 3 3 2 4" xfId="28926" xr:uid="{00000000-0005-0000-0000-000088180000}"/>
    <cellStyle name="Normal 4 2 3 3 2 4 2" xfId="28927" xr:uid="{00000000-0005-0000-0000-000089180000}"/>
    <cellStyle name="Normal 4 2 3 3 2 4 2 2" xfId="28928" xr:uid="{00000000-0005-0000-0000-00008A180000}"/>
    <cellStyle name="Normal 4 2 3 3 2 4 2 2 2" xfId="35539" xr:uid="{3DD77829-857D-4AEE-B309-D202CD5A657F}"/>
    <cellStyle name="Normal 4 2 3 3 2 4 2 3" xfId="28929" xr:uid="{00000000-0005-0000-0000-00008B180000}"/>
    <cellStyle name="Normal 4 2 3 3 2 4 2 3 2" xfId="35540" xr:uid="{906E8D95-26E5-4B34-8F92-7EEE81C0F29C}"/>
    <cellStyle name="Normal 4 2 3 3 2 4 2 4" xfId="35538" xr:uid="{4D1E98D3-1318-4EF4-B954-32BCC582EE15}"/>
    <cellStyle name="Normal 4 2 3 3 2 4 3" xfId="28930" xr:uid="{00000000-0005-0000-0000-00008C180000}"/>
    <cellStyle name="Normal 4 2 3 3 2 4 3 2" xfId="35541" xr:uid="{B3F11768-973B-441D-B5EB-B0987D806E01}"/>
    <cellStyle name="Normal 4 2 3 3 2 4 4" xfId="28931" xr:uid="{00000000-0005-0000-0000-00008D180000}"/>
    <cellStyle name="Normal 4 2 3 3 2 4 4 2" xfId="35542" xr:uid="{F5EDC90B-ED2A-4722-9E76-04906F8CA794}"/>
    <cellStyle name="Normal 4 2 3 3 2 4 5" xfId="28932" xr:uid="{00000000-0005-0000-0000-00008E180000}"/>
    <cellStyle name="Normal 4 2 3 3 2 4 5 2" xfId="35543" xr:uid="{A6856D82-9604-48B3-9488-FFFCE9867DBC}"/>
    <cellStyle name="Normal 4 2 3 3 2 4 6" xfId="35537" xr:uid="{6EF13556-0685-4F88-A209-628B30CE4C9B}"/>
    <cellStyle name="Normal 4 2 3 3 2 5" xfId="28933" xr:uid="{00000000-0005-0000-0000-00008F180000}"/>
    <cellStyle name="Normal 4 2 3 3 2 5 2" xfId="28934" xr:uid="{00000000-0005-0000-0000-000090180000}"/>
    <cellStyle name="Normal 4 2 3 3 2 5 2 2" xfId="35545" xr:uid="{254F2F98-CBE8-466A-AF53-40B937A93B0C}"/>
    <cellStyle name="Normal 4 2 3 3 2 5 3" xfId="28935" xr:uid="{00000000-0005-0000-0000-000091180000}"/>
    <cellStyle name="Normal 4 2 3 3 2 5 3 2" xfId="35546" xr:uid="{167EC023-16AE-4B2D-9B04-BF2B56C25419}"/>
    <cellStyle name="Normal 4 2 3 3 2 5 4" xfId="35544" xr:uid="{4A3BE819-BE6B-4ADE-AD29-D7F580FB6756}"/>
    <cellStyle name="Normal 4 2 3 3 2 6" xfId="28936" xr:uid="{00000000-0005-0000-0000-000092180000}"/>
    <cellStyle name="Normal 4 2 3 3 2 6 2" xfId="35547" xr:uid="{817A7652-C5F9-4CA5-850E-A11E47E070C3}"/>
    <cellStyle name="Normal 4 2 3 3 2 7" xfId="28937" xr:uid="{00000000-0005-0000-0000-000093180000}"/>
    <cellStyle name="Normal 4 2 3 3 2 7 2" xfId="35548" xr:uid="{2052D2C6-38FA-4A7A-979B-4D0C98F747DF}"/>
    <cellStyle name="Normal 4 2 3 3 2 8" xfId="28938" xr:uid="{00000000-0005-0000-0000-000094180000}"/>
    <cellStyle name="Normal 4 2 3 3 2 8 2" xfId="35549" xr:uid="{A15D835F-25A8-4FA6-8D1F-BECF3FB5C35F}"/>
    <cellStyle name="Normal 4 2 3 3 2 9" xfId="35508" xr:uid="{BB0D614B-2193-4187-A8B4-3AE8B84E13FA}"/>
    <cellStyle name="Normal 4 2 3 3 3" xfId="28939" xr:uid="{00000000-0005-0000-0000-000095180000}"/>
    <cellStyle name="Normal 4 2 3 3 3 2" xfId="28940" xr:uid="{00000000-0005-0000-0000-000096180000}"/>
    <cellStyle name="Normal 4 2 3 3 3 2 2" xfId="28941" xr:uid="{00000000-0005-0000-0000-000097180000}"/>
    <cellStyle name="Normal 4 2 3 3 3 2 2 2" xfId="28942" xr:uid="{00000000-0005-0000-0000-000098180000}"/>
    <cellStyle name="Normal 4 2 3 3 3 2 2 2 2" xfId="35553" xr:uid="{E9E6D6BD-D100-49E8-932D-FFF64A1BF016}"/>
    <cellStyle name="Normal 4 2 3 3 3 2 2 3" xfId="28943" xr:uid="{00000000-0005-0000-0000-000099180000}"/>
    <cellStyle name="Normal 4 2 3 3 3 2 2 3 2" xfId="35554" xr:uid="{D7BE08F2-3495-454B-A23B-245F48EB74DD}"/>
    <cellStyle name="Normal 4 2 3 3 3 2 2 4" xfId="35552" xr:uid="{AF1D2686-E863-433B-9F47-6BC4AE59F924}"/>
    <cellStyle name="Normal 4 2 3 3 3 2 3" xfId="28944" xr:uid="{00000000-0005-0000-0000-00009A180000}"/>
    <cellStyle name="Normal 4 2 3 3 3 2 3 2" xfId="35555" xr:uid="{2ED80877-A75E-48EC-858C-3E446293358C}"/>
    <cellStyle name="Normal 4 2 3 3 3 2 4" xfId="28945" xr:uid="{00000000-0005-0000-0000-00009B180000}"/>
    <cellStyle name="Normal 4 2 3 3 3 2 4 2" xfId="35556" xr:uid="{52626F64-A6EE-4C46-A71D-F38875D68FA7}"/>
    <cellStyle name="Normal 4 2 3 3 3 2 5" xfId="28946" xr:uid="{00000000-0005-0000-0000-00009C180000}"/>
    <cellStyle name="Normal 4 2 3 3 3 2 5 2" xfId="35557" xr:uid="{89277805-15D8-4C9A-9147-8E4AB7931BC6}"/>
    <cellStyle name="Normal 4 2 3 3 3 2 6" xfId="35551" xr:uid="{2B8D32D6-2589-4377-BFAF-51B2E71A24E7}"/>
    <cellStyle name="Normal 4 2 3 3 3 3" xfId="28947" xr:uid="{00000000-0005-0000-0000-00009D180000}"/>
    <cellStyle name="Normal 4 2 3 3 3 3 2" xfId="28948" xr:uid="{00000000-0005-0000-0000-00009E180000}"/>
    <cellStyle name="Normal 4 2 3 3 3 3 2 2" xfId="28949" xr:uid="{00000000-0005-0000-0000-00009F180000}"/>
    <cellStyle name="Normal 4 2 3 3 3 3 2 2 2" xfId="35560" xr:uid="{79290485-634E-4823-A752-6277E4C93688}"/>
    <cellStyle name="Normal 4 2 3 3 3 3 2 3" xfId="28950" xr:uid="{00000000-0005-0000-0000-0000A0180000}"/>
    <cellStyle name="Normal 4 2 3 3 3 3 2 3 2" xfId="35561" xr:uid="{409352E3-CD60-45FB-9F04-20004E18CAB4}"/>
    <cellStyle name="Normal 4 2 3 3 3 3 2 4" xfId="35559" xr:uid="{8608358E-15CA-4072-95C3-FEC02DD2A798}"/>
    <cellStyle name="Normal 4 2 3 3 3 3 3" xfId="28951" xr:uid="{00000000-0005-0000-0000-0000A1180000}"/>
    <cellStyle name="Normal 4 2 3 3 3 3 3 2" xfId="35562" xr:uid="{6E557A4F-0F72-4E64-BEBB-072F45ED4264}"/>
    <cellStyle name="Normal 4 2 3 3 3 3 4" xfId="28952" xr:uid="{00000000-0005-0000-0000-0000A2180000}"/>
    <cellStyle name="Normal 4 2 3 3 3 3 4 2" xfId="35563" xr:uid="{CC16D21E-E659-43AA-A85E-8B1CDF3FB9BF}"/>
    <cellStyle name="Normal 4 2 3 3 3 3 5" xfId="28953" xr:uid="{00000000-0005-0000-0000-0000A3180000}"/>
    <cellStyle name="Normal 4 2 3 3 3 3 5 2" xfId="35564" xr:uid="{F1CCE90C-4AB6-45F9-ADBC-28549BC17AB9}"/>
    <cellStyle name="Normal 4 2 3 3 3 3 6" xfId="35558" xr:uid="{F7776412-1E83-49D5-9852-D3CF07148E24}"/>
    <cellStyle name="Normal 4 2 3 3 3 4" xfId="28954" xr:uid="{00000000-0005-0000-0000-0000A4180000}"/>
    <cellStyle name="Normal 4 2 3 3 3 4 2" xfId="28955" xr:uid="{00000000-0005-0000-0000-0000A5180000}"/>
    <cellStyle name="Normal 4 2 3 3 3 4 2 2" xfId="35566" xr:uid="{7C33F982-F3D3-4C71-92A7-94EE960A0AF3}"/>
    <cellStyle name="Normal 4 2 3 3 3 4 3" xfId="28956" xr:uid="{00000000-0005-0000-0000-0000A6180000}"/>
    <cellStyle name="Normal 4 2 3 3 3 4 3 2" xfId="35567" xr:uid="{0F96EB41-EB91-4D49-97DD-57F3D7FE2A44}"/>
    <cellStyle name="Normal 4 2 3 3 3 4 4" xfId="35565" xr:uid="{ED16469F-24AA-4D14-8622-F45B5BA8D541}"/>
    <cellStyle name="Normal 4 2 3 3 3 5" xfId="28957" xr:uid="{00000000-0005-0000-0000-0000A7180000}"/>
    <cellStyle name="Normal 4 2 3 3 3 5 2" xfId="35568" xr:uid="{5AA841DE-B129-4FD6-BA23-D105DAA28343}"/>
    <cellStyle name="Normal 4 2 3 3 3 6" xfId="28958" xr:uid="{00000000-0005-0000-0000-0000A8180000}"/>
    <cellStyle name="Normal 4 2 3 3 3 6 2" xfId="35569" xr:uid="{77156108-98F4-4B8F-B8FA-0F0FA0DAE789}"/>
    <cellStyle name="Normal 4 2 3 3 3 7" xfId="28959" xr:uid="{00000000-0005-0000-0000-0000A9180000}"/>
    <cellStyle name="Normal 4 2 3 3 3 7 2" xfId="35570" xr:uid="{3E743F16-2FE5-430A-839B-34DB3D10DA96}"/>
    <cellStyle name="Normal 4 2 3 3 3 8" xfId="35550" xr:uid="{5383A987-D848-468B-AA18-8A824B6BCA12}"/>
    <cellStyle name="Normal 4 2 3 3 4" xfId="28960" xr:uid="{00000000-0005-0000-0000-0000AA180000}"/>
    <cellStyle name="Normal 4 2 3 3 4 2" xfId="28961" xr:uid="{00000000-0005-0000-0000-0000AB180000}"/>
    <cellStyle name="Normal 4 2 3 3 4 2 2" xfId="28962" xr:uid="{00000000-0005-0000-0000-0000AC180000}"/>
    <cellStyle name="Normal 4 2 3 3 4 2 2 2" xfId="35573" xr:uid="{DEA2E488-055E-447B-BF4B-2147928F0881}"/>
    <cellStyle name="Normal 4 2 3 3 4 2 3" xfId="28963" xr:uid="{00000000-0005-0000-0000-0000AD180000}"/>
    <cellStyle name="Normal 4 2 3 3 4 2 3 2" xfId="35574" xr:uid="{C55BDEA6-B9E9-44E6-92A8-1423C531051B}"/>
    <cellStyle name="Normal 4 2 3 3 4 2 4" xfId="35572" xr:uid="{65011390-E264-4A29-B78C-1F4390C458D2}"/>
    <cellStyle name="Normal 4 2 3 3 4 3" xfId="28964" xr:uid="{00000000-0005-0000-0000-0000AE180000}"/>
    <cellStyle name="Normal 4 2 3 3 4 3 2" xfId="35575" xr:uid="{DAF6CC7A-2BDB-4C48-982F-65BC5324C275}"/>
    <cellStyle name="Normal 4 2 3 3 4 4" xfId="28965" xr:uid="{00000000-0005-0000-0000-0000AF180000}"/>
    <cellStyle name="Normal 4 2 3 3 4 4 2" xfId="35576" xr:uid="{06B87C7F-A4DE-464A-AD28-752E02ACD021}"/>
    <cellStyle name="Normal 4 2 3 3 4 5" xfId="28966" xr:uid="{00000000-0005-0000-0000-0000B0180000}"/>
    <cellStyle name="Normal 4 2 3 3 4 5 2" xfId="35577" xr:uid="{44A0689D-1BBE-4E5F-8959-DB17AD9DBC99}"/>
    <cellStyle name="Normal 4 2 3 3 4 6" xfId="35571" xr:uid="{DD17C402-FD4C-4A9C-9F96-68014C11945A}"/>
    <cellStyle name="Normal 4 2 3 3 5" xfId="28967" xr:uid="{00000000-0005-0000-0000-0000B1180000}"/>
    <cellStyle name="Normal 4 2 3 3 5 2" xfId="28968" xr:uid="{00000000-0005-0000-0000-0000B2180000}"/>
    <cellStyle name="Normal 4 2 3 3 5 2 2" xfId="28969" xr:uid="{00000000-0005-0000-0000-0000B3180000}"/>
    <cellStyle name="Normal 4 2 3 3 5 2 2 2" xfId="35580" xr:uid="{F60453A1-7FDF-49F9-801A-DF3D32CBE7E0}"/>
    <cellStyle name="Normal 4 2 3 3 5 2 3" xfId="28970" xr:uid="{00000000-0005-0000-0000-0000B4180000}"/>
    <cellStyle name="Normal 4 2 3 3 5 2 3 2" xfId="35581" xr:uid="{AF5344FF-CAC2-426B-AFD0-6D30FF06D323}"/>
    <cellStyle name="Normal 4 2 3 3 5 2 4" xfId="35579" xr:uid="{13C5A016-A2FA-4098-858A-BB6DEFC8403F}"/>
    <cellStyle name="Normal 4 2 3 3 5 3" xfId="28971" xr:uid="{00000000-0005-0000-0000-0000B5180000}"/>
    <cellStyle name="Normal 4 2 3 3 5 3 2" xfId="35582" xr:uid="{B1653460-1C15-4F29-9BE4-39DCC8ADFB52}"/>
    <cellStyle name="Normal 4 2 3 3 5 4" xfId="28972" xr:uid="{00000000-0005-0000-0000-0000B6180000}"/>
    <cellStyle name="Normal 4 2 3 3 5 4 2" xfId="35583" xr:uid="{F30D019A-20F4-4793-B1A9-F4A45E81934C}"/>
    <cellStyle name="Normal 4 2 3 3 5 5" xfId="28973" xr:uid="{00000000-0005-0000-0000-0000B7180000}"/>
    <cellStyle name="Normal 4 2 3 3 5 5 2" xfId="35584" xr:uid="{DCBA6281-4FEA-4902-9D91-055EB26C1B3A}"/>
    <cellStyle name="Normal 4 2 3 3 5 6" xfId="35578" xr:uid="{8F141D76-CE00-4E8A-97C9-2DCFB1433EE8}"/>
    <cellStyle name="Normal 4 2 3 3 6" xfId="28974" xr:uid="{00000000-0005-0000-0000-0000B8180000}"/>
    <cellStyle name="Normal 4 2 3 3 6 2" xfId="28975" xr:uid="{00000000-0005-0000-0000-0000B9180000}"/>
    <cellStyle name="Normal 4 2 3 3 6 2 2" xfId="35586" xr:uid="{B015FE7E-4670-4257-A64E-1FF001213339}"/>
    <cellStyle name="Normal 4 2 3 3 6 3" xfId="28976" xr:uid="{00000000-0005-0000-0000-0000BA180000}"/>
    <cellStyle name="Normal 4 2 3 3 6 3 2" xfId="35587" xr:uid="{BBE8C8FA-8A9B-4DF3-892C-074E91CBE91E}"/>
    <cellStyle name="Normal 4 2 3 3 6 4" xfId="35585" xr:uid="{63A48822-ACC8-4A1F-B4C6-3E10C3ECDA80}"/>
    <cellStyle name="Normal 4 2 3 3 7" xfId="28977" xr:uid="{00000000-0005-0000-0000-0000BB180000}"/>
    <cellStyle name="Normal 4 2 3 3 7 2" xfId="35588" xr:uid="{D2F094D1-01B4-455C-B474-56254CD94D5A}"/>
    <cellStyle name="Normal 4 2 3 3 8" xfId="28978" xr:uid="{00000000-0005-0000-0000-0000BC180000}"/>
    <cellStyle name="Normal 4 2 3 3 8 2" xfId="35589" xr:uid="{840FE0CA-326C-4BE5-BFB7-3F5F3C6275BF}"/>
    <cellStyle name="Normal 4 2 3 3 9" xfId="28979" xr:uid="{00000000-0005-0000-0000-0000BD180000}"/>
    <cellStyle name="Normal 4 2 3 3 9 2" xfId="35590" xr:uid="{4CE7C984-4060-469D-B32F-B6437B727467}"/>
    <cellStyle name="Normal 4 2 3 4" xfId="28980" xr:uid="{00000000-0005-0000-0000-0000BE180000}"/>
    <cellStyle name="Normal 4 2 3 4 10" xfId="35591" xr:uid="{DFBBEA3C-CF9F-4128-BE0E-CFE510856424}"/>
    <cellStyle name="Normal 4 2 3 4 2" xfId="28981" xr:uid="{00000000-0005-0000-0000-0000BF180000}"/>
    <cellStyle name="Normal 4 2 3 4 2 2" xfId="28982" xr:uid="{00000000-0005-0000-0000-0000C0180000}"/>
    <cellStyle name="Normal 4 2 3 4 2 2 2" xfId="28983" xr:uid="{00000000-0005-0000-0000-0000C1180000}"/>
    <cellStyle name="Normal 4 2 3 4 2 2 2 2" xfId="28984" xr:uid="{00000000-0005-0000-0000-0000C2180000}"/>
    <cellStyle name="Normal 4 2 3 4 2 2 2 2 2" xfId="28985" xr:uid="{00000000-0005-0000-0000-0000C3180000}"/>
    <cellStyle name="Normal 4 2 3 4 2 2 2 2 2 2" xfId="35596" xr:uid="{29F3103C-1CBA-4F21-8C45-5C80C574396A}"/>
    <cellStyle name="Normal 4 2 3 4 2 2 2 2 3" xfId="28986" xr:uid="{00000000-0005-0000-0000-0000C4180000}"/>
    <cellStyle name="Normal 4 2 3 4 2 2 2 2 3 2" xfId="35597" xr:uid="{BBAF0564-F473-4E42-A021-A2E88FF3FD0C}"/>
    <cellStyle name="Normal 4 2 3 4 2 2 2 2 4" xfId="35595" xr:uid="{CF87EFE7-7D71-44D5-9DC6-D74C91C8B897}"/>
    <cellStyle name="Normal 4 2 3 4 2 2 2 3" xfId="28987" xr:uid="{00000000-0005-0000-0000-0000C5180000}"/>
    <cellStyle name="Normal 4 2 3 4 2 2 2 3 2" xfId="35598" xr:uid="{F0733D4F-44FD-40F5-9841-90C5B4DFC929}"/>
    <cellStyle name="Normal 4 2 3 4 2 2 2 4" xfId="28988" xr:uid="{00000000-0005-0000-0000-0000C6180000}"/>
    <cellStyle name="Normal 4 2 3 4 2 2 2 4 2" xfId="35599" xr:uid="{B2503775-1B92-4C59-ACD9-ED529F3FBBAF}"/>
    <cellStyle name="Normal 4 2 3 4 2 2 2 5" xfId="28989" xr:uid="{00000000-0005-0000-0000-0000C7180000}"/>
    <cellStyle name="Normal 4 2 3 4 2 2 2 5 2" xfId="35600" xr:uid="{F07E4A3B-92BA-476E-8A8A-5D829A828E7F}"/>
    <cellStyle name="Normal 4 2 3 4 2 2 2 6" xfId="35594" xr:uid="{19F56CBC-59BC-4218-A8FE-E9AA70791DA0}"/>
    <cellStyle name="Normal 4 2 3 4 2 2 3" xfId="28990" xr:uid="{00000000-0005-0000-0000-0000C8180000}"/>
    <cellStyle name="Normal 4 2 3 4 2 2 3 2" xfId="28991" xr:uid="{00000000-0005-0000-0000-0000C9180000}"/>
    <cellStyle name="Normal 4 2 3 4 2 2 3 2 2" xfId="28992" xr:uid="{00000000-0005-0000-0000-0000CA180000}"/>
    <cellStyle name="Normal 4 2 3 4 2 2 3 2 2 2" xfId="35603" xr:uid="{204F5C84-332C-4208-B22B-80F46E2925BC}"/>
    <cellStyle name="Normal 4 2 3 4 2 2 3 2 3" xfId="28993" xr:uid="{00000000-0005-0000-0000-0000CB180000}"/>
    <cellStyle name="Normal 4 2 3 4 2 2 3 2 3 2" xfId="35604" xr:uid="{C8A63D08-AD3A-4B55-86E1-31886ED8B470}"/>
    <cellStyle name="Normal 4 2 3 4 2 2 3 2 4" xfId="35602" xr:uid="{73169C78-1C5F-469B-8D5B-2FEDB1981452}"/>
    <cellStyle name="Normal 4 2 3 4 2 2 3 3" xfId="28994" xr:uid="{00000000-0005-0000-0000-0000CC180000}"/>
    <cellStyle name="Normal 4 2 3 4 2 2 3 3 2" xfId="35605" xr:uid="{6FFB13F8-975C-463E-B748-BFC45078A17D}"/>
    <cellStyle name="Normal 4 2 3 4 2 2 3 4" xfId="28995" xr:uid="{00000000-0005-0000-0000-0000CD180000}"/>
    <cellStyle name="Normal 4 2 3 4 2 2 3 4 2" xfId="35606" xr:uid="{2F228B23-DDBA-4404-B0F5-CAE949588CF3}"/>
    <cellStyle name="Normal 4 2 3 4 2 2 3 5" xfId="28996" xr:uid="{00000000-0005-0000-0000-0000CE180000}"/>
    <cellStyle name="Normal 4 2 3 4 2 2 3 5 2" xfId="35607" xr:uid="{3C0A20D7-1B3D-4BE5-9BC0-A4954B6CDF72}"/>
    <cellStyle name="Normal 4 2 3 4 2 2 3 6" xfId="35601" xr:uid="{B242AB15-006B-4D51-BCBC-792D87079E94}"/>
    <cellStyle name="Normal 4 2 3 4 2 2 4" xfId="28997" xr:uid="{00000000-0005-0000-0000-0000CF180000}"/>
    <cellStyle name="Normal 4 2 3 4 2 2 4 2" xfId="28998" xr:uid="{00000000-0005-0000-0000-0000D0180000}"/>
    <cellStyle name="Normal 4 2 3 4 2 2 4 2 2" xfId="35609" xr:uid="{7485945B-99CE-478F-8A84-163747E2C903}"/>
    <cellStyle name="Normal 4 2 3 4 2 2 4 3" xfId="28999" xr:uid="{00000000-0005-0000-0000-0000D1180000}"/>
    <cellStyle name="Normal 4 2 3 4 2 2 4 3 2" xfId="35610" xr:uid="{367FD039-A4F7-4A4D-AC54-96883F7BB1B4}"/>
    <cellStyle name="Normal 4 2 3 4 2 2 4 4" xfId="35608" xr:uid="{E9648943-E5EC-467B-95E2-03CDFAE48FF2}"/>
    <cellStyle name="Normal 4 2 3 4 2 2 5" xfId="29000" xr:uid="{00000000-0005-0000-0000-0000D2180000}"/>
    <cellStyle name="Normal 4 2 3 4 2 2 5 2" xfId="35611" xr:uid="{13D038B4-0DB3-42F1-A967-C23BDBF0478F}"/>
    <cellStyle name="Normal 4 2 3 4 2 2 6" xfId="29001" xr:uid="{00000000-0005-0000-0000-0000D3180000}"/>
    <cellStyle name="Normal 4 2 3 4 2 2 6 2" xfId="35612" xr:uid="{0043F66C-E1D9-496E-BE8A-9B64DD908639}"/>
    <cellStyle name="Normal 4 2 3 4 2 2 7" xfId="29002" xr:uid="{00000000-0005-0000-0000-0000D4180000}"/>
    <cellStyle name="Normal 4 2 3 4 2 2 7 2" xfId="35613" xr:uid="{EB4B406B-AC10-4C1B-8FA6-6BF69B047072}"/>
    <cellStyle name="Normal 4 2 3 4 2 2 8" xfId="35593" xr:uid="{1A7635DF-6746-4FD3-B166-F864785B6683}"/>
    <cellStyle name="Normal 4 2 3 4 2 3" xfId="29003" xr:uid="{00000000-0005-0000-0000-0000D5180000}"/>
    <cellStyle name="Normal 4 2 3 4 2 3 2" xfId="29004" xr:uid="{00000000-0005-0000-0000-0000D6180000}"/>
    <cellStyle name="Normal 4 2 3 4 2 3 2 2" xfId="29005" xr:uid="{00000000-0005-0000-0000-0000D7180000}"/>
    <cellStyle name="Normal 4 2 3 4 2 3 2 2 2" xfId="35616" xr:uid="{D56D4681-E6DD-466C-AD57-1C7A4A5227A5}"/>
    <cellStyle name="Normal 4 2 3 4 2 3 2 3" xfId="29006" xr:uid="{00000000-0005-0000-0000-0000D8180000}"/>
    <cellStyle name="Normal 4 2 3 4 2 3 2 3 2" xfId="35617" xr:uid="{C11743D8-493D-4573-B382-297868AB8848}"/>
    <cellStyle name="Normal 4 2 3 4 2 3 2 4" xfId="35615" xr:uid="{8482E67E-C972-499C-94DB-B2BAE0D38502}"/>
    <cellStyle name="Normal 4 2 3 4 2 3 3" xfId="29007" xr:uid="{00000000-0005-0000-0000-0000D9180000}"/>
    <cellStyle name="Normal 4 2 3 4 2 3 3 2" xfId="35618" xr:uid="{AFA1B170-4D21-4AC1-A548-817BDFF96A2C}"/>
    <cellStyle name="Normal 4 2 3 4 2 3 4" xfId="29008" xr:uid="{00000000-0005-0000-0000-0000DA180000}"/>
    <cellStyle name="Normal 4 2 3 4 2 3 4 2" xfId="35619" xr:uid="{A5A3C6BA-F9D2-46F0-A014-7CC200AFEA3A}"/>
    <cellStyle name="Normal 4 2 3 4 2 3 5" xfId="29009" xr:uid="{00000000-0005-0000-0000-0000DB180000}"/>
    <cellStyle name="Normal 4 2 3 4 2 3 5 2" xfId="35620" xr:uid="{70DCA5F8-62FC-490D-A62E-11EC2076E8B9}"/>
    <cellStyle name="Normal 4 2 3 4 2 3 6" xfId="35614" xr:uid="{F6DDFCF0-2BA6-4E03-BAC4-9305BEADA945}"/>
    <cellStyle name="Normal 4 2 3 4 2 4" xfId="29010" xr:uid="{00000000-0005-0000-0000-0000DC180000}"/>
    <cellStyle name="Normal 4 2 3 4 2 4 2" xfId="29011" xr:uid="{00000000-0005-0000-0000-0000DD180000}"/>
    <cellStyle name="Normal 4 2 3 4 2 4 2 2" xfId="29012" xr:uid="{00000000-0005-0000-0000-0000DE180000}"/>
    <cellStyle name="Normal 4 2 3 4 2 4 2 2 2" xfId="35623" xr:uid="{87C45E29-254F-495F-9DA6-DF07D2C9E7E6}"/>
    <cellStyle name="Normal 4 2 3 4 2 4 2 3" xfId="29013" xr:uid="{00000000-0005-0000-0000-0000DF180000}"/>
    <cellStyle name="Normal 4 2 3 4 2 4 2 3 2" xfId="35624" xr:uid="{356E810E-817F-4456-B969-25AD3DBF53E7}"/>
    <cellStyle name="Normal 4 2 3 4 2 4 2 4" xfId="35622" xr:uid="{AD67CEBA-5C00-44D6-95A8-4D5C8A9CF39D}"/>
    <cellStyle name="Normal 4 2 3 4 2 4 3" xfId="29014" xr:uid="{00000000-0005-0000-0000-0000E0180000}"/>
    <cellStyle name="Normal 4 2 3 4 2 4 3 2" xfId="35625" xr:uid="{A115C1D1-FA47-44B6-9051-011193641A92}"/>
    <cellStyle name="Normal 4 2 3 4 2 4 4" xfId="29015" xr:uid="{00000000-0005-0000-0000-0000E1180000}"/>
    <cellStyle name="Normal 4 2 3 4 2 4 4 2" xfId="35626" xr:uid="{B2306C92-6830-4EF6-944E-9583F9EF0960}"/>
    <cellStyle name="Normal 4 2 3 4 2 4 5" xfId="29016" xr:uid="{00000000-0005-0000-0000-0000E2180000}"/>
    <cellStyle name="Normal 4 2 3 4 2 4 5 2" xfId="35627" xr:uid="{728DCE89-7AD6-4D5B-94C5-7A50C661497F}"/>
    <cellStyle name="Normal 4 2 3 4 2 4 6" xfId="35621" xr:uid="{26830A0D-5ED2-4FC7-BE05-204ACF6962E1}"/>
    <cellStyle name="Normal 4 2 3 4 2 5" xfId="29017" xr:uid="{00000000-0005-0000-0000-0000E3180000}"/>
    <cellStyle name="Normal 4 2 3 4 2 5 2" xfId="29018" xr:uid="{00000000-0005-0000-0000-0000E4180000}"/>
    <cellStyle name="Normal 4 2 3 4 2 5 2 2" xfId="35629" xr:uid="{DFE3FE74-17F5-4FB4-B34C-F4F17C581BBF}"/>
    <cellStyle name="Normal 4 2 3 4 2 5 3" xfId="29019" xr:uid="{00000000-0005-0000-0000-0000E5180000}"/>
    <cellStyle name="Normal 4 2 3 4 2 5 3 2" xfId="35630" xr:uid="{9F4E0259-F5AE-475B-A570-A4261A590FFD}"/>
    <cellStyle name="Normal 4 2 3 4 2 5 4" xfId="35628" xr:uid="{E788DDAA-BF2A-49A4-9F51-036D38595B75}"/>
    <cellStyle name="Normal 4 2 3 4 2 6" xfId="29020" xr:uid="{00000000-0005-0000-0000-0000E6180000}"/>
    <cellStyle name="Normal 4 2 3 4 2 6 2" xfId="35631" xr:uid="{DDF781FD-DE13-46FE-959B-FA1C10F04714}"/>
    <cellStyle name="Normal 4 2 3 4 2 7" xfId="29021" xr:uid="{00000000-0005-0000-0000-0000E7180000}"/>
    <cellStyle name="Normal 4 2 3 4 2 7 2" xfId="35632" xr:uid="{7CE93354-A085-49DC-A155-1C4ABD9002C6}"/>
    <cellStyle name="Normal 4 2 3 4 2 8" xfId="29022" xr:uid="{00000000-0005-0000-0000-0000E8180000}"/>
    <cellStyle name="Normal 4 2 3 4 2 8 2" xfId="35633" xr:uid="{A16F5C01-00F6-408F-AA82-961080942C59}"/>
    <cellStyle name="Normal 4 2 3 4 2 9" xfId="35592" xr:uid="{667712CE-0FDA-47E7-A04B-F412AAB3ADC8}"/>
    <cellStyle name="Normal 4 2 3 4 3" xfId="29023" xr:uid="{00000000-0005-0000-0000-0000E9180000}"/>
    <cellStyle name="Normal 4 2 3 4 3 2" xfId="29024" xr:uid="{00000000-0005-0000-0000-0000EA180000}"/>
    <cellStyle name="Normal 4 2 3 4 3 2 2" xfId="29025" xr:uid="{00000000-0005-0000-0000-0000EB180000}"/>
    <cellStyle name="Normal 4 2 3 4 3 2 2 2" xfId="29026" xr:uid="{00000000-0005-0000-0000-0000EC180000}"/>
    <cellStyle name="Normal 4 2 3 4 3 2 2 2 2" xfId="35637" xr:uid="{3BA810D9-B2DE-45BC-8F84-208A572680E9}"/>
    <cellStyle name="Normal 4 2 3 4 3 2 2 3" xfId="29027" xr:uid="{00000000-0005-0000-0000-0000ED180000}"/>
    <cellStyle name="Normal 4 2 3 4 3 2 2 3 2" xfId="35638" xr:uid="{CF081202-F8EE-4704-8373-7D4BB79333A0}"/>
    <cellStyle name="Normal 4 2 3 4 3 2 2 4" xfId="35636" xr:uid="{4FABE209-EB38-4ADF-84CE-EEFB71DCB90B}"/>
    <cellStyle name="Normal 4 2 3 4 3 2 3" xfId="29028" xr:uid="{00000000-0005-0000-0000-0000EE180000}"/>
    <cellStyle name="Normal 4 2 3 4 3 2 3 2" xfId="35639" xr:uid="{A73CF5EC-7052-4DF4-A277-A6FD8390E43D}"/>
    <cellStyle name="Normal 4 2 3 4 3 2 4" xfId="29029" xr:uid="{00000000-0005-0000-0000-0000EF180000}"/>
    <cellStyle name="Normal 4 2 3 4 3 2 4 2" xfId="35640" xr:uid="{16B94C80-EB30-4D74-99AF-279D182050A6}"/>
    <cellStyle name="Normal 4 2 3 4 3 2 5" xfId="29030" xr:uid="{00000000-0005-0000-0000-0000F0180000}"/>
    <cellStyle name="Normal 4 2 3 4 3 2 5 2" xfId="35641" xr:uid="{17D09561-5102-4842-9CA5-145AC68D687B}"/>
    <cellStyle name="Normal 4 2 3 4 3 2 6" xfId="35635" xr:uid="{5A1B09C6-C31B-4CA2-B091-DE9103789F24}"/>
    <cellStyle name="Normal 4 2 3 4 3 3" xfId="29031" xr:uid="{00000000-0005-0000-0000-0000F1180000}"/>
    <cellStyle name="Normal 4 2 3 4 3 3 2" xfId="29032" xr:uid="{00000000-0005-0000-0000-0000F2180000}"/>
    <cellStyle name="Normal 4 2 3 4 3 3 2 2" xfId="29033" xr:uid="{00000000-0005-0000-0000-0000F3180000}"/>
    <cellStyle name="Normal 4 2 3 4 3 3 2 2 2" xfId="35644" xr:uid="{901F94E3-2F7F-4EAA-9598-DA64AD868A35}"/>
    <cellStyle name="Normal 4 2 3 4 3 3 2 3" xfId="29034" xr:uid="{00000000-0005-0000-0000-0000F4180000}"/>
    <cellStyle name="Normal 4 2 3 4 3 3 2 3 2" xfId="35645" xr:uid="{C1048D7D-6FF0-4306-8EF2-9F764B38A3A0}"/>
    <cellStyle name="Normal 4 2 3 4 3 3 2 4" xfId="35643" xr:uid="{932DA8A0-6D9A-4FFF-8169-8FE69541AAC5}"/>
    <cellStyle name="Normal 4 2 3 4 3 3 3" xfId="29035" xr:uid="{00000000-0005-0000-0000-0000F5180000}"/>
    <cellStyle name="Normal 4 2 3 4 3 3 3 2" xfId="35646" xr:uid="{ED60BCF5-70EC-496F-8DD9-2CC6B67850F9}"/>
    <cellStyle name="Normal 4 2 3 4 3 3 4" xfId="29036" xr:uid="{00000000-0005-0000-0000-0000F6180000}"/>
    <cellStyle name="Normal 4 2 3 4 3 3 4 2" xfId="35647" xr:uid="{91EDBD74-EFF2-4BF6-892C-167C35134271}"/>
    <cellStyle name="Normal 4 2 3 4 3 3 5" xfId="29037" xr:uid="{00000000-0005-0000-0000-0000F7180000}"/>
    <cellStyle name="Normal 4 2 3 4 3 3 5 2" xfId="35648" xr:uid="{0A9FF5A6-7199-480F-B699-002FB0D50244}"/>
    <cellStyle name="Normal 4 2 3 4 3 3 6" xfId="35642" xr:uid="{D9ED8BDB-7B18-491F-9FC4-108A886F7F80}"/>
    <cellStyle name="Normal 4 2 3 4 3 4" xfId="29038" xr:uid="{00000000-0005-0000-0000-0000F8180000}"/>
    <cellStyle name="Normal 4 2 3 4 3 4 2" xfId="29039" xr:uid="{00000000-0005-0000-0000-0000F9180000}"/>
    <cellStyle name="Normal 4 2 3 4 3 4 2 2" xfId="35650" xr:uid="{817EB11A-50DA-46E3-9030-47CA3FF99A9F}"/>
    <cellStyle name="Normal 4 2 3 4 3 4 3" xfId="29040" xr:uid="{00000000-0005-0000-0000-0000FA180000}"/>
    <cellStyle name="Normal 4 2 3 4 3 4 3 2" xfId="35651" xr:uid="{6C1E35A6-0D3A-4038-8819-4B5C3D623DFC}"/>
    <cellStyle name="Normal 4 2 3 4 3 4 4" xfId="35649" xr:uid="{9D276C38-4025-45D4-89B6-F54A8A7AF59D}"/>
    <cellStyle name="Normal 4 2 3 4 3 5" xfId="29041" xr:uid="{00000000-0005-0000-0000-0000FB180000}"/>
    <cellStyle name="Normal 4 2 3 4 3 5 2" xfId="35652" xr:uid="{D744D810-123A-4054-A29A-CD51A020E67B}"/>
    <cellStyle name="Normal 4 2 3 4 3 6" xfId="29042" xr:uid="{00000000-0005-0000-0000-0000FC180000}"/>
    <cellStyle name="Normal 4 2 3 4 3 6 2" xfId="35653" xr:uid="{79AF2E85-6FD9-45A1-9266-0E0FB9E80989}"/>
    <cellStyle name="Normal 4 2 3 4 3 7" xfId="29043" xr:uid="{00000000-0005-0000-0000-0000FD180000}"/>
    <cellStyle name="Normal 4 2 3 4 3 7 2" xfId="35654" xr:uid="{C6A7A009-C28F-4D01-84E9-465261CE9A4E}"/>
    <cellStyle name="Normal 4 2 3 4 3 8" xfId="35634" xr:uid="{A7A8BB78-B96B-4585-AA94-15836653D0ED}"/>
    <cellStyle name="Normal 4 2 3 4 4" xfId="29044" xr:uid="{00000000-0005-0000-0000-0000FE180000}"/>
    <cellStyle name="Normal 4 2 3 4 4 2" xfId="29045" xr:uid="{00000000-0005-0000-0000-0000FF180000}"/>
    <cellStyle name="Normal 4 2 3 4 4 2 2" xfId="29046" xr:uid="{00000000-0005-0000-0000-000000190000}"/>
    <cellStyle name="Normal 4 2 3 4 4 2 2 2" xfId="35657" xr:uid="{52324100-264E-483C-B495-9F01521309DA}"/>
    <cellStyle name="Normal 4 2 3 4 4 2 3" xfId="29047" xr:uid="{00000000-0005-0000-0000-000001190000}"/>
    <cellStyle name="Normal 4 2 3 4 4 2 3 2" xfId="35658" xr:uid="{E9CC9FBC-5771-415A-A03E-1B18D33962B3}"/>
    <cellStyle name="Normal 4 2 3 4 4 2 4" xfId="35656" xr:uid="{3FE811C9-630C-4BA6-8CD7-4B1323196BF8}"/>
    <cellStyle name="Normal 4 2 3 4 4 3" xfId="29048" xr:uid="{00000000-0005-0000-0000-000002190000}"/>
    <cellStyle name="Normal 4 2 3 4 4 3 2" xfId="35659" xr:uid="{384C5A87-9275-4B03-BC63-467D0DDC79A4}"/>
    <cellStyle name="Normal 4 2 3 4 4 4" xfId="29049" xr:uid="{00000000-0005-0000-0000-000003190000}"/>
    <cellStyle name="Normal 4 2 3 4 4 4 2" xfId="35660" xr:uid="{5472CC3C-DEC1-43CA-B255-53F4779785BE}"/>
    <cellStyle name="Normal 4 2 3 4 4 5" xfId="29050" xr:uid="{00000000-0005-0000-0000-000004190000}"/>
    <cellStyle name="Normal 4 2 3 4 4 5 2" xfId="35661" xr:uid="{C56A9400-4FA2-4C30-B861-D747829155BD}"/>
    <cellStyle name="Normal 4 2 3 4 4 6" xfId="35655" xr:uid="{606452D2-5C55-4D4A-9CD5-5D58825E4BEA}"/>
    <cellStyle name="Normal 4 2 3 4 5" xfId="29051" xr:uid="{00000000-0005-0000-0000-000005190000}"/>
    <cellStyle name="Normal 4 2 3 4 5 2" xfId="29052" xr:uid="{00000000-0005-0000-0000-000006190000}"/>
    <cellStyle name="Normal 4 2 3 4 5 2 2" xfId="29053" xr:uid="{00000000-0005-0000-0000-000007190000}"/>
    <cellStyle name="Normal 4 2 3 4 5 2 2 2" xfId="35664" xr:uid="{D34EB913-F60B-401F-A62F-70BC753E9A38}"/>
    <cellStyle name="Normal 4 2 3 4 5 2 3" xfId="29054" xr:uid="{00000000-0005-0000-0000-000008190000}"/>
    <cellStyle name="Normal 4 2 3 4 5 2 3 2" xfId="35665" xr:uid="{F1C2E537-7466-4CB5-960D-062518F54C11}"/>
    <cellStyle name="Normal 4 2 3 4 5 2 4" xfId="35663" xr:uid="{6A76944B-2220-4EDC-BF75-1E35A4AA6305}"/>
    <cellStyle name="Normal 4 2 3 4 5 3" xfId="29055" xr:uid="{00000000-0005-0000-0000-000009190000}"/>
    <cellStyle name="Normal 4 2 3 4 5 3 2" xfId="35666" xr:uid="{02858E99-A3CF-4666-8D3D-B586DE9E81F2}"/>
    <cellStyle name="Normal 4 2 3 4 5 4" xfId="29056" xr:uid="{00000000-0005-0000-0000-00000A190000}"/>
    <cellStyle name="Normal 4 2 3 4 5 4 2" xfId="35667" xr:uid="{6CBA7F65-BD17-47F1-89AD-7796F035BA16}"/>
    <cellStyle name="Normal 4 2 3 4 5 5" xfId="29057" xr:uid="{00000000-0005-0000-0000-00000B190000}"/>
    <cellStyle name="Normal 4 2 3 4 5 5 2" xfId="35668" xr:uid="{AD30B386-1221-4B4D-81E3-32AEBAD8C0C9}"/>
    <cellStyle name="Normal 4 2 3 4 5 6" xfId="35662" xr:uid="{3204AFA8-42B8-44B5-AB26-8C1AFA1C5ABB}"/>
    <cellStyle name="Normal 4 2 3 4 6" xfId="29058" xr:uid="{00000000-0005-0000-0000-00000C190000}"/>
    <cellStyle name="Normal 4 2 3 4 6 2" xfId="29059" xr:uid="{00000000-0005-0000-0000-00000D190000}"/>
    <cellStyle name="Normal 4 2 3 4 6 2 2" xfId="35670" xr:uid="{8761CC4F-8D5E-4699-905C-5D975AB92A6B}"/>
    <cellStyle name="Normal 4 2 3 4 6 3" xfId="29060" xr:uid="{00000000-0005-0000-0000-00000E190000}"/>
    <cellStyle name="Normal 4 2 3 4 6 3 2" xfId="35671" xr:uid="{08962DAE-4754-4934-B92B-6378A0B52ABA}"/>
    <cellStyle name="Normal 4 2 3 4 6 4" xfId="35669" xr:uid="{D3285401-7A5B-4F4B-8A7A-A8C7D148F258}"/>
    <cellStyle name="Normal 4 2 3 4 7" xfId="29061" xr:uid="{00000000-0005-0000-0000-00000F190000}"/>
    <cellStyle name="Normal 4 2 3 4 7 2" xfId="35672" xr:uid="{155B5DC8-20C4-4156-8B77-03AC77808174}"/>
    <cellStyle name="Normal 4 2 3 4 8" xfId="29062" xr:uid="{00000000-0005-0000-0000-000010190000}"/>
    <cellStyle name="Normal 4 2 3 4 8 2" xfId="35673" xr:uid="{D74E0A34-AF43-444B-9BF0-05FDB9677BFE}"/>
    <cellStyle name="Normal 4 2 3 4 9" xfId="29063" xr:uid="{00000000-0005-0000-0000-000011190000}"/>
    <cellStyle name="Normal 4 2 3 4 9 2" xfId="35674" xr:uid="{07295B05-E33D-4159-A3B3-FED39D9A5526}"/>
    <cellStyle name="Normal 4 2 3 5" xfId="29064" xr:uid="{00000000-0005-0000-0000-000012190000}"/>
    <cellStyle name="Normal 4 2 3 5 10" xfId="35675" xr:uid="{40068095-E2F7-49E3-A1D9-3913E0322485}"/>
    <cellStyle name="Normal 4 2 3 5 2" xfId="29065" xr:uid="{00000000-0005-0000-0000-000013190000}"/>
    <cellStyle name="Normal 4 2 3 5 2 2" xfId="29066" xr:uid="{00000000-0005-0000-0000-000014190000}"/>
    <cellStyle name="Normal 4 2 3 5 2 2 2" xfId="29067" xr:uid="{00000000-0005-0000-0000-000015190000}"/>
    <cellStyle name="Normal 4 2 3 5 2 2 2 2" xfId="29068" xr:uid="{00000000-0005-0000-0000-000016190000}"/>
    <cellStyle name="Normal 4 2 3 5 2 2 2 2 2" xfId="29069" xr:uid="{00000000-0005-0000-0000-000017190000}"/>
    <cellStyle name="Normal 4 2 3 5 2 2 2 2 2 2" xfId="35680" xr:uid="{CE507569-09C4-4D7F-9965-7EC1D222D4CB}"/>
    <cellStyle name="Normal 4 2 3 5 2 2 2 2 3" xfId="29070" xr:uid="{00000000-0005-0000-0000-000018190000}"/>
    <cellStyle name="Normal 4 2 3 5 2 2 2 2 3 2" xfId="35681" xr:uid="{0992F0B0-4482-4ABE-AD5B-1A6C49B327BA}"/>
    <cellStyle name="Normal 4 2 3 5 2 2 2 2 4" xfId="35679" xr:uid="{3DB060E2-6014-46A6-852B-8A416CDC351C}"/>
    <cellStyle name="Normal 4 2 3 5 2 2 2 3" xfId="29071" xr:uid="{00000000-0005-0000-0000-000019190000}"/>
    <cellStyle name="Normal 4 2 3 5 2 2 2 3 2" xfId="35682" xr:uid="{6667D2A8-5E9B-4C81-8AA8-2F87B2631877}"/>
    <cellStyle name="Normal 4 2 3 5 2 2 2 4" xfId="29072" xr:uid="{00000000-0005-0000-0000-00001A190000}"/>
    <cellStyle name="Normal 4 2 3 5 2 2 2 4 2" xfId="35683" xr:uid="{2D85A8CD-3443-4734-9E30-BF7BF06F0261}"/>
    <cellStyle name="Normal 4 2 3 5 2 2 2 5" xfId="29073" xr:uid="{00000000-0005-0000-0000-00001B190000}"/>
    <cellStyle name="Normal 4 2 3 5 2 2 2 5 2" xfId="35684" xr:uid="{956584D5-74A1-4E18-ABA5-968C1257E75E}"/>
    <cellStyle name="Normal 4 2 3 5 2 2 2 6" xfId="35678" xr:uid="{BD6CFE41-30C9-48AA-AA42-32C2646B7446}"/>
    <cellStyle name="Normal 4 2 3 5 2 2 3" xfId="29074" xr:uid="{00000000-0005-0000-0000-00001C190000}"/>
    <cellStyle name="Normal 4 2 3 5 2 2 3 2" xfId="29075" xr:uid="{00000000-0005-0000-0000-00001D190000}"/>
    <cellStyle name="Normal 4 2 3 5 2 2 3 2 2" xfId="29076" xr:uid="{00000000-0005-0000-0000-00001E190000}"/>
    <cellStyle name="Normal 4 2 3 5 2 2 3 2 2 2" xfId="35687" xr:uid="{DA95AD17-668B-4359-ADC5-95E2A1AAEE03}"/>
    <cellStyle name="Normal 4 2 3 5 2 2 3 2 3" xfId="29077" xr:uid="{00000000-0005-0000-0000-00001F190000}"/>
    <cellStyle name="Normal 4 2 3 5 2 2 3 2 3 2" xfId="35688" xr:uid="{907655BE-B3ED-46C6-804D-839EA0E7F3E9}"/>
    <cellStyle name="Normal 4 2 3 5 2 2 3 2 4" xfId="35686" xr:uid="{260C8917-D160-4802-B0A2-220B9CDF651C}"/>
    <cellStyle name="Normal 4 2 3 5 2 2 3 3" xfId="29078" xr:uid="{00000000-0005-0000-0000-000020190000}"/>
    <cellStyle name="Normal 4 2 3 5 2 2 3 3 2" xfId="35689" xr:uid="{7F1FCD3A-5EA4-4FEF-A2A2-B783E77AD2D9}"/>
    <cellStyle name="Normal 4 2 3 5 2 2 3 4" xfId="29079" xr:uid="{00000000-0005-0000-0000-000021190000}"/>
    <cellStyle name="Normal 4 2 3 5 2 2 3 4 2" xfId="35690" xr:uid="{B4FA4034-6618-434F-A1DC-D688AA7B3E75}"/>
    <cellStyle name="Normal 4 2 3 5 2 2 3 5" xfId="29080" xr:uid="{00000000-0005-0000-0000-000022190000}"/>
    <cellStyle name="Normal 4 2 3 5 2 2 3 5 2" xfId="35691" xr:uid="{61D1FFEB-6E8D-4D98-A776-A3EEDC94E8BE}"/>
    <cellStyle name="Normal 4 2 3 5 2 2 3 6" xfId="35685" xr:uid="{62BAA0F9-B74C-4C2E-B962-085EF08F5AF1}"/>
    <cellStyle name="Normal 4 2 3 5 2 2 4" xfId="29081" xr:uid="{00000000-0005-0000-0000-000023190000}"/>
    <cellStyle name="Normal 4 2 3 5 2 2 4 2" xfId="29082" xr:uid="{00000000-0005-0000-0000-000024190000}"/>
    <cellStyle name="Normal 4 2 3 5 2 2 4 2 2" xfId="35693" xr:uid="{1D9E2B02-E7D7-4FC3-AE81-08086D63CB65}"/>
    <cellStyle name="Normal 4 2 3 5 2 2 4 3" xfId="29083" xr:uid="{00000000-0005-0000-0000-000025190000}"/>
    <cellStyle name="Normal 4 2 3 5 2 2 4 3 2" xfId="35694" xr:uid="{9CBE8162-C376-4A4D-ADFB-4BD07EFB45AF}"/>
    <cellStyle name="Normal 4 2 3 5 2 2 4 4" xfId="35692" xr:uid="{6CC231F2-2B74-42FA-AF2B-75AC1E227F0B}"/>
    <cellStyle name="Normal 4 2 3 5 2 2 5" xfId="29084" xr:uid="{00000000-0005-0000-0000-000026190000}"/>
    <cellStyle name="Normal 4 2 3 5 2 2 5 2" xfId="35695" xr:uid="{9C45C312-7BD5-4B87-8D93-78099316A2CD}"/>
    <cellStyle name="Normal 4 2 3 5 2 2 6" xfId="29085" xr:uid="{00000000-0005-0000-0000-000027190000}"/>
    <cellStyle name="Normal 4 2 3 5 2 2 6 2" xfId="35696" xr:uid="{938FE6C7-7262-428A-A35D-E35AD87D71B1}"/>
    <cellStyle name="Normal 4 2 3 5 2 2 7" xfId="29086" xr:uid="{00000000-0005-0000-0000-000028190000}"/>
    <cellStyle name="Normal 4 2 3 5 2 2 7 2" xfId="35697" xr:uid="{C5E3927F-7DC2-489A-85FE-DBC8A209F439}"/>
    <cellStyle name="Normal 4 2 3 5 2 2 8" xfId="35677" xr:uid="{4B54FC71-8258-4D3A-88D2-89C5E1DC2EC3}"/>
    <cellStyle name="Normal 4 2 3 5 2 3" xfId="29087" xr:uid="{00000000-0005-0000-0000-000029190000}"/>
    <cellStyle name="Normal 4 2 3 5 2 3 2" xfId="29088" xr:uid="{00000000-0005-0000-0000-00002A190000}"/>
    <cellStyle name="Normal 4 2 3 5 2 3 2 2" xfId="29089" xr:uid="{00000000-0005-0000-0000-00002B190000}"/>
    <cellStyle name="Normal 4 2 3 5 2 3 2 2 2" xfId="35700" xr:uid="{A89238AB-F75C-4949-8AC2-F216639F1E94}"/>
    <cellStyle name="Normal 4 2 3 5 2 3 2 3" xfId="29090" xr:uid="{00000000-0005-0000-0000-00002C190000}"/>
    <cellStyle name="Normal 4 2 3 5 2 3 2 3 2" xfId="35701" xr:uid="{5A5DDC65-10D9-4795-A3DC-1EA89F990A77}"/>
    <cellStyle name="Normal 4 2 3 5 2 3 2 4" xfId="35699" xr:uid="{6811ACC5-6D3D-4063-9474-5CB496DA4164}"/>
    <cellStyle name="Normal 4 2 3 5 2 3 3" xfId="29091" xr:uid="{00000000-0005-0000-0000-00002D190000}"/>
    <cellStyle name="Normal 4 2 3 5 2 3 3 2" xfId="35702" xr:uid="{E71A2F62-C502-48C8-96C4-B08B25DB02D5}"/>
    <cellStyle name="Normal 4 2 3 5 2 3 4" xfId="29092" xr:uid="{00000000-0005-0000-0000-00002E190000}"/>
    <cellStyle name="Normal 4 2 3 5 2 3 4 2" xfId="35703" xr:uid="{05147F3F-D39C-48E1-8F40-F05F19E0CC53}"/>
    <cellStyle name="Normal 4 2 3 5 2 3 5" xfId="29093" xr:uid="{00000000-0005-0000-0000-00002F190000}"/>
    <cellStyle name="Normal 4 2 3 5 2 3 5 2" xfId="35704" xr:uid="{DC2CF64F-9FEE-4CF6-B017-5C12E5FA1F50}"/>
    <cellStyle name="Normal 4 2 3 5 2 3 6" xfId="35698" xr:uid="{06488BAD-0972-42FD-8466-2EBE41F0C15A}"/>
    <cellStyle name="Normal 4 2 3 5 2 4" xfId="29094" xr:uid="{00000000-0005-0000-0000-000030190000}"/>
    <cellStyle name="Normal 4 2 3 5 2 4 2" xfId="29095" xr:uid="{00000000-0005-0000-0000-000031190000}"/>
    <cellStyle name="Normal 4 2 3 5 2 4 2 2" xfId="29096" xr:uid="{00000000-0005-0000-0000-000032190000}"/>
    <cellStyle name="Normal 4 2 3 5 2 4 2 2 2" xfId="35707" xr:uid="{964EFD0F-7A22-4E48-8BA2-9B4C83D40095}"/>
    <cellStyle name="Normal 4 2 3 5 2 4 2 3" xfId="29097" xr:uid="{00000000-0005-0000-0000-000033190000}"/>
    <cellStyle name="Normal 4 2 3 5 2 4 2 3 2" xfId="35708" xr:uid="{B6CA4367-1E47-46AB-934E-70D8B4A27C02}"/>
    <cellStyle name="Normal 4 2 3 5 2 4 2 4" xfId="35706" xr:uid="{7EFA771A-CDE5-458F-8315-A13BD1113712}"/>
    <cellStyle name="Normal 4 2 3 5 2 4 3" xfId="29098" xr:uid="{00000000-0005-0000-0000-000034190000}"/>
    <cellStyle name="Normal 4 2 3 5 2 4 3 2" xfId="35709" xr:uid="{A4B7068E-58A4-4BBC-BA45-8902D8D915BC}"/>
    <cellStyle name="Normal 4 2 3 5 2 4 4" xfId="29099" xr:uid="{00000000-0005-0000-0000-000035190000}"/>
    <cellStyle name="Normal 4 2 3 5 2 4 4 2" xfId="35710" xr:uid="{7BF0C4C9-0157-4923-86E0-E7D64CC5F19A}"/>
    <cellStyle name="Normal 4 2 3 5 2 4 5" xfId="29100" xr:uid="{00000000-0005-0000-0000-000036190000}"/>
    <cellStyle name="Normal 4 2 3 5 2 4 5 2" xfId="35711" xr:uid="{350828F2-EECC-4BDF-9539-66AEA600483F}"/>
    <cellStyle name="Normal 4 2 3 5 2 4 6" xfId="35705" xr:uid="{C82E2F6E-CF5E-4C8C-BDF5-76D576510066}"/>
    <cellStyle name="Normal 4 2 3 5 2 5" xfId="29101" xr:uid="{00000000-0005-0000-0000-000037190000}"/>
    <cellStyle name="Normal 4 2 3 5 2 5 2" xfId="29102" xr:uid="{00000000-0005-0000-0000-000038190000}"/>
    <cellStyle name="Normal 4 2 3 5 2 5 2 2" xfId="35713" xr:uid="{F7CAA6EB-3329-4F20-AA11-74A9ADE500AD}"/>
    <cellStyle name="Normal 4 2 3 5 2 5 3" xfId="29103" xr:uid="{00000000-0005-0000-0000-000039190000}"/>
    <cellStyle name="Normal 4 2 3 5 2 5 3 2" xfId="35714" xr:uid="{0C920C32-4E08-4FF4-8051-1BB8DE43292C}"/>
    <cellStyle name="Normal 4 2 3 5 2 5 4" xfId="35712" xr:uid="{B648C45D-754A-42B8-8670-A291FAD73B20}"/>
    <cellStyle name="Normal 4 2 3 5 2 6" xfId="29104" xr:uid="{00000000-0005-0000-0000-00003A190000}"/>
    <cellStyle name="Normal 4 2 3 5 2 6 2" xfId="35715" xr:uid="{44BAAF72-9A60-4830-8333-D1B43C43E24C}"/>
    <cellStyle name="Normal 4 2 3 5 2 7" xfId="29105" xr:uid="{00000000-0005-0000-0000-00003B190000}"/>
    <cellStyle name="Normal 4 2 3 5 2 7 2" xfId="35716" xr:uid="{F5E0B2CD-2415-4510-9D93-03D57398DEB7}"/>
    <cellStyle name="Normal 4 2 3 5 2 8" xfId="29106" xr:uid="{00000000-0005-0000-0000-00003C190000}"/>
    <cellStyle name="Normal 4 2 3 5 2 8 2" xfId="35717" xr:uid="{5CB79023-45D0-4CDF-99FC-C93B2F20B543}"/>
    <cellStyle name="Normal 4 2 3 5 2 9" xfId="35676" xr:uid="{FC47ADD9-82A8-4F33-937A-51BAEF4294D5}"/>
    <cellStyle name="Normal 4 2 3 5 3" xfId="29107" xr:uid="{00000000-0005-0000-0000-00003D190000}"/>
    <cellStyle name="Normal 4 2 3 5 3 2" xfId="29108" xr:uid="{00000000-0005-0000-0000-00003E190000}"/>
    <cellStyle name="Normal 4 2 3 5 3 2 2" xfId="29109" xr:uid="{00000000-0005-0000-0000-00003F190000}"/>
    <cellStyle name="Normal 4 2 3 5 3 2 2 2" xfId="29110" xr:uid="{00000000-0005-0000-0000-000040190000}"/>
    <cellStyle name="Normal 4 2 3 5 3 2 2 2 2" xfId="35721" xr:uid="{FE2435D5-BF3C-4986-AB29-31BC8C2C446E}"/>
    <cellStyle name="Normal 4 2 3 5 3 2 2 3" xfId="29111" xr:uid="{00000000-0005-0000-0000-000041190000}"/>
    <cellStyle name="Normal 4 2 3 5 3 2 2 3 2" xfId="35722" xr:uid="{F7EAEB2B-0BFE-4132-BB4C-976F4B14CCEA}"/>
    <cellStyle name="Normal 4 2 3 5 3 2 2 4" xfId="35720" xr:uid="{C705E599-2BBA-4913-AE53-6889A8C66902}"/>
    <cellStyle name="Normal 4 2 3 5 3 2 3" xfId="29112" xr:uid="{00000000-0005-0000-0000-000042190000}"/>
    <cellStyle name="Normal 4 2 3 5 3 2 3 2" xfId="35723" xr:uid="{456B5CCE-C5BB-4E08-8B21-67BC807F4B65}"/>
    <cellStyle name="Normal 4 2 3 5 3 2 4" xfId="29113" xr:uid="{00000000-0005-0000-0000-000043190000}"/>
    <cellStyle name="Normal 4 2 3 5 3 2 4 2" xfId="35724" xr:uid="{0F0A772C-D05C-40C4-A790-D2D9FE1F4D9B}"/>
    <cellStyle name="Normal 4 2 3 5 3 2 5" xfId="29114" xr:uid="{00000000-0005-0000-0000-000044190000}"/>
    <cellStyle name="Normal 4 2 3 5 3 2 5 2" xfId="35725" xr:uid="{FA9AB576-1E02-4ECC-AC73-4A03A3E55AB5}"/>
    <cellStyle name="Normal 4 2 3 5 3 2 6" xfId="35719" xr:uid="{84AA1ED2-552B-4CB7-9C79-18CBA7551311}"/>
    <cellStyle name="Normal 4 2 3 5 3 3" xfId="29115" xr:uid="{00000000-0005-0000-0000-000045190000}"/>
    <cellStyle name="Normal 4 2 3 5 3 3 2" xfId="29116" xr:uid="{00000000-0005-0000-0000-000046190000}"/>
    <cellStyle name="Normal 4 2 3 5 3 3 2 2" xfId="29117" xr:uid="{00000000-0005-0000-0000-000047190000}"/>
    <cellStyle name="Normal 4 2 3 5 3 3 2 2 2" xfId="35728" xr:uid="{5118B04B-0349-4FA4-BDB3-B0F3243BD4C6}"/>
    <cellStyle name="Normal 4 2 3 5 3 3 2 3" xfId="29118" xr:uid="{00000000-0005-0000-0000-000048190000}"/>
    <cellStyle name="Normal 4 2 3 5 3 3 2 3 2" xfId="35729" xr:uid="{94CBC1D4-9AF2-47CD-B01D-2455A179D23E}"/>
    <cellStyle name="Normal 4 2 3 5 3 3 2 4" xfId="35727" xr:uid="{4F169316-10A5-49EB-86CD-FDF8640C76FF}"/>
    <cellStyle name="Normal 4 2 3 5 3 3 3" xfId="29119" xr:uid="{00000000-0005-0000-0000-000049190000}"/>
    <cellStyle name="Normal 4 2 3 5 3 3 3 2" xfId="35730" xr:uid="{FFE431AA-D25D-490F-A75B-6E0C59E2506C}"/>
    <cellStyle name="Normal 4 2 3 5 3 3 4" xfId="29120" xr:uid="{00000000-0005-0000-0000-00004A190000}"/>
    <cellStyle name="Normal 4 2 3 5 3 3 4 2" xfId="35731" xr:uid="{F10C0728-BD00-4466-B0CB-510A2B4F3D72}"/>
    <cellStyle name="Normal 4 2 3 5 3 3 5" xfId="29121" xr:uid="{00000000-0005-0000-0000-00004B190000}"/>
    <cellStyle name="Normal 4 2 3 5 3 3 5 2" xfId="35732" xr:uid="{21483635-4F9B-481E-930B-F921FE4256F9}"/>
    <cellStyle name="Normal 4 2 3 5 3 3 6" xfId="35726" xr:uid="{FF5FBFB5-9C43-416E-96D3-16C9F1DB75B5}"/>
    <cellStyle name="Normal 4 2 3 5 3 4" xfId="29122" xr:uid="{00000000-0005-0000-0000-00004C190000}"/>
    <cellStyle name="Normal 4 2 3 5 3 4 2" xfId="29123" xr:uid="{00000000-0005-0000-0000-00004D190000}"/>
    <cellStyle name="Normal 4 2 3 5 3 4 2 2" xfId="35734" xr:uid="{CA1904DA-2260-4F48-B630-F58CEF1512DC}"/>
    <cellStyle name="Normal 4 2 3 5 3 4 3" xfId="29124" xr:uid="{00000000-0005-0000-0000-00004E190000}"/>
    <cellStyle name="Normal 4 2 3 5 3 4 3 2" xfId="35735" xr:uid="{3A375018-3CD1-4527-8707-4AB042D6C72B}"/>
    <cellStyle name="Normal 4 2 3 5 3 4 4" xfId="35733" xr:uid="{B0FCA652-3545-428D-8C52-6DFA468082B4}"/>
    <cellStyle name="Normal 4 2 3 5 3 5" xfId="29125" xr:uid="{00000000-0005-0000-0000-00004F190000}"/>
    <cellStyle name="Normal 4 2 3 5 3 5 2" xfId="35736" xr:uid="{0A9C6CA6-0BCD-4F40-8727-0F8FCFFCC437}"/>
    <cellStyle name="Normal 4 2 3 5 3 6" xfId="29126" xr:uid="{00000000-0005-0000-0000-000050190000}"/>
    <cellStyle name="Normal 4 2 3 5 3 6 2" xfId="35737" xr:uid="{6A1F15A4-2160-4263-B62D-861B09296AB4}"/>
    <cellStyle name="Normal 4 2 3 5 3 7" xfId="29127" xr:uid="{00000000-0005-0000-0000-000051190000}"/>
    <cellStyle name="Normal 4 2 3 5 3 7 2" xfId="35738" xr:uid="{A213F8C8-E161-4861-8964-5773A9AD78DF}"/>
    <cellStyle name="Normal 4 2 3 5 3 8" xfId="35718" xr:uid="{703D7612-45B3-48FC-8E8E-6066667997EC}"/>
    <cellStyle name="Normal 4 2 3 5 4" xfId="29128" xr:uid="{00000000-0005-0000-0000-000052190000}"/>
    <cellStyle name="Normal 4 2 3 5 4 2" xfId="29129" xr:uid="{00000000-0005-0000-0000-000053190000}"/>
    <cellStyle name="Normal 4 2 3 5 4 2 2" xfId="29130" xr:uid="{00000000-0005-0000-0000-000054190000}"/>
    <cellStyle name="Normal 4 2 3 5 4 2 2 2" xfId="35741" xr:uid="{A161C977-F3E9-4CA9-9970-928F88E350E2}"/>
    <cellStyle name="Normal 4 2 3 5 4 2 3" xfId="29131" xr:uid="{00000000-0005-0000-0000-000055190000}"/>
    <cellStyle name="Normal 4 2 3 5 4 2 3 2" xfId="35742" xr:uid="{1623F11E-047B-47E2-86FA-87FE450A70A7}"/>
    <cellStyle name="Normal 4 2 3 5 4 2 4" xfId="35740" xr:uid="{025D5FE2-91EF-4376-A899-31D77E06510D}"/>
    <cellStyle name="Normal 4 2 3 5 4 3" xfId="29132" xr:uid="{00000000-0005-0000-0000-000056190000}"/>
    <cellStyle name="Normal 4 2 3 5 4 3 2" xfId="35743" xr:uid="{D1D506C1-A091-4465-AAC2-66A9FDF0275F}"/>
    <cellStyle name="Normal 4 2 3 5 4 4" xfId="29133" xr:uid="{00000000-0005-0000-0000-000057190000}"/>
    <cellStyle name="Normal 4 2 3 5 4 4 2" xfId="35744" xr:uid="{A3DDE920-1C03-47A3-ACB1-6C0A4335F2BC}"/>
    <cellStyle name="Normal 4 2 3 5 4 5" xfId="29134" xr:uid="{00000000-0005-0000-0000-000058190000}"/>
    <cellStyle name="Normal 4 2 3 5 4 5 2" xfId="35745" xr:uid="{D39AF194-60FB-43B3-9B07-5F140478AC1D}"/>
    <cellStyle name="Normal 4 2 3 5 4 6" xfId="35739" xr:uid="{66BA2506-3098-4AA3-A19A-F72559B67E03}"/>
    <cellStyle name="Normal 4 2 3 5 5" xfId="29135" xr:uid="{00000000-0005-0000-0000-000059190000}"/>
    <cellStyle name="Normal 4 2 3 5 5 2" xfId="29136" xr:uid="{00000000-0005-0000-0000-00005A190000}"/>
    <cellStyle name="Normal 4 2 3 5 5 2 2" xfId="29137" xr:uid="{00000000-0005-0000-0000-00005B190000}"/>
    <cellStyle name="Normal 4 2 3 5 5 2 2 2" xfId="35748" xr:uid="{6C9A6F43-1252-4B03-8287-67DB73B2CABC}"/>
    <cellStyle name="Normal 4 2 3 5 5 2 3" xfId="29138" xr:uid="{00000000-0005-0000-0000-00005C190000}"/>
    <cellStyle name="Normal 4 2 3 5 5 2 3 2" xfId="35749" xr:uid="{C1C6B6FF-20C7-4789-BE5B-B0722FFDCC37}"/>
    <cellStyle name="Normal 4 2 3 5 5 2 4" xfId="35747" xr:uid="{2BFDDE8F-34B8-4D4C-8480-5ED0706F77C6}"/>
    <cellStyle name="Normal 4 2 3 5 5 3" xfId="29139" xr:uid="{00000000-0005-0000-0000-00005D190000}"/>
    <cellStyle name="Normal 4 2 3 5 5 3 2" xfId="35750" xr:uid="{0E202083-F8B3-46B6-A326-35D35D784450}"/>
    <cellStyle name="Normal 4 2 3 5 5 4" xfId="29140" xr:uid="{00000000-0005-0000-0000-00005E190000}"/>
    <cellStyle name="Normal 4 2 3 5 5 4 2" xfId="35751" xr:uid="{7024AED0-20F3-4895-9ED9-007164A5607D}"/>
    <cellStyle name="Normal 4 2 3 5 5 5" xfId="29141" xr:uid="{00000000-0005-0000-0000-00005F190000}"/>
    <cellStyle name="Normal 4 2 3 5 5 5 2" xfId="35752" xr:uid="{CC3D5266-77FE-42F8-9C1A-7C3B8CFCE70D}"/>
    <cellStyle name="Normal 4 2 3 5 5 6" xfId="35746" xr:uid="{02A972A1-0DB9-4C49-A7B1-BC13772AA224}"/>
    <cellStyle name="Normal 4 2 3 5 6" xfId="29142" xr:uid="{00000000-0005-0000-0000-000060190000}"/>
    <cellStyle name="Normal 4 2 3 5 6 2" xfId="29143" xr:uid="{00000000-0005-0000-0000-000061190000}"/>
    <cellStyle name="Normal 4 2 3 5 6 2 2" xfId="35754" xr:uid="{2D13DCA0-33F9-41AD-B4A1-CCB8226D4799}"/>
    <cellStyle name="Normal 4 2 3 5 6 3" xfId="29144" xr:uid="{00000000-0005-0000-0000-000062190000}"/>
    <cellStyle name="Normal 4 2 3 5 6 3 2" xfId="35755" xr:uid="{C5E1DAE9-2390-490D-AD5A-0FACD16CF348}"/>
    <cellStyle name="Normal 4 2 3 5 6 4" xfId="35753" xr:uid="{CBD0CE80-00C6-4BE8-8E92-783F0275900A}"/>
    <cellStyle name="Normal 4 2 3 5 7" xfId="29145" xr:uid="{00000000-0005-0000-0000-000063190000}"/>
    <cellStyle name="Normal 4 2 3 5 7 2" xfId="35756" xr:uid="{0F51586F-3D34-4F99-B132-61D574E10895}"/>
    <cellStyle name="Normal 4 2 3 5 8" xfId="29146" xr:uid="{00000000-0005-0000-0000-000064190000}"/>
    <cellStyle name="Normal 4 2 3 5 8 2" xfId="35757" xr:uid="{9DB0CF3A-502F-4B36-A8F9-BFD8171BCA7C}"/>
    <cellStyle name="Normal 4 2 3 5 9" xfId="29147" xr:uid="{00000000-0005-0000-0000-000065190000}"/>
    <cellStyle name="Normal 4 2 3 5 9 2" xfId="35758" xr:uid="{B983E038-F2DC-426B-95E5-B7C97DB1893E}"/>
    <cellStyle name="Normal 4 2 3 6" xfId="29148" xr:uid="{00000000-0005-0000-0000-000066190000}"/>
    <cellStyle name="Normal 4 2 3 6 2" xfId="29149" xr:uid="{00000000-0005-0000-0000-000067190000}"/>
    <cellStyle name="Normal 4 2 3 6 2 2" xfId="29150" xr:uid="{00000000-0005-0000-0000-000068190000}"/>
    <cellStyle name="Normal 4 2 3 6 2 2 2" xfId="29151" xr:uid="{00000000-0005-0000-0000-000069190000}"/>
    <cellStyle name="Normal 4 2 3 6 2 2 2 2" xfId="29152" xr:uid="{00000000-0005-0000-0000-00006A190000}"/>
    <cellStyle name="Normal 4 2 3 6 2 2 2 2 2" xfId="35763" xr:uid="{96B89A99-0DDE-4EC3-BEF5-5DF40DAEE367}"/>
    <cellStyle name="Normal 4 2 3 6 2 2 2 3" xfId="29153" xr:uid="{00000000-0005-0000-0000-00006B190000}"/>
    <cellStyle name="Normal 4 2 3 6 2 2 2 3 2" xfId="35764" xr:uid="{D4CB9F1C-B3CD-4FDA-AB4C-9A07AF50B288}"/>
    <cellStyle name="Normal 4 2 3 6 2 2 2 4" xfId="35762" xr:uid="{1CB44912-52FD-4E43-B209-BAAF191E93FC}"/>
    <cellStyle name="Normal 4 2 3 6 2 2 3" xfId="29154" xr:uid="{00000000-0005-0000-0000-00006C190000}"/>
    <cellStyle name="Normal 4 2 3 6 2 2 3 2" xfId="35765" xr:uid="{4A292615-D600-4E0D-AFED-A401C54D6B6E}"/>
    <cellStyle name="Normal 4 2 3 6 2 2 4" xfId="29155" xr:uid="{00000000-0005-0000-0000-00006D190000}"/>
    <cellStyle name="Normal 4 2 3 6 2 2 4 2" xfId="35766" xr:uid="{E47E7957-5EC8-4A3F-9AAA-DBF52DF1F30F}"/>
    <cellStyle name="Normal 4 2 3 6 2 2 5" xfId="29156" xr:uid="{00000000-0005-0000-0000-00006E190000}"/>
    <cellStyle name="Normal 4 2 3 6 2 2 5 2" xfId="35767" xr:uid="{4812DB00-1B6C-4857-B7F5-FD056F9A7E90}"/>
    <cellStyle name="Normal 4 2 3 6 2 2 6" xfId="35761" xr:uid="{AF5A4849-152A-4D03-A968-D65604F83E8E}"/>
    <cellStyle name="Normal 4 2 3 6 2 3" xfId="29157" xr:uid="{00000000-0005-0000-0000-00006F190000}"/>
    <cellStyle name="Normal 4 2 3 6 2 3 2" xfId="29158" xr:uid="{00000000-0005-0000-0000-000070190000}"/>
    <cellStyle name="Normal 4 2 3 6 2 3 2 2" xfId="29159" xr:uid="{00000000-0005-0000-0000-000071190000}"/>
    <cellStyle name="Normal 4 2 3 6 2 3 2 2 2" xfId="35770" xr:uid="{1F508398-FE4A-4470-9652-C087208EDF5A}"/>
    <cellStyle name="Normal 4 2 3 6 2 3 2 3" xfId="29160" xr:uid="{00000000-0005-0000-0000-000072190000}"/>
    <cellStyle name="Normal 4 2 3 6 2 3 2 3 2" xfId="35771" xr:uid="{B33EE41B-FB9C-457A-8D4A-B2403779F75A}"/>
    <cellStyle name="Normal 4 2 3 6 2 3 2 4" xfId="35769" xr:uid="{578A0076-D80B-4F64-A951-1C7194CEF046}"/>
    <cellStyle name="Normal 4 2 3 6 2 3 3" xfId="29161" xr:uid="{00000000-0005-0000-0000-000073190000}"/>
    <cellStyle name="Normal 4 2 3 6 2 3 3 2" xfId="35772" xr:uid="{4E4661DD-F162-4069-A404-30C54A639501}"/>
    <cellStyle name="Normal 4 2 3 6 2 3 4" xfId="29162" xr:uid="{00000000-0005-0000-0000-000074190000}"/>
    <cellStyle name="Normal 4 2 3 6 2 3 4 2" xfId="35773" xr:uid="{4EC8D67D-E787-47B4-A145-F055258373D7}"/>
    <cellStyle name="Normal 4 2 3 6 2 3 5" xfId="29163" xr:uid="{00000000-0005-0000-0000-000075190000}"/>
    <cellStyle name="Normal 4 2 3 6 2 3 5 2" xfId="35774" xr:uid="{FD7D1395-0315-4AF7-9452-545ABB9829A4}"/>
    <cellStyle name="Normal 4 2 3 6 2 3 6" xfId="35768" xr:uid="{BD32CED1-E27F-419A-BF03-C50F839DA091}"/>
    <cellStyle name="Normal 4 2 3 6 2 4" xfId="29164" xr:uid="{00000000-0005-0000-0000-000076190000}"/>
    <cellStyle name="Normal 4 2 3 6 2 4 2" xfId="29165" xr:uid="{00000000-0005-0000-0000-000077190000}"/>
    <cellStyle name="Normal 4 2 3 6 2 4 2 2" xfId="35776" xr:uid="{06302003-DB19-4181-8626-209701770A2A}"/>
    <cellStyle name="Normal 4 2 3 6 2 4 3" xfId="29166" xr:uid="{00000000-0005-0000-0000-000078190000}"/>
    <cellStyle name="Normal 4 2 3 6 2 4 3 2" xfId="35777" xr:uid="{96A6DEE8-2AAD-4E99-9E44-71F693B35CD0}"/>
    <cellStyle name="Normal 4 2 3 6 2 4 4" xfId="35775" xr:uid="{0EC09072-4330-4D5F-8F1B-BC4F5DA0B869}"/>
    <cellStyle name="Normal 4 2 3 6 2 5" xfId="29167" xr:uid="{00000000-0005-0000-0000-000079190000}"/>
    <cellStyle name="Normal 4 2 3 6 2 5 2" xfId="35778" xr:uid="{51904CF1-56F2-47B9-9F9B-552F36C827D7}"/>
    <cellStyle name="Normal 4 2 3 6 2 6" xfId="29168" xr:uid="{00000000-0005-0000-0000-00007A190000}"/>
    <cellStyle name="Normal 4 2 3 6 2 6 2" xfId="35779" xr:uid="{8DD8E6EF-89BC-4084-9D43-EA9DE6910B9D}"/>
    <cellStyle name="Normal 4 2 3 6 2 7" xfId="29169" xr:uid="{00000000-0005-0000-0000-00007B190000}"/>
    <cellStyle name="Normal 4 2 3 6 2 7 2" xfId="35780" xr:uid="{86FD478F-44C3-4D3C-94FB-7E816D71FE08}"/>
    <cellStyle name="Normal 4 2 3 6 2 8" xfId="35760" xr:uid="{0F1A8ADA-27A3-43B2-B0F3-E267A01E6E47}"/>
    <cellStyle name="Normal 4 2 3 6 3" xfId="29170" xr:uid="{00000000-0005-0000-0000-00007C190000}"/>
    <cellStyle name="Normal 4 2 3 6 3 2" xfId="29171" xr:uid="{00000000-0005-0000-0000-00007D190000}"/>
    <cellStyle name="Normal 4 2 3 6 3 2 2" xfId="29172" xr:uid="{00000000-0005-0000-0000-00007E190000}"/>
    <cellStyle name="Normal 4 2 3 6 3 2 2 2" xfId="35783" xr:uid="{4EEC9C2E-3B9B-4C4D-8B71-41B4F59F5FE2}"/>
    <cellStyle name="Normal 4 2 3 6 3 2 3" xfId="29173" xr:uid="{00000000-0005-0000-0000-00007F190000}"/>
    <cellStyle name="Normal 4 2 3 6 3 2 3 2" xfId="35784" xr:uid="{1E0D4460-C86F-4057-86A8-FE2EB2D0361B}"/>
    <cellStyle name="Normal 4 2 3 6 3 2 4" xfId="35782" xr:uid="{B966562F-99E2-40D2-A38E-C78766AF3E37}"/>
    <cellStyle name="Normal 4 2 3 6 3 3" xfId="29174" xr:uid="{00000000-0005-0000-0000-000080190000}"/>
    <cellStyle name="Normal 4 2 3 6 3 3 2" xfId="35785" xr:uid="{1EA4CAB9-A2C1-4A65-8BD6-E6A7927D2B34}"/>
    <cellStyle name="Normal 4 2 3 6 3 4" xfId="29175" xr:uid="{00000000-0005-0000-0000-000081190000}"/>
    <cellStyle name="Normal 4 2 3 6 3 4 2" xfId="35786" xr:uid="{5650B0E5-4637-4B60-A0D7-4199A34FEB20}"/>
    <cellStyle name="Normal 4 2 3 6 3 5" xfId="29176" xr:uid="{00000000-0005-0000-0000-000082190000}"/>
    <cellStyle name="Normal 4 2 3 6 3 5 2" xfId="35787" xr:uid="{E872FEF8-D7B3-4005-810A-8D98EA41C714}"/>
    <cellStyle name="Normal 4 2 3 6 3 6" xfId="35781" xr:uid="{DBD55800-C5EF-4A4E-A97F-B4B494231DC9}"/>
    <cellStyle name="Normal 4 2 3 6 4" xfId="29177" xr:uid="{00000000-0005-0000-0000-000083190000}"/>
    <cellStyle name="Normal 4 2 3 6 4 2" xfId="29178" xr:uid="{00000000-0005-0000-0000-000084190000}"/>
    <cellStyle name="Normal 4 2 3 6 4 2 2" xfId="29179" xr:uid="{00000000-0005-0000-0000-000085190000}"/>
    <cellStyle name="Normal 4 2 3 6 4 2 2 2" xfId="35790" xr:uid="{A3110F66-A5A1-4D19-9684-184DFA550195}"/>
    <cellStyle name="Normal 4 2 3 6 4 2 3" xfId="29180" xr:uid="{00000000-0005-0000-0000-000086190000}"/>
    <cellStyle name="Normal 4 2 3 6 4 2 3 2" xfId="35791" xr:uid="{920A4C65-2E19-445C-BAFD-403185D24CC2}"/>
    <cellStyle name="Normal 4 2 3 6 4 2 4" xfId="35789" xr:uid="{EBB40BB8-C3B4-4731-BE00-726D10CA0786}"/>
    <cellStyle name="Normal 4 2 3 6 4 3" xfId="29181" xr:uid="{00000000-0005-0000-0000-000087190000}"/>
    <cellStyle name="Normal 4 2 3 6 4 3 2" xfId="35792" xr:uid="{0FA2FCA1-894C-4C9D-BB86-A3348551A52C}"/>
    <cellStyle name="Normal 4 2 3 6 4 4" xfId="29182" xr:uid="{00000000-0005-0000-0000-000088190000}"/>
    <cellStyle name="Normal 4 2 3 6 4 4 2" xfId="35793" xr:uid="{BA134E2E-16E0-41FA-8BEE-0310134B1310}"/>
    <cellStyle name="Normal 4 2 3 6 4 5" xfId="29183" xr:uid="{00000000-0005-0000-0000-000089190000}"/>
    <cellStyle name="Normal 4 2 3 6 4 5 2" xfId="35794" xr:uid="{942785A7-A884-422B-B87C-A8F26853BDA3}"/>
    <cellStyle name="Normal 4 2 3 6 4 6" xfId="35788" xr:uid="{61A4E3EC-85A8-4B8A-806A-A814FCEDE65E}"/>
    <cellStyle name="Normal 4 2 3 6 5" xfId="29184" xr:uid="{00000000-0005-0000-0000-00008A190000}"/>
    <cellStyle name="Normal 4 2 3 6 5 2" xfId="29185" xr:uid="{00000000-0005-0000-0000-00008B190000}"/>
    <cellStyle name="Normal 4 2 3 6 5 2 2" xfId="35796" xr:uid="{E96FCD1E-583B-418E-B1FF-E600CA39EA67}"/>
    <cellStyle name="Normal 4 2 3 6 5 3" xfId="29186" xr:uid="{00000000-0005-0000-0000-00008C190000}"/>
    <cellStyle name="Normal 4 2 3 6 5 3 2" xfId="35797" xr:uid="{7F2D23FD-9AE7-4AF4-923B-E6525AF28706}"/>
    <cellStyle name="Normal 4 2 3 6 5 4" xfId="35795" xr:uid="{B11B5AEC-7353-4753-BC73-A13B377F5785}"/>
    <cellStyle name="Normal 4 2 3 6 6" xfId="29187" xr:uid="{00000000-0005-0000-0000-00008D190000}"/>
    <cellStyle name="Normal 4 2 3 6 6 2" xfId="35798" xr:uid="{4F2EDD6E-64A7-4B5B-8B37-503241C09B2D}"/>
    <cellStyle name="Normal 4 2 3 6 7" xfId="29188" xr:uid="{00000000-0005-0000-0000-00008E190000}"/>
    <cellStyle name="Normal 4 2 3 6 7 2" xfId="35799" xr:uid="{15E27E84-699C-432C-A832-9FA978E63959}"/>
    <cellStyle name="Normal 4 2 3 6 8" xfId="29189" xr:uid="{00000000-0005-0000-0000-00008F190000}"/>
    <cellStyle name="Normal 4 2 3 6 8 2" xfId="35800" xr:uid="{45B0AB85-4127-425F-9468-E33F98921652}"/>
    <cellStyle name="Normal 4 2 3 6 9" xfId="35759" xr:uid="{EF275254-EA5C-403B-B676-275A0B417648}"/>
    <cellStyle name="Normal 4 2 3 7" xfId="29190" xr:uid="{00000000-0005-0000-0000-000090190000}"/>
    <cellStyle name="Normal 4 2 3 7 2" xfId="29191" xr:uid="{00000000-0005-0000-0000-000091190000}"/>
    <cellStyle name="Normal 4 2 3 7 2 2" xfId="29192" xr:uid="{00000000-0005-0000-0000-000092190000}"/>
    <cellStyle name="Normal 4 2 3 7 2 2 2" xfId="29193" xr:uid="{00000000-0005-0000-0000-000093190000}"/>
    <cellStyle name="Normal 4 2 3 7 2 2 2 2" xfId="35804" xr:uid="{A8A4BDBD-90BF-40DC-BC46-33F6FFC6FC4C}"/>
    <cellStyle name="Normal 4 2 3 7 2 2 3" xfId="29194" xr:uid="{00000000-0005-0000-0000-000094190000}"/>
    <cellStyle name="Normal 4 2 3 7 2 2 3 2" xfId="35805" xr:uid="{EF2EB41F-EA69-41A8-B30E-2CA3034C042B}"/>
    <cellStyle name="Normal 4 2 3 7 2 2 4" xfId="35803" xr:uid="{8607094C-AD2E-4AB6-8E92-F9FF1759F35C}"/>
    <cellStyle name="Normal 4 2 3 7 2 3" xfId="29195" xr:uid="{00000000-0005-0000-0000-000095190000}"/>
    <cellStyle name="Normal 4 2 3 7 2 3 2" xfId="35806" xr:uid="{78703915-8EF2-41F6-A5B8-4C06B6B002AF}"/>
    <cellStyle name="Normal 4 2 3 7 2 4" xfId="29196" xr:uid="{00000000-0005-0000-0000-000096190000}"/>
    <cellStyle name="Normal 4 2 3 7 2 4 2" xfId="35807" xr:uid="{67DBDA5E-CF29-4A9D-8344-B99CDAAADC68}"/>
    <cellStyle name="Normal 4 2 3 7 2 5" xfId="29197" xr:uid="{00000000-0005-0000-0000-000097190000}"/>
    <cellStyle name="Normal 4 2 3 7 2 5 2" xfId="35808" xr:uid="{EA7B4C9C-8C59-48DB-BD56-AAE3A97CBB40}"/>
    <cellStyle name="Normal 4 2 3 7 2 6" xfId="35802" xr:uid="{1B2FD431-10C3-4A7B-8426-65519D862DCB}"/>
    <cellStyle name="Normal 4 2 3 7 3" xfId="29198" xr:uid="{00000000-0005-0000-0000-000098190000}"/>
    <cellStyle name="Normal 4 2 3 7 3 2" xfId="29199" xr:uid="{00000000-0005-0000-0000-000099190000}"/>
    <cellStyle name="Normal 4 2 3 7 3 2 2" xfId="29200" xr:uid="{00000000-0005-0000-0000-00009A190000}"/>
    <cellStyle name="Normal 4 2 3 7 3 2 2 2" xfId="35811" xr:uid="{35192473-DE3B-42AD-8B45-82F1305D307D}"/>
    <cellStyle name="Normal 4 2 3 7 3 2 3" xfId="29201" xr:uid="{00000000-0005-0000-0000-00009B190000}"/>
    <cellStyle name="Normal 4 2 3 7 3 2 3 2" xfId="35812" xr:uid="{1E792D76-8186-49EA-B01B-AD49122824B4}"/>
    <cellStyle name="Normal 4 2 3 7 3 2 4" xfId="35810" xr:uid="{C6CB19A0-CA4C-4337-AD74-B03B6A58E517}"/>
    <cellStyle name="Normal 4 2 3 7 3 3" xfId="29202" xr:uid="{00000000-0005-0000-0000-00009C190000}"/>
    <cellStyle name="Normal 4 2 3 7 3 3 2" xfId="35813" xr:uid="{952D4C7D-AB02-4C55-80CF-CD39A75E7A31}"/>
    <cellStyle name="Normal 4 2 3 7 3 4" xfId="29203" xr:uid="{00000000-0005-0000-0000-00009D190000}"/>
    <cellStyle name="Normal 4 2 3 7 3 4 2" xfId="35814" xr:uid="{E1E960F1-32E6-4874-9922-4A9A4AB1F8D9}"/>
    <cellStyle name="Normal 4 2 3 7 3 5" xfId="29204" xr:uid="{00000000-0005-0000-0000-00009E190000}"/>
    <cellStyle name="Normal 4 2 3 7 3 5 2" xfId="35815" xr:uid="{4AFC0BA3-2B4E-485A-8C06-36953CC35FE1}"/>
    <cellStyle name="Normal 4 2 3 7 3 6" xfId="35809" xr:uid="{C9B34646-F666-456D-A6A7-01415311231C}"/>
    <cellStyle name="Normal 4 2 3 7 4" xfId="29205" xr:uid="{00000000-0005-0000-0000-00009F190000}"/>
    <cellStyle name="Normal 4 2 3 7 4 2" xfId="29206" xr:uid="{00000000-0005-0000-0000-0000A0190000}"/>
    <cellStyle name="Normal 4 2 3 7 4 2 2" xfId="35817" xr:uid="{BA6B5B23-2E8A-4E0A-9F55-7C4361FA5D70}"/>
    <cellStyle name="Normal 4 2 3 7 4 3" xfId="29207" xr:uid="{00000000-0005-0000-0000-0000A1190000}"/>
    <cellStyle name="Normal 4 2 3 7 4 3 2" xfId="35818" xr:uid="{65E4956D-10BF-431A-BC06-D5A03670766C}"/>
    <cellStyle name="Normal 4 2 3 7 4 4" xfId="35816" xr:uid="{7BAA0C7F-0834-4702-8935-C0BC78CD9459}"/>
    <cellStyle name="Normal 4 2 3 7 5" xfId="29208" xr:uid="{00000000-0005-0000-0000-0000A2190000}"/>
    <cellStyle name="Normal 4 2 3 7 5 2" xfId="35819" xr:uid="{797E9B1D-A1AD-4E41-9E19-0A199228B3CF}"/>
    <cellStyle name="Normal 4 2 3 7 6" xfId="29209" xr:uid="{00000000-0005-0000-0000-0000A3190000}"/>
    <cellStyle name="Normal 4 2 3 7 6 2" xfId="35820" xr:uid="{E9D49831-E3E3-44BF-AE60-6D795F878FC4}"/>
    <cellStyle name="Normal 4 2 3 7 7" xfId="29210" xr:uid="{00000000-0005-0000-0000-0000A4190000}"/>
    <cellStyle name="Normal 4 2 3 7 7 2" xfId="35821" xr:uid="{34DE4262-7E7B-4681-AE27-388D16337941}"/>
    <cellStyle name="Normal 4 2 3 7 8" xfId="35801" xr:uid="{C2DFB88D-7715-4942-8091-E3D47A0EA8AD}"/>
    <cellStyle name="Normal 4 2 3 8" xfId="29211" xr:uid="{00000000-0005-0000-0000-0000A5190000}"/>
    <cellStyle name="Normal 4 2 3 8 2" xfId="29212" xr:uid="{00000000-0005-0000-0000-0000A6190000}"/>
    <cellStyle name="Normal 4 2 3 8 2 2" xfId="29213" xr:uid="{00000000-0005-0000-0000-0000A7190000}"/>
    <cellStyle name="Normal 4 2 3 8 2 2 2" xfId="29214" xr:uid="{00000000-0005-0000-0000-0000A8190000}"/>
    <cellStyle name="Normal 4 2 3 8 2 2 2 2" xfId="35825" xr:uid="{85D661AD-78C0-4B32-A0BA-66908F9BBC5F}"/>
    <cellStyle name="Normal 4 2 3 8 2 2 3" xfId="29215" xr:uid="{00000000-0005-0000-0000-0000A9190000}"/>
    <cellStyle name="Normal 4 2 3 8 2 2 3 2" xfId="35826" xr:uid="{E1123DC8-85C6-4F9E-9E90-4716958D3A5F}"/>
    <cellStyle name="Normal 4 2 3 8 2 2 4" xfId="35824" xr:uid="{6C2E8EBE-0929-4152-BCCF-8AF141DF1DFE}"/>
    <cellStyle name="Normal 4 2 3 8 2 3" xfId="29216" xr:uid="{00000000-0005-0000-0000-0000AA190000}"/>
    <cellStyle name="Normal 4 2 3 8 2 3 2" xfId="35827" xr:uid="{1C0CD2AA-D9B1-443A-88E4-A30BEBFED2B1}"/>
    <cellStyle name="Normal 4 2 3 8 2 4" xfId="29217" xr:uid="{00000000-0005-0000-0000-0000AB190000}"/>
    <cellStyle name="Normal 4 2 3 8 2 4 2" xfId="35828" xr:uid="{1F7136D9-8A02-4D81-BA0D-7924713C7D1F}"/>
    <cellStyle name="Normal 4 2 3 8 2 5" xfId="29218" xr:uid="{00000000-0005-0000-0000-0000AC190000}"/>
    <cellStyle name="Normal 4 2 3 8 2 5 2" xfId="35829" xr:uid="{CC925B90-0856-4D48-B940-17DF7E1D32DA}"/>
    <cellStyle name="Normal 4 2 3 8 2 6" xfId="35823" xr:uid="{AA4D1FB5-705B-4BC0-9574-20DF864EE0CB}"/>
    <cellStyle name="Normal 4 2 3 8 3" xfId="29219" xr:uid="{00000000-0005-0000-0000-0000AD190000}"/>
    <cellStyle name="Normal 4 2 3 8 3 2" xfId="29220" xr:uid="{00000000-0005-0000-0000-0000AE190000}"/>
    <cellStyle name="Normal 4 2 3 8 3 2 2" xfId="29221" xr:uid="{00000000-0005-0000-0000-0000AF190000}"/>
    <cellStyle name="Normal 4 2 3 8 3 2 2 2" xfId="35832" xr:uid="{F9656782-0E65-4DA4-94F1-29B39420B5DA}"/>
    <cellStyle name="Normal 4 2 3 8 3 2 3" xfId="29222" xr:uid="{00000000-0005-0000-0000-0000B0190000}"/>
    <cellStyle name="Normal 4 2 3 8 3 2 3 2" xfId="35833" xr:uid="{5CEECE54-F552-4B94-8934-71C54DC3F406}"/>
    <cellStyle name="Normal 4 2 3 8 3 2 4" xfId="35831" xr:uid="{45E5E9D8-3254-4F2F-92EC-C97F3F94128E}"/>
    <cellStyle name="Normal 4 2 3 8 3 3" xfId="29223" xr:uid="{00000000-0005-0000-0000-0000B1190000}"/>
    <cellStyle name="Normal 4 2 3 8 3 3 2" xfId="35834" xr:uid="{3F4A7C3D-3C2F-437F-B161-4030822E2CDB}"/>
    <cellStyle name="Normal 4 2 3 8 3 4" xfId="29224" xr:uid="{00000000-0005-0000-0000-0000B2190000}"/>
    <cellStyle name="Normal 4 2 3 8 3 4 2" xfId="35835" xr:uid="{8263CDCA-19CB-474D-9472-F06EFD442AF6}"/>
    <cellStyle name="Normal 4 2 3 8 3 5" xfId="29225" xr:uid="{00000000-0005-0000-0000-0000B3190000}"/>
    <cellStyle name="Normal 4 2 3 8 3 5 2" xfId="35836" xr:uid="{38B3AB97-26BD-402E-B5F6-5CCF85330872}"/>
    <cellStyle name="Normal 4 2 3 8 3 6" xfId="35830" xr:uid="{4E6D3CC4-A621-4BBA-B1F1-41BEB2426FDC}"/>
    <cellStyle name="Normal 4 2 3 8 4" xfId="29226" xr:uid="{00000000-0005-0000-0000-0000B4190000}"/>
    <cellStyle name="Normal 4 2 3 8 4 2" xfId="29227" xr:uid="{00000000-0005-0000-0000-0000B5190000}"/>
    <cellStyle name="Normal 4 2 3 8 4 2 2" xfId="35838" xr:uid="{62D2BCC7-5274-4224-9390-C6C00BF84A66}"/>
    <cellStyle name="Normal 4 2 3 8 4 3" xfId="29228" xr:uid="{00000000-0005-0000-0000-0000B6190000}"/>
    <cellStyle name="Normal 4 2 3 8 4 3 2" xfId="35839" xr:uid="{AC422BAB-20BD-47E3-BFF2-B57947DE93D2}"/>
    <cellStyle name="Normal 4 2 3 8 4 4" xfId="35837" xr:uid="{D949F811-0F6F-41AE-9BB7-7E3A666F6D10}"/>
    <cellStyle name="Normal 4 2 3 8 5" xfId="29229" xr:uid="{00000000-0005-0000-0000-0000B7190000}"/>
    <cellStyle name="Normal 4 2 3 8 5 2" xfId="35840" xr:uid="{46F4185B-DE16-4597-B309-06792928CC82}"/>
    <cellStyle name="Normal 4 2 3 8 6" xfId="29230" xr:uid="{00000000-0005-0000-0000-0000B8190000}"/>
    <cellStyle name="Normal 4 2 3 8 6 2" xfId="35841" xr:uid="{0EE29B69-9A94-43FD-A5E6-23007605E429}"/>
    <cellStyle name="Normal 4 2 3 8 7" xfId="29231" xr:uid="{00000000-0005-0000-0000-0000B9190000}"/>
    <cellStyle name="Normal 4 2 3 8 7 2" xfId="35842" xr:uid="{332D96D4-E0FC-4556-BA4B-D58C695C635F}"/>
    <cellStyle name="Normal 4 2 3 8 8" xfId="35822" xr:uid="{6B8DCEF7-EEA5-4728-9D4A-BF192644FCDF}"/>
    <cellStyle name="Normal 4 2 3 9" xfId="29232" xr:uid="{00000000-0005-0000-0000-0000BA190000}"/>
    <cellStyle name="Normal 4 2 3 9 2" xfId="29233" xr:uid="{00000000-0005-0000-0000-0000BB190000}"/>
    <cellStyle name="Normal 4 2 3 9 2 2" xfId="29234" xr:uid="{00000000-0005-0000-0000-0000BC190000}"/>
    <cellStyle name="Normal 4 2 3 9 2 2 2" xfId="35845" xr:uid="{D967972C-6A55-4C79-A4A3-5FC8D7DF8BD6}"/>
    <cellStyle name="Normal 4 2 3 9 2 3" xfId="29235" xr:uid="{00000000-0005-0000-0000-0000BD190000}"/>
    <cellStyle name="Normal 4 2 3 9 2 3 2" xfId="35846" xr:uid="{D3F7A019-FEE1-4D04-BBB6-02FFCBADA2F1}"/>
    <cellStyle name="Normal 4 2 3 9 2 4" xfId="35844" xr:uid="{114CEB66-A8A9-4E24-9DE4-0628C432E90F}"/>
    <cellStyle name="Normal 4 2 3 9 3" xfId="29236" xr:uid="{00000000-0005-0000-0000-0000BE190000}"/>
    <cellStyle name="Normal 4 2 3 9 3 2" xfId="35847" xr:uid="{6DB82AD7-EEB2-4A5A-973F-E6E5A06B7306}"/>
    <cellStyle name="Normal 4 2 3 9 4" xfId="29237" xr:uid="{00000000-0005-0000-0000-0000BF190000}"/>
    <cellStyle name="Normal 4 2 3 9 4 2" xfId="35848" xr:uid="{D12DAC22-BF11-486F-88FE-3E2B89A36E85}"/>
    <cellStyle name="Normal 4 2 3 9 5" xfId="29238" xr:uid="{00000000-0005-0000-0000-0000C0190000}"/>
    <cellStyle name="Normal 4 2 3 9 5 2" xfId="35849" xr:uid="{3FDAD450-CE8A-4DAC-87A4-9A043710EE60}"/>
    <cellStyle name="Normal 4 2 3 9 6" xfId="35843" xr:uid="{04DC0E00-0EEF-40FD-AF7A-0BCBDD3B6744}"/>
    <cellStyle name="Normal 4 2 4" xfId="14657" xr:uid="{00000000-0005-0000-0000-0000C1190000}"/>
    <cellStyle name="Normal 4 2 4 10" xfId="29240" xr:uid="{00000000-0005-0000-0000-0000C2190000}"/>
    <cellStyle name="Normal 4 2 4 10 2" xfId="35851" xr:uid="{2B90D53C-D248-4012-9720-A8ABACC79769}"/>
    <cellStyle name="Normal 4 2 4 11" xfId="29241" xr:uid="{00000000-0005-0000-0000-0000C3190000}"/>
    <cellStyle name="Normal 4 2 4 11 2" xfId="35852" xr:uid="{8B85EE64-E022-4852-B9CD-31308CB6B5D3}"/>
    <cellStyle name="Normal 4 2 4 12" xfId="29242" xr:uid="{00000000-0005-0000-0000-0000C4190000}"/>
    <cellStyle name="Normal 4 2 4 12 2" xfId="35853" xr:uid="{EB454414-BDB6-482B-B6BA-374C954A673D}"/>
    <cellStyle name="Normal 4 2 4 13" xfId="29239" xr:uid="{00000000-0005-0000-0000-0000C5190000}"/>
    <cellStyle name="Normal 4 2 4 14" xfId="35850" xr:uid="{73D9758B-29E9-4B54-9518-C7AAD4D74DF4}"/>
    <cellStyle name="Normal 4 2 4 2" xfId="29243" xr:uid="{00000000-0005-0000-0000-0000C6190000}"/>
    <cellStyle name="Normal 4 2 4 2 10" xfId="35854" xr:uid="{105670F8-B64B-4738-B3A1-E268B2D46903}"/>
    <cellStyle name="Normal 4 2 4 2 2" xfId="29244" xr:uid="{00000000-0005-0000-0000-0000C7190000}"/>
    <cellStyle name="Normal 4 2 4 2 2 2" xfId="29245" xr:uid="{00000000-0005-0000-0000-0000C8190000}"/>
    <cellStyle name="Normal 4 2 4 2 2 2 2" xfId="29246" xr:uid="{00000000-0005-0000-0000-0000C9190000}"/>
    <cellStyle name="Normal 4 2 4 2 2 2 2 2" xfId="29247" xr:uid="{00000000-0005-0000-0000-0000CA190000}"/>
    <cellStyle name="Normal 4 2 4 2 2 2 2 2 2" xfId="29248" xr:uid="{00000000-0005-0000-0000-0000CB190000}"/>
    <cellStyle name="Normal 4 2 4 2 2 2 2 2 2 2" xfId="35859" xr:uid="{B6A9AEE9-B617-49CF-B2EB-DE8F10EBA19A}"/>
    <cellStyle name="Normal 4 2 4 2 2 2 2 2 3" xfId="29249" xr:uid="{00000000-0005-0000-0000-0000CC190000}"/>
    <cellStyle name="Normal 4 2 4 2 2 2 2 2 3 2" xfId="35860" xr:uid="{2B356BB9-F3F5-4D49-8677-31D5D647EC80}"/>
    <cellStyle name="Normal 4 2 4 2 2 2 2 2 4" xfId="35858" xr:uid="{22F35EAE-1224-4FF0-8A27-01527BD4BCC3}"/>
    <cellStyle name="Normal 4 2 4 2 2 2 2 3" xfId="29250" xr:uid="{00000000-0005-0000-0000-0000CD190000}"/>
    <cellStyle name="Normal 4 2 4 2 2 2 2 3 2" xfId="35861" xr:uid="{3178C652-AF49-478B-A12A-F612DF8845F8}"/>
    <cellStyle name="Normal 4 2 4 2 2 2 2 4" xfId="29251" xr:uid="{00000000-0005-0000-0000-0000CE190000}"/>
    <cellStyle name="Normal 4 2 4 2 2 2 2 4 2" xfId="35862" xr:uid="{C8630F46-6212-4F9D-959D-28D581FFF691}"/>
    <cellStyle name="Normal 4 2 4 2 2 2 2 5" xfId="29252" xr:uid="{00000000-0005-0000-0000-0000CF190000}"/>
    <cellStyle name="Normal 4 2 4 2 2 2 2 5 2" xfId="35863" xr:uid="{86432B22-C54A-4681-961E-A1562292A4EA}"/>
    <cellStyle name="Normal 4 2 4 2 2 2 2 6" xfId="35857" xr:uid="{B4C09C24-05C7-4E19-8F28-A6774D2DFD82}"/>
    <cellStyle name="Normal 4 2 4 2 2 2 3" xfId="29253" xr:uid="{00000000-0005-0000-0000-0000D0190000}"/>
    <cellStyle name="Normal 4 2 4 2 2 2 3 2" xfId="29254" xr:uid="{00000000-0005-0000-0000-0000D1190000}"/>
    <cellStyle name="Normal 4 2 4 2 2 2 3 2 2" xfId="29255" xr:uid="{00000000-0005-0000-0000-0000D2190000}"/>
    <cellStyle name="Normal 4 2 4 2 2 2 3 2 2 2" xfId="35866" xr:uid="{1E5FD5D3-1B48-4C0B-B3CF-21AED356D4B3}"/>
    <cellStyle name="Normal 4 2 4 2 2 2 3 2 3" xfId="29256" xr:uid="{00000000-0005-0000-0000-0000D3190000}"/>
    <cellStyle name="Normal 4 2 4 2 2 2 3 2 3 2" xfId="35867" xr:uid="{3566B2F2-2BBA-429B-AFAF-D91E529B6CC9}"/>
    <cellStyle name="Normal 4 2 4 2 2 2 3 2 4" xfId="35865" xr:uid="{5EF9ACE5-D331-4902-87F4-D0D37B9B562A}"/>
    <cellStyle name="Normal 4 2 4 2 2 2 3 3" xfId="29257" xr:uid="{00000000-0005-0000-0000-0000D4190000}"/>
    <cellStyle name="Normal 4 2 4 2 2 2 3 3 2" xfId="35868" xr:uid="{21C0CEED-DBB7-4D66-82AB-379D3FC1CA02}"/>
    <cellStyle name="Normal 4 2 4 2 2 2 3 4" xfId="29258" xr:uid="{00000000-0005-0000-0000-0000D5190000}"/>
    <cellStyle name="Normal 4 2 4 2 2 2 3 4 2" xfId="35869" xr:uid="{45FDD8E6-1B80-4333-909F-1755503874CF}"/>
    <cellStyle name="Normal 4 2 4 2 2 2 3 5" xfId="29259" xr:uid="{00000000-0005-0000-0000-0000D6190000}"/>
    <cellStyle name="Normal 4 2 4 2 2 2 3 5 2" xfId="35870" xr:uid="{4CE4253E-8A98-4413-B518-380321DD9E17}"/>
    <cellStyle name="Normal 4 2 4 2 2 2 3 6" xfId="35864" xr:uid="{DCA56FB3-4F99-45F7-B18E-F0E2FDC0701A}"/>
    <cellStyle name="Normal 4 2 4 2 2 2 4" xfId="29260" xr:uid="{00000000-0005-0000-0000-0000D7190000}"/>
    <cellStyle name="Normal 4 2 4 2 2 2 4 2" xfId="29261" xr:uid="{00000000-0005-0000-0000-0000D8190000}"/>
    <cellStyle name="Normal 4 2 4 2 2 2 4 2 2" xfId="35872" xr:uid="{2B5C7C83-02A5-489B-B055-721C755E7DDD}"/>
    <cellStyle name="Normal 4 2 4 2 2 2 4 3" xfId="29262" xr:uid="{00000000-0005-0000-0000-0000D9190000}"/>
    <cellStyle name="Normal 4 2 4 2 2 2 4 3 2" xfId="35873" xr:uid="{8F871133-FBAA-42F4-824C-B0D3AE1344BE}"/>
    <cellStyle name="Normal 4 2 4 2 2 2 4 4" xfId="35871" xr:uid="{675565E0-41DF-440C-A538-34DA20AF90CA}"/>
    <cellStyle name="Normal 4 2 4 2 2 2 5" xfId="29263" xr:uid="{00000000-0005-0000-0000-0000DA190000}"/>
    <cellStyle name="Normal 4 2 4 2 2 2 5 2" xfId="35874" xr:uid="{EDE81BDF-6871-4902-9327-62BA409F41D7}"/>
    <cellStyle name="Normal 4 2 4 2 2 2 6" xfId="29264" xr:uid="{00000000-0005-0000-0000-0000DB190000}"/>
    <cellStyle name="Normal 4 2 4 2 2 2 6 2" xfId="35875" xr:uid="{5C3A0404-CE96-4F56-B242-D91762F74EA9}"/>
    <cellStyle name="Normal 4 2 4 2 2 2 7" xfId="29265" xr:uid="{00000000-0005-0000-0000-0000DC190000}"/>
    <cellStyle name="Normal 4 2 4 2 2 2 7 2" xfId="35876" xr:uid="{51C685C8-7CE4-4C72-974D-DE9CDA6C93D4}"/>
    <cellStyle name="Normal 4 2 4 2 2 2 8" xfId="35856" xr:uid="{3705A3B2-232E-4F67-A934-C691B0803755}"/>
    <cellStyle name="Normal 4 2 4 2 2 3" xfId="29266" xr:uid="{00000000-0005-0000-0000-0000DD190000}"/>
    <cellStyle name="Normal 4 2 4 2 2 3 2" xfId="29267" xr:uid="{00000000-0005-0000-0000-0000DE190000}"/>
    <cellStyle name="Normal 4 2 4 2 2 3 2 2" xfId="29268" xr:uid="{00000000-0005-0000-0000-0000DF190000}"/>
    <cellStyle name="Normal 4 2 4 2 2 3 2 2 2" xfId="35879" xr:uid="{C9925707-996C-4540-AC86-028830FB7E4C}"/>
    <cellStyle name="Normal 4 2 4 2 2 3 2 3" xfId="29269" xr:uid="{00000000-0005-0000-0000-0000E0190000}"/>
    <cellStyle name="Normal 4 2 4 2 2 3 2 3 2" xfId="35880" xr:uid="{2CE9F687-CFC3-4480-97A3-7837400B9C9E}"/>
    <cellStyle name="Normal 4 2 4 2 2 3 2 4" xfId="35878" xr:uid="{8C1CE061-0BD0-4BBF-B65B-6A7BF6C860E8}"/>
    <cellStyle name="Normal 4 2 4 2 2 3 3" xfId="29270" xr:uid="{00000000-0005-0000-0000-0000E1190000}"/>
    <cellStyle name="Normal 4 2 4 2 2 3 3 2" xfId="35881" xr:uid="{E143C10E-B7AA-4891-8143-23A320809CC6}"/>
    <cellStyle name="Normal 4 2 4 2 2 3 4" xfId="29271" xr:uid="{00000000-0005-0000-0000-0000E2190000}"/>
    <cellStyle name="Normal 4 2 4 2 2 3 4 2" xfId="35882" xr:uid="{3F29E710-00BC-4C4F-8EE8-09158622C72B}"/>
    <cellStyle name="Normal 4 2 4 2 2 3 5" xfId="29272" xr:uid="{00000000-0005-0000-0000-0000E3190000}"/>
    <cellStyle name="Normal 4 2 4 2 2 3 5 2" xfId="35883" xr:uid="{1CAE96F0-A930-4932-81C1-EF3BA01BEA0D}"/>
    <cellStyle name="Normal 4 2 4 2 2 3 6" xfId="35877" xr:uid="{6F038E3F-E72A-46C8-8C35-D3FFEEE4AD86}"/>
    <cellStyle name="Normal 4 2 4 2 2 4" xfId="29273" xr:uid="{00000000-0005-0000-0000-0000E4190000}"/>
    <cellStyle name="Normal 4 2 4 2 2 4 2" xfId="29274" xr:uid="{00000000-0005-0000-0000-0000E5190000}"/>
    <cellStyle name="Normal 4 2 4 2 2 4 2 2" xfId="29275" xr:uid="{00000000-0005-0000-0000-0000E6190000}"/>
    <cellStyle name="Normal 4 2 4 2 2 4 2 2 2" xfId="35886" xr:uid="{45E18747-0137-4885-9E4C-2B37D7DB6BF3}"/>
    <cellStyle name="Normal 4 2 4 2 2 4 2 3" xfId="29276" xr:uid="{00000000-0005-0000-0000-0000E7190000}"/>
    <cellStyle name="Normal 4 2 4 2 2 4 2 3 2" xfId="35887" xr:uid="{67EE9A6E-E64C-4080-9630-FC6475D99BA0}"/>
    <cellStyle name="Normal 4 2 4 2 2 4 2 4" xfId="35885" xr:uid="{66B7DE39-2363-40DC-80AA-D9109D4389A8}"/>
    <cellStyle name="Normal 4 2 4 2 2 4 3" xfId="29277" xr:uid="{00000000-0005-0000-0000-0000E8190000}"/>
    <cellStyle name="Normal 4 2 4 2 2 4 3 2" xfId="35888" xr:uid="{2538B7BC-3EFB-4BE1-A5F6-8EB6B8E44271}"/>
    <cellStyle name="Normal 4 2 4 2 2 4 4" xfId="29278" xr:uid="{00000000-0005-0000-0000-0000E9190000}"/>
    <cellStyle name="Normal 4 2 4 2 2 4 4 2" xfId="35889" xr:uid="{977FBA44-EE89-4A67-9574-C93C25594AC9}"/>
    <cellStyle name="Normal 4 2 4 2 2 4 5" xfId="29279" xr:uid="{00000000-0005-0000-0000-0000EA190000}"/>
    <cellStyle name="Normal 4 2 4 2 2 4 5 2" xfId="35890" xr:uid="{00F3565D-5E0C-4DB6-BDDB-815EDCD741F1}"/>
    <cellStyle name="Normal 4 2 4 2 2 4 6" xfId="35884" xr:uid="{29E6E589-53E3-4C13-9FF8-A394A131D78E}"/>
    <cellStyle name="Normal 4 2 4 2 2 5" xfId="29280" xr:uid="{00000000-0005-0000-0000-0000EB190000}"/>
    <cellStyle name="Normal 4 2 4 2 2 5 2" xfId="29281" xr:uid="{00000000-0005-0000-0000-0000EC190000}"/>
    <cellStyle name="Normal 4 2 4 2 2 5 2 2" xfId="35892" xr:uid="{3B158668-EF56-48FA-BDB8-B442D58DCE0E}"/>
    <cellStyle name="Normal 4 2 4 2 2 5 3" xfId="29282" xr:uid="{00000000-0005-0000-0000-0000ED190000}"/>
    <cellStyle name="Normal 4 2 4 2 2 5 3 2" xfId="35893" xr:uid="{8222F7F0-B6B8-435A-9F83-DB277E07E18B}"/>
    <cellStyle name="Normal 4 2 4 2 2 5 4" xfId="35891" xr:uid="{7FFAC413-5573-49F4-AC9A-03A591F45A8F}"/>
    <cellStyle name="Normal 4 2 4 2 2 6" xfId="29283" xr:uid="{00000000-0005-0000-0000-0000EE190000}"/>
    <cellStyle name="Normal 4 2 4 2 2 6 2" xfId="35894" xr:uid="{5865A3B5-50D8-465B-BEBF-F5AC591593EC}"/>
    <cellStyle name="Normal 4 2 4 2 2 7" xfId="29284" xr:uid="{00000000-0005-0000-0000-0000EF190000}"/>
    <cellStyle name="Normal 4 2 4 2 2 7 2" xfId="35895" xr:uid="{0F756512-89C5-4864-902A-4E84547CD05A}"/>
    <cellStyle name="Normal 4 2 4 2 2 8" xfId="29285" xr:uid="{00000000-0005-0000-0000-0000F0190000}"/>
    <cellStyle name="Normal 4 2 4 2 2 8 2" xfId="35896" xr:uid="{D976A8F2-41AA-4F87-AFE6-55E2DAFB7DFC}"/>
    <cellStyle name="Normal 4 2 4 2 2 9" xfId="35855" xr:uid="{1351C665-35E3-49C6-9EBA-7FF2E7BA418C}"/>
    <cellStyle name="Normal 4 2 4 2 3" xfId="29286" xr:uid="{00000000-0005-0000-0000-0000F1190000}"/>
    <cellStyle name="Normal 4 2 4 2 3 2" xfId="29287" xr:uid="{00000000-0005-0000-0000-0000F2190000}"/>
    <cellStyle name="Normal 4 2 4 2 3 2 2" xfId="29288" xr:uid="{00000000-0005-0000-0000-0000F3190000}"/>
    <cellStyle name="Normal 4 2 4 2 3 2 2 2" xfId="29289" xr:uid="{00000000-0005-0000-0000-0000F4190000}"/>
    <cellStyle name="Normal 4 2 4 2 3 2 2 2 2" xfId="35900" xr:uid="{C42B536E-84E8-40F5-9711-28CFC8160CD4}"/>
    <cellStyle name="Normal 4 2 4 2 3 2 2 3" xfId="29290" xr:uid="{00000000-0005-0000-0000-0000F5190000}"/>
    <cellStyle name="Normal 4 2 4 2 3 2 2 3 2" xfId="35901" xr:uid="{56C89D17-2EFF-4CEA-A271-1E9E518BC1B0}"/>
    <cellStyle name="Normal 4 2 4 2 3 2 2 4" xfId="35899" xr:uid="{03FC5B8A-7258-4318-9CC1-8C8F46578A13}"/>
    <cellStyle name="Normal 4 2 4 2 3 2 3" xfId="29291" xr:uid="{00000000-0005-0000-0000-0000F6190000}"/>
    <cellStyle name="Normal 4 2 4 2 3 2 3 2" xfId="35902" xr:uid="{635B2ECC-14C6-4CF0-B55B-6921DE627C4D}"/>
    <cellStyle name="Normal 4 2 4 2 3 2 4" xfId="29292" xr:uid="{00000000-0005-0000-0000-0000F7190000}"/>
    <cellStyle name="Normal 4 2 4 2 3 2 4 2" xfId="35903" xr:uid="{09D2204D-DEF9-4086-BD09-FB0CD91AF8B2}"/>
    <cellStyle name="Normal 4 2 4 2 3 2 5" xfId="29293" xr:uid="{00000000-0005-0000-0000-0000F8190000}"/>
    <cellStyle name="Normal 4 2 4 2 3 2 5 2" xfId="35904" xr:uid="{B1445259-7B50-4F1C-BB4A-58F93A42ED7F}"/>
    <cellStyle name="Normal 4 2 4 2 3 2 6" xfId="35898" xr:uid="{2D0A137A-8134-4F91-AB92-5796E509FE78}"/>
    <cellStyle name="Normal 4 2 4 2 3 3" xfId="29294" xr:uid="{00000000-0005-0000-0000-0000F9190000}"/>
    <cellStyle name="Normal 4 2 4 2 3 3 2" xfId="29295" xr:uid="{00000000-0005-0000-0000-0000FA190000}"/>
    <cellStyle name="Normal 4 2 4 2 3 3 2 2" xfId="29296" xr:uid="{00000000-0005-0000-0000-0000FB190000}"/>
    <cellStyle name="Normal 4 2 4 2 3 3 2 2 2" xfId="35907" xr:uid="{BC2114A5-5C30-4223-AD63-6A586FB3F3AF}"/>
    <cellStyle name="Normal 4 2 4 2 3 3 2 3" xfId="29297" xr:uid="{00000000-0005-0000-0000-0000FC190000}"/>
    <cellStyle name="Normal 4 2 4 2 3 3 2 3 2" xfId="35908" xr:uid="{69D658F0-F51C-4AB4-ABC3-E71F2176A1EC}"/>
    <cellStyle name="Normal 4 2 4 2 3 3 2 4" xfId="35906" xr:uid="{3D5F3D38-9252-4F9B-96D3-3D1C51CBE834}"/>
    <cellStyle name="Normal 4 2 4 2 3 3 3" xfId="29298" xr:uid="{00000000-0005-0000-0000-0000FD190000}"/>
    <cellStyle name="Normal 4 2 4 2 3 3 3 2" xfId="35909" xr:uid="{5F08F4BD-11D0-4BE3-9749-E8B98B9A03AD}"/>
    <cellStyle name="Normal 4 2 4 2 3 3 4" xfId="29299" xr:uid="{00000000-0005-0000-0000-0000FE190000}"/>
    <cellStyle name="Normal 4 2 4 2 3 3 4 2" xfId="35910" xr:uid="{B9F30DC1-14F8-467F-A0CC-DB8A6FB71D60}"/>
    <cellStyle name="Normal 4 2 4 2 3 3 5" xfId="29300" xr:uid="{00000000-0005-0000-0000-0000FF190000}"/>
    <cellStyle name="Normal 4 2 4 2 3 3 5 2" xfId="35911" xr:uid="{C1E37A76-F6B5-4522-87C4-6A4C1EC58D94}"/>
    <cellStyle name="Normal 4 2 4 2 3 3 6" xfId="35905" xr:uid="{DCFB8838-2793-4106-B92B-90F05E831B6C}"/>
    <cellStyle name="Normal 4 2 4 2 3 4" xfId="29301" xr:uid="{00000000-0005-0000-0000-0000001A0000}"/>
    <cellStyle name="Normal 4 2 4 2 3 4 2" xfId="29302" xr:uid="{00000000-0005-0000-0000-0000011A0000}"/>
    <cellStyle name="Normal 4 2 4 2 3 4 2 2" xfId="35913" xr:uid="{4723BED4-43B3-41C6-8D1A-7C073C408419}"/>
    <cellStyle name="Normal 4 2 4 2 3 4 3" xfId="29303" xr:uid="{00000000-0005-0000-0000-0000021A0000}"/>
    <cellStyle name="Normal 4 2 4 2 3 4 3 2" xfId="35914" xr:uid="{446CDEE0-0D2C-4CCA-B328-A23FB8863246}"/>
    <cellStyle name="Normal 4 2 4 2 3 4 4" xfId="35912" xr:uid="{AE6739D8-7B94-4D97-A06F-E846404B482B}"/>
    <cellStyle name="Normal 4 2 4 2 3 5" xfId="29304" xr:uid="{00000000-0005-0000-0000-0000031A0000}"/>
    <cellStyle name="Normal 4 2 4 2 3 5 2" xfId="35915" xr:uid="{39B8F2AA-9EBA-4919-A3D6-1DFF4791C5E7}"/>
    <cellStyle name="Normal 4 2 4 2 3 6" xfId="29305" xr:uid="{00000000-0005-0000-0000-0000041A0000}"/>
    <cellStyle name="Normal 4 2 4 2 3 6 2" xfId="35916" xr:uid="{A838ECA7-06D5-4D8B-A08D-7E4FA292E9D4}"/>
    <cellStyle name="Normal 4 2 4 2 3 7" xfId="29306" xr:uid="{00000000-0005-0000-0000-0000051A0000}"/>
    <cellStyle name="Normal 4 2 4 2 3 7 2" xfId="35917" xr:uid="{CE0BA5BE-01BB-4C1F-9443-07F8EA233B5B}"/>
    <cellStyle name="Normal 4 2 4 2 3 8" xfId="35897" xr:uid="{109B128E-6F55-4B52-ACC7-C4D785048CCB}"/>
    <cellStyle name="Normal 4 2 4 2 4" xfId="29307" xr:uid="{00000000-0005-0000-0000-0000061A0000}"/>
    <cellStyle name="Normal 4 2 4 2 4 2" xfId="29308" xr:uid="{00000000-0005-0000-0000-0000071A0000}"/>
    <cellStyle name="Normal 4 2 4 2 4 2 2" xfId="29309" xr:uid="{00000000-0005-0000-0000-0000081A0000}"/>
    <cellStyle name="Normal 4 2 4 2 4 2 2 2" xfId="35920" xr:uid="{02AA3761-7209-49DA-A58D-B3095BC6EA26}"/>
    <cellStyle name="Normal 4 2 4 2 4 2 3" xfId="29310" xr:uid="{00000000-0005-0000-0000-0000091A0000}"/>
    <cellStyle name="Normal 4 2 4 2 4 2 3 2" xfId="35921" xr:uid="{B96FF22A-608A-484A-85A7-6098E1179D72}"/>
    <cellStyle name="Normal 4 2 4 2 4 2 4" xfId="35919" xr:uid="{0C451DBE-C670-4D59-BB65-8F82DB98FD53}"/>
    <cellStyle name="Normal 4 2 4 2 4 3" xfId="29311" xr:uid="{00000000-0005-0000-0000-00000A1A0000}"/>
    <cellStyle name="Normal 4 2 4 2 4 3 2" xfId="35922" xr:uid="{51979E1A-77F3-45B8-A397-6C9E2984DE7F}"/>
    <cellStyle name="Normal 4 2 4 2 4 4" xfId="29312" xr:uid="{00000000-0005-0000-0000-00000B1A0000}"/>
    <cellStyle name="Normal 4 2 4 2 4 4 2" xfId="35923" xr:uid="{F86D4D92-32E8-43E6-9AF4-F9DBF3340184}"/>
    <cellStyle name="Normal 4 2 4 2 4 5" xfId="29313" xr:uid="{00000000-0005-0000-0000-00000C1A0000}"/>
    <cellStyle name="Normal 4 2 4 2 4 5 2" xfId="35924" xr:uid="{73A3A0DF-6C3D-4371-9572-EAE919F0EFBB}"/>
    <cellStyle name="Normal 4 2 4 2 4 6" xfId="35918" xr:uid="{64B88EDD-6915-4434-9558-8B30A44EDF45}"/>
    <cellStyle name="Normal 4 2 4 2 5" xfId="29314" xr:uid="{00000000-0005-0000-0000-00000D1A0000}"/>
    <cellStyle name="Normal 4 2 4 2 5 2" xfId="29315" xr:uid="{00000000-0005-0000-0000-00000E1A0000}"/>
    <cellStyle name="Normal 4 2 4 2 5 2 2" xfId="29316" xr:uid="{00000000-0005-0000-0000-00000F1A0000}"/>
    <cellStyle name="Normal 4 2 4 2 5 2 2 2" xfId="35927" xr:uid="{0AB930BC-EE8B-4F40-BCD4-93CD990265D9}"/>
    <cellStyle name="Normal 4 2 4 2 5 2 3" xfId="29317" xr:uid="{00000000-0005-0000-0000-0000101A0000}"/>
    <cellStyle name="Normal 4 2 4 2 5 2 3 2" xfId="35928" xr:uid="{275E3D6D-EBE6-4D0D-B3D1-34CDE419AA82}"/>
    <cellStyle name="Normal 4 2 4 2 5 2 4" xfId="35926" xr:uid="{ABBB4D97-5204-4F5A-AFD7-70153F71089A}"/>
    <cellStyle name="Normal 4 2 4 2 5 3" xfId="29318" xr:uid="{00000000-0005-0000-0000-0000111A0000}"/>
    <cellStyle name="Normal 4 2 4 2 5 3 2" xfId="35929" xr:uid="{84E3D935-CB66-490A-874D-F5E3A77ABA0C}"/>
    <cellStyle name="Normal 4 2 4 2 5 4" xfId="29319" xr:uid="{00000000-0005-0000-0000-0000121A0000}"/>
    <cellStyle name="Normal 4 2 4 2 5 4 2" xfId="35930" xr:uid="{31F63856-03D1-42A3-844E-A04BDCC1BE0E}"/>
    <cellStyle name="Normal 4 2 4 2 5 5" xfId="29320" xr:uid="{00000000-0005-0000-0000-0000131A0000}"/>
    <cellStyle name="Normal 4 2 4 2 5 5 2" xfId="35931" xr:uid="{11F7B84F-4C8B-4D6B-8FFB-44D7AC9D4992}"/>
    <cellStyle name="Normal 4 2 4 2 5 6" xfId="35925" xr:uid="{3FA86157-774D-47D1-8A05-5148C2677A5B}"/>
    <cellStyle name="Normal 4 2 4 2 6" xfId="29321" xr:uid="{00000000-0005-0000-0000-0000141A0000}"/>
    <cellStyle name="Normal 4 2 4 2 6 2" xfId="29322" xr:uid="{00000000-0005-0000-0000-0000151A0000}"/>
    <cellStyle name="Normal 4 2 4 2 6 2 2" xfId="35933" xr:uid="{8F69DE65-D0C6-400C-8394-6A09FD946E58}"/>
    <cellStyle name="Normal 4 2 4 2 6 3" xfId="29323" xr:uid="{00000000-0005-0000-0000-0000161A0000}"/>
    <cellStyle name="Normal 4 2 4 2 6 3 2" xfId="35934" xr:uid="{B7DED454-FE92-46AF-B6F8-47EB12FD0AC3}"/>
    <cellStyle name="Normal 4 2 4 2 6 4" xfId="35932" xr:uid="{7C2F802D-665C-47A0-AF19-2080908FAD26}"/>
    <cellStyle name="Normal 4 2 4 2 7" xfId="29324" xr:uid="{00000000-0005-0000-0000-0000171A0000}"/>
    <cellStyle name="Normal 4 2 4 2 7 2" xfId="35935" xr:uid="{F65FDDB9-E13B-426D-8B30-805CE4B7E41D}"/>
    <cellStyle name="Normal 4 2 4 2 8" xfId="29325" xr:uid="{00000000-0005-0000-0000-0000181A0000}"/>
    <cellStyle name="Normal 4 2 4 2 8 2" xfId="35936" xr:uid="{F0AAD394-F6A1-4638-9C40-84E8ECC33DFA}"/>
    <cellStyle name="Normal 4 2 4 2 9" xfId="29326" xr:uid="{00000000-0005-0000-0000-0000191A0000}"/>
    <cellStyle name="Normal 4 2 4 2 9 2" xfId="35937" xr:uid="{9365B13A-BFE6-479E-97DF-31DA2D3B6D66}"/>
    <cellStyle name="Normal 4 2 4 3" xfId="29327" xr:uid="{00000000-0005-0000-0000-00001A1A0000}"/>
    <cellStyle name="Normal 4 2 4 3 10" xfId="35938" xr:uid="{DF6C57DB-6CF5-4409-A92B-77740FE03F42}"/>
    <cellStyle name="Normal 4 2 4 3 2" xfId="29328" xr:uid="{00000000-0005-0000-0000-00001B1A0000}"/>
    <cellStyle name="Normal 4 2 4 3 2 2" xfId="29329" xr:uid="{00000000-0005-0000-0000-00001C1A0000}"/>
    <cellStyle name="Normal 4 2 4 3 2 2 2" xfId="29330" xr:uid="{00000000-0005-0000-0000-00001D1A0000}"/>
    <cellStyle name="Normal 4 2 4 3 2 2 2 2" xfId="29331" xr:uid="{00000000-0005-0000-0000-00001E1A0000}"/>
    <cellStyle name="Normal 4 2 4 3 2 2 2 2 2" xfId="29332" xr:uid="{00000000-0005-0000-0000-00001F1A0000}"/>
    <cellStyle name="Normal 4 2 4 3 2 2 2 2 2 2" xfId="35943" xr:uid="{45FAA368-0614-4254-949B-C6FFA285B421}"/>
    <cellStyle name="Normal 4 2 4 3 2 2 2 2 3" xfId="29333" xr:uid="{00000000-0005-0000-0000-0000201A0000}"/>
    <cellStyle name="Normal 4 2 4 3 2 2 2 2 3 2" xfId="35944" xr:uid="{8423CFB2-35B3-4846-93D4-BA784DC947AC}"/>
    <cellStyle name="Normal 4 2 4 3 2 2 2 2 4" xfId="35942" xr:uid="{BE61B0E1-7969-4505-A48D-5A871980A1E2}"/>
    <cellStyle name="Normal 4 2 4 3 2 2 2 3" xfId="29334" xr:uid="{00000000-0005-0000-0000-0000211A0000}"/>
    <cellStyle name="Normal 4 2 4 3 2 2 2 3 2" xfId="35945" xr:uid="{B044919A-918D-4D5C-877C-D5A7237A3FA6}"/>
    <cellStyle name="Normal 4 2 4 3 2 2 2 4" xfId="29335" xr:uid="{00000000-0005-0000-0000-0000221A0000}"/>
    <cellStyle name="Normal 4 2 4 3 2 2 2 4 2" xfId="35946" xr:uid="{C5B6C9BC-D00B-431E-B459-009ECC8BF7E4}"/>
    <cellStyle name="Normal 4 2 4 3 2 2 2 5" xfId="29336" xr:uid="{00000000-0005-0000-0000-0000231A0000}"/>
    <cellStyle name="Normal 4 2 4 3 2 2 2 5 2" xfId="35947" xr:uid="{664EDD0F-CE39-4E69-AA9C-F4C733186A30}"/>
    <cellStyle name="Normal 4 2 4 3 2 2 2 6" xfId="35941" xr:uid="{E7282F2C-C9DF-45DD-93B7-A4465C42E2CF}"/>
    <cellStyle name="Normal 4 2 4 3 2 2 3" xfId="29337" xr:uid="{00000000-0005-0000-0000-0000241A0000}"/>
    <cellStyle name="Normal 4 2 4 3 2 2 3 2" xfId="29338" xr:uid="{00000000-0005-0000-0000-0000251A0000}"/>
    <cellStyle name="Normal 4 2 4 3 2 2 3 2 2" xfId="29339" xr:uid="{00000000-0005-0000-0000-0000261A0000}"/>
    <cellStyle name="Normal 4 2 4 3 2 2 3 2 2 2" xfId="35950" xr:uid="{725F38B4-7F9F-448B-B9DF-52C749A840F4}"/>
    <cellStyle name="Normal 4 2 4 3 2 2 3 2 3" xfId="29340" xr:uid="{00000000-0005-0000-0000-0000271A0000}"/>
    <cellStyle name="Normal 4 2 4 3 2 2 3 2 3 2" xfId="35951" xr:uid="{AA86A587-492F-40B1-AC94-D0CB266EE6A1}"/>
    <cellStyle name="Normal 4 2 4 3 2 2 3 2 4" xfId="35949" xr:uid="{F51C2AFD-8D68-4735-93BC-D0ADD568C3DA}"/>
    <cellStyle name="Normal 4 2 4 3 2 2 3 3" xfId="29341" xr:uid="{00000000-0005-0000-0000-0000281A0000}"/>
    <cellStyle name="Normal 4 2 4 3 2 2 3 3 2" xfId="35952" xr:uid="{DB8D4694-521D-4438-86CB-A60C3D25C4B7}"/>
    <cellStyle name="Normal 4 2 4 3 2 2 3 4" xfId="29342" xr:uid="{00000000-0005-0000-0000-0000291A0000}"/>
    <cellStyle name="Normal 4 2 4 3 2 2 3 4 2" xfId="35953" xr:uid="{7D544438-8B0C-4C28-AF3C-D1608A1FDE5E}"/>
    <cellStyle name="Normal 4 2 4 3 2 2 3 5" xfId="29343" xr:uid="{00000000-0005-0000-0000-00002A1A0000}"/>
    <cellStyle name="Normal 4 2 4 3 2 2 3 5 2" xfId="35954" xr:uid="{9A328843-FF47-4066-8545-4D59003A8337}"/>
    <cellStyle name="Normal 4 2 4 3 2 2 3 6" xfId="35948" xr:uid="{A1440C4F-62CD-441C-80F9-FA90C9129786}"/>
    <cellStyle name="Normal 4 2 4 3 2 2 4" xfId="29344" xr:uid="{00000000-0005-0000-0000-00002B1A0000}"/>
    <cellStyle name="Normal 4 2 4 3 2 2 4 2" xfId="29345" xr:uid="{00000000-0005-0000-0000-00002C1A0000}"/>
    <cellStyle name="Normal 4 2 4 3 2 2 4 2 2" xfId="35956" xr:uid="{1A4B4B62-17A6-49CF-82EE-D900A2489129}"/>
    <cellStyle name="Normal 4 2 4 3 2 2 4 3" xfId="29346" xr:uid="{00000000-0005-0000-0000-00002D1A0000}"/>
    <cellStyle name="Normal 4 2 4 3 2 2 4 3 2" xfId="35957" xr:uid="{90E3BB04-675B-47E4-9E64-6370001875F2}"/>
    <cellStyle name="Normal 4 2 4 3 2 2 4 4" xfId="35955" xr:uid="{A0FE2B53-B53C-4C71-ABE8-BFFD8B4852B4}"/>
    <cellStyle name="Normal 4 2 4 3 2 2 5" xfId="29347" xr:uid="{00000000-0005-0000-0000-00002E1A0000}"/>
    <cellStyle name="Normal 4 2 4 3 2 2 5 2" xfId="35958" xr:uid="{2B5FAC98-E72B-44F8-8EFB-CD5458E4E476}"/>
    <cellStyle name="Normal 4 2 4 3 2 2 6" xfId="29348" xr:uid="{00000000-0005-0000-0000-00002F1A0000}"/>
    <cellStyle name="Normal 4 2 4 3 2 2 6 2" xfId="35959" xr:uid="{7941B83B-A4D4-4A6F-B4BE-6AC1679ED141}"/>
    <cellStyle name="Normal 4 2 4 3 2 2 7" xfId="29349" xr:uid="{00000000-0005-0000-0000-0000301A0000}"/>
    <cellStyle name="Normal 4 2 4 3 2 2 7 2" xfId="35960" xr:uid="{58F22DC7-B29F-4DB2-90D5-4EBB76F33B6E}"/>
    <cellStyle name="Normal 4 2 4 3 2 2 8" xfId="35940" xr:uid="{29A48312-8AD2-4E52-AC8A-82AF10C803E2}"/>
    <cellStyle name="Normal 4 2 4 3 2 3" xfId="29350" xr:uid="{00000000-0005-0000-0000-0000311A0000}"/>
    <cellStyle name="Normal 4 2 4 3 2 3 2" xfId="29351" xr:uid="{00000000-0005-0000-0000-0000321A0000}"/>
    <cellStyle name="Normal 4 2 4 3 2 3 2 2" xfId="29352" xr:uid="{00000000-0005-0000-0000-0000331A0000}"/>
    <cellStyle name="Normal 4 2 4 3 2 3 2 2 2" xfId="35963" xr:uid="{C5F71262-59FE-4C09-8487-4D899ACF3C6C}"/>
    <cellStyle name="Normal 4 2 4 3 2 3 2 3" xfId="29353" xr:uid="{00000000-0005-0000-0000-0000341A0000}"/>
    <cellStyle name="Normal 4 2 4 3 2 3 2 3 2" xfId="35964" xr:uid="{29F6B3FE-33C7-48B1-A2B6-5F4E3A19613C}"/>
    <cellStyle name="Normal 4 2 4 3 2 3 2 4" xfId="35962" xr:uid="{51F28DE7-04CC-4395-83E4-30A76BF0C6B6}"/>
    <cellStyle name="Normal 4 2 4 3 2 3 3" xfId="29354" xr:uid="{00000000-0005-0000-0000-0000351A0000}"/>
    <cellStyle name="Normal 4 2 4 3 2 3 3 2" xfId="35965" xr:uid="{DE6CF25A-A60D-4EC9-BE43-882985E33D0B}"/>
    <cellStyle name="Normal 4 2 4 3 2 3 4" xfId="29355" xr:uid="{00000000-0005-0000-0000-0000361A0000}"/>
    <cellStyle name="Normal 4 2 4 3 2 3 4 2" xfId="35966" xr:uid="{2D7FCE9C-7C4E-4692-8DA6-A3B5006FAD01}"/>
    <cellStyle name="Normal 4 2 4 3 2 3 5" xfId="29356" xr:uid="{00000000-0005-0000-0000-0000371A0000}"/>
    <cellStyle name="Normal 4 2 4 3 2 3 5 2" xfId="35967" xr:uid="{E3925FB6-B5C1-4B72-8C61-B42BFB37E29B}"/>
    <cellStyle name="Normal 4 2 4 3 2 3 6" xfId="35961" xr:uid="{872D4A8B-524E-495B-A3DA-4228CD8789DA}"/>
    <cellStyle name="Normal 4 2 4 3 2 4" xfId="29357" xr:uid="{00000000-0005-0000-0000-0000381A0000}"/>
    <cellStyle name="Normal 4 2 4 3 2 4 2" xfId="29358" xr:uid="{00000000-0005-0000-0000-0000391A0000}"/>
    <cellStyle name="Normal 4 2 4 3 2 4 2 2" xfId="29359" xr:uid="{00000000-0005-0000-0000-00003A1A0000}"/>
    <cellStyle name="Normal 4 2 4 3 2 4 2 2 2" xfId="35970" xr:uid="{9AB314B2-B9B6-4598-B488-3171A534E216}"/>
    <cellStyle name="Normal 4 2 4 3 2 4 2 3" xfId="29360" xr:uid="{00000000-0005-0000-0000-00003B1A0000}"/>
    <cellStyle name="Normal 4 2 4 3 2 4 2 3 2" xfId="35971" xr:uid="{38E6F545-BDC3-4AAF-90C6-B21311A5FF8B}"/>
    <cellStyle name="Normal 4 2 4 3 2 4 2 4" xfId="35969" xr:uid="{F7ADC843-1B57-46F2-84DE-52B5F6B30BE6}"/>
    <cellStyle name="Normal 4 2 4 3 2 4 3" xfId="29361" xr:uid="{00000000-0005-0000-0000-00003C1A0000}"/>
    <cellStyle name="Normal 4 2 4 3 2 4 3 2" xfId="35972" xr:uid="{3C588AEC-6497-4EA5-A2BA-83E9CC76A9E5}"/>
    <cellStyle name="Normal 4 2 4 3 2 4 4" xfId="29362" xr:uid="{00000000-0005-0000-0000-00003D1A0000}"/>
    <cellStyle name="Normal 4 2 4 3 2 4 4 2" xfId="35973" xr:uid="{B7823D9D-14A1-4514-ACAE-34A78A2E2A14}"/>
    <cellStyle name="Normal 4 2 4 3 2 4 5" xfId="29363" xr:uid="{00000000-0005-0000-0000-00003E1A0000}"/>
    <cellStyle name="Normal 4 2 4 3 2 4 5 2" xfId="35974" xr:uid="{1ABB2C64-8AF2-4456-81D4-C686DB868C36}"/>
    <cellStyle name="Normal 4 2 4 3 2 4 6" xfId="35968" xr:uid="{4E8F8915-EB9A-4E1B-B122-6B1F320D77F3}"/>
    <cellStyle name="Normal 4 2 4 3 2 5" xfId="29364" xr:uid="{00000000-0005-0000-0000-00003F1A0000}"/>
    <cellStyle name="Normal 4 2 4 3 2 5 2" xfId="29365" xr:uid="{00000000-0005-0000-0000-0000401A0000}"/>
    <cellStyle name="Normal 4 2 4 3 2 5 2 2" xfId="35976" xr:uid="{A4847AD6-B470-4FF0-8B43-A939131C8319}"/>
    <cellStyle name="Normal 4 2 4 3 2 5 3" xfId="29366" xr:uid="{00000000-0005-0000-0000-0000411A0000}"/>
    <cellStyle name="Normal 4 2 4 3 2 5 3 2" xfId="35977" xr:uid="{0A606580-F2D9-43C2-A2B0-039FB8EF6734}"/>
    <cellStyle name="Normal 4 2 4 3 2 5 4" xfId="35975" xr:uid="{1FCF6738-33E5-4A94-9843-BB25C29E3F2E}"/>
    <cellStyle name="Normal 4 2 4 3 2 6" xfId="29367" xr:uid="{00000000-0005-0000-0000-0000421A0000}"/>
    <cellStyle name="Normal 4 2 4 3 2 6 2" xfId="35978" xr:uid="{F2E4CF0B-E479-4A16-B6DE-36BA8B5ECF78}"/>
    <cellStyle name="Normal 4 2 4 3 2 7" xfId="29368" xr:uid="{00000000-0005-0000-0000-0000431A0000}"/>
    <cellStyle name="Normal 4 2 4 3 2 7 2" xfId="35979" xr:uid="{BFA64187-22EA-4D9D-8320-81AF486AC0A5}"/>
    <cellStyle name="Normal 4 2 4 3 2 8" xfId="29369" xr:uid="{00000000-0005-0000-0000-0000441A0000}"/>
    <cellStyle name="Normal 4 2 4 3 2 8 2" xfId="35980" xr:uid="{94AEECB7-C36A-4C40-9E1C-B241A2E691D2}"/>
    <cellStyle name="Normal 4 2 4 3 2 9" xfId="35939" xr:uid="{99CADA58-1874-4260-8A0A-97B3BFDE2128}"/>
    <cellStyle name="Normal 4 2 4 3 3" xfId="29370" xr:uid="{00000000-0005-0000-0000-0000451A0000}"/>
    <cellStyle name="Normal 4 2 4 3 3 2" xfId="29371" xr:uid="{00000000-0005-0000-0000-0000461A0000}"/>
    <cellStyle name="Normal 4 2 4 3 3 2 2" xfId="29372" xr:uid="{00000000-0005-0000-0000-0000471A0000}"/>
    <cellStyle name="Normal 4 2 4 3 3 2 2 2" xfId="29373" xr:uid="{00000000-0005-0000-0000-0000481A0000}"/>
    <cellStyle name="Normal 4 2 4 3 3 2 2 2 2" xfId="35984" xr:uid="{746681BF-2FB1-4950-A646-1B030C0C1984}"/>
    <cellStyle name="Normal 4 2 4 3 3 2 2 3" xfId="29374" xr:uid="{00000000-0005-0000-0000-0000491A0000}"/>
    <cellStyle name="Normal 4 2 4 3 3 2 2 3 2" xfId="35985" xr:uid="{7351EBBB-5B5D-4A39-8AD9-49B8CBAF4D5E}"/>
    <cellStyle name="Normal 4 2 4 3 3 2 2 4" xfId="35983" xr:uid="{DEDE07BD-156B-46EC-8E24-B34B26597FE4}"/>
    <cellStyle name="Normal 4 2 4 3 3 2 3" xfId="29375" xr:uid="{00000000-0005-0000-0000-00004A1A0000}"/>
    <cellStyle name="Normal 4 2 4 3 3 2 3 2" xfId="35986" xr:uid="{9A6273DD-347D-40E0-AEC0-3DD5E9D85FC8}"/>
    <cellStyle name="Normal 4 2 4 3 3 2 4" xfId="29376" xr:uid="{00000000-0005-0000-0000-00004B1A0000}"/>
    <cellStyle name="Normal 4 2 4 3 3 2 4 2" xfId="35987" xr:uid="{8AFD210C-D919-4BD0-BE8B-DCF827302BB8}"/>
    <cellStyle name="Normal 4 2 4 3 3 2 5" xfId="29377" xr:uid="{00000000-0005-0000-0000-00004C1A0000}"/>
    <cellStyle name="Normal 4 2 4 3 3 2 5 2" xfId="35988" xr:uid="{9791C8A8-0C27-49C6-BA81-076DF662E4D8}"/>
    <cellStyle name="Normal 4 2 4 3 3 2 6" xfId="35982" xr:uid="{7E69A2A7-E162-4307-AF9D-C1389088B1C0}"/>
    <cellStyle name="Normal 4 2 4 3 3 3" xfId="29378" xr:uid="{00000000-0005-0000-0000-00004D1A0000}"/>
    <cellStyle name="Normal 4 2 4 3 3 3 2" xfId="29379" xr:uid="{00000000-0005-0000-0000-00004E1A0000}"/>
    <cellStyle name="Normal 4 2 4 3 3 3 2 2" xfId="29380" xr:uid="{00000000-0005-0000-0000-00004F1A0000}"/>
    <cellStyle name="Normal 4 2 4 3 3 3 2 2 2" xfId="35991" xr:uid="{9D5276ED-8F3C-4B11-A60C-31A9C1C9BE35}"/>
    <cellStyle name="Normal 4 2 4 3 3 3 2 3" xfId="29381" xr:uid="{00000000-0005-0000-0000-0000501A0000}"/>
    <cellStyle name="Normal 4 2 4 3 3 3 2 3 2" xfId="35992" xr:uid="{B538CE27-6C07-401F-8DE2-425EDBF173F6}"/>
    <cellStyle name="Normal 4 2 4 3 3 3 2 4" xfId="35990" xr:uid="{D4D2A987-B88E-4964-BFCE-41AB0505EBDC}"/>
    <cellStyle name="Normal 4 2 4 3 3 3 3" xfId="29382" xr:uid="{00000000-0005-0000-0000-0000511A0000}"/>
    <cellStyle name="Normal 4 2 4 3 3 3 3 2" xfId="35993" xr:uid="{6BB82146-FD5E-47B7-83DE-44FF427DC951}"/>
    <cellStyle name="Normal 4 2 4 3 3 3 4" xfId="29383" xr:uid="{00000000-0005-0000-0000-0000521A0000}"/>
    <cellStyle name="Normal 4 2 4 3 3 3 4 2" xfId="35994" xr:uid="{B7C08365-648B-4109-93D3-A29C1DDFE0DF}"/>
    <cellStyle name="Normal 4 2 4 3 3 3 5" xfId="29384" xr:uid="{00000000-0005-0000-0000-0000531A0000}"/>
    <cellStyle name="Normal 4 2 4 3 3 3 5 2" xfId="35995" xr:uid="{DF74082E-6C76-455B-B32D-0BFDB11A46ED}"/>
    <cellStyle name="Normal 4 2 4 3 3 3 6" xfId="35989" xr:uid="{A6D60746-DE72-45E1-98D8-7E44C3593A0C}"/>
    <cellStyle name="Normal 4 2 4 3 3 4" xfId="29385" xr:uid="{00000000-0005-0000-0000-0000541A0000}"/>
    <cellStyle name="Normal 4 2 4 3 3 4 2" xfId="29386" xr:uid="{00000000-0005-0000-0000-0000551A0000}"/>
    <cellStyle name="Normal 4 2 4 3 3 4 2 2" xfId="35997" xr:uid="{8E649121-CDCC-4698-A85A-512D18450AE1}"/>
    <cellStyle name="Normal 4 2 4 3 3 4 3" xfId="29387" xr:uid="{00000000-0005-0000-0000-0000561A0000}"/>
    <cellStyle name="Normal 4 2 4 3 3 4 3 2" xfId="35998" xr:uid="{12686C7B-DBB5-407B-94DD-CEF09F639392}"/>
    <cellStyle name="Normal 4 2 4 3 3 4 4" xfId="35996" xr:uid="{4C80C6D9-D026-46D1-A38F-4AB8E9A46DDA}"/>
    <cellStyle name="Normal 4 2 4 3 3 5" xfId="29388" xr:uid="{00000000-0005-0000-0000-0000571A0000}"/>
    <cellStyle name="Normal 4 2 4 3 3 5 2" xfId="35999" xr:uid="{F1D428BE-E79F-4ADF-B175-28A1A863BDEA}"/>
    <cellStyle name="Normal 4 2 4 3 3 6" xfId="29389" xr:uid="{00000000-0005-0000-0000-0000581A0000}"/>
    <cellStyle name="Normal 4 2 4 3 3 6 2" xfId="36000" xr:uid="{5C7F84E8-8B2A-48A0-97C8-B5B9C2283689}"/>
    <cellStyle name="Normal 4 2 4 3 3 7" xfId="29390" xr:uid="{00000000-0005-0000-0000-0000591A0000}"/>
    <cellStyle name="Normal 4 2 4 3 3 7 2" xfId="36001" xr:uid="{C0C744AE-C2DE-4172-A564-111730A1CAC7}"/>
    <cellStyle name="Normal 4 2 4 3 3 8" xfId="35981" xr:uid="{3F7681AD-5A74-4F30-89EF-F22D333ED8DD}"/>
    <cellStyle name="Normal 4 2 4 3 4" xfId="29391" xr:uid="{00000000-0005-0000-0000-00005A1A0000}"/>
    <cellStyle name="Normal 4 2 4 3 4 2" xfId="29392" xr:uid="{00000000-0005-0000-0000-00005B1A0000}"/>
    <cellStyle name="Normal 4 2 4 3 4 2 2" xfId="29393" xr:uid="{00000000-0005-0000-0000-00005C1A0000}"/>
    <cellStyle name="Normal 4 2 4 3 4 2 2 2" xfId="36004" xr:uid="{5687AF56-BEF5-43DF-8AEE-2AF29608E440}"/>
    <cellStyle name="Normal 4 2 4 3 4 2 3" xfId="29394" xr:uid="{00000000-0005-0000-0000-00005D1A0000}"/>
    <cellStyle name="Normal 4 2 4 3 4 2 3 2" xfId="36005" xr:uid="{D50EDEF3-C186-4036-882A-D8DF2BEC73C5}"/>
    <cellStyle name="Normal 4 2 4 3 4 2 4" xfId="36003" xr:uid="{C62D8753-0931-472E-9346-541FCDC9391B}"/>
    <cellStyle name="Normal 4 2 4 3 4 3" xfId="29395" xr:uid="{00000000-0005-0000-0000-00005E1A0000}"/>
    <cellStyle name="Normal 4 2 4 3 4 3 2" xfId="36006" xr:uid="{A0927C51-6376-42D0-ABF1-7FE56E9AECBB}"/>
    <cellStyle name="Normal 4 2 4 3 4 4" xfId="29396" xr:uid="{00000000-0005-0000-0000-00005F1A0000}"/>
    <cellStyle name="Normal 4 2 4 3 4 4 2" xfId="36007" xr:uid="{A52516B2-09BA-47FE-9464-7E749F87D0D2}"/>
    <cellStyle name="Normal 4 2 4 3 4 5" xfId="29397" xr:uid="{00000000-0005-0000-0000-0000601A0000}"/>
    <cellStyle name="Normal 4 2 4 3 4 5 2" xfId="36008" xr:uid="{733329BA-5600-42F6-925E-0400718898BB}"/>
    <cellStyle name="Normal 4 2 4 3 4 6" xfId="36002" xr:uid="{07E42032-A4D0-4811-9F04-0D45C81AF97F}"/>
    <cellStyle name="Normal 4 2 4 3 5" xfId="29398" xr:uid="{00000000-0005-0000-0000-0000611A0000}"/>
    <cellStyle name="Normal 4 2 4 3 5 2" xfId="29399" xr:uid="{00000000-0005-0000-0000-0000621A0000}"/>
    <cellStyle name="Normal 4 2 4 3 5 2 2" xfId="29400" xr:uid="{00000000-0005-0000-0000-0000631A0000}"/>
    <cellStyle name="Normal 4 2 4 3 5 2 2 2" xfId="36011" xr:uid="{752D18B7-91A7-4FD5-906C-B9E9BDD541AC}"/>
    <cellStyle name="Normal 4 2 4 3 5 2 3" xfId="29401" xr:uid="{00000000-0005-0000-0000-0000641A0000}"/>
    <cellStyle name="Normal 4 2 4 3 5 2 3 2" xfId="36012" xr:uid="{2A9A319C-E579-4797-8E1D-9377EC5319E6}"/>
    <cellStyle name="Normal 4 2 4 3 5 2 4" xfId="36010" xr:uid="{008D28E4-FBC7-49AE-B949-D289BB5998C4}"/>
    <cellStyle name="Normal 4 2 4 3 5 3" xfId="29402" xr:uid="{00000000-0005-0000-0000-0000651A0000}"/>
    <cellStyle name="Normal 4 2 4 3 5 3 2" xfId="36013" xr:uid="{06D07781-85EE-436B-987E-7B44CDF341AF}"/>
    <cellStyle name="Normal 4 2 4 3 5 4" xfId="29403" xr:uid="{00000000-0005-0000-0000-0000661A0000}"/>
    <cellStyle name="Normal 4 2 4 3 5 4 2" xfId="36014" xr:uid="{400C1075-547A-4C5B-BE26-D344BA9D8D4E}"/>
    <cellStyle name="Normal 4 2 4 3 5 5" xfId="29404" xr:uid="{00000000-0005-0000-0000-0000671A0000}"/>
    <cellStyle name="Normal 4 2 4 3 5 5 2" xfId="36015" xr:uid="{58BE4645-9643-445A-A65D-F25C189DD561}"/>
    <cellStyle name="Normal 4 2 4 3 5 6" xfId="36009" xr:uid="{4BEF2E60-787C-4F6B-A432-300424BE7DC2}"/>
    <cellStyle name="Normal 4 2 4 3 6" xfId="29405" xr:uid="{00000000-0005-0000-0000-0000681A0000}"/>
    <cellStyle name="Normal 4 2 4 3 6 2" xfId="29406" xr:uid="{00000000-0005-0000-0000-0000691A0000}"/>
    <cellStyle name="Normal 4 2 4 3 6 2 2" xfId="36017" xr:uid="{4ADC4151-963C-4002-B9CE-52D02F676D21}"/>
    <cellStyle name="Normal 4 2 4 3 6 3" xfId="29407" xr:uid="{00000000-0005-0000-0000-00006A1A0000}"/>
    <cellStyle name="Normal 4 2 4 3 6 3 2" xfId="36018" xr:uid="{8B300570-A302-4707-B078-5C9DDDD2AD0C}"/>
    <cellStyle name="Normal 4 2 4 3 6 4" xfId="36016" xr:uid="{76EA9A6F-9DEE-4C58-B4E3-65AFCC736147}"/>
    <cellStyle name="Normal 4 2 4 3 7" xfId="29408" xr:uid="{00000000-0005-0000-0000-00006B1A0000}"/>
    <cellStyle name="Normal 4 2 4 3 7 2" xfId="36019" xr:uid="{78A0C619-6937-4733-9F91-8F5F567AD243}"/>
    <cellStyle name="Normal 4 2 4 3 8" xfId="29409" xr:uid="{00000000-0005-0000-0000-00006C1A0000}"/>
    <cellStyle name="Normal 4 2 4 3 8 2" xfId="36020" xr:uid="{8F630191-EB46-450E-B7EA-537274EFA669}"/>
    <cellStyle name="Normal 4 2 4 3 9" xfId="29410" xr:uid="{00000000-0005-0000-0000-00006D1A0000}"/>
    <cellStyle name="Normal 4 2 4 3 9 2" xfId="36021" xr:uid="{9E3BBA26-F13B-4EDF-9D44-F7898C7A485A}"/>
    <cellStyle name="Normal 4 2 4 4" xfId="29411" xr:uid="{00000000-0005-0000-0000-00006E1A0000}"/>
    <cellStyle name="Normal 4 2 4 4 10" xfId="36022" xr:uid="{91BAB20B-640F-4E3B-B858-8B9072AC60EE}"/>
    <cellStyle name="Normal 4 2 4 4 2" xfId="29412" xr:uid="{00000000-0005-0000-0000-00006F1A0000}"/>
    <cellStyle name="Normal 4 2 4 4 2 2" xfId="29413" xr:uid="{00000000-0005-0000-0000-0000701A0000}"/>
    <cellStyle name="Normal 4 2 4 4 2 2 2" xfId="29414" xr:uid="{00000000-0005-0000-0000-0000711A0000}"/>
    <cellStyle name="Normal 4 2 4 4 2 2 2 2" xfId="29415" xr:uid="{00000000-0005-0000-0000-0000721A0000}"/>
    <cellStyle name="Normal 4 2 4 4 2 2 2 2 2" xfId="29416" xr:uid="{00000000-0005-0000-0000-0000731A0000}"/>
    <cellStyle name="Normal 4 2 4 4 2 2 2 2 2 2" xfId="36027" xr:uid="{2BD0309C-A7D8-40FE-85BE-AAC37D1F4DCC}"/>
    <cellStyle name="Normal 4 2 4 4 2 2 2 2 3" xfId="29417" xr:uid="{00000000-0005-0000-0000-0000741A0000}"/>
    <cellStyle name="Normal 4 2 4 4 2 2 2 2 3 2" xfId="36028" xr:uid="{32CF0243-7A44-4099-8A13-B1B28BD7003B}"/>
    <cellStyle name="Normal 4 2 4 4 2 2 2 2 4" xfId="36026" xr:uid="{D1B31F81-0941-46D8-B3D2-C6BAAC7A8610}"/>
    <cellStyle name="Normal 4 2 4 4 2 2 2 3" xfId="29418" xr:uid="{00000000-0005-0000-0000-0000751A0000}"/>
    <cellStyle name="Normal 4 2 4 4 2 2 2 3 2" xfId="36029" xr:uid="{D48E201C-6092-488E-9A22-8D55D172EE8B}"/>
    <cellStyle name="Normal 4 2 4 4 2 2 2 4" xfId="29419" xr:uid="{00000000-0005-0000-0000-0000761A0000}"/>
    <cellStyle name="Normal 4 2 4 4 2 2 2 4 2" xfId="36030" xr:uid="{36C02F08-5A88-42EC-8DF9-82D09CA313AD}"/>
    <cellStyle name="Normal 4 2 4 4 2 2 2 5" xfId="29420" xr:uid="{00000000-0005-0000-0000-0000771A0000}"/>
    <cellStyle name="Normal 4 2 4 4 2 2 2 5 2" xfId="36031" xr:uid="{795B1B28-33DA-4FDB-AFE8-010B8A093C08}"/>
    <cellStyle name="Normal 4 2 4 4 2 2 2 6" xfId="36025" xr:uid="{F1794DDF-E8AB-4CD6-8111-50366DAE94FD}"/>
    <cellStyle name="Normal 4 2 4 4 2 2 3" xfId="29421" xr:uid="{00000000-0005-0000-0000-0000781A0000}"/>
    <cellStyle name="Normal 4 2 4 4 2 2 3 2" xfId="29422" xr:uid="{00000000-0005-0000-0000-0000791A0000}"/>
    <cellStyle name="Normal 4 2 4 4 2 2 3 2 2" xfId="29423" xr:uid="{00000000-0005-0000-0000-00007A1A0000}"/>
    <cellStyle name="Normal 4 2 4 4 2 2 3 2 2 2" xfId="36034" xr:uid="{C9E9BACE-23A0-45B3-8224-5145343587DC}"/>
    <cellStyle name="Normal 4 2 4 4 2 2 3 2 3" xfId="29424" xr:uid="{00000000-0005-0000-0000-00007B1A0000}"/>
    <cellStyle name="Normal 4 2 4 4 2 2 3 2 3 2" xfId="36035" xr:uid="{914D9412-DEF0-41A0-A1B8-2E47BFDD45B2}"/>
    <cellStyle name="Normal 4 2 4 4 2 2 3 2 4" xfId="36033" xr:uid="{2446B382-A92C-489F-895D-B15608A1CB28}"/>
    <cellStyle name="Normal 4 2 4 4 2 2 3 3" xfId="29425" xr:uid="{00000000-0005-0000-0000-00007C1A0000}"/>
    <cellStyle name="Normal 4 2 4 4 2 2 3 3 2" xfId="36036" xr:uid="{741A5ED3-1512-4B4F-A181-7C16C82655FB}"/>
    <cellStyle name="Normal 4 2 4 4 2 2 3 4" xfId="29426" xr:uid="{00000000-0005-0000-0000-00007D1A0000}"/>
    <cellStyle name="Normal 4 2 4 4 2 2 3 4 2" xfId="36037" xr:uid="{87D75A66-8ACE-48AA-9306-175791647A1A}"/>
    <cellStyle name="Normal 4 2 4 4 2 2 3 5" xfId="29427" xr:uid="{00000000-0005-0000-0000-00007E1A0000}"/>
    <cellStyle name="Normal 4 2 4 4 2 2 3 5 2" xfId="36038" xr:uid="{6739C64C-9A98-439A-BD36-7461ADF6A21E}"/>
    <cellStyle name="Normal 4 2 4 4 2 2 3 6" xfId="36032" xr:uid="{06F9B88B-6B80-43FF-AE60-2AD5CE06CDAB}"/>
    <cellStyle name="Normal 4 2 4 4 2 2 4" xfId="29428" xr:uid="{00000000-0005-0000-0000-00007F1A0000}"/>
    <cellStyle name="Normal 4 2 4 4 2 2 4 2" xfId="29429" xr:uid="{00000000-0005-0000-0000-0000801A0000}"/>
    <cellStyle name="Normal 4 2 4 4 2 2 4 2 2" xfId="36040" xr:uid="{B36E2DEF-728C-42A7-B3AB-CEB86DA7D865}"/>
    <cellStyle name="Normal 4 2 4 4 2 2 4 3" xfId="29430" xr:uid="{00000000-0005-0000-0000-0000811A0000}"/>
    <cellStyle name="Normal 4 2 4 4 2 2 4 3 2" xfId="36041" xr:uid="{48B4A506-5C16-48C3-9AF7-BCC8FDE74152}"/>
    <cellStyle name="Normal 4 2 4 4 2 2 4 4" xfId="36039" xr:uid="{D385767C-70C7-41D7-8304-67E192BD59C9}"/>
    <cellStyle name="Normal 4 2 4 4 2 2 5" xfId="29431" xr:uid="{00000000-0005-0000-0000-0000821A0000}"/>
    <cellStyle name="Normal 4 2 4 4 2 2 5 2" xfId="36042" xr:uid="{DBE3D4BE-1C63-464B-851C-09F25672DA0F}"/>
    <cellStyle name="Normal 4 2 4 4 2 2 6" xfId="29432" xr:uid="{00000000-0005-0000-0000-0000831A0000}"/>
    <cellStyle name="Normal 4 2 4 4 2 2 6 2" xfId="36043" xr:uid="{EB205AD8-E95E-4107-A6B0-49549BB8715A}"/>
    <cellStyle name="Normal 4 2 4 4 2 2 7" xfId="29433" xr:uid="{00000000-0005-0000-0000-0000841A0000}"/>
    <cellStyle name="Normal 4 2 4 4 2 2 7 2" xfId="36044" xr:uid="{19493D43-D8B6-4A77-8812-26086B0ACA56}"/>
    <cellStyle name="Normal 4 2 4 4 2 2 8" xfId="36024" xr:uid="{BED66211-DCCE-49EC-A7EF-B6F86F63D124}"/>
    <cellStyle name="Normal 4 2 4 4 2 3" xfId="29434" xr:uid="{00000000-0005-0000-0000-0000851A0000}"/>
    <cellStyle name="Normal 4 2 4 4 2 3 2" xfId="29435" xr:uid="{00000000-0005-0000-0000-0000861A0000}"/>
    <cellStyle name="Normal 4 2 4 4 2 3 2 2" xfId="29436" xr:uid="{00000000-0005-0000-0000-0000871A0000}"/>
    <cellStyle name="Normal 4 2 4 4 2 3 2 2 2" xfId="36047" xr:uid="{C572AB19-AC5A-485B-AE46-00B978AA6059}"/>
    <cellStyle name="Normal 4 2 4 4 2 3 2 3" xfId="29437" xr:uid="{00000000-0005-0000-0000-0000881A0000}"/>
    <cellStyle name="Normal 4 2 4 4 2 3 2 3 2" xfId="36048" xr:uid="{48E87696-5080-476F-80C0-30913687515E}"/>
    <cellStyle name="Normal 4 2 4 4 2 3 2 4" xfId="36046" xr:uid="{A6C380E4-4222-4AB0-9FD7-7D22CEF209D9}"/>
    <cellStyle name="Normal 4 2 4 4 2 3 3" xfId="29438" xr:uid="{00000000-0005-0000-0000-0000891A0000}"/>
    <cellStyle name="Normal 4 2 4 4 2 3 3 2" xfId="36049" xr:uid="{E7224644-6C5F-46AE-B8EB-988544E0E6AF}"/>
    <cellStyle name="Normal 4 2 4 4 2 3 4" xfId="29439" xr:uid="{00000000-0005-0000-0000-00008A1A0000}"/>
    <cellStyle name="Normal 4 2 4 4 2 3 4 2" xfId="36050" xr:uid="{798BE144-3F46-4261-9022-F3E7D2C6996A}"/>
    <cellStyle name="Normal 4 2 4 4 2 3 5" xfId="29440" xr:uid="{00000000-0005-0000-0000-00008B1A0000}"/>
    <cellStyle name="Normal 4 2 4 4 2 3 5 2" xfId="36051" xr:uid="{B21729D0-D2E2-46CA-8421-0CED1869AB35}"/>
    <cellStyle name="Normal 4 2 4 4 2 3 6" xfId="36045" xr:uid="{1720BC99-86FF-43CC-B243-C0DA98374DFC}"/>
    <cellStyle name="Normal 4 2 4 4 2 4" xfId="29441" xr:uid="{00000000-0005-0000-0000-00008C1A0000}"/>
    <cellStyle name="Normal 4 2 4 4 2 4 2" xfId="29442" xr:uid="{00000000-0005-0000-0000-00008D1A0000}"/>
    <cellStyle name="Normal 4 2 4 4 2 4 2 2" xfId="29443" xr:uid="{00000000-0005-0000-0000-00008E1A0000}"/>
    <cellStyle name="Normal 4 2 4 4 2 4 2 2 2" xfId="36054" xr:uid="{15308F77-71DB-4D84-9D10-065FA578A790}"/>
    <cellStyle name="Normal 4 2 4 4 2 4 2 3" xfId="29444" xr:uid="{00000000-0005-0000-0000-00008F1A0000}"/>
    <cellStyle name="Normal 4 2 4 4 2 4 2 3 2" xfId="36055" xr:uid="{4514F57B-6D2D-4364-9811-A6228784B809}"/>
    <cellStyle name="Normal 4 2 4 4 2 4 2 4" xfId="36053" xr:uid="{B8B7CCDD-D32B-46E0-9D4F-AFCEC87A9465}"/>
    <cellStyle name="Normal 4 2 4 4 2 4 3" xfId="29445" xr:uid="{00000000-0005-0000-0000-0000901A0000}"/>
    <cellStyle name="Normal 4 2 4 4 2 4 3 2" xfId="36056" xr:uid="{AAA843FC-EF53-499C-A8FE-D191D58C06EE}"/>
    <cellStyle name="Normal 4 2 4 4 2 4 4" xfId="29446" xr:uid="{00000000-0005-0000-0000-0000911A0000}"/>
    <cellStyle name="Normal 4 2 4 4 2 4 4 2" xfId="36057" xr:uid="{B2E3A1CC-15C0-46F9-9494-6B0EDB73BAF8}"/>
    <cellStyle name="Normal 4 2 4 4 2 4 5" xfId="29447" xr:uid="{00000000-0005-0000-0000-0000921A0000}"/>
    <cellStyle name="Normal 4 2 4 4 2 4 5 2" xfId="36058" xr:uid="{6B6D78A4-B0B0-4947-A78E-2281D29CA8F6}"/>
    <cellStyle name="Normal 4 2 4 4 2 4 6" xfId="36052" xr:uid="{70D69CFB-4F9E-4712-BAF2-12A51CAED82F}"/>
    <cellStyle name="Normal 4 2 4 4 2 5" xfId="29448" xr:uid="{00000000-0005-0000-0000-0000931A0000}"/>
    <cellStyle name="Normal 4 2 4 4 2 5 2" xfId="29449" xr:uid="{00000000-0005-0000-0000-0000941A0000}"/>
    <cellStyle name="Normal 4 2 4 4 2 5 2 2" xfId="36060" xr:uid="{AABDC909-CE0F-4367-961E-A3D9B5AC9A8C}"/>
    <cellStyle name="Normal 4 2 4 4 2 5 3" xfId="29450" xr:uid="{00000000-0005-0000-0000-0000951A0000}"/>
    <cellStyle name="Normal 4 2 4 4 2 5 3 2" xfId="36061" xr:uid="{FBD98520-1AB9-4996-9C70-897695125339}"/>
    <cellStyle name="Normal 4 2 4 4 2 5 4" xfId="36059" xr:uid="{B26D59BB-5BC6-4C25-9A4B-3F3077C0DF00}"/>
    <cellStyle name="Normal 4 2 4 4 2 6" xfId="29451" xr:uid="{00000000-0005-0000-0000-0000961A0000}"/>
    <cellStyle name="Normal 4 2 4 4 2 6 2" xfId="36062" xr:uid="{2E2C30BC-7E3E-4E09-8E01-66AE41127E7A}"/>
    <cellStyle name="Normal 4 2 4 4 2 7" xfId="29452" xr:uid="{00000000-0005-0000-0000-0000971A0000}"/>
    <cellStyle name="Normal 4 2 4 4 2 7 2" xfId="36063" xr:uid="{D43167E5-B367-4B6A-9A2C-2553E76C7873}"/>
    <cellStyle name="Normal 4 2 4 4 2 8" xfId="29453" xr:uid="{00000000-0005-0000-0000-0000981A0000}"/>
    <cellStyle name="Normal 4 2 4 4 2 8 2" xfId="36064" xr:uid="{7ADB1B24-4C95-4BFB-9E7B-7FB62C1D60D4}"/>
    <cellStyle name="Normal 4 2 4 4 2 9" xfId="36023" xr:uid="{40A9EC3B-5FF9-4D1B-8106-E589A0A25FF2}"/>
    <cellStyle name="Normal 4 2 4 4 3" xfId="29454" xr:uid="{00000000-0005-0000-0000-0000991A0000}"/>
    <cellStyle name="Normal 4 2 4 4 3 2" xfId="29455" xr:uid="{00000000-0005-0000-0000-00009A1A0000}"/>
    <cellStyle name="Normal 4 2 4 4 3 2 2" xfId="29456" xr:uid="{00000000-0005-0000-0000-00009B1A0000}"/>
    <cellStyle name="Normal 4 2 4 4 3 2 2 2" xfId="29457" xr:uid="{00000000-0005-0000-0000-00009C1A0000}"/>
    <cellStyle name="Normal 4 2 4 4 3 2 2 2 2" xfId="36068" xr:uid="{B756C6A8-0D44-4D0D-9EE6-BEF8B5A796F3}"/>
    <cellStyle name="Normal 4 2 4 4 3 2 2 3" xfId="29458" xr:uid="{00000000-0005-0000-0000-00009D1A0000}"/>
    <cellStyle name="Normal 4 2 4 4 3 2 2 3 2" xfId="36069" xr:uid="{7DC965BD-0BBA-41B6-B349-5005EDF0A37F}"/>
    <cellStyle name="Normal 4 2 4 4 3 2 2 4" xfId="36067" xr:uid="{E13D5E26-576A-4FC4-B6A8-02006B33EF4E}"/>
    <cellStyle name="Normal 4 2 4 4 3 2 3" xfId="29459" xr:uid="{00000000-0005-0000-0000-00009E1A0000}"/>
    <cellStyle name="Normal 4 2 4 4 3 2 3 2" xfId="36070" xr:uid="{FDEBC6FF-002E-4011-80C9-7F18815B57FF}"/>
    <cellStyle name="Normal 4 2 4 4 3 2 4" xfId="29460" xr:uid="{00000000-0005-0000-0000-00009F1A0000}"/>
    <cellStyle name="Normal 4 2 4 4 3 2 4 2" xfId="36071" xr:uid="{0D110FDB-5A8D-4C90-A272-F6D909E0B900}"/>
    <cellStyle name="Normal 4 2 4 4 3 2 5" xfId="29461" xr:uid="{00000000-0005-0000-0000-0000A01A0000}"/>
    <cellStyle name="Normal 4 2 4 4 3 2 5 2" xfId="36072" xr:uid="{BFFAB750-A914-498A-9EBB-17DF68E29FEE}"/>
    <cellStyle name="Normal 4 2 4 4 3 2 6" xfId="36066" xr:uid="{172678D5-1B9F-4CCB-B532-4C09883D629C}"/>
    <cellStyle name="Normal 4 2 4 4 3 3" xfId="29462" xr:uid="{00000000-0005-0000-0000-0000A11A0000}"/>
    <cellStyle name="Normal 4 2 4 4 3 3 2" xfId="29463" xr:uid="{00000000-0005-0000-0000-0000A21A0000}"/>
    <cellStyle name="Normal 4 2 4 4 3 3 2 2" xfId="29464" xr:uid="{00000000-0005-0000-0000-0000A31A0000}"/>
    <cellStyle name="Normal 4 2 4 4 3 3 2 2 2" xfId="36075" xr:uid="{43F11AF0-BF5A-45EE-A3DB-07C6CF02469B}"/>
    <cellStyle name="Normal 4 2 4 4 3 3 2 3" xfId="29465" xr:uid="{00000000-0005-0000-0000-0000A41A0000}"/>
    <cellStyle name="Normal 4 2 4 4 3 3 2 3 2" xfId="36076" xr:uid="{81A6F96E-B526-4514-8D02-7794858AF3A8}"/>
    <cellStyle name="Normal 4 2 4 4 3 3 2 4" xfId="36074" xr:uid="{4F540074-08DD-400C-811E-0BAD21C86E00}"/>
    <cellStyle name="Normal 4 2 4 4 3 3 3" xfId="29466" xr:uid="{00000000-0005-0000-0000-0000A51A0000}"/>
    <cellStyle name="Normal 4 2 4 4 3 3 3 2" xfId="36077" xr:uid="{A6C92104-71A0-4AD5-9A88-EDFDEEDA4639}"/>
    <cellStyle name="Normal 4 2 4 4 3 3 4" xfId="29467" xr:uid="{00000000-0005-0000-0000-0000A61A0000}"/>
    <cellStyle name="Normal 4 2 4 4 3 3 4 2" xfId="36078" xr:uid="{960E1FF2-59D2-40B9-BD56-9A3AC4A36150}"/>
    <cellStyle name="Normal 4 2 4 4 3 3 5" xfId="29468" xr:uid="{00000000-0005-0000-0000-0000A71A0000}"/>
    <cellStyle name="Normal 4 2 4 4 3 3 5 2" xfId="36079" xr:uid="{882204C6-394E-410A-B031-8C6EE3B39B81}"/>
    <cellStyle name="Normal 4 2 4 4 3 3 6" xfId="36073" xr:uid="{A9643AE4-6C6F-40B7-8B1C-F0FC2E28E66B}"/>
    <cellStyle name="Normal 4 2 4 4 3 4" xfId="29469" xr:uid="{00000000-0005-0000-0000-0000A81A0000}"/>
    <cellStyle name="Normal 4 2 4 4 3 4 2" xfId="29470" xr:uid="{00000000-0005-0000-0000-0000A91A0000}"/>
    <cellStyle name="Normal 4 2 4 4 3 4 2 2" xfId="36081" xr:uid="{D499659C-B4DD-4840-A458-0A7688D03497}"/>
    <cellStyle name="Normal 4 2 4 4 3 4 3" xfId="29471" xr:uid="{00000000-0005-0000-0000-0000AA1A0000}"/>
    <cellStyle name="Normal 4 2 4 4 3 4 3 2" xfId="36082" xr:uid="{85CB43D4-E55B-4A88-B322-FBD8F7B89CDD}"/>
    <cellStyle name="Normal 4 2 4 4 3 4 4" xfId="36080" xr:uid="{C25D048B-10DE-4F97-A3D8-B6F74F7C6212}"/>
    <cellStyle name="Normal 4 2 4 4 3 5" xfId="29472" xr:uid="{00000000-0005-0000-0000-0000AB1A0000}"/>
    <cellStyle name="Normal 4 2 4 4 3 5 2" xfId="36083" xr:uid="{67185CE8-BA06-4AD4-9B55-822D782B05BE}"/>
    <cellStyle name="Normal 4 2 4 4 3 6" xfId="29473" xr:uid="{00000000-0005-0000-0000-0000AC1A0000}"/>
    <cellStyle name="Normal 4 2 4 4 3 6 2" xfId="36084" xr:uid="{B54FBAD6-083B-4822-A311-87FE585F7FAD}"/>
    <cellStyle name="Normal 4 2 4 4 3 7" xfId="29474" xr:uid="{00000000-0005-0000-0000-0000AD1A0000}"/>
    <cellStyle name="Normal 4 2 4 4 3 7 2" xfId="36085" xr:uid="{97E7AF55-3839-4DCD-B2CB-A13AC0E90DE5}"/>
    <cellStyle name="Normal 4 2 4 4 3 8" xfId="36065" xr:uid="{C731D402-FC6A-447C-9EFD-66084DC8E3E1}"/>
    <cellStyle name="Normal 4 2 4 4 4" xfId="29475" xr:uid="{00000000-0005-0000-0000-0000AE1A0000}"/>
    <cellStyle name="Normal 4 2 4 4 4 2" xfId="29476" xr:uid="{00000000-0005-0000-0000-0000AF1A0000}"/>
    <cellStyle name="Normal 4 2 4 4 4 2 2" xfId="29477" xr:uid="{00000000-0005-0000-0000-0000B01A0000}"/>
    <cellStyle name="Normal 4 2 4 4 4 2 2 2" xfId="36088" xr:uid="{7DB77281-07CE-42B6-838D-3EA942A71832}"/>
    <cellStyle name="Normal 4 2 4 4 4 2 3" xfId="29478" xr:uid="{00000000-0005-0000-0000-0000B11A0000}"/>
    <cellStyle name="Normal 4 2 4 4 4 2 3 2" xfId="36089" xr:uid="{E2FFBC51-0E20-4823-82E4-C53838985B47}"/>
    <cellStyle name="Normal 4 2 4 4 4 2 4" xfId="36087" xr:uid="{53F02C66-5502-44DD-BB19-F098E265B116}"/>
    <cellStyle name="Normal 4 2 4 4 4 3" xfId="29479" xr:uid="{00000000-0005-0000-0000-0000B21A0000}"/>
    <cellStyle name="Normal 4 2 4 4 4 3 2" xfId="36090" xr:uid="{C333E319-E42D-477A-BD6F-E6273019308C}"/>
    <cellStyle name="Normal 4 2 4 4 4 4" xfId="29480" xr:uid="{00000000-0005-0000-0000-0000B31A0000}"/>
    <cellStyle name="Normal 4 2 4 4 4 4 2" xfId="36091" xr:uid="{D35F2A81-6537-4491-B23C-942281E19619}"/>
    <cellStyle name="Normal 4 2 4 4 4 5" xfId="29481" xr:uid="{00000000-0005-0000-0000-0000B41A0000}"/>
    <cellStyle name="Normal 4 2 4 4 4 5 2" xfId="36092" xr:uid="{F2359298-F145-479E-83D6-C080990F9EF7}"/>
    <cellStyle name="Normal 4 2 4 4 4 6" xfId="36086" xr:uid="{219AB90A-C078-4A53-AD38-AD5B6483EF3D}"/>
    <cellStyle name="Normal 4 2 4 4 5" xfId="29482" xr:uid="{00000000-0005-0000-0000-0000B51A0000}"/>
    <cellStyle name="Normal 4 2 4 4 5 2" xfId="29483" xr:uid="{00000000-0005-0000-0000-0000B61A0000}"/>
    <cellStyle name="Normal 4 2 4 4 5 2 2" xfId="29484" xr:uid="{00000000-0005-0000-0000-0000B71A0000}"/>
    <cellStyle name="Normal 4 2 4 4 5 2 2 2" xfId="36095" xr:uid="{5E31E5E9-DF61-407E-92F4-528BF5CDC0DB}"/>
    <cellStyle name="Normal 4 2 4 4 5 2 3" xfId="29485" xr:uid="{00000000-0005-0000-0000-0000B81A0000}"/>
    <cellStyle name="Normal 4 2 4 4 5 2 3 2" xfId="36096" xr:uid="{25A6B898-264F-4D3D-975A-AF9805BF257E}"/>
    <cellStyle name="Normal 4 2 4 4 5 2 4" xfId="36094" xr:uid="{23275DF8-3D0E-45E5-A25F-74C1D1899EA5}"/>
    <cellStyle name="Normal 4 2 4 4 5 3" xfId="29486" xr:uid="{00000000-0005-0000-0000-0000B91A0000}"/>
    <cellStyle name="Normal 4 2 4 4 5 3 2" xfId="36097" xr:uid="{06B33158-5263-4642-9463-031AC28F07A0}"/>
    <cellStyle name="Normal 4 2 4 4 5 4" xfId="29487" xr:uid="{00000000-0005-0000-0000-0000BA1A0000}"/>
    <cellStyle name="Normal 4 2 4 4 5 4 2" xfId="36098" xr:uid="{8F46C4A9-A922-4F5D-BBB9-91123D19D07C}"/>
    <cellStyle name="Normal 4 2 4 4 5 5" xfId="29488" xr:uid="{00000000-0005-0000-0000-0000BB1A0000}"/>
    <cellStyle name="Normal 4 2 4 4 5 5 2" xfId="36099" xr:uid="{A6D50EB8-1EB6-4A47-816C-F95204C93BF3}"/>
    <cellStyle name="Normal 4 2 4 4 5 6" xfId="36093" xr:uid="{8EC04D62-4883-477B-82E2-4032F23DD693}"/>
    <cellStyle name="Normal 4 2 4 4 6" xfId="29489" xr:uid="{00000000-0005-0000-0000-0000BC1A0000}"/>
    <cellStyle name="Normal 4 2 4 4 6 2" xfId="29490" xr:uid="{00000000-0005-0000-0000-0000BD1A0000}"/>
    <cellStyle name="Normal 4 2 4 4 6 2 2" xfId="36101" xr:uid="{BCF71FE9-27C2-4F9D-BC7B-93693AB8F859}"/>
    <cellStyle name="Normal 4 2 4 4 6 3" xfId="29491" xr:uid="{00000000-0005-0000-0000-0000BE1A0000}"/>
    <cellStyle name="Normal 4 2 4 4 6 3 2" xfId="36102" xr:uid="{B004CB54-750F-4BD7-9F56-0C4A11235B94}"/>
    <cellStyle name="Normal 4 2 4 4 6 4" xfId="36100" xr:uid="{171552B3-DBBC-4B4D-91AC-DBFBD59F7650}"/>
    <cellStyle name="Normal 4 2 4 4 7" xfId="29492" xr:uid="{00000000-0005-0000-0000-0000BF1A0000}"/>
    <cellStyle name="Normal 4 2 4 4 7 2" xfId="36103" xr:uid="{33A2ABBC-9A76-4ABF-B625-9A4F4427D43E}"/>
    <cellStyle name="Normal 4 2 4 4 8" xfId="29493" xr:uid="{00000000-0005-0000-0000-0000C01A0000}"/>
    <cellStyle name="Normal 4 2 4 4 8 2" xfId="36104" xr:uid="{52C5B7C6-21D0-40E9-82F6-2690DAB84AD1}"/>
    <cellStyle name="Normal 4 2 4 4 9" xfId="29494" xr:uid="{00000000-0005-0000-0000-0000C11A0000}"/>
    <cellStyle name="Normal 4 2 4 4 9 2" xfId="36105" xr:uid="{548D3424-A9A5-4476-890C-2939DF65514D}"/>
    <cellStyle name="Normal 4 2 4 5" xfId="29495" xr:uid="{00000000-0005-0000-0000-0000C21A0000}"/>
    <cellStyle name="Normal 4 2 4 5 2" xfId="29496" xr:uid="{00000000-0005-0000-0000-0000C31A0000}"/>
    <cellStyle name="Normal 4 2 4 5 2 2" xfId="29497" xr:uid="{00000000-0005-0000-0000-0000C41A0000}"/>
    <cellStyle name="Normal 4 2 4 5 2 2 2" xfId="29498" xr:uid="{00000000-0005-0000-0000-0000C51A0000}"/>
    <cellStyle name="Normal 4 2 4 5 2 2 2 2" xfId="29499" xr:uid="{00000000-0005-0000-0000-0000C61A0000}"/>
    <cellStyle name="Normal 4 2 4 5 2 2 2 2 2" xfId="36110" xr:uid="{B835C87E-6A19-44CC-B030-0F7D190149B2}"/>
    <cellStyle name="Normal 4 2 4 5 2 2 2 3" xfId="29500" xr:uid="{00000000-0005-0000-0000-0000C71A0000}"/>
    <cellStyle name="Normal 4 2 4 5 2 2 2 3 2" xfId="36111" xr:uid="{3B578512-B9E5-42A2-B8D3-60C60AD5841E}"/>
    <cellStyle name="Normal 4 2 4 5 2 2 2 4" xfId="36109" xr:uid="{12EB197E-31D8-4B7F-84AF-2FB1226E024E}"/>
    <cellStyle name="Normal 4 2 4 5 2 2 3" xfId="29501" xr:uid="{00000000-0005-0000-0000-0000C81A0000}"/>
    <cellStyle name="Normal 4 2 4 5 2 2 3 2" xfId="36112" xr:uid="{DB9437CB-E3AE-44DD-9D18-C55FA4397416}"/>
    <cellStyle name="Normal 4 2 4 5 2 2 4" xfId="29502" xr:uid="{00000000-0005-0000-0000-0000C91A0000}"/>
    <cellStyle name="Normal 4 2 4 5 2 2 4 2" xfId="36113" xr:uid="{459EA39E-DB8A-4ABE-BC9F-4D780FBF759D}"/>
    <cellStyle name="Normal 4 2 4 5 2 2 5" xfId="29503" xr:uid="{00000000-0005-0000-0000-0000CA1A0000}"/>
    <cellStyle name="Normal 4 2 4 5 2 2 5 2" xfId="36114" xr:uid="{B4086C82-83BE-412F-BF9E-2CD0A0BA88FE}"/>
    <cellStyle name="Normal 4 2 4 5 2 2 6" xfId="36108" xr:uid="{DF154CCD-BCF2-4B56-A3BB-23760FE40CF2}"/>
    <cellStyle name="Normal 4 2 4 5 2 3" xfId="29504" xr:uid="{00000000-0005-0000-0000-0000CB1A0000}"/>
    <cellStyle name="Normal 4 2 4 5 2 3 2" xfId="29505" xr:uid="{00000000-0005-0000-0000-0000CC1A0000}"/>
    <cellStyle name="Normal 4 2 4 5 2 3 2 2" xfId="29506" xr:uid="{00000000-0005-0000-0000-0000CD1A0000}"/>
    <cellStyle name="Normal 4 2 4 5 2 3 2 2 2" xfId="36117" xr:uid="{5FF35386-0C1F-4EC0-898F-CD40DE284A3A}"/>
    <cellStyle name="Normal 4 2 4 5 2 3 2 3" xfId="29507" xr:uid="{00000000-0005-0000-0000-0000CE1A0000}"/>
    <cellStyle name="Normal 4 2 4 5 2 3 2 3 2" xfId="36118" xr:uid="{24B7097A-077D-48B4-B819-F8BF8396F49A}"/>
    <cellStyle name="Normal 4 2 4 5 2 3 2 4" xfId="36116" xr:uid="{A301F9BC-11D7-4324-B541-B52B0EAC0876}"/>
    <cellStyle name="Normal 4 2 4 5 2 3 3" xfId="29508" xr:uid="{00000000-0005-0000-0000-0000CF1A0000}"/>
    <cellStyle name="Normal 4 2 4 5 2 3 3 2" xfId="36119" xr:uid="{C5415B95-6B73-425B-93DD-A8ADF5017018}"/>
    <cellStyle name="Normal 4 2 4 5 2 3 4" xfId="29509" xr:uid="{00000000-0005-0000-0000-0000D01A0000}"/>
    <cellStyle name="Normal 4 2 4 5 2 3 4 2" xfId="36120" xr:uid="{B7BEB7D2-C13F-4446-AEF1-9BBED7A76694}"/>
    <cellStyle name="Normal 4 2 4 5 2 3 5" xfId="29510" xr:uid="{00000000-0005-0000-0000-0000D11A0000}"/>
    <cellStyle name="Normal 4 2 4 5 2 3 5 2" xfId="36121" xr:uid="{8F638642-6FDE-482B-813F-4BDD93B3B0E0}"/>
    <cellStyle name="Normal 4 2 4 5 2 3 6" xfId="36115" xr:uid="{6953AAEB-CFDA-4E50-AD48-86726852B9D3}"/>
    <cellStyle name="Normal 4 2 4 5 2 4" xfId="29511" xr:uid="{00000000-0005-0000-0000-0000D21A0000}"/>
    <cellStyle name="Normal 4 2 4 5 2 4 2" xfId="29512" xr:uid="{00000000-0005-0000-0000-0000D31A0000}"/>
    <cellStyle name="Normal 4 2 4 5 2 4 2 2" xfId="36123" xr:uid="{A917DD1D-A40E-4B57-88BF-D1C87040FBDB}"/>
    <cellStyle name="Normal 4 2 4 5 2 4 3" xfId="29513" xr:uid="{00000000-0005-0000-0000-0000D41A0000}"/>
    <cellStyle name="Normal 4 2 4 5 2 4 3 2" xfId="36124" xr:uid="{D77E8095-315B-45C1-8024-1CE7EF99180E}"/>
    <cellStyle name="Normal 4 2 4 5 2 4 4" xfId="36122" xr:uid="{6B9FE4D4-7FEC-4C0E-B975-A2CB4D1D9CAF}"/>
    <cellStyle name="Normal 4 2 4 5 2 5" xfId="29514" xr:uid="{00000000-0005-0000-0000-0000D51A0000}"/>
    <cellStyle name="Normal 4 2 4 5 2 5 2" xfId="36125" xr:uid="{256903EB-F082-4275-A66C-A66CF5461BE1}"/>
    <cellStyle name="Normal 4 2 4 5 2 6" xfId="29515" xr:uid="{00000000-0005-0000-0000-0000D61A0000}"/>
    <cellStyle name="Normal 4 2 4 5 2 6 2" xfId="36126" xr:uid="{BC4CB3A8-F6B4-4D27-83A6-C5AE67806912}"/>
    <cellStyle name="Normal 4 2 4 5 2 7" xfId="29516" xr:uid="{00000000-0005-0000-0000-0000D71A0000}"/>
    <cellStyle name="Normal 4 2 4 5 2 7 2" xfId="36127" xr:uid="{503752D3-5A45-4055-9E95-CF3D328C2992}"/>
    <cellStyle name="Normal 4 2 4 5 2 8" xfId="36107" xr:uid="{CBB8B7FA-6B8B-45C8-94CE-A3387E4C1B6A}"/>
    <cellStyle name="Normal 4 2 4 5 3" xfId="29517" xr:uid="{00000000-0005-0000-0000-0000D81A0000}"/>
    <cellStyle name="Normal 4 2 4 5 3 2" xfId="29518" xr:uid="{00000000-0005-0000-0000-0000D91A0000}"/>
    <cellStyle name="Normal 4 2 4 5 3 2 2" xfId="29519" xr:uid="{00000000-0005-0000-0000-0000DA1A0000}"/>
    <cellStyle name="Normal 4 2 4 5 3 2 2 2" xfId="36130" xr:uid="{6CC87DF0-6757-41DB-84C7-CFAFDABF8DA3}"/>
    <cellStyle name="Normal 4 2 4 5 3 2 3" xfId="29520" xr:uid="{00000000-0005-0000-0000-0000DB1A0000}"/>
    <cellStyle name="Normal 4 2 4 5 3 2 3 2" xfId="36131" xr:uid="{A8AF6D8B-1DAC-4717-847A-35AC08AFE999}"/>
    <cellStyle name="Normal 4 2 4 5 3 2 4" xfId="36129" xr:uid="{80635A38-1F1B-4388-8542-3FAAB255ABC6}"/>
    <cellStyle name="Normal 4 2 4 5 3 3" xfId="29521" xr:uid="{00000000-0005-0000-0000-0000DC1A0000}"/>
    <cellStyle name="Normal 4 2 4 5 3 3 2" xfId="36132" xr:uid="{606EF539-48B8-4932-B978-9A6735B250B9}"/>
    <cellStyle name="Normal 4 2 4 5 3 4" xfId="29522" xr:uid="{00000000-0005-0000-0000-0000DD1A0000}"/>
    <cellStyle name="Normal 4 2 4 5 3 4 2" xfId="36133" xr:uid="{75F66363-A443-44A3-B6F0-E22F4937889A}"/>
    <cellStyle name="Normal 4 2 4 5 3 5" xfId="29523" xr:uid="{00000000-0005-0000-0000-0000DE1A0000}"/>
    <cellStyle name="Normal 4 2 4 5 3 5 2" xfId="36134" xr:uid="{661F54A3-469C-4D0F-ACE4-8C56BF5FA3FD}"/>
    <cellStyle name="Normal 4 2 4 5 3 6" xfId="36128" xr:uid="{C1B6C874-355F-4C5B-B009-B337080DD2C7}"/>
    <cellStyle name="Normal 4 2 4 5 4" xfId="29524" xr:uid="{00000000-0005-0000-0000-0000DF1A0000}"/>
    <cellStyle name="Normal 4 2 4 5 4 2" xfId="29525" xr:uid="{00000000-0005-0000-0000-0000E01A0000}"/>
    <cellStyle name="Normal 4 2 4 5 4 2 2" xfId="29526" xr:uid="{00000000-0005-0000-0000-0000E11A0000}"/>
    <cellStyle name="Normal 4 2 4 5 4 2 2 2" xfId="36137" xr:uid="{63E59980-7232-47CD-A0CC-ECADB27F0D1D}"/>
    <cellStyle name="Normal 4 2 4 5 4 2 3" xfId="29527" xr:uid="{00000000-0005-0000-0000-0000E21A0000}"/>
    <cellStyle name="Normal 4 2 4 5 4 2 3 2" xfId="36138" xr:uid="{FF8E3A39-B444-48C0-9524-BC36FCD3044C}"/>
    <cellStyle name="Normal 4 2 4 5 4 2 4" xfId="36136" xr:uid="{B6C1AE90-0630-45AD-B0FD-D815517ED1E5}"/>
    <cellStyle name="Normal 4 2 4 5 4 3" xfId="29528" xr:uid="{00000000-0005-0000-0000-0000E31A0000}"/>
    <cellStyle name="Normal 4 2 4 5 4 3 2" xfId="36139" xr:uid="{D9EA58E8-71BA-47BC-AB11-7645F2181E55}"/>
    <cellStyle name="Normal 4 2 4 5 4 4" xfId="29529" xr:uid="{00000000-0005-0000-0000-0000E41A0000}"/>
    <cellStyle name="Normal 4 2 4 5 4 4 2" xfId="36140" xr:uid="{B0AC36F7-88DF-4E52-9621-6D0DFBB5EA69}"/>
    <cellStyle name="Normal 4 2 4 5 4 5" xfId="29530" xr:uid="{00000000-0005-0000-0000-0000E51A0000}"/>
    <cellStyle name="Normal 4 2 4 5 4 5 2" xfId="36141" xr:uid="{09290244-253C-4DAB-948D-E3B96129EEF4}"/>
    <cellStyle name="Normal 4 2 4 5 4 6" xfId="36135" xr:uid="{3E4B8F06-EF97-40D6-9A8A-E397CE313169}"/>
    <cellStyle name="Normal 4 2 4 5 5" xfId="29531" xr:uid="{00000000-0005-0000-0000-0000E61A0000}"/>
    <cellStyle name="Normal 4 2 4 5 5 2" xfId="29532" xr:uid="{00000000-0005-0000-0000-0000E71A0000}"/>
    <cellStyle name="Normal 4 2 4 5 5 2 2" xfId="36143" xr:uid="{E0B04F45-0D40-43F5-955B-6159D59AF89E}"/>
    <cellStyle name="Normal 4 2 4 5 5 3" xfId="29533" xr:uid="{00000000-0005-0000-0000-0000E81A0000}"/>
    <cellStyle name="Normal 4 2 4 5 5 3 2" xfId="36144" xr:uid="{8260F937-CDB6-487B-8101-CE6F888AC125}"/>
    <cellStyle name="Normal 4 2 4 5 5 4" xfId="36142" xr:uid="{2D491493-1F3E-45A5-8651-6DDFE9D0E6C3}"/>
    <cellStyle name="Normal 4 2 4 5 6" xfId="29534" xr:uid="{00000000-0005-0000-0000-0000E91A0000}"/>
    <cellStyle name="Normal 4 2 4 5 6 2" xfId="36145" xr:uid="{7F22C150-D0AD-42A5-90E0-41588FCAECF1}"/>
    <cellStyle name="Normal 4 2 4 5 7" xfId="29535" xr:uid="{00000000-0005-0000-0000-0000EA1A0000}"/>
    <cellStyle name="Normal 4 2 4 5 7 2" xfId="36146" xr:uid="{AC2F130F-3278-43F5-8E12-752166EDAA37}"/>
    <cellStyle name="Normal 4 2 4 5 8" xfId="29536" xr:uid="{00000000-0005-0000-0000-0000EB1A0000}"/>
    <cellStyle name="Normal 4 2 4 5 8 2" xfId="36147" xr:uid="{ABA6AEF1-A276-4FAB-8360-E5C3D61F2D57}"/>
    <cellStyle name="Normal 4 2 4 5 9" xfId="36106" xr:uid="{41374369-ED95-4FA1-A158-ADAA1EF3F8EF}"/>
    <cellStyle name="Normal 4 2 4 6" xfId="29537" xr:uid="{00000000-0005-0000-0000-0000EC1A0000}"/>
    <cellStyle name="Normal 4 2 4 6 2" xfId="29538" xr:uid="{00000000-0005-0000-0000-0000ED1A0000}"/>
    <cellStyle name="Normal 4 2 4 6 2 2" xfId="29539" xr:uid="{00000000-0005-0000-0000-0000EE1A0000}"/>
    <cellStyle name="Normal 4 2 4 6 2 2 2" xfId="29540" xr:uid="{00000000-0005-0000-0000-0000EF1A0000}"/>
    <cellStyle name="Normal 4 2 4 6 2 2 2 2" xfId="36151" xr:uid="{B24C71B3-2DA4-4B8F-93B8-82EC580CA735}"/>
    <cellStyle name="Normal 4 2 4 6 2 2 3" xfId="29541" xr:uid="{00000000-0005-0000-0000-0000F01A0000}"/>
    <cellStyle name="Normal 4 2 4 6 2 2 3 2" xfId="36152" xr:uid="{6264AD2E-C84E-4D0F-B482-09F3570C4C84}"/>
    <cellStyle name="Normal 4 2 4 6 2 2 4" xfId="36150" xr:uid="{1B9C255E-AE7B-4572-8D04-62DD2B8498B8}"/>
    <cellStyle name="Normal 4 2 4 6 2 3" xfId="29542" xr:uid="{00000000-0005-0000-0000-0000F11A0000}"/>
    <cellStyle name="Normal 4 2 4 6 2 3 2" xfId="36153" xr:uid="{ABA3DA6D-3CD1-4EAC-99A5-A1235C4E873F}"/>
    <cellStyle name="Normal 4 2 4 6 2 4" xfId="29543" xr:uid="{00000000-0005-0000-0000-0000F21A0000}"/>
    <cellStyle name="Normal 4 2 4 6 2 4 2" xfId="36154" xr:uid="{A2C41FAC-5E69-482B-9888-13E99B22C1D5}"/>
    <cellStyle name="Normal 4 2 4 6 2 5" xfId="29544" xr:uid="{00000000-0005-0000-0000-0000F31A0000}"/>
    <cellStyle name="Normal 4 2 4 6 2 5 2" xfId="36155" xr:uid="{D6307A94-2A1B-4A14-8668-EFCBB7F22696}"/>
    <cellStyle name="Normal 4 2 4 6 2 6" xfId="36149" xr:uid="{B243F04D-C24E-4124-B708-81FF5A65A7C4}"/>
    <cellStyle name="Normal 4 2 4 6 3" xfId="29545" xr:uid="{00000000-0005-0000-0000-0000F41A0000}"/>
    <cellStyle name="Normal 4 2 4 6 3 2" xfId="29546" xr:uid="{00000000-0005-0000-0000-0000F51A0000}"/>
    <cellStyle name="Normal 4 2 4 6 3 2 2" xfId="29547" xr:uid="{00000000-0005-0000-0000-0000F61A0000}"/>
    <cellStyle name="Normal 4 2 4 6 3 2 2 2" xfId="36158" xr:uid="{608B0A6E-C2C4-4B04-9017-805F2987A293}"/>
    <cellStyle name="Normal 4 2 4 6 3 2 3" xfId="29548" xr:uid="{00000000-0005-0000-0000-0000F71A0000}"/>
    <cellStyle name="Normal 4 2 4 6 3 2 3 2" xfId="36159" xr:uid="{7780C448-191D-4B4A-A781-FD421D9A7DFC}"/>
    <cellStyle name="Normal 4 2 4 6 3 2 4" xfId="36157" xr:uid="{68243DB8-A200-4D87-BA6B-C0F433B2C287}"/>
    <cellStyle name="Normal 4 2 4 6 3 3" xfId="29549" xr:uid="{00000000-0005-0000-0000-0000F81A0000}"/>
    <cellStyle name="Normal 4 2 4 6 3 3 2" xfId="36160" xr:uid="{501F21B9-4409-4A8F-81FB-0FEF08B68FA4}"/>
    <cellStyle name="Normal 4 2 4 6 3 4" xfId="29550" xr:uid="{00000000-0005-0000-0000-0000F91A0000}"/>
    <cellStyle name="Normal 4 2 4 6 3 4 2" xfId="36161" xr:uid="{C93B623B-3F58-4FB5-8AAB-6B7BE48AE10A}"/>
    <cellStyle name="Normal 4 2 4 6 3 5" xfId="29551" xr:uid="{00000000-0005-0000-0000-0000FA1A0000}"/>
    <cellStyle name="Normal 4 2 4 6 3 5 2" xfId="36162" xr:uid="{8D6D2ADD-3C56-48FA-9468-B15D1E979D90}"/>
    <cellStyle name="Normal 4 2 4 6 3 6" xfId="36156" xr:uid="{E66F2303-75B8-47CF-9480-9FE7332DE562}"/>
    <cellStyle name="Normal 4 2 4 6 4" xfId="29552" xr:uid="{00000000-0005-0000-0000-0000FB1A0000}"/>
    <cellStyle name="Normal 4 2 4 6 4 2" xfId="29553" xr:uid="{00000000-0005-0000-0000-0000FC1A0000}"/>
    <cellStyle name="Normal 4 2 4 6 4 2 2" xfId="36164" xr:uid="{D38C199C-E7C6-420F-BD66-CC64D0CD2043}"/>
    <cellStyle name="Normal 4 2 4 6 4 3" xfId="29554" xr:uid="{00000000-0005-0000-0000-0000FD1A0000}"/>
    <cellStyle name="Normal 4 2 4 6 4 3 2" xfId="36165" xr:uid="{19318871-0E81-4FA2-8FAC-023AA108FA76}"/>
    <cellStyle name="Normal 4 2 4 6 4 4" xfId="36163" xr:uid="{EA2BD189-6F26-4D31-9783-16920AD487F8}"/>
    <cellStyle name="Normal 4 2 4 6 5" xfId="29555" xr:uid="{00000000-0005-0000-0000-0000FE1A0000}"/>
    <cellStyle name="Normal 4 2 4 6 5 2" xfId="36166" xr:uid="{DF20B7BB-13A9-4D4F-92A0-5A34C40A0B49}"/>
    <cellStyle name="Normal 4 2 4 6 6" xfId="29556" xr:uid="{00000000-0005-0000-0000-0000FF1A0000}"/>
    <cellStyle name="Normal 4 2 4 6 6 2" xfId="36167" xr:uid="{22782AAA-0F55-471F-97C9-8539F38C3275}"/>
    <cellStyle name="Normal 4 2 4 6 7" xfId="29557" xr:uid="{00000000-0005-0000-0000-0000001B0000}"/>
    <cellStyle name="Normal 4 2 4 6 7 2" xfId="36168" xr:uid="{5B4FF219-93F6-463F-A380-7756A1A46921}"/>
    <cellStyle name="Normal 4 2 4 6 8" xfId="36148" xr:uid="{3421FA44-2005-492E-964A-523B6EEFC697}"/>
    <cellStyle name="Normal 4 2 4 7" xfId="29558" xr:uid="{00000000-0005-0000-0000-0000011B0000}"/>
    <cellStyle name="Normal 4 2 4 7 2" xfId="29559" xr:uid="{00000000-0005-0000-0000-0000021B0000}"/>
    <cellStyle name="Normal 4 2 4 7 2 2" xfId="29560" xr:uid="{00000000-0005-0000-0000-0000031B0000}"/>
    <cellStyle name="Normal 4 2 4 7 2 2 2" xfId="36171" xr:uid="{3E37486E-3617-485A-8D56-C76DFF50E08B}"/>
    <cellStyle name="Normal 4 2 4 7 2 3" xfId="29561" xr:uid="{00000000-0005-0000-0000-0000041B0000}"/>
    <cellStyle name="Normal 4 2 4 7 2 3 2" xfId="36172" xr:uid="{FE16FE2A-6ECA-4AC6-A61C-03E50897D95F}"/>
    <cellStyle name="Normal 4 2 4 7 2 4" xfId="36170" xr:uid="{7E268D46-99C4-4F49-9783-77EECBEB8566}"/>
    <cellStyle name="Normal 4 2 4 7 3" xfId="29562" xr:uid="{00000000-0005-0000-0000-0000051B0000}"/>
    <cellStyle name="Normal 4 2 4 7 3 2" xfId="36173" xr:uid="{8AD000FA-2CE6-41FC-B088-252D403124F4}"/>
    <cellStyle name="Normal 4 2 4 7 4" xfId="29563" xr:uid="{00000000-0005-0000-0000-0000061B0000}"/>
    <cellStyle name="Normal 4 2 4 7 4 2" xfId="36174" xr:uid="{DFF39CA8-33CB-437E-B4E8-1F7CAC715476}"/>
    <cellStyle name="Normal 4 2 4 7 5" xfId="29564" xr:uid="{00000000-0005-0000-0000-0000071B0000}"/>
    <cellStyle name="Normal 4 2 4 7 5 2" xfId="36175" xr:uid="{0F0B2612-5020-4EDB-92B2-FBC075FE3A4C}"/>
    <cellStyle name="Normal 4 2 4 7 6" xfId="36169" xr:uid="{00985924-9519-4915-B9D7-CA72F5253DA3}"/>
    <cellStyle name="Normal 4 2 4 8" xfId="29565" xr:uid="{00000000-0005-0000-0000-0000081B0000}"/>
    <cellStyle name="Normal 4 2 4 8 2" xfId="29566" xr:uid="{00000000-0005-0000-0000-0000091B0000}"/>
    <cellStyle name="Normal 4 2 4 8 2 2" xfId="29567" xr:uid="{00000000-0005-0000-0000-00000A1B0000}"/>
    <cellStyle name="Normal 4 2 4 8 2 2 2" xfId="36178" xr:uid="{280EE703-B94B-4D67-9F77-4FFA3D0AA45E}"/>
    <cellStyle name="Normal 4 2 4 8 2 3" xfId="29568" xr:uid="{00000000-0005-0000-0000-00000B1B0000}"/>
    <cellStyle name="Normal 4 2 4 8 2 3 2" xfId="36179" xr:uid="{666F4334-B177-4BFE-AEF7-D838F3B9BD16}"/>
    <cellStyle name="Normal 4 2 4 8 2 4" xfId="36177" xr:uid="{1AC2BD34-671B-4059-91FD-2ECA5B633F23}"/>
    <cellStyle name="Normal 4 2 4 8 3" xfId="29569" xr:uid="{00000000-0005-0000-0000-00000C1B0000}"/>
    <cellStyle name="Normal 4 2 4 8 3 2" xfId="36180" xr:uid="{22BE6D46-C8EF-444C-994C-FA703D1BEBE5}"/>
    <cellStyle name="Normal 4 2 4 8 4" xfId="29570" xr:uid="{00000000-0005-0000-0000-00000D1B0000}"/>
    <cellStyle name="Normal 4 2 4 8 4 2" xfId="36181" xr:uid="{A9CBC34F-FA7E-4F18-BBC4-30A444E17908}"/>
    <cellStyle name="Normal 4 2 4 8 5" xfId="29571" xr:uid="{00000000-0005-0000-0000-00000E1B0000}"/>
    <cellStyle name="Normal 4 2 4 8 5 2" xfId="36182" xr:uid="{E196CDF6-E5F0-44FB-846D-10633F0DFCD4}"/>
    <cellStyle name="Normal 4 2 4 8 6" xfId="36176" xr:uid="{A5892F34-FCF7-4A7F-B94F-86E020F93D4B}"/>
    <cellStyle name="Normal 4 2 4 9" xfId="29572" xr:uid="{00000000-0005-0000-0000-00000F1B0000}"/>
    <cellStyle name="Normal 4 2 4 9 2" xfId="29573" xr:uid="{00000000-0005-0000-0000-0000101B0000}"/>
    <cellStyle name="Normal 4 2 4 9 2 2" xfId="36184" xr:uid="{D6A2F582-70BF-435D-8F7B-31059FFDEDFF}"/>
    <cellStyle name="Normal 4 2 4 9 3" xfId="29574" xr:uid="{00000000-0005-0000-0000-0000111B0000}"/>
    <cellStyle name="Normal 4 2 4 9 3 2" xfId="36185" xr:uid="{1DCD0904-4CF3-4916-A55E-AA58B172F761}"/>
    <cellStyle name="Normal 4 2 4 9 4" xfId="36183" xr:uid="{9C0615E3-5D53-4527-BDBC-21DC3CF51572}"/>
    <cellStyle name="Normal 4 2 5" xfId="19353" xr:uid="{00000000-0005-0000-0000-0000121B0000}"/>
    <cellStyle name="Normal 4 2 5 10" xfId="29575" xr:uid="{00000000-0005-0000-0000-0000131B0000}"/>
    <cellStyle name="Normal 4 2 5 11" xfId="36186" xr:uid="{8E21D7C8-F96B-4A2B-BA53-0E0C2EC1D87C}"/>
    <cellStyle name="Normal 4 2 5 2" xfId="29576" xr:uid="{00000000-0005-0000-0000-0000141B0000}"/>
    <cellStyle name="Normal 4 2 5 2 2" xfId="29577" xr:uid="{00000000-0005-0000-0000-0000151B0000}"/>
    <cellStyle name="Normal 4 2 5 2 2 2" xfId="29578" xr:uid="{00000000-0005-0000-0000-0000161B0000}"/>
    <cellStyle name="Normal 4 2 5 2 2 2 2" xfId="29579" xr:uid="{00000000-0005-0000-0000-0000171B0000}"/>
    <cellStyle name="Normal 4 2 5 2 2 2 2 2" xfId="29580" xr:uid="{00000000-0005-0000-0000-0000181B0000}"/>
    <cellStyle name="Normal 4 2 5 2 2 2 2 2 2" xfId="36191" xr:uid="{FF7ADBE0-CCB1-4FD0-A7FD-B4608BF641CB}"/>
    <cellStyle name="Normal 4 2 5 2 2 2 2 3" xfId="29581" xr:uid="{00000000-0005-0000-0000-0000191B0000}"/>
    <cellStyle name="Normal 4 2 5 2 2 2 2 3 2" xfId="36192" xr:uid="{84DAE33B-7DC6-442F-8915-D5A591D2C252}"/>
    <cellStyle name="Normal 4 2 5 2 2 2 2 4" xfId="36190" xr:uid="{B9D898BD-3962-4C1B-B6C0-B42DA02B96D7}"/>
    <cellStyle name="Normal 4 2 5 2 2 2 3" xfId="29582" xr:uid="{00000000-0005-0000-0000-00001A1B0000}"/>
    <cellStyle name="Normal 4 2 5 2 2 2 3 2" xfId="36193" xr:uid="{E9DABB89-E2E7-4B8B-B6B3-8B04B1D870B4}"/>
    <cellStyle name="Normal 4 2 5 2 2 2 4" xfId="29583" xr:uid="{00000000-0005-0000-0000-00001B1B0000}"/>
    <cellStyle name="Normal 4 2 5 2 2 2 4 2" xfId="36194" xr:uid="{53F651A4-3166-4FFB-90A9-367DC2C43C75}"/>
    <cellStyle name="Normal 4 2 5 2 2 2 5" xfId="29584" xr:uid="{00000000-0005-0000-0000-00001C1B0000}"/>
    <cellStyle name="Normal 4 2 5 2 2 2 5 2" xfId="36195" xr:uid="{F79CCFD2-7ED0-4CA1-9369-08FAD9F99AF5}"/>
    <cellStyle name="Normal 4 2 5 2 2 2 6" xfId="36189" xr:uid="{6E28512B-FFA4-4F51-816B-D84F7F04F618}"/>
    <cellStyle name="Normal 4 2 5 2 2 3" xfId="29585" xr:uid="{00000000-0005-0000-0000-00001D1B0000}"/>
    <cellStyle name="Normal 4 2 5 2 2 3 2" xfId="29586" xr:uid="{00000000-0005-0000-0000-00001E1B0000}"/>
    <cellStyle name="Normal 4 2 5 2 2 3 2 2" xfId="29587" xr:uid="{00000000-0005-0000-0000-00001F1B0000}"/>
    <cellStyle name="Normal 4 2 5 2 2 3 2 2 2" xfId="36198" xr:uid="{2696C769-25B6-4F7A-B714-26F156E85B11}"/>
    <cellStyle name="Normal 4 2 5 2 2 3 2 3" xfId="29588" xr:uid="{00000000-0005-0000-0000-0000201B0000}"/>
    <cellStyle name="Normal 4 2 5 2 2 3 2 3 2" xfId="36199" xr:uid="{04029AFD-2BEA-44D2-B539-7A8DCF5B5659}"/>
    <cellStyle name="Normal 4 2 5 2 2 3 2 4" xfId="36197" xr:uid="{3893E9B6-12E1-4586-9D43-113A967A8593}"/>
    <cellStyle name="Normal 4 2 5 2 2 3 3" xfId="29589" xr:uid="{00000000-0005-0000-0000-0000211B0000}"/>
    <cellStyle name="Normal 4 2 5 2 2 3 3 2" xfId="36200" xr:uid="{1E40DD9D-8B02-4357-868D-C2279586950E}"/>
    <cellStyle name="Normal 4 2 5 2 2 3 4" xfId="29590" xr:uid="{00000000-0005-0000-0000-0000221B0000}"/>
    <cellStyle name="Normal 4 2 5 2 2 3 4 2" xfId="36201" xr:uid="{CFFF4834-6765-4B8A-8C36-CE7DD5770D40}"/>
    <cellStyle name="Normal 4 2 5 2 2 3 5" xfId="29591" xr:uid="{00000000-0005-0000-0000-0000231B0000}"/>
    <cellStyle name="Normal 4 2 5 2 2 3 5 2" xfId="36202" xr:uid="{8AE48E77-401A-4B20-A316-2C7284D0EED3}"/>
    <cellStyle name="Normal 4 2 5 2 2 3 6" xfId="36196" xr:uid="{B3986EB8-9D34-4463-9758-AD41BFB9AB04}"/>
    <cellStyle name="Normal 4 2 5 2 2 4" xfId="29592" xr:uid="{00000000-0005-0000-0000-0000241B0000}"/>
    <cellStyle name="Normal 4 2 5 2 2 4 2" xfId="29593" xr:uid="{00000000-0005-0000-0000-0000251B0000}"/>
    <cellStyle name="Normal 4 2 5 2 2 4 2 2" xfId="36204" xr:uid="{C9D87893-9305-46F4-A82F-4CFB1AE588CA}"/>
    <cellStyle name="Normal 4 2 5 2 2 4 3" xfId="29594" xr:uid="{00000000-0005-0000-0000-0000261B0000}"/>
    <cellStyle name="Normal 4 2 5 2 2 4 3 2" xfId="36205" xr:uid="{403F343E-B495-4AA9-AE1E-AD9E7F2C607D}"/>
    <cellStyle name="Normal 4 2 5 2 2 4 4" xfId="36203" xr:uid="{038CADD5-9820-4BE6-A5F0-9BD69850B344}"/>
    <cellStyle name="Normal 4 2 5 2 2 5" xfId="29595" xr:uid="{00000000-0005-0000-0000-0000271B0000}"/>
    <cellStyle name="Normal 4 2 5 2 2 5 2" xfId="36206" xr:uid="{6DCFF0DF-8345-4924-A49B-F2F5E012262D}"/>
    <cellStyle name="Normal 4 2 5 2 2 6" xfId="29596" xr:uid="{00000000-0005-0000-0000-0000281B0000}"/>
    <cellStyle name="Normal 4 2 5 2 2 6 2" xfId="36207" xr:uid="{D07901E9-F848-44EE-AC77-58F1198A01E6}"/>
    <cellStyle name="Normal 4 2 5 2 2 7" xfId="29597" xr:uid="{00000000-0005-0000-0000-0000291B0000}"/>
    <cellStyle name="Normal 4 2 5 2 2 7 2" xfId="36208" xr:uid="{B3940FFD-D1D4-4D15-90E2-A90516AA1E51}"/>
    <cellStyle name="Normal 4 2 5 2 2 8" xfId="36188" xr:uid="{B7BBEE66-EC6C-46C2-B062-EBF4D1230943}"/>
    <cellStyle name="Normal 4 2 5 2 3" xfId="29598" xr:uid="{00000000-0005-0000-0000-00002A1B0000}"/>
    <cellStyle name="Normal 4 2 5 2 3 2" xfId="29599" xr:uid="{00000000-0005-0000-0000-00002B1B0000}"/>
    <cellStyle name="Normal 4 2 5 2 3 2 2" xfId="29600" xr:uid="{00000000-0005-0000-0000-00002C1B0000}"/>
    <cellStyle name="Normal 4 2 5 2 3 2 2 2" xfId="36211" xr:uid="{27C8F419-C855-494E-A7F9-EDA60A041A93}"/>
    <cellStyle name="Normal 4 2 5 2 3 2 3" xfId="29601" xr:uid="{00000000-0005-0000-0000-00002D1B0000}"/>
    <cellStyle name="Normal 4 2 5 2 3 2 3 2" xfId="36212" xr:uid="{A09666A6-9F1A-46CB-B3C9-1C25B40EB0AA}"/>
    <cellStyle name="Normal 4 2 5 2 3 2 4" xfId="36210" xr:uid="{2C604502-4607-40FE-A43A-55188D20895D}"/>
    <cellStyle name="Normal 4 2 5 2 3 3" xfId="29602" xr:uid="{00000000-0005-0000-0000-00002E1B0000}"/>
    <cellStyle name="Normal 4 2 5 2 3 3 2" xfId="36213" xr:uid="{DBAC4552-ABC7-49DF-9BB3-E76B21E2F3FA}"/>
    <cellStyle name="Normal 4 2 5 2 3 4" xfId="29603" xr:uid="{00000000-0005-0000-0000-00002F1B0000}"/>
    <cellStyle name="Normal 4 2 5 2 3 4 2" xfId="36214" xr:uid="{C992B63E-33E0-4ED6-84A1-858F519EA5EE}"/>
    <cellStyle name="Normal 4 2 5 2 3 5" xfId="29604" xr:uid="{00000000-0005-0000-0000-0000301B0000}"/>
    <cellStyle name="Normal 4 2 5 2 3 5 2" xfId="36215" xr:uid="{E0A16FE1-D5BB-475A-B617-51552D3627AB}"/>
    <cellStyle name="Normal 4 2 5 2 3 6" xfId="36209" xr:uid="{F7DB4271-05E8-4653-AA07-7E1C3FA102DF}"/>
    <cellStyle name="Normal 4 2 5 2 4" xfId="29605" xr:uid="{00000000-0005-0000-0000-0000311B0000}"/>
    <cellStyle name="Normal 4 2 5 2 4 2" xfId="29606" xr:uid="{00000000-0005-0000-0000-0000321B0000}"/>
    <cellStyle name="Normal 4 2 5 2 4 2 2" xfId="29607" xr:uid="{00000000-0005-0000-0000-0000331B0000}"/>
    <cellStyle name="Normal 4 2 5 2 4 2 2 2" xfId="36218" xr:uid="{74CA9241-BD28-43DE-86FA-1496C7B374AA}"/>
    <cellStyle name="Normal 4 2 5 2 4 2 3" xfId="29608" xr:uid="{00000000-0005-0000-0000-0000341B0000}"/>
    <cellStyle name="Normal 4 2 5 2 4 2 3 2" xfId="36219" xr:uid="{41596D8E-62BD-4483-B74A-E425B2DCCA97}"/>
    <cellStyle name="Normal 4 2 5 2 4 2 4" xfId="36217" xr:uid="{09879D5F-7C3F-43FB-835D-51E2B9087896}"/>
    <cellStyle name="Normal 4 2 5 2 4 3" xfId="29609" xr:uid="{00000000-0005-0000-0000-0000351B0000}"/>
    <cellStyle name="Normal 4 2 5 2 4 3 2" xfId="36220" xr:uid="{E8489114-3746-46B3-872A-313CD6912814}"/>
    <cellStyle name="Normal 4 2 5 2 4 4" xfId="29610" xr:uid="{00000000-0005-0000-0000-0000361B0000}"/>
    <cellStyle name="Normal 4 2 5 2 4 4 2" xfId="36221" xr:uid="{1635A27B-9374-4718-AA39-999E11624FBC}"/>
    <cellStyle name="Normal 4 2 5 2 4 5" xfId="29611" xr:uid="{00000000-0005-0000-0000-0000371B0000}"/>
    <cellStyle name="Normal 4 2 5 2 4 5 2" xfId="36222" xr:uid="{BD1A08B5-F5B7-4A58-BD93-8CD7E9BDCB39}"/>
    <cellStyle name="Normal 4 2 5 2 4 6" xfId="36216" xr:uid="{1689CFE8-1B39-490E-A10F-B730D487EB88}"/>
    <cellStyle name="Normal 4 2 5 2 5" xfId="29612" xr:uid="{00000000-0005-0000-0000-0000381B0000}"/>
    <cellStyle name="Normal 4 2 5 2 5 2" xfId="29613" xr:uid="{00000000-0005-0000-0000-0000391B0000}"/>
    <cellStyle name="Normal 4 2 5 2 5 2 2" xfId="36224" xr:uid="{DBCF7A6C-EB9A-4007-9FAC-DEB456E9E997}"/>
    <cellStyle name="Normal 4 2 5 2 5 3" xfId="29614" xr:uid="{00000000-0005-0000-0000-00003A1B0000}"/>
    <cellStyle name="Normal 4 2 5 2 5 3 2" xfId="36225" xr:uid="{2E4963D5-79F3-4F49-B499-7B6B16B13EF9}"/>
    <cellStyle name="Normal 4 2 5 2 5 4" xfId="36223" xr:uid="{00B46727-9359-4F8B-8831-AB5B37DCA341}"/>
    <cellStyle name="Normal 4 2 5 2 6" xfId="29615" xr:uid="{00000000-0005-0000-0000-00003B1B0000}"/>
    <cellStyle name="Normal 4 2 5 2 6 2" xfId="36226" xr:uid="{A3A0299D-7DF2-4392-ABF2-49D84E08CE45}"/>
    <cellStyle name="Normal 4 2 5 2 7" xfId="29616" xr:uid="{00000000-0005-0000-0000-00003C1B0000}"/>
    <cellStyle name="Normal 4 2 5 2 7 2" xfId="36227" xr:uid="{E65DE0C8-47CA-4B0D-91C8-80792A24998A}"/>
    <cellStyle name="Normal 4 2 5 2 8" xfId="29617" xr:uid="{00000000-0005-0000-0000-00003D1B0000}"/>
    <cellStyle name="Normal 4 2 5 2 8 2" xfId="36228" xr:uid="{049EEB9C-1D56-43F7-9197-A9C41E9F4367}"/>
    <cellStyle name="Normal 4 2 5 2 9" xfId="36187" xr:uid="{666CB8CE-3601-45B3-95E9-18776C8FBB16}"/>
    <cellStyle name="Normal 4 2 5 3" xfId="29618" xr:uid="{00000000-0005-0000-0000-00003E1B0000}"/>
    <cellStyle name="Normal 4 2 5 3 2" xfId="29619" xr:uid="{00000000-0005-0000-0000-00003F1B0000}"/>
    <cellStyle name="Normal 4 2 5 3 2 2" xfId="29620" xr:uid="{00000000-0005-0000-0000-0000401B0000}"/>
    <cellStyle name="Normal 4 2 5 3 2 2 2" xfId="29621" xr:uid="{00000000-0005-0000-0000-0000411B0000}"/>
    <cellStyle name="Normal 4 2 5 3 2 2 2 2" xfId="36232" xr:uid="{B354A070-23F0-4897-AA28-04228618C5BD}"/>
    <cellStyle name="Normal 4 2 5 3 2 2 3" xfId="29622" xr:uid="{00000000-0005-0000-0000-0000421B0000}"/>
    <cellStyle name="Normal 4 2 5 3 2 2 3 2" xfId="36233" xr:uid="{ED0AABC7-9404-42C6-A260-BF38A2D9B4F1}"/>
    <cellStyle name="Normal 4 2 5 3 2 2 4" xfId="36231" xr:uid="{2AF28A0C-9BD1-4731-A187-9CA72CEF0A26}"/>
    <cellStyle name="Normal 4 2 5 3 2 3" xfId="29623" xr:uid="{00000000-0005-0000-0000-0000431B0000}"/>
    <cellStyle name="Normal 4 2 5 3 2 3 2" xfId="36234" xr:uid="{EF04FDA0-59B1-4BA0-ACE8-7298008D0F9B}"/>
    <cellStyle name="Normal 4 2 5 3 2 4" xfId="29624" xr:uid="{00000000-0005-0000-0000-0000441B0000}"/>
    <cellStyle name="Normal 4 2 5 3 2 4 2" xfId="36235" xr:uid="{E5317E2B-E34B-44C5-8171-3BF3B7877204}"/>
    <cellStyle name="Normal 4 2 5 3 2 5" xfId="29625" xr:uid="{00000000-0005-0000-0000-0000451B0000}"/>
    <cellStyle name="Normal 4 2 5 3 2 5 2" xfId="36236" xr:uid="{42DB2975-257D-4972-9F80-BF3C900FA5EA}"/>
    <cellStyle name="Normal 4 2 5 3 2 6" xfId="36230" xr:uid="{F72ED160-2927-4271-BD28-CA1B42243DE9}"/>
    <cellStyle name="Normal 4 2 5 3 3" xfId="29626" xr:uid="{00000000-0005-0000-0000-0000461B0000}"/>
    <cellStyle name="Normal 4 2 5 3 3 2" xfId="29627" xr:uid="{00000000-0005-0000-0000-0000471B0000}"/>
    <cellStyle name="Normal 4 2 5 3 3 2 2" xfId="29628" xr:uid="{00000000-0005-0000-0000-0000481B0000}"/>
    <cellStyle name="Normal 4 2 5 3 3 2 2 2" xfId="36239" xr:uid="{326D5D6C-F89E-44F8-9FD8-10940FCF779B}"/>
    <cellStyle name="Normal 4 2 5 3 3 2 3" xfId="29629" xr:uid="{00000000-0005-0000-0000-0000491B0000}"/>
    <cellStyle name="Normal 4 2 5 3 3 2 3 2" xfId="36240" xr:uid="{FA7D7215-661C-4A99-86F7-3EDBAD254EC9}"/>
    <cellStyle name="Normal 4 2 5 3 3 2 4" xfId="36238" xr:uid="{CECC838D-8FCE-4188-8017-FA0661A12913}"/>
    <cellStyle name="Normal 4 2 5 3 3 3" xfId="29630" xr:uid="{00000000-0005-0000-0000-00004A1B0000}"/>
    <cellStyle name="Normal 4 2 5 3 3 3 2" xfId="36241" xr:uid="{CF853D24-AA77-4E12-BD16-18AECA8902A4}"/>
    <cellStyle name="Normal 4 2 5 3 3 4" xfId="29631" xr:uid="{00000000-0005-0000-0000-00004B1B0000}"/>
    <cellStyle name="Normal 4 2 5 3 3 4 2" xfId="36242" xr:uid="{43DEF682-5B03-4A0F-85C9-BE28F9730F74}"/>
    <cellStyle name="Normal 4 2 5 3 3 5" xfId="29632" xr:uid="{00000000-0005-0000-0000-00004C1B0000}"/>
    <cellStyle name="Normal 4 2 5 3 3 5 2" xfId="36243" xr:uid="{E4291004-2E5A-48D9-BB83-BA14FC6233F3}"/>
    <cellStyle name="Normal 4 2 5 3 3 6" xfId="36237" xr:uid="{87CA18B3-350D-4F14-86F1-DC1DF92A46D0}"/>
    <cellStyle name="Normal 4 2 5 3 4" xfId="29633" xr:uid="{00000000-0005-0000-0000-00004D1B0000}"/>
    <cellStyle name="Normal 4 2 5 3 4 2" xfId="29634" xr:uid="{00000000-0005-0000-0000-00004E1B0000}"/>
    <cellStyle name="Normal 4 2 5 3 4 2 2" xfId="36245" xr:uid="{37924519-E2E3-46BC-A249-0A63B340AB1F}"/>
    <cellStyle name="Normal 4 2 5 3 4 3" xfId="29635" xr:uid="{00000000-0005-0000-0000-00004F1B0000}"/>
    <cellStyle name="Normal 4 2 5 3 4 3 2" xfId="36246" xr:uid="{A92F199A-F228-4F9D-93A2-E348221203B1}"/>
    <cellStyle name="Normal 4 2 5 3 4 4" xfId="36244" xr:uid="{6D01D174-6CFE-4D61-836F-9A151DB81385}"/>
    <cellStyle name="Normal 4 2 5 3 5" xfId="29636" xr:uid="{00000000-0005-0000-0000-0000501B0000}"/>
    <cellStyle name="Normal 4 2 5 3 5 2" xfId="36247" xr:uid="{88E023F6-7063-49C2-8B53-F7BA2B87B0FC}"/>
    <cellStyle name="Normal 4 2 5 3 6" xfId="29637" xr:uid="{00000000-0005-0000-0000-0000511B0000}"/>
    <cellStyle name="Normal 4 2 5 3 6 2" xfId="36248" xr:uid="{DBB810E0-3128-4C29-A75A-5C7C053A1BF1}"/>
    <cellStyle name="Normal 4 2 5 3 7" xfId="29638" xr:uid="{00000000-0005-0000-0000-0000521B0000}"/>
    <cellStyle name="Normal 4 2 5 3 7 2" xfId="36249" xr:uid="{23BC0B89-BF57-48ED-A72C-39833E329701}"/>
    <cellStyle name="Normal 4 2 5 3 8" xfId="36229" xr:uid="{D80EEC8C-3E81-4EFC-AD26-439CDB54DDD3}"/>
    <cellStyle name="Normal 4 2 5 4" xfId="29639" xr:uid="{00000000-0005-0000-0000-0000531B0000}"/>
    <cellStyle name="Normal 4 2 5 4 2" xfId="29640" xr:uid="{00000000-0005-0000-0000-0000541B0000}"/>
    <cellStyle name="Normal 4 2 5 4 2 2" xfId="29641" xr:uid="{00000000-0005-0000-0000-0000551B0000}"/>
    <cellStyle name="Normal 4 2 5 4 2 2 2" xfId="36252" xr:uid="{94466CF2-0D63-48D6-8E72-A1F5658F6CAB}"/>
    <cellStyle name="Normal 4 2 5 4 2 3" xfId="29642" xr:uid="{00000000-0005-0000-0000-0000561B0000}"/>
    <cellStyle name="Normal 4 2 5 4 2 3 2" xfId="36253" xr:uid="{DD280357-AECD-4C88-98BA-B0999573E6D7}"/>
    <cellStyle name="Normal 4 2 5 4 2 4" xfId="36251" xr:uid="{3CA8390B-F217-4EC9-B1FB-1C512D8D521E}"/>
    <cellStyle name="Normal 4 2 5 4 3" xfId="29643" xr:uid="{00000000-0005-0000-0000-0000571B0000}"/>
    <cellStyle name="Normal 4 2 5 4 3 2" xfId="36254" xr:uid="{A25AA81D-5632-4EA4-8482-311447A52A26}"/>
    <cellStyle name="Normal 4 2 5 4 4" xfId="29644" xr:uid="{00000000-0005-0000-0000-0000581B0000}"/>
    <cellStyle name="Normal 4 2 5 4 4 2" xfId="36255" xr:uid="{99C3E6CB-C56E-4B0F-8A50-B39BBBE91A86}"/>
    <cellStyle name="Normal 4 2 5 4 5" xfId="29645" xr:uid="{00000000-0005-0000-0000-0000591B0000}"/>
    <cellStyle name="Normal 4 2 5 4 5 2" xfId="36256" xr:uid="{F5BE2EFF-BAC3-4CCD-B06D-3BBCAC9A664E}"/>
    <cellStyle name="Normal 4 2 5 4 6" xfId="36250" xr:uid="{453A4D5C-448A-4A07-923C-E7B66462C35D}"/>
    <cellStyle name="Normal 4 2 5 5" xfId="29646" xr:uid="{00000000-0005-0000-0000-00005A1B0000}"/>
    <cellStyle name="Normal 4 2 5 5 2" xfId="29647" xr:uid="{00000000-0005-0000-0000-00005B1B0000}"/>
    <cellStyle name="Normal 4 2 5 5 2 2" xfId="29648" xr:uid="{00000000-0005-0000-0000-00005C1B0000}"/>
    <cellStyle name="Normal 4 2 5 5 2 2 2" xfId="36259" xr:uid="{9A733EF0-A135-4F6F-8AEF-65227857CB58}"/>
    <cellStyle name="Normal 4 2 5 5 2 3" xfId="29649" xr:uid="{00000000-0005-0000-0000-00005D1B0000}"/>
    <cellStyle name="Normal 4 2 5 5 2 3 2" xfId="36260" xr:uid="{E31273FE-BB36-4D45-9A74-8EE640A07429}"/>
    <cellStyle name="Normal 4 2 5 5 2 4" xfId="36258" xr:uid="{1201F64D-043F-4683-8FE2-6D885E6EA160}"/>
    <cellStyle name="Normal 4 2 5 5 3" xfId="29650" xr:uid="{00000000-0005-0000-0000-00005E1B0000}"/>
    <cellStyle name="Normal 4 2 5 5 3 2" xfId="36261" xr:uid="{F9DACE1E-3193-45EA-BD43-AF3C3E65E9B9}"/>
    <cellStyle name="Normal 4 2 5 5 4" xfId="29651" xr:uid="{00000000-0005-0000-0000-00005F1B0000}"/>
    <cellStyle name="Normal 4 2 5 5 4 2" xfId="36262" xr:uid="{C0ABD3E2-7900-4538-A892-783F3C71BC0C}"/>
    <cellStyle name="Normal 4 2 5 5 5" xfId="29652" xr:uid="{00000000-0005-0000-0000-0000601B0000}"/>
    <cellStyle name="Normal 4 2 5 5 5 2" xfId="36263" xr:uid="{0223CFC3-F047-4732-8A31-39BC67A90F9A}"/>
    <cellStyle name="Normal 4 2 5 5 6" xfId="36257" xr:uid="{B5641A75-D55F-4328-BE9E-3BB3D64C5A3D}"/>
    <cellStyle name="Normal 4 2 5 6" xfId="29653" xr:uid="{00000000-0005-0000-0000-0000611B0000}"/>
    <cellStyle name="Normal 4 2 5 6 2" xfId="29654" xr:uid="{00000000-0005-0000-0000-0000621B0000}"/>
    <cellStyle name="Normal 4 2 5 6 2 2" xfId="36265" xr:uid="{A3C08532-3C19-45FE-A236-BA9A5D4E17D9}"/>
    <cellStyle name="Normal 4 2 5 6 3" xfId="29655" xr:uid="{00000000-0005-0000-0000-0000631B0000}"/>
    <cellStyle name="Normal 4 2 5 6 3 2" xfId="36266" xr:uid="{ECE04B63-A7A7-43FE-BDEF-649FF5F1296A}"/>
    <cellStyle name="Normal 4 2 5 6 4" xfId="36264" xr:uid="{15AEE58A-E332-41BD-99F8-05844C5287ED}"/>
    <cellStyle name="Normal 4 2 5 7" xfId="29656" xr:uid="{00000000-0005-0000-0000-0000641B0000}"/>
    <cellStyle name="Normal 4 2 5 7 2" xfId="36267" xr:uid="{BBBE336B-DC30-4C1E-BFFF-C059BEDBF24E}"/>
    <cellStyle name="Normal 4 2 5 8" xfId="29657" xr:uid="{00000000-0005-0000-0000-0000651B0000}"/>
    <cellStyle name="Normal 4 2 5 8 2" xfId="36268" xr:uid="{349FF6A1-F094-4E26-99D7-8AB340A89E2A}"/>
    <cellStyle name="Normal 4 2 5 9" xfId="29658" xr:uid="{00000000-0005-0000-0000-0000661B0000}"/>
    <cellStyle name="Normal 4 2 5 9 2" xfId="36269" xr:uid="{7ECB7E87-E34A-44EB-BF53-143FE7064E15}"/>
    <cellStyle name="Normal 4 2 6" xfId="23848" xr:uid="{00000000-0005-0000-0000-0000671B0000}"/>
    <cellStyle name="Normal 4 2 6 10" xfId="29659" xr:uid="{00000000-0005-0000-0000-0000681B0000}"/>
    <cellStyle name="Normal 4 2 6 11" xfId="36270" xr:uid="{26B520AD-1B47-4B96-8468-32CEF7121BC0}"/>
    <cellStyle name="Normal 4 2 6 2" xfId="29660" xr:uid="{00000000-0005-0000-0000-0000691B0000}"/>
    <cellStyle name="Normal 4 2 6 2 2" xfId="29661" xr:uid="{00000000-0005-0000-0000-00006A1B0000}"/>
    <cellStyle name="Normal 4 2 6 2 2 2" xfId="29662" xr:uid="{00000000-0005-0000-0000-00006B1B0000}"/>
    <cellStyle name="Normal 4 2 6 2 2 2 2" xfId="29663" xr:uid="{00000000-0005-0000-0000-00006C1B0000}"/>
    <cellStyle name="Normal 4 2 6 2 2 2 2 2" xfId="29664" xr:uid="{00000000-0005-0000-0000-00006D1B0000}"/>
    <cellStyle name="Normal 4 2 6 2 2 2 2 2 2" xfId="36275" xr:uid="{23DB0A49-CAA7-43D3-8061-CC3B2D944269}"/>
    <cellStyle name="Normal 4 2 6 2 2 2 2 3" xfId="29665" xr:uid="{00000000-0005-0000-0000-00006E1B0000}"/>
    <cellStyle name="Normal 4 2 6 2 2 2 2 3 2" xfId="36276" xr:uid="{65BDCC35-4830-4AA4-9F5A-3C67D4354E0B}"/>
    <cellStyle name="Normal 4 2 6 2 2 2 2 4" xfId="36274" xr:uid="{6900F694-DA14-4B7C-AC15-0785633FE92E}"/>
    <cellStyle name="Normal 4 2 6 2 2 2 3" xfId="29666" xr:uid="{00000000-0005-0000-0000-00006F1B0000}"/>
    <cellStyle name="Normal 4 2 6 2 2 2 3 2" xfId="36277" xr:uid="{6B072FDD-A3FB-4725-B9A8-47BBFDE5DA99}"/>
    <cellStyle name="Normal 4 2 6 2 2 2 4" xfId="29667" xr:uid="{00000000-0005-0000-0000-0000701B0000}"/>
    <cellStyle name="Normal 4 2 6 2 2 2 4 2" xfId="36278" xr:uid="{4C58E34B-29A9-4EF6-92EA-36EC782D2BA5}"/>
    <cellStyle name="Normal 4 2 6 2 2 2 5" xfId="29668" xr:uid="{00000000-0005-0000-0000-0000711B0000}"/>
    <cellStyle name="Normal 4 2 6 2 2 2 5 2" xfId="36279" xr:uid="{D4016E77-34CE-44E3-904B-14D9BAE59AFF}"/>
    <cellStyle name="Normal 4 2 6 2 2 2 6" xfId="36273" xr:uid="{171D31B7-7DF3-4113-B869-D4D9D35297C0}"/>
    <cellStyle name="Normal 4 2 6 2 2 3" xfId="29669" xr:uid="{00000000-0005-0000-0000-0000721B0000}"/>
    <cellStyle name="Normal 4 2 6 2 2 3 2" xfId="29670" xr:uid="{00000000-0005-0000-0000-0000731B0000}"/>
    <cellStyle name="Normal 4 2 6 2 2 3 2 2" xfId="29671" xr:uid="{00000000-0005-0000-0000-0000741B0000}"/>
    <cellStyle name="Normal 4 2 6 2 2 3 2 2 2" xfId="36282" xr:uid="{1CB30B9B-2E61-417C-BA03-EADEAF1E4B62}"/>
    <cellStyle name="Normal 4 2 6 2 2 3 2 3" xfId="29672" xr:uid="{00000000-0005-0000-0000-0000751B0000}"/>
    <cellStyle name="Normal 4 2 6 2 2 3 2 3 2" xfId="36283" xr:uid="{24CA70AA-A045-4578-8653-0CBD68D636DF}"/>
    <cellStyle name="Normal 4 2 6 2 2 3 2 4" xfId="36281" xr:uid="{6E38972E-9C41-4F19-B352-A3D85E42C655}"/>
    <cellStyle name="Normal 4 2 6 2 2 3 3" xfId="29673" xr:uid="{00000000-0005-0000-0000-0000761B0000}"/>
    <cellStyle name="Normal 4 2 6 2 2 3 3 2" xfId="36284" xr:uid="{BD83AE07-9359-4AA5-822D-FE98F3DCB307}"/>
    <cellStyle name="Normal 4 2 6 2 2 3 4" xfId="29674" xr:uid="{00000000-0005-0000-0000-0000771B0000}"/>
    <cellStyle name="Normal 4 2 6 2 2 3 4 2" xfId="36285" xr:uid="{CEFCAE91-0014-45A2-847A-A75912745D46}"/>
    <cellStyle name="Normal 4 2 6 2 2 3 5" xfId="29675" xr:uid="{00000000-0005-0000-0000-0000781B0000}"/>
    <cellStyle name="Normal 4 2 6 2 2 3 5 2" xfId="36286" xr:uid="{0505056D-1F1E-4A50-84F5-23A2ACF368EA}"/>
    <cellStyle name="Normal 4 2 6 2 2 3 6" xfId="36280" xr:uid="{D1C7FFD6-9E6E-4924-92A9-72836D1984AF}"/>
    <cellStyle name="Normal 4 2 6 2 2 4" xfId="29676" xr:uid="{00000000-0005-0000-0000-0000791B0000}"/>
    <cellStyle name="Normal 4 2 6 2 2 4 2" xfId="29677" xr:uid="{00000000-0005-0000-0000-00007A1B0000}"/>
    <cellStyle name="Normal 4 2 6 2 2 4 2 2" xfId="36288" xr:uid="{15BA86CB-56D5-4057-A58F-71B0C46890C2}"/>
    <cellStyle name="Normal 4 2 6 2 2 4 3" xfId="29678" xr:uid="{00000000-0005-0000-0000-00007B1B0000}"/>
    <cellStyle name="Normal 4 2 6 2 2 4 3 2" xfId="36289" xr:uid="{6768E7E9-E9D1-4B56-B4B3-9C70B5E7A021}"/>
    <cellStyle name="Normal 4 2 6 2 2 4 4" xfId="36287" xr:uid="{EE401885-976A-4D34-A0FB-B12E979820B9}"/>
    <cellStyle name="Normal 4 2 6 2 2 5" xfId="29679" xr:uid="{00000000-0005-0000-0000-00007C1B0000}"/>
    <cellStyle name="Normal 4 2 6 2 2 5 2" xfId="36290" xr:uid="{94AA50F9-14CF-4630-B835-934736A18278}"/>
    <cellStyle name="Normal 4 2 6 2 2 6" xfId="29680" xr:uid="{00000000-0005-0000-0000-00007D1B0000}"/>
    <cellStyle name="Normal 4 2 6 2 2 6 2" xfId="36291" xr:uid="{52EDA7F5-1B80-42A7-8B46-421686D46F25}"/>
    <cellStyle name="Normal 4 2 6 2 2 7" xfId="29681" xr:uid="{00000000-0005-0000-0000-00007E1B0000}"/>
    <cellStyle name="Normal 4 2 6 2 2 7 2" xfId="36292" xr:uid="{4131D8E8-9F75-4D3C-A414-D2FB55C7C887}"/>
    <cellStyle name="Normal 4 2 6 2 2 8" xfId="36272" xr:uid="{0F460D15-21A8-4301-A5F1-36694DD3E336}"/>
    <cellStyle name="Normal 4 2 6 2 3" xfId="29682" xr:uid="{00000000-0005-0000-0000-00007F1B0000}"/>
    <cellStyle name="Normal 4 2 6 2 3 2" xfId="29683" xr:uid="{00000000-0005-0000-0000-0000801B0000}"/>
    <cellStyle name="Normal 4 2 6 2 3 2 2" xfId="29684" xr:uid="{00000000-0005-0000-0000-0000811B0000}"/>
    <cellStyle name="Normal 4 2 6 2 3 2 2 2" xfId="36295" xr:uid="{0F5FB8B5-4321-4C1B-BBEE-684E15D66465}"/>
    <cellStyle name="Normal 4 2 6 2 3 2 3" xfId="29685" xr:uid="{00000000-0005-0000-0000-0000821B0000}"/>
    <cellStyle name="Normal 4 2 6 2 3 2 3 2" xfId="36296" xr:uid="{92524331-266A-4EC8-8F61-42CB7B11F4F0}"/>
    <cellStyle name="Normal 4 2 6 2 3 2 4" xfId="36294" xr:uid="{2D459ACA-0133-4E74-BC82-6BAEC8E1B78C}"/>
    <cellStyle name="Normal 4 2 6 2 3 3" xfId="29686" xr:uid="{00000000-0005-0000-0000-0000831B0000}"/>
    <cellStyle name="Normal 4 2 6 2 3 3 2" xfId="36297" xr:uid="{0DA1956B-1009-4F36-80BF-B8B4E9740925}"/>
    <cellStyle name="Normal 4 2 6 2 3 4" xfId="29687" xr:uid="{00000000-0005-0000-0000-0000841B0000}"/>
    <cellStyle name="Normal 4 2 6 2 3 4 2" xfId="36298" xr:uid="{4439B440-9893-49BB-BEC7-4D89163E6A88}"/>
    <cellStyle name="Normal 4 2 6 2 3 5" xfId="29688" xr:uid="{00000000-0005-0000-0000-0000851B0000}"/>
    <cellStyle name="Normal 4 2 6 2 3 5 2" xfId="36299" xr:uid="{0368F0C9-F991-4A68-93F4-FD5CCD75FED1}"/>
    <cellStyle name="Normal 4 2 6 2 3 6" xfId="36293" xr:uid="{C0E23C8F-5902-4CA1-8219-9B7AA9793AD7}"/>
    <cellStyle name="Normal 4 2 6 2 4" xfId="29689" xr:uid="{00000000-0005-0000-0000-0000861B0000}"/>
    <cellStyle name="Normal 4 2 6 2 4 2" xfId="29690" xr:uid="{00000000-0005-0000-0000-0000871B0000}"/>
    <cellStyle name="Normal 4 2 6 2 4 2 2" xfId="29691" xr:uid="{00000000-0005-0000-0000-0000881B0000}"/>
    <cellStyle name="Normal 4 2 6 2 4 2 2 2" xfId="36302" xr:uid="{FD7CAB16-860E-4A33-BC72-C16ADB6E0EF0}"/>
    <cellStyle name="Normal 4 2 6 2 4 2 3" xfId="29692" xr:uid="{00000000-0005-0000-0000-0000891B0000}"/>
    <cellStyle name="Normal 4 2 6 2 4 2 3 2" xfId="36303" xr:uid="{C923CAC5-9233-487C-ABAE-4BEAE75F7497}"/>
    <cellStyle name="Normal 4 2 6 2 4 2 4" xfId="36301" xr:uid="{9475A1F8-D2B4-49B5-9713-24CDF07C7BA5}"/>
    <cellStyle name="Normal 4 2 6 2 4 3" xfId="29693" xr:uid="{00000000-0005-0000-0000-00008A1B0000}"/>
    <cellStyle name="Normal 4 2 6 2 4 3 2" xfId="36304" xr:uid="{EF8884EA-32A6-4BED-A4B4-FB4A9CB7D857}"/>
    <cellStyle name="Normal 4 2 6 2 4 4" xfId="29694" xr:uid="{00000000-0005-0000-0000-00008B1B0000}"/>
    <cellStyle name="Normal 4 2 6 2 4 4 2" xfId="36305" xr:uid="{44DCFBA0-3B28-45DE-AD6D-862F9BF33E75}"/>
    <cellStyle name="Normal 4 2 6 2 4 5" xfId="29695" xr:uid="{00000000-0005-0000-0000-00008C1B0000}"/>
    <cellStyle name="Normal 4 2 6 2 4 5 2" xfId="36306" xr:uid="{2B2B8B25-61F1-4818-B696-010670CA6D93}"/>
    <cellStyle name="Normal 4 2 6 2 4 6" xfId="36300" xr:uid="{5C964295-6377-4BA7-8D31-8E6AB70DEEC4}"/>
    <cellStyle name="Normal 4 2 6 2 5" xfId="29696" xr:uid="{00000000-0005-0000-0000-00008D1B0000}"/>
    <cellStyle name="Normal 4 2 6 2 5 2" xfId="29697" xr:uid="{00000000-0005-0000-0000-00008E1B0000}"/>
    <cellStyle name="Normal 4 2 6 2 5 2 2" xfId="36308" xr:uid="{298F9DEB-0EAA-447F-ACF4-10C8E885181F}"/>
    <cellStyle name="Normal 4 2 6 2 5 3" xfId="29698" xr:uid="{00000000-0005-0000-0000-00008F1B0000}"/>
    <cellStyle name="Normal 4 2 6 2 5 3 2" xfId="36309" xr:uid="{66ADBD31-7C4D-422B-B4A8-D83C47BE22D9}"/>
    <cellStyle name="Normal 4 2 6 2 5 4" xfId="36307" xr:uid="{F9B85149-E11A-484F-BB63-BDA0E598D2F6}"/>
    <cellStyle name="Normal 4 2 6 2 6" xfId="29699" xr:uid="{00000000-0005-0000-0000-0000901B0000}"/>
    <cellStyle name="Normal 4 2 6 2 6 2" xfId="36310" xr:uid="{C5414743-297A-4BF2-BE85-E36EEE55CF13}"/>
    <cellStyle name="Normal 4 2 6 2 7" xfId="29700" xr:uid="{00000000-0005-0000-0000-0000911B0000}"/>
    <cellStyle name="Normal 4 2 6 2 7 2" xfId="36311" xr:uid="{799D29B3-3255-43F1-B120-FE83E354453B}"/>
    <cellStyle name="Normal 4 2 6 2 8" xfId="29701" xr:uid="{00000000-0005-0000-0000-0000921B0000}"/>
    <cellStyle name="Normal 4 2 6 2 8 2" xfId="36312" xr:uid="{68FB32F5-0238-4E89-AEEA-DF3BEB9E3A24}"/>
    <cellStyle name="Normal 4 2 6 2 9" xfId="36271" xr:uid="{5BD134E3-C84B-465E-AFFF-4B6766C0777D}"/>
    <cellStyle name="Normal 4 2 6 3" xfId="29702" xr:uid="{00000000-0005-0000-0000-0000931B0000}"/>
    <cellStyle name="Normal 4 2 6 3 2" xfId="29703" xr:uid="{00000000-0005-0000-0000-0000941B0000}"/>
    <cellStyle name="Normal 4 2 6 3 2 2" xfId="29704" xr:uid="{00000000-0005-0000-0000-0000951B0000}"/>
    <cellStyle name="Normal 4 2 6 3 2 2 2" xfId="29705" xr:uid="{00000000-0005-0000-0000-0000961B0000}"/>
    <cellStyle name="Normal 4 2 6 3 2 2 2 2" xfId="36316" xr:uid="{0A35D8C1-9362-412A-BD52-0EB7755287C2}"/>
    <cellStyle name="Normal 4 2 6 3 2 2 3" xfId="29706" xr:uid="{00000000-0005-0000-0000-0000971B0000}"/>
    <cellStyle name="Normal 4 2 6 3 2 2 3 2" xfId="36317" xr:uid="{DB3A4A7A-907B-4589-8D69-0EE4CA317C02}"/>
    <cellStyle name="Normal 4 2 6 3 2 2 4" xfId="36315" xr:uid="{478977FF-E887-49A5-8589-92E9DF626577}"/>
    <cellStyle name="Normal 4 2 6 3 2 3" xfId="29707" xr:uid="{00000000-0005-0000-0000-0000981B0000}"/>
    <cellStyle name="Normal 4 2 6 3 2 3 2" xfId="36318" xr:uid="{CE525B9F-DBB7-4B90-86C5-9C66F31A569B}"/>
    <cellStyle name="Normal 4 2 6 3 2 4" xfId="29708" xr:uid="{00000000-0005-0000-0000-0000991B0000}"/>
    <cellStyle name="Normal 4 2 6 3 2 4 2" xfId="36319" xr:uid="{3C511374-2A05-44B0-AA6B-B1ACB9232FCB}"/>
    <cellStyle name="Normal 4 2 6 3 2 5" xfId="29709" xr:uid="{00000000-0005-0000-0000-00009A1B0000}"/>
    <cellStyle name="Normal 4 2 6 3 2 5 2" xfId="36320" xr:uid="{844E6514-2387-4EF9-8841-5F77AE108CFB}"/>
    <cellStyle name="Normal 4 2 6 3 2 6" xfId="36314" xr:uid="{165459F7-F3C6-4581-8214-4F33E0B6280E}"/>
    <cellStyle name="Normal 4 2 6 3 3" xfId="29710" xr:uid="{00000000-0005-0000-0000-00009B1B0000}"/>
    <cellStyle name="Normal 4 2 6 3 3 2" xfId="29711" xr:uid="{00000000-0005-0000-0000-00009C1B0000}"/>
    <cellStyle name="Normal 4 2 6 3 3 2 2" xfId="29712" xr:uid="{00000000-0005-0000-0000-00009D1B0000}"/>
    <cellStyle name="Normal 4 2 6 3 3 2 2 2" xfId="36323" xr:uid="{E188A538-F5D9-4EBC-AE59-FC5084864CB5}"/>
    <cellStyle name="Normal 4 2 6 3 3 2 3" xfId="29713" xr:uid="{00000000-0005-0000-0000-00009E1B0000}"/>
    <cellStyle name="Normal 4 2 6 3 3 2 3 2" xfId="36324" xr:uid="{F27D2CF9-8F9C-4D0C-986D-4166B9A849BA}"/>
    <cellStyle name="Normal 4 2 6 3 3 2 4" xfId="36322" xr:uid="{71EF46E9-0816-4A0B-BD5F-925E6539EB30}"/>
    <cellStyle name="Normal 4 2 6 3 3 3" xfId="29714" xr:uid="{00000000-0005-0000-0000-00009F1B0000}"/>
    <cellStyle name="Normal 4 2 6 3 3 3 2" xfId="36325" xr:uid="{8CC809DC-7B8E-4FBC-ABF7-E4C8A68EC3BE}"/>
    <cellStyle name="Normal 4 2 6 3 3 4" xfId="29715" xr:uid="{00000000-0005-0000-0000-0000A01B0000}"/>
    <cellStyle name="Normal 4 2 6 3 3 4 2" xfId="36326" xr:uid="{81AECDA6-4362-4379-AF67-1865747B14AF}"/>
    <cellStyle name="Normal 4 2 6 3 3 5" xfId="29716" xr:uid="{00000000-0005-0000-0000-0000A11B0000}"/>
    <cellStyle name="Normal 4 2 6 3 3 5 2" xfId="36327" xr:uid="{3FD69D26-DC01-49C9-A1D3-0BAEE5FCB5F9}"/>
    <cellStyle name="Normal 4 2 6 3 3 6" xfId="36321" xr:uid="{D14D9358-6F9D-4286-9D85-0CA94FE8CD0B}"/>
    <cellStyle name="Normal 4 2 6 3 4" xfId="29717" xr:uid="{00000000-0005-0000-0000-0000A21B0000}"/>
    <cellStyle name="Normal 4 2 6 3 4 2" xfId="29718" xr:uid="{00000000-0005-0000-0000-0000A31B0000}"/>
    <cellStyle name="Normal 4 2 6 3 4 2 2" xfId="36329" xr:uid="{A29B92B9-F9FE-45D5-9705-EEA1236F26F9}"/>
    <cellStyle name="Normal 4 2 6 3 4 3" xfId="29719" xr:uid="{00000000-0005-0000-0000-0000A41B0000}"/>
    <cellStyle name="Normal 4 2 6 3 4 3 2" xfId="36330" xr:uid="{1FB17AD3-DCF3-499E-B26E-CDD32403410B}"/>
    <cellStyle name="Normal 4 2 6 3 4 4" xfId="36328" xr:uid="{6DFD131B-79FE-4BAF-A4C4-9FDE7A51C80B}"/>
    <cellStyle name="Normal 4 2 6 3 5" xfId="29720" xr:uid="{00000000-0005-0000-0000-0000A51B0000}"/>
    <cellStyle name="Normal 4 2 6 3 5 2" xfId="36331" xr:uid="{30962A5D-653F-47B3-AC8B-3037505B6246}"/>
    <cellStyle name="Normal 4 2 6 3 6" xfId="29721" xr:uid="{00000000-0005-0000-0000-0000A61B0000}"/>
    <cellStyle name="Normal 4 2 6 3 6 2" xfId="36332" xr:uid="{482263B7-1B8E-40BA-8469-1A0088D01581}"/>
    <cellStyle name="Normal 4 2 6 3 7" xfId="29722" xr:uid="{00000000-0005-0000-0000-0000A71B0000}"/>
    <cellStyle name="Normal 4 2 6 3 7 2" xfId="36333" xr:uid="{F0DB52C8-F531-4F7E-99A1-6619E9DC29E9}"/>
    <cellStyle name="Normal 4 2 6 3 8" xfId="36313" xr:uid="{1E02BC98-2E90-4109-BFFF-1E8E0FC51D49}"/>
    <cellStyle name="Normal 4 2 6 4" xfId="29723" xr:uid="{00000000-0005-0000-0000-0000A81B0000}"/>
    <cellStyle name="Normal 4 2 6 4 2" xfId="29724" xr:uid="{00000000-0005-0000-0000-0000A91B0000}"/>
    <cellStyle name="Normal 4 2 6 4 2 2" xfId="29725" xr:uid="{00000000-0005-0000-0000-0000AA1B0000}"/>
    <cellStyle name="Normal 4 2 6 4 2 2 2" xfId="36336" xr:uid="{9E47F546-FDFE-4D29-B0EA-2FD8B1F51DB2}"/>
    <cellStyle name="Normal 4 2 6 4 2 3" xfId="29726" xr:uid="{00000000-0005-0000-0000-0000AB1B0000}"/>
    <cellStyle name="Normal 4 2 6 4 2 3 2" xfId="36337" xr:uid="{1BF176A3-0AA3-47BC-998F-9D3C1F57F5D7}"/>
    <cellStyle name="Normal 4 2 6 4 2 4" xfId="36335" xr:uid="{DEE1653B-436F-4BE0-A9AD-81550D86325F}"/>
    <cellStyle name="Normal 4 2 6 4 3" xfId="29727" xr:uid="{00000000-0005-0000-0000-0000AC1B0000}"/>
    <cellStyle name="Normal 4 2 6 4 3 2" xfId="36338" xr:uid="{2B1DE77E-0A34-4560-90D3-0E75767C0E5F}"/>
    <cellStyle name="Normal 4 2 6 4 4" xfId="29728" xr:uid="{00000000-0005-0000-0000-0000AD1B0000}"/>
    <cellStyle name="Normal 4 2 6 4 4 2" xfId="36339" xr:uid="{88FC5FC0-00ED-4374-9BA5-5D02472A46D9}"/>
    <cellStyle name="Normal 4 2 6 4 5" xfId="29729" xr:uid="{00000000-0005-0000-0000-0000AE1B0000}"/>
    <cellStyle name="Normal 4 2 6 4 5 2" xfId="36340" xr:uid="{38B5C40B-8605-4882-A063-678B91DBDFF9}"/>
    <cellStyle name="Normal 4 2 6 4 6" xfId="36334" xr:uid="{D13963B0-0881-48EB-BF3C-159EFE3302B2}"/>
    <cellStyle name="Normal 4 2 6 5" xfId="29730" xr:uid="{00000000-0005-0000-0000-0000AF1B0000}"/>
    <cellStyle name="Normal 4 2 6 5 2" xfId="29731" xr:uid="{00000000-0005-0000-0000-0000B01B0000}"/>
    <cellStyle name="Normal 4 2 6 5 2 2" xfId="29732" xr:uid="{00000000-0005-0000-0000-0000B11B0000}"/>
    <cellStyle name="Normal 4 2 6 5 2 2 2" xfId="36343" xr:uid="{D7F614EB-DE95-4E1D-B6DE-A31882DAFBF4}"/>
    <cellStyle name="Normal 4 2 6 5 2 3" xfId="29733" xr:uid="{00000000-0005-0000-0000-0000B21B0000}"/>
    <cellStyle name="Normal 4 2 6 5 2 3 2" xfId="36344" xr:uid="{A75FACFF-6B68-40B4-BF6A-408BACF073E5}"/>
    <cellStyle name="Normal 4 2 6 5 2 4" xfId="36342" xr:uid="{12BF8083-43BC-44C7-A667-2A37E50F5959}"/>
    <cellStyle name="Normal 4 2 6 5 3" xfId="29734" xr:uid="{00000000-0005-0000-0000-0000B31B0000}"/>
    <cellStyle name="Normal 4 2 6 5 3 2" xfId="36345" xr:uid="{3028966F-C4D5-4BC3-AF58-F5A1E21C4334}"/>
    <cellStyle name="Normal 4 2 6 5 4" xfId="29735" xr:uid="{00000000-0005-0000-0000-0000B41B0000}"/>
    <cellStyle name="Normal 4 2 6 5 4 2" xfId="36346" xr:uid="{ECFCABAD-8DE4-414F-92B2-E6A78C40632D}"/>
    <cellStyle name="Normal 4 2 6 5 5" xfId="29736" xr:uid="{00000000-0005-0000-0000-0000B51B0000}"/>
    <cellStyle name="Normal 4 2 6 5 5 2" xfId="36347" xr:uid="{3632E6AD-2B89-4A28-8656-056C460F0A1D}"/>
    <cellStyle name="Normal 4 2 6 5 6" xfId="36341" xr:uid="{C3413016-38F6-423C-A6CD-C41101003952}"/>
    <cellStyle name="Normal 4 2 6 6" xfId="29737" xr:uid="{00000000-0005-0000-0000-0000B61B0000}"/>
    <cellStyle name="Normal 4 2 6 6 2" xfId="29738" xr:uid="{00000000-0005-0000-0000-0000B71B0000}"/>
    <cellStyle name="Normal 4 2 6 6 2 2" xfId="36349" xr:uid="{891DF06B-E02B-43F3-BF39-DBA267414C12}"/>
    <cellStyle name="Normal 4 2 6 6 3" xfId="29739" xr:uid="{00000000-0005-0000-0000-0000B81B0000}"/>
    <cellStyle name="Normal 4 2 6 6 3 2" xfId="36350" xr:uid="{9A8427EB-FACD-41C6-AE12-F5F7EED03038}"/>
    <cellStyle name="Normal 4 2 6 6 4" xfId="36348" xr:uid="{4E96223B-5C07-4539-B243-180D375F7BD3}"/>
    <cellStyle name="Normal 4 2 6 7" xfId="29740" xr:uid="{00000000-0005-0000-0000-0000B91B0000}"/>
    <cellStyle name="Normal 4 2 6 7 2" xfId="36351" xr:uid="{B45A9BD8-0D4F-4772-9F19-ABE7FDB2C1A2}"/>
    <cellStyle name="Normal 4 2 6 8" xfId="29741" xr:uid="{00000000-0005-0000-0000-0000BA1B0000}"/>
    <cellStyle name="Normal 4 2 6 8 2" xfId="36352" xr:uid="{26216C41-5B76-4830-AD25-015115C50A60}"/>
    <cellStyle name="Normal 4 2 6 9" xfId="29742" xr:uid="{00000000-0005-0000-0000-0000BB1B0000}"/>
    <cellStyle name="Normal 4 2 6 9 2" xfId="36353" xr:uid="{E79799E2-4111-4567-9DE0-6026968E833A}"/>
    <cellStyle name="Normal 4 2 7" xfId="24140" xr:uid="{00000000-0005-0000-0000-0000BC1B0000}"/>
    <cellStyle name="Normal 4 2 7 10" xfId="29743" xr:uid="{00000000-0005-0000-0000-0000BD1B0000}"/>
    <cellStyle name="Normal 4 2 7 11" xfId="36354" xr:uid="{E1B55BA2-BB60-4A42-B187-3874F9C11572}"/>
    <cellStyle name="Normal 4 2 7 2" xfId="29744" xr:uid="{00000000-0005-0000-0000-0000BE1B0000}"/>
    <cellStyle name="Normal 4 2 7 2 2" xfId="29745" xr:uid="{00000000-0005-0000-0000-0000BF1B0000}"/>
    <cellStyle name="Normal 4 2 7 2 2 2" xfId="29746" xr:uid="{00000000-0005-0000-0000-0000C01B0000}"/>
    <cellStyle name="Normal 4 2 7 2 2 2 2" xfId="29747" xr:uid="{00000000-0005-0000-0000-0000C11B0000}"/>
    <cellStyle name="Normal 4 2 7 2 2 2 2 2" xfId="29748" xr:uid="{00000000-0005-0000-0000-0000C21B0000}"/>
    <cellStyle name="Normal 4 2 7 2 2 2 2 2 2" xfId="36359" xr:uid="{F7B63800-EB72-47A3-B06B-42DB98D0C27E}"/>
    <cellStyle name="Normal 4 2 7 2 2 2 2 3" xfId="29749" xr:uid="{00000000-0005-0000-0000-0000C31B0000}"/>
    <cellStyle name="Normal 4 2 7 2 2 2 2 3 2" xfId="36360" xr:uid="{083D3C95-4251-4F0E-AD8A-AFF829F1BC45}"/>
    <cellStyle name="Normal 4 2 7 2 2 2 2 4" xfId="36358" xr:uid="{631A0F2F-E615-4703-BEAC-85843F1582C6}"/>
    <cellStyle name="Normal 4 2 7 2 2 2 3" xfId="29750" xr:uid="{00000000-0005-0000-0000-0000C41B0000}"/>
    <cellStyle name="Normal 4 2 7 2 2 2 3 2" xfId="36361" xr:uid="{6E14E88B-950F-4992-B200-FEBAA8892EAD}"/>
    <cellStyle name="Normal 4 2 7 2 2 2 4" xfId="29751" xr:uid="{00000000-0005-0000-0000-0000C51B0000}"/>
    <cellStyle name="Normal 4 2 7 2 2 2 4 2" xfId="36362" xr:uid="{8B34E7F6-B136-4C8A-9AC4-18C07737E46E}"/>
    <cellStyle name="Normal 4 2 7 2 2 2 5" xfId="29752" xr:uid="{00000000-0005-0000-0000-0000C61B0000}"/>
    <cellStyle name="Normal 4 2 7 2 2 2 5 2" xfId="36363" xr:uid="{5339FA07-939C-4347-8BC8-5CEE004F3796}"/>
    <cellStyle name="Normal 4 2 7 2 2 2 6" xfId="36357" xr:uid="{D35FDA12-C2B1-441B-A8DC-3069CC9121B3}"/>
    <cellStyle name="Normal 4 2 7 2 2 3" xfId="29753" xr:uid="{00000000-0005-0000-0000-0000C71B0000}"/>
    <cellStyle name="Normal 4 2 7 2 2 3 2" xfId="29754" xr:uid="{00000000-0005-0000-0000-0000C81B0000}"/>
    <cellStyle name="Normal 4 2 7 2 2 3 2 2" xfId="29755" xr:uid="{00000000-0005-0000-0000-0000C91B0000}"/>
    <cellStyle name="Normal 4 2 7 2 2 3 2 2 2" xfId="36366" xr:uid="{A36FACD8-C4B4-430A-A9B6-1CF7A08A8559}"/>
    <cellStyle name="Normal 4 2 7 2 2 3 2 3" xfId="29756" xr:uid="{00000000-0005-0000-0000-0000CA1B0000}"/>
    <cellStyle name="Normal 4 2 7 2 2 3 2 3 2" xfId="36367" xr:uid="{09227D78-20A6-4964-B4B2-3AB1848D964C}"/>
    <cellStyle name="Normal 4 2 7 2 2 3 2 4" xfId="36365" xr:uid="{A93FED66-49D3-4B63-9BC3-7CD2CE6D9C27}"/>
    <cellStyle name="Normal 4 2 7 2 2 3 3" xfId="29757" xr:uid="{00000000-0005-0000-0000-0000CB1B0000}"/>
    <cellStyle name="Normal 4 2 7 2 2 3 3 2" xfId="36368" xr:uid="{19C28198-CDA1-4731-9466-29110573B5BC}"/>
    <cellStyle name="Normal 4 2 7 2 2 3 4" xfId="29758" xr:uid="{00000000-0005-0000-0000-0000CC1B0000}"/>
    <cellStyle name="Normal 4 2 7 2 2 3 4 2" xfId="36369" xr:uid="{C84BFDA4-0D6B-4EED-912B-E0963373D2A0}"/>
    <cellStyle name="Normal 4 2 7 2 2 3 5" xfId="29759" xr:uid="{00000000-0005-0000-0000-0000CD1B0000}"/>
    <cellStyle name="Normal 4 2 7 2 2 3 5 2" xfId="36370" xr:uid="{8F901B35-A06D-4587-976F-E337D49E538C}"/>
    <cellStyle name="Normal 4 2 7 2 2 3 6" xfId="36364" xr:uid="{BC003D6D-3BF4-4642-82E7-958C874C9D0F}"/>
    <cellStyle name="Normal 4 2 7 2 2 4" xfId="29760" xr:uid="{00000000-0005-0000-0000-0000CE1B0000}"/>
    <cellStyle name="Normal 4 2 7 2 2 4 2" xfId="29761" xr:uid="{00000000-0005-0000-0000-0000CF1B0000}"/>
    <cellStyle name="Normal 4 2 7 2 2 4 2 2" xfId="36372" xr:uid="{87F51E7C-3AAA-4C85-8096-B8249254A050}"/>
    <cellStyle name="Normal 4 2 7 2 2 4 3" xfId="29762" xr:uid="{00000000-0005-0000-0000-0000D01B0000}"/>
    <cellStyle name="Normal 4 2 7 2 2 4 3 2" xfId="36373" xr:uid="{25583FE1-70AD-4C39-96D2-AB0072F31511}"/>
    <cellStyle name="Normal 4 2 7 2 2 4 4" xfId="36371" xr:uid="{C44A0E5B-619D-40FA-89E6-3F129C8A452E}"/>
    <cellStyle name="Normal 4 2 7 2 2 5" xfId="29763" xr:uid="{00000000-0005-0000-0000-0000D11B0000}"/>
    <cellStyle name="Normal 4 2 7 2 2 5 2" xfId="36374" xr:uid="{DA3FE4CA-132B-41DC-9941-B345EC77181F}"/>
    <cellStyle name="Normal 4 2 7 2 2 6" xfId="29764" xr:uid="{00000000-0005-0000-0000-0000D21B0000}"/>
    <cellStyle name="Normal 4 2 7 2 2 6 2" xfId="36375" xr:uid="{FF59B07D-EB39-4008-8A43-17EA562628F2}"/>
    <cellStyle name="Normal 4 2 7 2 2 7" xfId="29765" xr:uid="{00000000-0005-0000-0000-0000D31B0000}"/>
    <cellStyle name="Normal 4 2 7 2 2 7 2" xfId="36376" xr:uid="{AB666317-14DB-471A-8833-FE5A36E234FD}"/>
    <cellStyle name="Normal 4 2 7 2 2 8" xfId="36356" xr:uid="{99C98165-F5D5-4C7A-AF7F-B68D6B6F0F88}"/>
    <cellStyle name="Normal 4 2 7 2 3" xfId="29766" xr:uid="{00000000-0005-0000-0000-0000D41B0000}"/>
    <cellStyle name="Normal 4 2 7 2 3 2" xfId="29767" xr:uid="{00000000-0005-0000-0000-0000D51B0000}"/>
    <cellStyle name="Normal 4 2 7 2 3 2 2" xfId="29768" xr:uid="{00000000-0005-0000-0000-0000D61B0000}"/>
    <cellStyle name="Normal 4 2 7 2 3 2 2 2" xfId="36379" xr:uid="{BA1E7BE8-477D-4062-B058-7EEC72A385E3}"/>
    <cellStyle name="Normal 4 2 7 2 3 2 3" xfId="29769" xr:uid="{00000000-0005-0000-0000-0000D71B0000}"/>
    <cellStyle name="Normal 4 2 7 2 3 2 3 2" xfId="36380" xr:uid="{624C89BE-75A7-44CE-AA9C-DF23B652B6D2}"/>
    <cellStyle name="Normal 4 2 7 2 3 2 4" xfId="36378" xr:uid="{D48994A3-52B3-4256-8BC1-0AD49FF5A06B}"/>
    <cellStyle name="Normal 4 2 7 2 3 3" xfId="29770" xr:uid="{00000000-0005-0000-0000-0000D81B0000}"/>
    <cellStyle name="Normal 4 2 7 2 3 3 2" xfId="36381" xr:uid="{0A502619-D5E2-480B-9921-42ADB8063E2E}"/>
    <cellStyle name="Normal 4 2 7 2 3 4" xfId="29771" xr:uid="{00000000-0005-0000-0000-0000D91B0000}"/>
    <cellStyle name="Normal 4 2 7 2 3 4 2" xfId="36382" xr:uid="{264ECDB2-4539-44DD-8743-B07FC8011FD5}"/>
    <cellStyle name="Normal 4 2 7 2 3 5" xfId="29772" xr:uid="{00000000-0005-0000-0000-0000DA1B0000}"/>
    <cellStyle name="Normal 4 2 7 2 3 5 2" xfId="36383" xr:uid="{12E1F3A0-FF53-424C-B49B-75D9084B8919}"/>
    <cellStyle name="Normal 4 2 7 2 3 6" xfId="36377" xr:uid="{84577074-75C3-48D0-89CC-F30C572B9A5B}"/>
    <cellStyle name="Normal 4 2 7 2 4" xfId="29773" xr:uid="{00000000-0005-0000-0000-0000DB1B0000}"/>
    <cellStyle name="Normal 4 2 7 2 4 2" xfId="29774" xr:uid="{00000000-0005-0000-0000-0000DC1B0000}"/>
    <cellStyle name="Normal 4 2 7 2 4 2 2" xfId="29775" xr:uid="{00000000-0005-0000-0000-0000DD1B0000}"/>
    <cellStyle name="Normal 4 2 7 2 4 2 2 2" xfId="36386" xr:uid="{74D37B24-D279-4724-B39A-9E010F2D0E8D}"/>
    <cellStyle name="Normal 4 2 7 2 4 2 3" xfId="29776" xr:uid="{00000000-0005-0000-0000-0000DE1B0000}"/>
    <cellStyle name="Normal 4 2 7 2 4 2 3 2" xfId="36387" xr:uid="{0587CD80-EE3D-4615-A1EE-8D1CC175761F}"/>
    <cellStyle name="Normal 4 2 7 2 4 2 4" xfId="36385" xr:uid="{987B4B96-C92E-48BC-BEAE-DD3D5B420968}"/>
    <cellStyle name="Normal 4 2 7 2 4 3" xfId="29777" xr:uid="{00000000-0005-0000-0000-0000DF1B0000}"/>
    <cellStyle name="Normal 4 2 7 2 4 3 2" xfId="36388" xr:uid="{F7954C27-7167-4543-B120-4062963DF7D2}"/>
    <cellStyle name="Normal 4 2 7 2 4 4" xfId="29778" xr:uid="{00000000-0005-0000-0000-0000E01B0000}"/>
    <cellStyle name="Normal 4 2 7 2 4 4 2" xfId="36389" xr:uid="{0ED6614A-4464-42AD-B0E8-76DCC1A803E0}"/>
    <cellStyle name="Normal 4 2 7 2 4 5" xfId="29779" xr:uid="{00000000-0005-0000-0000-0000E11B0000}"/>
    <cellStyle name="Normal 4 2 7 2 4 5 2" xfId="36390" xr:uid="{F0D396BA-535D-45A0-B8CC-EC7EAC242D03}"/>
    <cellStyle name="Normal 4 2 7 2 4 6" xfId="36384" xr:uid="{0A759C3C-373C-4A5E-963C-3380CE5D13F5}"/>
    <cellStyle name="Normal 4 2 7 2 5" xfId="29780" xr:uid="{00000000-0005-0000-0000-0000E21B0000}"/>
    <cellStyle name="Normal 4 2 7 2 5 2" xfId="29781" xr:uid="{00000000-0005-0000-0000-0000E31B0000}"/>
    <cellStyle name="Normal 4 2 7 2 5 2 2" xfId="36392" xr:uid="{F8FDCD1D-D5A9-4047-AC07-656E8C58A5DB}"/>
    <cellStyle name="Normal 4 2 7 2 5 3" xfId="29782" xr:uid="{00000000-0005-0000-0000-0000E41B0000}"/>
    <cellStyle name="Normal 4 2 7 2 5 3 2" xfId="36393" xr:uid="{24E64D23-FC8D-4568-A0CD-193D78EF9423}"/>
    <cellStyle name="Normal 4 2 7 2 5 4" xfId="36391" xr:uid="{F0ACD355-8B88-4FFD-B465-844EF16C38E1}"/>
    <cellStyle name="Normal 4 2 7 2 6" xfId="29783" xr:uid="{00000000-0005-0000-0000-0000E51B0000}"/>
    <cellStyle name="Normal 4 2 7 2 6 2" xfId="36394" xr:uid="{F38AE1B1-A812-439A-9FE1-A3808E3A04AF}"/>
    <cellStyle name="Normal 4 2 7 2 7" xfId="29784" xr:uid="{00000000-0005-0000-0000-0000E61B0000}"/>
    <cellStyle name="Normal 4 2 7 2 7 2" xfId="36395" xr:uid="{C69E8EFC-3787-4543-81B5-C6A9D10C7409}"/>
    <cellStyle name="Normal 4 2 7 2 8" xfId="29785" xr:uid="{00000000-0005-0000-0000-0000E71B0000}"/>
    <cellStyle name="Normal 4 2 7 2 8 2" xfId="36396" xr:uid="{D83913C1-7CD9-4E01-B3B6-28BDC8DAFB38}"/>
    <cellStyle name="Normal 4 2 7 2 9" xfId="36355" xr:uid="{5CCBC515-105A-4018-B257-C6089415DF61}"/>
    <cellStyle name="Normal 4 2 7 3" xfId="29786" xr:uid="{00000000-0005-0000-0000-0000E81B0000}"/>
    <cellStyle name="Normal 4 2 7 3 2" xfId="29787" xr:uid="{00000000-0005-0000-0000-0000E91B0000}"/>
    <cellStyle name="Normal 4 2 7 3 2 2" xfId="29788" xr:uid="{00000000-0005-0000-0000-0000EA1B0000}"/>
    <cellStyle name="Normal 4 2 7 3 2 2 2" xfId="29789" xr:uid="{00000000-0005-0000-0000-0000EB1B0000}"/>
    <cellStyle name="Normal 4 2 7 3 2 2 2 2" xfId="36400" xr:uid="{4883D409-569B-4134-BE4E-CCC93B91AD25}"/>
    <cellStyle name="Normal 4 2 7 3 2 2 3" xfId="29790" xr:uid="{00000000-0005-0000-0000-0000EC1B0000}"/>
    <cellStyle name="Normal 4 2 7 3 2 2 3 2" xfId="36401" xr:uid="{92A34982-01FF-4FA4-84DC-0507FF79A817}"/>
    <cellStyle name="Normal 4 2 7 3 2 2 4" xfId="36399" xr:uid="{08F9B09C-8B22-49F2-9E22-95FAC318E883}"/>
    <cellStyle name="Normal 4 2 7 3 2 3" xfId="29791" xr:uid="{00000000-0005-0000-0000-0000ED1B0000}"/>
    <cellStyle name="Normal 4 2 7 3 2 3 2" xfId="36402" xr:uid="{BDAE4DD0-89CC-46F9-9E8D-3C0223249E19}"/>
    <cellStyle name="Normal 4 2 7 3 2 4" xfId="29792" xr:uid="{00000000-0005-0000-0000-0000EE1B0000}"/>
    <cellStyle name="Normal 4 2 7 3 2 4 2" xfId="36403" xr:uid="{B05C9E26-5CA1-4EFC-BC59-133F4C70353E}"/>
    <cellStyle name="Normal 4 2 7 3 2 5" xfId="29793" xr:uid="{00000000-0005-0000-0000-0000EF1B0000}"/>
    <cellStyle name="Normal 4 2 7 3 2 5 2" xfId="36404" xr:uid="{CE59A8A1-846F-49C5-B17B-8F00D6198165}"/>
    <cellStyle name="Normal 4 2 7 3 2 6" xfId="36398" xr:uid="{D400FDE0-27B2-4C1F-AC7E-C0286B735F55}"/>
    <cellStyle name="Normal 4 2 7 3 3" xfId="29794" xr:uid="{00000000-0005-0000-0000-0000F01B0000}"/>
    <cellStyle name="Normal 4 2 7 3 3 2" xfId="29795" xr:uid="{00000000-0005-0000-0000-0000F11B0000}"/>
    <cellStyle name="Normal 4 2 7 3 3 2 2" xfId="29796" xr:uid="{00000000-0005-0000-0000-0000F21B0000}"/>
    <cellStyle name="Normal 4 2 7 3 3 2 2 2" xfId="36407" xr:uid="{48D4B836-32C5-4F83-86CE-0F3960A3881D}"/>
    <cellStyle name="Normal 4 2 7 3 3 2 3" xfId="29797" xr:uid="{00000000-0005-0000-0000-0000F31B0000}"/>
    <cellStyle name="Normal 4 2 7 3 3 2 3 2" xfId="36408" xr:uid="{A8D1FD11-A46E-4C8C-A504-B13A144DF5C9}"/>
    <cellStyle name="Normal 4 2 7 3 3 2 4" xfId="36406" xr:uid="{A7539984-917C-40ED-BF00-E92D14B88D28}"/>
    <cellStyle name="Normal 4 2 7 3 3 3" xfId="29798" xr:uid="{00000000-0005-0000-0000-0000F41B0000}"/>
    <cellStyle name="Normal 4 2 7 3 3 3 2" xfId="36409" xr:uid="{EA82353C-C6B0-4E8D-80D2-88F4D0838D56}"/>
    <cellStyle name="Normal 4 2 7 3 3 4" xfId="29799" xr:uid="{00000000-0005-0000-0000-0000F51B0000}"/>
    <cellStyle name="Normal 4 2 7 3 3 4 2" xfId="36410" xr:uid="{D6DE6E2C-2EFC-4358-BB07-5756D72D5A96}"/>
    <cellStyle name="Normal 4 2 7 3 3 5" xfId="29800" xr:uid="{00000000-0005-0000-0000-0000F61B0000}"/>
    <cellStyle name="Normal 4 2 7 3 3 5 2" xfId="36411" xr:uid="{A449A6A2-A9C8-4B56-837C-5A96564AAAC7}"/>
    <cellStyle name="Normal 4 2 7 3 3 6" xfId="36405" xr:uid="{2BB37542-5672-40C3-B0C3-43F535C9EBFB}"/>
    <cellStyle name="Normal 4 2 7 3 4" xfId="29801" xr:uid="{00000000-0005-0000-0000-0000F71B0000}"/>
    <cellStyle name="Normal 4 2 7 3 4 2" xfId="29802" xr:uid="{00000000-0005-0000-0000-0000F81B0000}"/>
    <cellStyle name="Normal 4 2 7 3 4 2 2" xfId="36413" xr:uid="{407BD349-4C00-4944-B176-18054F01EA38}"/>
    <cellStyle name="Normal 4 2 7 3 4 3" xfId="29803" xr:uid="{00000000-0005-0000-0000-0000F91B0000}"/>
    <cellStyle name="Normal 4 2 7 3 4 3 2" xfId="36414" xr:uid="{04167892-F438-4DD2-BD73-1F727675E323}"/>
    <cellStyle name="Normal 4 2 7 3 4 4" xfId="36412" xr:uid="{816C5AE2-693A-4DE9-A34E-459ECE30D7EF}"/>
    <cellStyle name="Normal 4 2 7 3 5" xfId="29804" xr:uid="{00000000-0005-0000-0000-0000FA1B0000}"/>
    <cellStyle name="Normal 4 2 7 3 5 2" xfId="36415" xr:uid="{62A9E252-0ECF-45BF-B405-2068D381A035}"/>
    <cellStyle name="Normal 4 2 7 3 6" xfId="29805" xr:uid="{00000000-0005-0000-0000-0000FB1B0000}"/>
    <cellStyle name="Normal 4 2 7 3 6 2" xfId="36416" xr:uid="{A407065A-C44C-452F-918B-3932447E3770}"/>
    <cellStyle name="Normal 4 2 7 3 7" xfId="29806" xr:uid="{00000000-0005-0000-0000-0000FC1B0000}"/>
    <cellStyle name="Normal 4 2 7 3 7 2" xfId="36417" xr:uid="{DBE6FAF7-12AD-4018-B1D1-7B414FC1F54E}"/>
    <cellStyle name="Normal 4 2 7 3 8" xfId="36397" xr:uid="{40FECEC7-BF24-4282-A53D-D2C668E35EE9}"/>
    <cellStyle name="Normal 4 2 7 4" xfId="29807" xr:uid="{00000000-0005-0000-0000-0000FD1B0000}"/>
    <cellStyle name="Normal 4 2 7 4 2" xfId="29808" xr:uid="{00000000-0005-0000-0000-0000FE1B0000}"/>
    <cellStyle name="Normal 4 2 7 4 2 2" xfId="29809" xr:uid="{00000000-0005-0000-0000-0000FF1B0000}"/>
    <cellStyle name="Normal 4 2 7 4 2 2 2" xfId="36420" xr:uid="{44EB9F73-0606-4D09-A88D-5A5F1C37FEFD}"/>
    <cellStyle name="Normal 4 2 7 4 2 3" xfId="29810" xr:uid="{00000000-0005-0000-0000-0000001C0000}"/>
    <cellStyle name="Normal 4 2 7 4 2 3 2" xfId="36421" xr:uid="{E950C60A-9077-4B24-9600-DE3A1914F36F}"/>
    <cellStyle name="Normal 4 2 7 4 2 4" xfId="36419" xr:uid="{B36F1C21-E1CE-4D6C-A9C3-8B425AC2967F}"/>
    <cellStyle name="Normal 4 2 7 4 3" xfId="29811" xr:uid="{00000000-0005-0000-0000-0000011C0000}"/>
    <cellStyle name="Normal 4 2 7 4 3 2" xfId="36422" xr:uid="{9B24DD60-94AA-4C50-A58B-90E58A695AF4}"/>
    <cellStyle name="Normal 4 2 7 4 4" xfId="29812" xr:uid="{00000000-0005-0000-0000-0000021C0000}"/>
    <cellStyle name="Normal 4 2 7 4 4 2" xfId="36423" xr:uid="{A7F1D17E-48E7-4EC8-B50E-E6538CF14E84}"/>
    <cellStyle name="Normal 4 2 7 4 5" xfId="29813" xr:uid="{00000000-0005-0000-0000-0000031C0000}"/>
    <cellStyle name="Normal 4 2 7 4 5 2" xfId="36424" xr:uid="{0CCED782-8821-4115-9E8B-1741BBF2F992}"/>
    <cellStyle name="Normal 4 2 7 4 6" xfId="36418" xr:uid="{0B84D490-5E93-44BB-995F-73F8DCB482D9}"/>
    <cellStyle name="Normal 4 2 7 5" xfId="29814" xr:uid="{00000000-0005-0000-0000-0000041C0000}"/>
    <cellStyle name="Normal 4 2 7 5 2" xfId="29815" xr:uid="{00000000-0005-0000-0000-0000051C0000}"/>
    <cellStyle name="Normal 4 2 7 5 2 2" xfId="29816" xr:uid="{00000000-0005-0000-0000-0000061C0000}"/>
    <cellStyle name="Normal 4 2 7 5 2 2 2" xfId="36427" xr:uid="{99427076-7158-4756-BF4D-BE3343311A3D}"/>
    <cellStyle name="Normal 4 2 7 5 2 3" xfId="29817" xr:uid="{00000000-0005-0000-0000-0000071C0000}"/>
    <cellStyle name="Normal 4 2 7 5 2 3 2" xfId="36428" xr:uid="{196A2FDC-490A-40AB-AEE4-974857220AE7}"/>
    <cellStyle name="Normal 4 2 7 5 2 4" xfId="36426" xr:uid="{B68D6851-6555-4310-90ED-BD443F23E2C5}"/>
    <cellStyle name="Normal 4 2 7 5 3" xfId="29818" xr:uid="{00000000-0005-0000-0000-0000081C0000}"/>
    <cellStyle name="Normal 4 2 7 5 3 2" xfId="36429" xr:uid="{FD3FDF87-D391-4886-BE80-B21F58646453}"/>
    <cellStyle name="Normal 4 2 7 5 4" xfId="29819" xr:uid="{00000000-0005-0000-0000-0000091C0000}"/>
    <cellStyle name="Normal 4 2 7 5 4 2" xfId="36430" xr:uid="{A8D474A3-8A7C-48C9-8C3E-296697910458}"/>
    <cellStyle name="Normal 4 2 7 5 5" xfId="29820" xr:uid="{00000000-0005-0000-0000-00000A1C0000}"/>
    <cellStyle name="Normal 4 2 7 5 5 2" xfId="36431" xr:uid="{57FD2FF4-4786-498E-9E5D-CBB8CFCB8BB9}"/>
    <cellStyle name="Normal 4 2 7 5 6" xfId="36425" xr:uid="{490C7F7F-FE71-403E-ABF3-58D46D3A0939}"/>
    <cellStyle name="Normal 4 2 7 6" xfId="29821" xr:uid="{00000000-0005-0000-0000-00000B1C0000}"/>
    <cellStyle name="Normal 4 2 7 6 2" xfId="29822" xr:uid="{00000000-0005-0000-0000-00000C1C0000}"/>
    <cellStyle name="Normal 4 2 7 6 2 2" xfId="36433" xr:uid="{235DF256-13BB-4F4D-8D7E-FDDBF023624F}"/>
    <cellStyle name="Normal 4 2 7 6 3" xfId="29823" xr:uid="{00000000-0005-0000-0000-00000D1C0000}"/>
    <cellStyle name="Normal 4 2 7 6 3 2" xfId="36434" xr:uid="{263EBB8A-3161-45F1-A0CE-4415F9F54157}"/>
    <cellStyle name="Normal 4 2 7 6 4" xfId="36432" xr:uid="{278C982E-0DC7-4BF8-A1D4-97C77588EFC2}"/>
    <cellStyle name="Normal 4 2 7 7" xfId="29824" xr:uid="{00000000-0005-0000-0000-00000E1C0000}"/>
    <cellStyle name="Normal 4 2 7 7 2" xfId="36435" xr:uid="{B1804321-EA64-4CB0-B6B9-5D6541974C1A}"/>
    <cellStyle name="Normal 4 2 7 8" xfId="29825" xr:uid="{00000000-0005-0000-0000-00000F1C0000}"/>
    <cellStyle name="Normal 4 2 7 8 2" xfId="36436" xr:uid="{F21A0F67-306F-4BD7-A399-BCE0BA4807AF}"/>
    <cellStyle name="Normal 4 2 7 9" xfId="29826" xr:uid="{00000000-0005-0000-0000-0000101C0000}"/>
    <cellStyle name="Normal 4 2 7 9 2" xfId="36437" xr:uid="{99E26D34-B78A-42C3-9600-908FA0802E5F}"/>
    <cellStyle name="Normal 4 2 8" xfId="5244" xr:uid="{00000000-0005-0000-0000-0000111C0000}"/>
    <cellStyle name="Normal 4 2 8 10" xfId="36438" xr:uid="{EAF3F406-4CAB-434E-9ED8-985D0CC3C7BB}"/>
    <cellStyle name="Normal 4 2 8 2" xfId="29828" xr:uid="{00000000-0005-0000-0000-0000121C0000}"/>
    <cellStyle name="Normal 4 2 8 2 2" xfId="29829" xr:uid="{00000000-0005-0000-0000-0000131C0000}"/>
    <cellStyle name="Normal 4 2 8 2 2 2" xfId="29830" xr:uid="{00000000-0005-0000-0000-0000141C0000}"/>
    <cellStyle name="Normal 4 2 8 2 2 2 2" xfId="29831" xr:uid="{00000000-0005-0000-0000-0000151C0000}"/>
    <cellStyle name="Normal 4 2 8 2 2 2 2 2" xfId="36442" xr:uid="{E12C9901-8DA1-4F9C-9973-A4D351EE607E}"/>
    <cellStyle name="Normal 4 2 8 2 2 2 3" xfId="29832" xr:uid="{00000000-0005-0000-0000-0000161C0000}"/>
    <cellStyle name="Normal 4 2 8 2 2 2 3 2" xfId="36443" xr:uid="{D910FD25-116C-417B-B2AF-472190B19EF3}"/>
    <cellStyle name="Normal 4 2 8 2 2 2 4" xfId="36441" xr:uid="{1899C17E-5C60-4E47-8F54-739222246B74}"/>
    <cellStyle name="Normal 4 2 8 2 2 3" xfId="29833" xr:uid="{00000000-0005-0000-0000-0000171C0000}"/>
    <cellStyle name="Normal 4 2 8 2 2 3 2" xfId="36444" xr:uid="{7AE1DAD7-9AB7-4209-9F7B-0CE4CE4F3754}"/>
    <cellStyle name="Normal 4 2 8 2 2 4" xfId="29834" xr:uid="{00000000-0005-0000-0000-0000181C0000}"/>
    <cellStyle name="Normal 4 2 8 2 2 4 2" xfId="36445" xr:uid="{B4E47C67-0210-4FAE-9A29-017C12B281C3}"/>
    <cellStyle name="Normal 4 2 8 2 2 5" xfId="29835" xr:uid="{00000000-0005-0000-0000-0000191C0000}"/>
    <cellStyle name="Normal 4 2 8 2 2 5 2" xfId="36446" xr:uid="{F1891205-2F35-4E53-9C13-4BEF1FCE3304}"/>
    <cellStyle name="Normal 4 2 8 2 2 6" xfId="36440" xr:uid="{97A760E3-F0AC-4B63-A344-F45107A9CA26}"/>
    <cellStyle name="Normal 4 2 8 2 3" xfId="29836" xr:uid="{00000000-0005-0000-0000-00001A1C0000}"/>
    <cellStyle name="Normal 4 2 8 2 3 2" xfId="29837" xr:uid="{00000000-0005-0000-0000-00001B1C0000}"/>
    <cellStyle name="Normal 4 2 8 2 3 2 2" xfId="29838" xr:uid="{00000000-0005-0000-0000-00001C1C0000}"/>
    <cellStyle name="Normal 4 2 8 2 3 2 2 2" xfId="36449" xr:uid="{29926D9C-210D-43D9-91D8-4F6D6FB7C88A}"/>
    <cellStyle name="Normal 4 2 8 2 3 2 3" xfId="29839" xr:uid="{00000000-0005-0000-0000-00001D1C0000}"/>
    <cellStyle name="Normal 4 2 8 2 3 2 3 2" xfId="36450" xr:uid="{49B6D0C7-A074-4410-A540-D61B59129554}"/>
    <cellStyle name="Normal 4 2 8 2 3 2 4" xfId="36448" xr:uid="{0E0E1643-F0C1-46FE-8A11-69616B62D31A}"/>
    <cellStyle name="Normal 4 2 8 2 3 3" xfId="29840" xr:uid="{00000000-0005-0000-0000-00001E1C0000}"/>
    <cellStyle name="Normal 4 2 8 2 3 3 2" xfId="36451" xr:uid="{4B97C050-5A6B-433C-A665-0B28AAADC1FC}"/>
    <cellStyle name="Normal 4 2 8 2 3 4" xfId="29841" xr:uid="{00000000-0005-0000-0000-00001F1C0000}"/>
    <cellStyle name="Normal 4 2 8 2 3 4 2" xfId="36452" xr:uid="{6FC4CE0A-C6B1-4076-A20F-DF440DF14827}"/>
    <cellStyle name="Normal 4 2 8 2 3 5" xfId="29842" xr:uid="{00000000-0005-0000-0000-0000201C0000}"/>
    <cellStyle name="Normal 4 2 8 2 3 5 2" xfId="36453" xr:uid="{3FE0A0F6-1A99-4F04-B6DB-8E9ECBE8A5B0}"/>
    <cellStyle name="Normal 4 2 8 2 3 6" xfId="36447" xr:uid="{6E2E8A54-E255-4CCB-BA30-6726FBCDB8E7}"/>
    <cellStyle name="Normal 4 2 8 2 4" xfId="29843" xr:uid="{00000000-0005-0000-0000-0000211C0000}"/>
    <cellStyle name="Normal 4 2 8 2 4 2" xfId="29844" xr:uid="{00000000-0005-0000-0000-0000221C0000}"/>
    <cellStyle name="Normal 4 2 8 2 4 2 2" xfId="36455" xr:uid="{877262BB-BDB4-405C-988B-806CD1D29CDE}"/>
    <cellStyle name="Normal 4 2 8 2 4 3" xfId="29845" xr:uid="{00000000-0005-0000-0000-0000231C0000}"/>
    <cellStyle name="Normal 4 2 8 2 4 3 2" xfId="36456" xr:uid="{8AD6ADD8-DF23-4802-94CD-9B48432D0301}"/>
    <cellStyle name="Normal 4 2 8 2 4 4" xfId="36454" xr:uid="{5FF71241-D7AC-4824-96F8-C996A666EC29}"/>
    <cellStyle name="Normal 4 2 8 2 5" xfId="29846" xr:uid="{00000000-0005-0000-0000-0000241C0000}"/>
    <cellStyle name="Normal 4 2 8 2 5 2" xfId="36457" xr:uid="{F2F6B225-BE9A-4236-8D4E-5948225A0518}"/>
    <cellStyle name="Normal 4 2 8 2 6" xfId="29847" xr:uid="{00000000-0005-0000-0000-0000251C0000}"/>
    <cellStyle name="Normal 4 2 8 2 6 2" xfId="36458" xr:uid="{FC5D14F9-96A6-43B7-A9B9-97E385AECC56}"/>
    <cellStyle name="Normal 4 2 8 2 7" xfId="29848" xr:uid="{00000000-0005-0000-0000-0000261C0000}"/>
    <cellStyle name="Normal 4 2 8 2 7 2" xfId="36459" xr:uid="{CDBCF124-6701-44BF-92CC-3A6D9CEAC553}"/>
    <cellStyle name="Normal 4 2 8 2 8" xfId="36439" xr:uid="{CEC73B4C-496F-4999-BB38-5A4AD08A0363}"/>
    <cellStyle name="Normal 4 2 8 3" xfId="29849" xr:uid="{00000000-0005-0000-0000-0000271C0000}"/>
    <cellStyle name="Normal 4 2 8 3 2" xfId="29850" xr:uid="{00000000-0005-0000-0000-0000281C0000}"/>
    <cellStyle name="Normal 4 2 8 3 2 2" xfId="29851" xr:uid="{00000000-0005-0000-0000-0000291C0000}"/>
    <cellStyle name="Normal 4 2 8 3 2 2 2" xfId="36462" xr:uid="{EDAB1FF8-6F53-4561-853B-DA369E32DB0D}"/>
    <cellStyle name="Normal 4 2 8 3 2 3" xfId="29852" xr:uid="{00000000-0005-0000-0000-00002A1C0000}"/>
    <cellStyle name="Normal 4 2 8 3 2 3 2" xfId="36463" xr:uid="{E5B5E088-C422-42C6-A1E8-B7B883AFBB4B}"/>
    <cellStyle name="Normal 4 2 8 3 2 4" xfId="36461" xr:uid="{9B2B325F-BB49-4E28-BA51-35DE438F3C46}"/>
    <cellStyle name="Normal 4 2 8 3 3" xfId="29853" xr:uid="{00000000-0005-0000-0000-00002B1C0000}"/>
    <cellStyle name="Normal 4 2 8 3 3 2" xfId="36464" xr:uid="{F9596C00-82F8-40C3-8BC0-C7BC6A455FDA}"/>
    <cellStyle name="Normal 4 2 8 3 4" xfId="29854" xr:uid="{00000000-0005-0000-0000-00002C1C0000}"/>
    <cellStyle name="Normal 4 2 8 3 4 2" xfId="36465" xr:uid="{9B54977E-BD2B-4FA9-A7AD-CE2F4CC7C2A9}"/>
    <cellStyle name="Normal 4 2 8 3 5" xfId="29855" xr:uid="{00000000-0005-0000-0000-00002D1C0000}"/>
    <cellStyle name="Normal 4 2 8 3 5 2" xfId="36466" xr:uid="{E861E8F9-EDB3-42E5-B712-CFD5AEA1FF9F}"/>
    <cellStyle name="Normal 4 2 8 3 6" xfId="36460" xr:uid="{7DB2A82E-1ED3-4C60-B906-BEAA36E60922}"/>
    <cellStyle name="Normal 4 2 8 4" xfId="29856" xr:uid="{00000000-0005-0000-0000-00002E1C0000}"/>
    <cellStyle name="Normal 4 2 8 4 2" xfId="29857" xr:uid="{00000000-0005-0000-0000-00002F1C0000}"/>
    <cellStyle name="Normal 4 2 8 4 2 2" xfId="29858" xr:uid="{00000000-0005-0000-0000-0000301C0000}"/>
    <cellStyle name="Normal 4 2 8 4 2 2 2" xfId="36469" xr:uid="{816C32EC-40BB-4043-A6B1-2B93EEA0D8F5}"/>
    <cellStyle name="Normal 4 2 8 4 2 3" xfId="29859" xr:uid="{00000000-0005-0000-0000-0000311C0000}"/>
    <cellStyle name="Normal 4 2 8 4 2 3 2" xfId="36470" xr:uid="{F09C30EB-F718-4C38-8C61-996E80258368}"/>
    <cellStyle name="Normal 4 2 8 4 2 4" xfId="36468" xr:uid="{C9DBCD6D-C797-4BE0-B9DC-5AB8FD0646C4}"/>
    <cellStyle name="Normal 4 2 8 4 3" xfId="29860" xr:uid="{00000000-0005-0000-0000-0000321C0000}"/>
    <cellStyle name="Normal 4 2 8 4 3 2" xfId="36471" xr:uid="{D4561F02-EBD1-4154-B444-6C60336EC0EE}"/>
    <cellStyle name="Normal 4 2 8 4 4" xfId="29861" xr:uid="{00000000-0005-0000-0000-0000331C0000}"/>
    <cellStyle name="Normal 4 2 8 4 4 2" xfId="36472" xr:uid="{A8815FED-6D73-4AF0-B4EC-6D25E42F4A1B}"/>
    <cellStyle name="Normal 4 2 8 4 5" xfId="29862" xr:uid="{00000000-0005-0000-0000-0000341C0000}"/>
    <cellStyle name="Normal 4 2 8 4 5 2" xfId="36473" xr:uid="{DEFE717C-1B6F-463F-A36A-E51BDBD83CE6}"/>
    <cellStyle name="Normal 4 2 8 4 6" xfId="36467" xr:uid="{29212758-58B6-47B1-AF86-6C3ACE587986}"/>
    <cellStyle name="Normal 4 2 8 5" xfId="29863" xr:uid="{00000000-0005-0000-0000-0000351C0000}"/>
    <cellStyle name="Normal 4 2 8 5 2" xfId="29864" xr:uid="{00000000-0005-0000-0000-0000361C0000}"/>
    <cellStyle name="Normal 4 2 8 5 2 2" xfId="36475" xr:uid="{CAB8F4B1-14A3-4009-BC6E-05A57F87E981}"/>
    <cellStyle name="Normal 4 2 8 5 3" xfId="29865" xr:uid="{00000000-0005-0000-0000-0000371C0000}"/>
    <cellStyle name="Normal 4 2 8 5 3 2" xfId="36476" xr:uid="{896B28EE-02C1-4513-9171-41810362EB5B}"/>
    <cellStyle name="Normal 4 2 8 5 4" xfId="36474" xr:uid="{D8142D4B-0EFE-4748-A13A-B0594603AB9D}"/>
    <cellStyle name="Normal 4 2 8 6" xfId="29866" xr:uid="{00000000-0005-0000-0000-0000381C0000}"/>
    <cellStyle name="Normal 4 2 8 6 2" xfId="36477" xr:uid="{55D5D9AD-C15F-4518-A99D-83A97BB30E7B}"/>
    <cellStyle name="Normal 4 2 8 7" xfId="29867" xr:uid="{00000000-0005-0000-0000-0000391C0000}"/>
    <cellStyle name="Normal 4 2 8 7 2" xfId="36478" xr:uid="{92A043D9-847A-41EB-A436-C6BC300B2723}"/>
    <cellStyle name="Normal 4 2 8 8" xfId="29868" xr:uid="{00000000-0005-0000-0000-00003A1C0000}"/>
    <cellStyle name="Normal 4 2 8 8 2" xfId="36479" xr:uid="{B0E1C0C1-8F5A-41D1-BC57-F1D07B5F3D81}"/>
    <cellStyle name="Normal 4 2 8 9" xfId="29827" xr:uid="{00000000-0005-0000-0000-00003B1C0000}"/>
    <cellStyle name="Normal 4 2 9" xfId="29869" xr:uid="{00000000-0005-0000-0000-00003C1C0000}"/>
    <cellStyle name="Normal 4 2 9 2" xfId="29870" xr:uid="{00000000-0005-0000-0000-00003D1C0000}"/>
    <cellStyle name="Normal 4 2 9 2 2" xfId="29871" xr:uid="{00000000-0005-0000-0000-00003E1C0000}"/>
    <cellStyle name="Normal 4 2 9 2 2 2" xfId="29872" xr:uid="{00000000-0005-0000-0000-00003F1C0000}"/>
    <cellStyle name="Normal 4 2 9 2 2 2 2" xfId="36483" xr:uid="{80FECED6-2E2E-4F1E-A551-8B1E89BF661C}"/>
    <cellStyle name="Normal 4 2 9 2 2 3" xfId="29873" xr:uid="{00000000-0005-0000-0000-0000401C0000}"/>
    <cellStyle name="Normal 4 2 9 2 2 3 2" xfId="36484" xr:uid="{1618A8EB-092B-47CE-9E7B-B882D40C0B19}"/>
    <cellStyle name="Normal 4 2 9 2 2 4" xfId="36482" xr:uid="{56194F89-3493-4CC7-88DE-0B28AA60394A}"/>
    <cellStyle name="Normal 4 2 9 2 3" xfId="29874" xr:uid="{00000000-0005-0000-0000-0000411C0000}"/>
    <cellStyle name="Normal 4 2 9 2 3 2" xfId="36485" xr:uid="{B37E0D46-1719-4CEB-8917-74E7B1293DC4}"/>
    <cellStyle name="Normal 4 2 9 2 4" xfId="29875" xr:uid="{00000000-0005-0000-0000-0000421C0000}"/>
    <cellStyle name="Normal 4 2 9 2 4 2" xfId="36486" xr:uid="{34DE462D-29D7-4210-9B4E-E89B6F3169B8}"/>
    <cellStyle name="Normal 4 2 9 2 5" xfId="29876" xr:uid="{00000000-0005-0000-0000-0000431C0000}"/>
    <cellStyle name="Normal 4 2 9 2 5 2" xfId="36487" xr:uid="{99BF15E9-A769-4047-BC51-20D44A68E92A}"/>
    <cellStyle name="Normal 4 2 9 2 6" xfId="36481" xr:uid="{815F6E13-9E48-480E-8ADB-69AD793D18C1}"/>
    <cellStyle name="Normal 4 2 9 3" xfId="29877" xr:uid="{00000000-0005-0000-0000-0000441C0000}"/>
    <cellStyle name="Normal 4 2 9 3 2" xfId="29878" xr:uid="{00000000-0005-0000-0000-0000451C0000}"/>
    <cellStyle name="Normal 4 2 9 3 2 2" xfId="29879" xr:uid="{00000000-0005-0000-0000-0000461C0000}"/>
    <cellStyle name="Normal 4 2 9 3 2 2 2" xfId="36490" xr:uid="{7A492350-A008-4D82-85D5-A19199AB2CFC}"/>
    <cellStyle name="Normal 4 2 9 3 2 3" xfId="29880" xr:uid="{00000000-0005-0000-0000-0000471C0000}"/>
    <cellStyle name="Normal 4 2 9 3 2 3 2" xfId="36491" xr:uid="{EDE519EE-66C9-41D8-B42E-A8387584E1B6}"/>
    <cellStyle name="Normal 4 2 9 3 2 4" xfId="36489" xr:uid="{87EBAB10-D6B3-44D0-8C76-A682D4B6FBAA}"/>
    <cellStyle name="Normal 4 2 9 3 3" xfId="29881" xr:uid="{00000000-0005-0000-0000-0000481C0000}"/>
    <cellStyle name="Normal 4 2 9 3 3 2" xfId="36492" xr:uid="{8FF53C18-CC26-4C0A-9D0C-624CCD39234B}"/>
    <cellStyle name="Normal 4 2 9 3 4" xfId="29882" xr:uid="{00000000-0005-0000-0000-0000491C0000}"/>
    <cellStyle name="Normal 4 2 9 3 4 2" xfId="36493" xr:uid="{C0A5F589-A7F5-4283-A90C-25ED5EF23970}"/>
    <cellStyle name="Normal 4 2 9 3 5" xfId="29883" xr:uid="{00000000-0005-0000-0000-00004A1C0000}"/>
    <cellStyle name="Normal 4 2 9 3 5 2" xfId="36494" xr:uid="{0BF9F48C-5E19-4FFF-9EE6-4CC652004E5C}"/>
    <cellStyle name="Normal 4 2 9 3 6" xfId="36488" xr:uid="{9F2432DD-8F40-4684-8A99-8191EF27B6F1}"/>
    <cellStyle name="Normal 4 2 9 4" xfId="29884" xr:uid="{00000000-0005-0000-0000-00004B1C0000}"/>
    <cellStyle name="Normal 4 2 9 4 2" xfId="29885" xr:uid="{00000000-0005-0000-0000-00004C1C0000}"/>
    <cellStyle name="Normal 4 2 9 4 2 2" xfId="36496" xr:uid="{253ED63C-68B2-4EF6-B382-5AEBCD8C05D5}"/>
    <cellStyle name="Normal 4 2 9 4 3" xfId="29886" xr:uid="{00000000-0005-0000-0000-00004D1C0000}"/>
    <cellStyle name="Normal 4 2 9 4 3 2" xfId="36497" xr:uid="{5DA77B4B-1F8B-484A-B45E-440DF74E368D}"/>
    <cellStyle name="Normal 4 2 9 4 4" xfId="36495" xr:uid="{97653858-789D-410A-B80B-7380E6A906B7}"/>
    <cellStyle name="Normal 4 2 9 5" xfId="29887" xr:uid="{00000000-0005-0000-0000-00004E1C0000}"/>
    <cellStyle name="Normal 4 2 9 5 2" xfId="36498" xr:uid="{0C83B19E-5288-4E12-8442-55B61F4906D3}"/>
    <cellStyle name="Normal 4 2 9 6" xfId="29888" xr:uid="{00000000-0005-0000-0000-00004F1C0000}"/>
    <cellStyle name="Normal 4 2 9 6 2" xfId="36499" xr:uid="{C9791CC8-2AF3-49F5-9AA9-C42CAA5FBDC8}"/>
    <cellStyle name="Normal 4 2 9 7" xfId="29889" xr:uid="{00000000-0005-0000-0000-0000501C0000}"/>
    <cellStyle name="Normal 4 2 9 7 2" xfId="36500" xr:uid="{0CA0F89B-EA79-4BC3-BD01-93CF4EB432DD}"/>
    <cellStyle name="Normal 4 2 9 8" xfId="36480" xr:uid="{5732783D-9D20-4F13-944E-0E5E7CF2D353}"/>
    <cellStyle name="Normal 4 3" xfId="803" xr:uid="{00000000-0005-0000-0000-0000511C0000}"/>
    <cellStyle name="Normal 4 3 10" xfId="29890" xr:uid="{00000000-0005-0000-0000-0000521C0000}"/>
    <cellStyle name="Normal 4 3 10 2" xfId="29891" xr:uid="{00000000-0005-0000-0000-0000531C0000}"/>
    <cellStyle name="Normal 4 3 10 2 2" xfId="29892" xr:uid="{00000000-0005-0000-0000-0000541C0000}"/>
    <cellStyle name="Normal 4 3 10 2 2 2" xfId="29893" xr:uid="{00000000-0005-0000-0000-0000551C0000}"/>
    <cellStyle name="Normal 4 3 10 2 2 2 2" xfId="36504" xr:uid="{C5437EC2-B65C-4290-9686-0EE16216E847}"/>
    <cellStyle name="Normal 4 3 10 2 2 3" xfId="29894" xr:uid="{00000000-0005-0000-0000-0000561C0000}"/>
    <cellStyle name="Normal 4 3 10 2 2 3 2" xfId="36505" xr:uid="{755A33C3-709C-43CF-8532-680C613952BC}"/>
    <cellStyle name="Normal 4 3 10 2 2 4" xfId="36503" xr:uid="{A4D01B83-2CBB-48E5-8F3A-8F35268E3E90}"/>
    <cellStyle name="Normal 4 3 10 2 3" xfId="29895" xr:uid="{00000000-0005-0000-0000-0000571C0000}"/>
    <cellStyle name="Normal 4 3 10 2 3 2" xfId="36506" xr:uid="{B3228D8B-4270-4973-BAA6-4169356902D4}"/>
    <cellStyle name="Normal 4 3 10 2 4" xfId="29896" xr:uid="{00000000-0005-0000-0000-0000581C0000}"/>
    <cellStyle name="Normal 4 3 10 2 4 2" xfId="36507" xr:uid="{53364F2F-A26D-4CCE-B081-0000676DB21E}"/>
    <cellStyle name="Normal 4 3 10 2 5" xfId="29897" xr:uid="{00000000-0005-0000-0000-0000591C0000}"/>
    <cellStyle name="Normal 4 3 10 2 5 2" xfId="36508" xr:uid="{81082592-2014-4D75-AB4F-66DFD0C46B52}"/>
    <cellStyle name="Normal 4 3 10 2 6" xfId="36502" xr:uid="{43389899-AADF-48BA-8742-02B2B45C8AEE}"/>
    <cellStyle name="Normal 4 3 10 3" xfId="29898" xr:uid="{00000000-0005-0000-0000-00005A1C0000}"/>
    <cellStyle name="Normal 4 3 10 3 2" xfId="29899" xr:uid="{00000000-0005-0000-0000-00005B1C0000}"/>
    <cellStyle name="Normal 4 3 10 3 2 2" xfId="29900" xr:uid="{00000000-0005-0000-0000-00005C1C0000}"/>
    <cellStyle name="Normal 4 3 10 3 2 2 2" xfId="36511" xr:uid="{8BB6C870-CCBD-4170-A636-8CA74F6E791B}"/>
    <cellStyle name="Normal 4 3 10 3 2 3" xfId="29901" xr:uid="{00000000-0005-0000-0000-00005D1C0000}"/>
    <cellStyle name="Normal 4 3 10 3 2 3 2" xfId="36512" xr:uid="{0E32788C-29D0-4A9B-B621-CEC692289407}"/>
    <cellStyle name="Normal 4 3 10 3 2 4" xfId="36510" xr:uid="{27DBA64A-657E-4EFD-B75C-A10E33FD37D3}"/>
    <cellStyle name="Normal 4 3 10 3 3" xfId="29902" xr:uid="{00000000-0005-0000-0000-00005E1C0000}"/>
    <cellStyle name="Normal 4 3 10 3 3 2" xfId="36513" xr:uid="{ACF1C4B1-0545-4422-BC90-26CF520E40C0}"/>
    <cellStyle name="Normal 4 3 10 3 4" xfId="29903" xr:uid="{00000000-0005-0000-0000-00005F1C0000}"/>
    <cellStyle name="Normal 4 3 10 3 4 2" xfId="36514" xr:uid="{48D2022F-1B3A-45D6-BDAC-96ED07C8A884}"/>
    <cellStyle name="Normal 4 3 10 3 5" xfId="29904" xr:uid="{00000000-0005-0000-0000-0000601C0000}"/>
    <cellStyle name="Normal 4 3 10 3 5 2" xfId="36515" xr:uid="{FF0D998B-F88A-4852-9E5A-C59AF48BC8A9}"/>
    <cellStyle name="Normal 4 3 10 3 6" xfId="36509" xr:uid="{C410B8A5-09B4-4520-9684-856BD7C6619C}"/>
    <cellStyle name="Normal 4 3 10 4" xfId="29905" xr:uid="{00000000-0005-0000-0000-0000611C0000}"/>
    <cellStyle name="Normal 4 3 10 4 2" xfId="29906" xr:uid="{00000000-0005-0000-0000-0000621C0000}"/>
    <cellStyle name="Normal 4 3 10 4 2 2" xfId="36517" xr:uid="{30797FEA-864D-4210-A330-CC11F6DAABEB}"/>
    <cellStyle name="Normal 4 3 10 4 3" xfId="29907" xr:uid="{00000000-0005-0000-0000-0000631C0000}"/>
    <cellStyle name="Normal 4 3 10 4 3 2" xfId="36518" xr:uid="{42A08B11-37FE-47F6-998E-8A4B7376503D}"/>
    <cellStyle name="Normal 4 3 10 4 4" xfId="36516" xr:uid="{5E05ED8C-2295-4B89-95EB-1A906EA5B743}"/>
    <cellStyle name="Normal 4 3 10 5" xfId="29908" xr:uid="{00000000-0005-0000-0000-0000641C0000}"/>
    <cellStyle name="Normal 4 3 10 5 2" xfId="36519" xr:uid="{120E25E3-5C92-4253-A6B8-F3AE115D616F}"/>
    <cellStyle name="Normal 4 3 10 6" xfId="29909" xr:uid="{00000000-0005-0000-0000-0000651C0000}"/>
    <cellStyle name="Normal 4 3 10 6 2" xfId="36520" xr:uid="{84AE62F5-0D25-4F46-9E19-4AE9460A4918}"/>
    <cellStyle name="Normal 4 3 10 7" xfId="29910" xr:uid="{00000000-0005-0000-0000-0000661C0000}"/>
    <cellStyle name="Normal 4 3 10 7 2" xfId="36521" xr:uid="{83FD2D8F-3EAA-48FC-8A9C-71BA4FCD43F7}"/>
    <cellStyle name="Normal 4 3 10 8" xfId="36501" xr:uid="{78BDADE4-64B7-4999-9543-A9A0D9284420}"/>
    <cellStyle name="Normal 4 3 11" xfId="29911" xr:uid="{00000000-0005-0000-0000-0000671C0000}"/>
    <cellStyle name="Normal 4 3 11 2" xfId="29912" xr:uid="{00000000-0005-0000-0000-0000681C0000}"/>
    <cellStyle name="Normal 4 3 11 2 2" xfId="29913" xr:uid="{00000000-0005-0000-0000-0000691C0000}"/>
    <cellStyle name="Normal 4 3 11 2 2 2" xfId="36524" xr:uid="{7A7DACCB-B45A-4AFF-B413-25CF6CEBB13B}"/>
    <cellStyle name="Normal 4 3 11 2 3" xfId="29914" xr:uid="{00000000-0005-0000-0000-00006A1C0000}"/>
    <cellStyle name="Normal 4 3 11 2 3 2" xfId="36525" xr:uid="{5450C46E-0EA3-4B94-9293-96E111E940DB}"/>
    <cellStyle name="Normal 4 3 11 2 4" xfId="36523" xr:uid="{CA655320-70BB-469A-8968-B4729DD5BDA9}"/>
    <cellStyle name="Normal 4 3 11 3" xfId="29915" xr:uid="{00000000-0005-0000-0000-00006B1C0000}"/>
    <cellStyle name="Normal 4 3 11 3 2" xfId="36526" xr:uid="{D0C018E3-21C5-43C7-A3B2-C49F7FE85946}"/>
    <cellStyle name="Normal 4 3 11 4" xfId="29916" xr:uid="{00000000-0005-0000-0000-00006C1C0000}"/>
    <cellStyle name="Normal 4 3 11 4 2" xfId="36527" xr:uid="{F61B734D-6224-4C10-82A6-8934AB6D42C5}"/>
    <cellStyle name="Normal 4 3 11 5" xfId="29917" xr:uid="{00000000-0005-0000-0000-00006D1C0000}"/>
    <cellStyle name="Normal 4 3 11 5 2" xfId="36528" xr:uid="{427A2DBF-2C8C-4FB5-B1CF-9EA38CFABCC2}"/>
    <cellStyle name="Normal 4 3 11 6" xfId="36522" xr:uid="{0978450B-9599-4BAA-BD12-41EBE418803D}"/>
    <cellStyle name="Normal 4 3 12" xfId="29918" xr:uid="{00000000-0005-0000-0000-00006E1C0000}"/>
    <cellStyle name="Normal 4 3 12 2" xfId="29919" xr:uid="{00000000-0005-0000-0000-00006F1C0000}"/>
    <cellStyle name="Normal 4 3 12 2 2" xfId="29920" xr:uid="{00000000-0005-0000-0000-0000701C0000}"/>
    <cellStyle name="Normal 4 3 12 2 2 2" xfId="36531" xr:uid="{479A2BE2-C1CE-4AD8-AF8B-80F6CBC2DFC6}"/>
    <cellStyle name="Normal 4 3 12 2 3" xfId="29921" xr:uid="{00000000-0005-0000-0000-0000711C0000}"/>
    <cellStyle name="Normal 4 3 12 2 3 2" xfId="36532" xr:uid="{6859BD23-8B47-4BB6-8D20-AE02A0E1BE0F}"/>
    <cellStyle name="Normal 4 3 12 2 4" xfId="36530" xr:uid="{2D1D8FE8-4CD5-40E6-8AC7-D9FDF94319D6}"/>
    <cellStyle name="Normal 4 3 12 3" xfId="29922" xr:uid="{00000000-0005-0000-0000-0000721C0000}"/>
    <cellStyle name="Normal 4 3 12 3 2" xfId="36533" xr:uid="{DFC6CDA1-840E-4217-9280-6C65C351077F}"/>
    <cellStyle name="Normal 4 3 12 4" xfId="29923" xr:uid="{00000000-0005-0000-0000-0000731C0000}"/>
    <cellStyle name="Normal 4 3 12 4 2" xfId="36534" xr:uid="{9A09BB4B-4768-4924-8DC8-517AC27A4A2A}"/>
    <cellStyle name="Normal 4 3 12 5" xfId="29924" xr:uid="{00000000-0005-0000-0000-0000741C0000}"/>
    <cellStyle name="Normal 4 3 12 5 2" xfId="36535" xr:uid="{DFB0BD16-96B7-46F9-A412-4E0EBAA8F378}"/>
    <cellStyle name="Normal 4 3 12 6" xfId="36529" xr:uid="{710A9E99-FFA0-4556-B702-2449F4E296F1}"/>
    <cellStyle name="Normal 4 3 13" xfId="29925" xr:uid="{00000000-0005-0000-0000-0000751C0000}"/>
    <cellStyle name="Normal 4 3 13 2" xfId="29926" xr:uid="{00000000-0005-0000-0000-0000761C0000}"/>
    <cellStyle name="Normal 4 3 13 2 2" xfId="36537" xr:uid="{0E95A858-EBC0-4A2A-92EA-A61AB9516AC1}"/>
    <cellStyle name="Normal 4 3 13 3" xfId="29927" xr:uid="{00000000-0005-0000-0000-0000771C0000}"/>
    <cellStyle name="Normal 4 3 13 3 2" xfId="36538" xr:uid="{DD72068A-55B0-4794-ADB1-EDA52B4DA971}"/>
    <cellStyle name="Normal 4 3 13 4" xfId="36536" xr:uid="{C21ACE76-68C4-4CE1-B804-1D9F8C81CCB1}"/>
    <cellStyle name="Normal 4 3 14" xfId="29928" xr:uid="{00000000-0005-0000-0000-0000781C0000}"/>
    <cellStyle name="Normal 4 3 14 2" xfId="36539" xr:uid="{411A14E2-A6E7-4A39-845C-6199EC5BFD25}"/>
    <cellStyle name="Normal 4 3 15" xfId="29929" xr:uid="{00000000-0005-0000-0000-0000791C0000}"/>
    <cellStyle name="Normal 4 3 15 2" xfId="36540" xr:uid="{5237B25C-F5E6-463B-94A1-C939DA9FFBD3}"/>
    <cellStyle name="Normal 4 3 16" xfId="29930" xr:uid="{00000000-0005-0000-0000-00007A1C0000}"/>
    <cellStyle name="Normal 4 3 16 2" xfId="36541" xr:uid="{2B277482-AE26-4BAC-8201-E9D0C368D5CF}"/>
    <cellStyle name="Normal 4 3 17" xfId="26244" xr:uid="{00000000-0005-0000-0000-00007B1C0000}"/>
    <cellStyle name="Normal 4 3 18" xfId="26071" xr:uid="{00000000-0005-0000-0000-00007C1C0000}"/>
    <cellStyle name="Normal 4 3 19" xfId="32574" xr:uid="{0FD21538-9350-4406-95C8-5440F2762494}"/>
    <cellStyle name="Normal 4 3 2" xfId="804" xr:uid="{00000000-0005-0000-0000-00007D1C0000}"/>
    <cellStyle name="Normal 4 3 2 10" xfId="29931" xr:uid="{00000000-0005-0000-0000-00007E1C0000}"/>
    <cellStyle name="Normal 4 3 2 10 2" xfId="29932" xr:uid="{00000000-0005-0000-0000-00007F1C0000}"/>
    <cellStyle name="Normal 4 3 2 10 2 2" xfId="29933" xr:uid="{00000000-0005-0000-0000-0000801C0000}"/>
    <cellStyle name="Normal 4 3 2 10 2 2 2" xfId="36544" xr:uid="{8AE5022B-5955-4770-97AD-2EB6290A7B62}"/>
    <cellStyle name="Normal 4 3 2 10 2 3" xfId="29934" xr:uid="{00000000-0005-0000-0000-0000811C0000}"/>
    <cellStyle name="Normal 4 3 2 10 2 3 2" xfId="36545" xr:uid="{16F0FA1F-183B-4432-A2F2-6870E8C8A195}"/>
    <cellStyle name="Normal 4 3 2 10 2 4" xfId="36543" xr:uid="{A063E372-212A-4E22-8B21-472FF50573DD}"/>
    <cellStyle name="Normal 4 3 2 10 3" xfId="29935" xr:uid="{00000000-0005-0000-0000-0000821C0000}"/>
    <cellStyle name="Normal 4 3 2 10 3 2" xfId="36546" xr:uid="{126AA07F-5C97-4D07-9223-8168C1EE7841}"/>
    <cellStyle name="Normal 4 3 2 10 4" xfId="29936" xr:uid="{00000000-0005-0000-0000-0000831C0000}"/>
    <cellStyle name="Normal 4 3 2 10 4 2" xfId="36547" xr:uid="{ED32D1CC-5076-4B07-B03F-DEBEEAF1D790}"/>
    <cellStyle name="Normal 4 3 2 10 5" xfId="29937" xr:uid="{00000000-0005-0000-0000-0000841C0000}"/>
    <cellStyle name="Normal 4 3 2 10 5 2" xfId="36548" xr:uid="{AA88A65D-BFE6-4EE5-9274-C7C375BACD09}"/>
    <cellStyle name="Normal 4 3 2 10 6" xfId="36542" xr:uid="{2B7AA302-F2C8-4275-90E7-A5DE760B014A}"/>
    <cellStyle name="Normal 4 3 2 11" xfId="29938" xr:uid="{00000000-0005-0000-0000-0000851C0000}"/>
    <cellStyle name="Normal 4 3 2 11 2" xfId="29939" xr:uid="{00000000-0005-0000-0000-0000861C0000}"/>
    <cellStyle name="Normal 4 3 2 11 2 2" xfId="36550" xr:uid="{D144D70F-D0AF-479F-A5FE-85115543E7D5}"/>
    <cellStyle name="Normal 4 3 2 11 3" xfId="29940" xr:uid="{00000000-0005-0000-0000-0000871C0000}"/>
    <cellStyle name="Normal 4 3 2 11 3 2" xfId="36551" xr:uid="{CF01C634-5A60-4198-B34D-BE334A71A0E4}"/>
    <cellStyle name="Normal 4 3 2 11 4" xfId="36549" xr:uid="{24B70100-6B0F-4633-A29A-EED3BF830A9F}"/>
    <cellStyle name="Normal 4 3 2 12" xfId="29941" xr:uid="{00000000-0005-0000-0000-0000881C0000}"/>
    <cellStyle name="Normal 4 3 2 12 2" xfId="36552" xr:uid="{A4508156-CD2F-4903-AF00-58AF9E285E0A}"/>
    <cellStyle name="Normal 4 3 2 13" xfId="29942" xr:uid="{00000000-0005-0000-0000-0000891C0000}"/>
    <cellStyle name="Normal 4 3 2 13 2" xfId="36553" xr:uid="{C1662E1F-0FD1-4076-BEDC-351F7A073918}"/>
    <cellStyle name="Normal 4 3 2 14" xfId="29943" xr:uid="{00000000-0005-0000-0000-00008A1C0000}"/>
    <cellStyle name="Normal 4 3 2 14 2" xfId="36554" xr:uid="{685F35D7-A574-449C-9552-87422E74D5C4}"/>
    <cellStyle name="Normal 4 3 2 2" xfId="805" xr:uid="{00000000-0005-0000-0000-00008B1C0000}"/>
    <cellStyle name="Normal 4 3 2 2 10" xfId="29945" xr:uid="{00000000-0005-0000-0000-00008C1C0000}"/>
    <cellStyle name="Normal 4 3 2 2 10 2" xfId="29946" xr:uid="{00000000-0005-0000-0000-00008D1C0000}"/>
    <cellStyle name="Normal 4 3 2 2 10 2 2" xfId="36557" xr:uid="{5E7078E3-37DC-473A-AADB-16B586463E6D}"/>
    <cellStyle name="Normal 4 3 2 2 10 3" xfId="29947" xr:uid="{00000000-0005-0000-0000-00008E1C0000}"/>
    <cellStyle name="Normal 4 3 2 2 10 3 2" xfId="36558" xr:uid="{29F33294-B712-4BDF-9344-0A1AE1E9B07F}"/>
    <cellStyle name="Normal 4 3 2 2 10 4" xfId="36556" xr:uid="{8BE79DF7-F393-469F-BBA6-7DD67C507A2C}"/>
    <cellStyle name="Normal 4 3 2 2 11" xfId="29948" xr:uid="{00000000-0005-0000-0000-00008F1C0000}"/>
    <cellStyle name="Normal 4 3 2 2 11 2" xfId="36559" xr:uid="{B883373C-B4B8-4A16-9AA8-480ABD5A5932}"/>
    <cellStyle name="Normal 4 3 2 2 12" xfId="29949" xr:uid="{00000000-0005-0000-0000-0000901C0000}"/>
    <cellStyle name="Normal 4 3 2 2 12 2" xfId="36560" xr:uid="{F5D84184-8954-4149-8ECB-28852C87FB78}"/>
    <cellStyle name="Normal 4 3 2 2 13" xfId="29950" xr:uid="{00000000-0005-0000-0000-0000911C0000}"/>
    <cellStyle name="Normal 4 3 2 2 13 2" xfId="36561" xr:uid="{75C53EA3-F127-4708-AD04-5FECDB31E6CD}"/>
    <cellStyle name="Normal 4 3 2 2 14" xfId="29944" xr:uid="{00000000-0005-0000-0000-0000921C0000}"/>
    <cellStyle name="Normal 4 3 2 2 15" xfId="36555" xr:uid="{37F98BAE-22A5-4F8B-96FB-72940B142BE7}"/>
    <cellStyle name="Normal 4 3 2 2 2" xfId="2165" xr:uid="{00000000-0005-0000-0000-0000931C0000}"/>
    <cellStyle name="Normal 4 3 2 2 2 10" xfId="29951" xr:uid="{00000000-0005-0000-0000-0000941C0000}"/>
    <cellStyle name="Normal 4 3 2 2 2 11" xfId="36562" xr:uid="{47EFA8FE-E63D-428F-821E-F10DD4C796CB}"/>
    <cellStyle name="Normal 4 3 2 2 2 2" xfId="29952" xr:uid="{00000000-0005-0000-0000-0000951C0000}"/>
    <cellStyle name="Normal 4 3 2 2 2 2 2" xfId="29953" xr:uid="{00000000-0005-0000-0000-0000961C0000}"/>
    <cellStyle name="Normal 4 3 2 2 2 2 2 2" xfId="29954" xr:uid="{00000000-0005-0000-0000-0000971C0000}"/>
    <cellStyle name="Normal 4 3 2 2 2 2 2 2 2" xfId="29955" xr:uid="{00000000-0005-0000-0000-0000981C0000}"/>
    <cellStyle name="Normal 4 3 2 2 2 2 2 2 2 2" xfId="29956" xr:uid="{00000000-0005-0000-0000-0000991C0000}"/>
    <cellStyle name="Normal 4 3 2 2 2 2 2 2 2 2 2" xfId="36567" xr:uid="{6BF6DD86-643D-4C8C-A9E0-E526881DFE15}"/>
    <cellStyle name="Normal 4 3 2 2 2 2 2 2 2 3" xfId="29957" xr:uid="{00000000-0005-0000-0000-00009A1C0000}"/>
    <cellStyle name="Normal 4 3 2 2 2 2 2 2 2 3 2" xfId="36568" xr:uid="{86380DA8-57C9-4FC8-AF05-10E779E679A0}"/>
    <cellStyle name="Normal 4 3 2 2 2 2 2 2 2 4" xfId="36566" xr:uid="{A5805BD6-7F9F-45A7-9852-561BAEABF0C9}"/>
    <cellStyle name="Normal 4 3 2 2 2 2 2 2 3" xfId="29958" xr:uid="{00000000-0005-0000-0000-00009B1C0000}"/>
    <cellStyle name="Normal 4 3 2 2 2 2 2 2 3 2" xfId="36569" xr:uid="{E241C62C-0D57-4E9E-BF9A-BA3774D1853E}"/>
    <cellStyle name="Normal 4 3 2 2 2 2 2 2 4" xfId="29959" xr:uid="{00000000-0005-0000-0000-00009C1C0000}"/>
    <cellStyle name="Normal 4 3 2 2 2 2 2 2 4 2" xfId="36570" xr:uid="{48CEA82A-3821-4B05-BDBE-14F3831D9DF5}"/>
    <cellStyle name="Normal 4 3 2 2 2 2 2 2 5" xfId="29960" xr:uid="{00000000-0005-0000-0000-00009D1C0000}"/>
    <cellStyle name="Normal 4 3 2 2 2 2 2 2 5 2" xfId="36571" xr:uid="{9806F029-C734-49DB-89A1-DC6E7C95A798}"/>
    <cellStyle name="Normal 4 3 2 2 2 2 2 2 6" xfId="36565" xr:uid="{3345413F-B97E-4D6B-B975-A7F66008CBF1}"/>
    <cellStyle name="Normal 4 3 2 2 2 2 2 3" xfId="29961" xr:uid="{00000000-0005-0000-0000-00009E1C0000}"/>
    <cellStyle name="Normal 4 3 2 2 2 2 2 3 2" xfId="29962" xr:uid="{00000000-0005-0000-0000-00009F1C0000}"/>
    <cellStyle name="Normal 4 3 2 2 2 2 2 3 2 2" xfId="29963" xr:uid="{00000000-0005-0000-0000-0000A01C0000}"/>
    <cellStyle name="Normal 4 3 2 2 2 2 2 3 2 2 2" xfId="36574" xr:uid="{813E9272-741C-47D0-AB75-2D3CA4A47477}"/>
    <cellStyle name="Normal 4 3 2 2 2 2 2 3 2 3" xfId="29964" xr:uid="{00000000-0005-0000-0000-0000A11C0000}"/>
    <cellStyle name="Normal 4 3 2 2 2 2 2 3 2 3 2" xfId="36575" xr:uid="{4DCD4E4D-7157-4ADC-A72A-048E216717F3}"/>
    <cellStyle name="Normal 4 3 2 2 2 2 2 3 2 4" xfId="36573" xr:uid="{8154313A-F364-4B5C-BBDC-28468E298FB7}"/>
    <cellStyle name="Normal 4 3 2 2 2 2 2 3 3" xfId="29965" xr:uid="{00000000-0005-0000-0000-0000A21C0000}"/>
    <cellStyle name="Normal 4 3 2 2 2 2 2 3 3 2" xfId="36576" xr:uid="{F28C9CED-487A-4DE8-845A-2F563A6B3D40}"/>
    <cellStyle name="Normal 4 3 2 2 2 2 2 3 4" xfId="29966" xr:uid="{00000000-0005-0000-0000-0000A31C0000}"/>
    <cellStyle name="Normal 4 3 2 2 2 2 2 3 4 2" xfId="36577" xr:uid="{B76DB90D-C0E1-475E-8A65-B787C035E28C}"/>
    <cellStyle name="Normal 4 3 2 2 2 2 2 3 5" xfId="29967" xr:uid="{00000000-0005-0000-0000-0000A41C0000}"/>
    <cellStyle name="Normal 4 3 2 2 2 2 2 3 5 2" xfId="36578" xr:uid="{71F3CDD4-099B-4A29-82D8-890DD33DEE52}"/>
    <cellStyle name="Normal 4 3 2 2 2 2 2 3 6" xfId="36572" xr:uid="{21B91D64-A7BA-4AF1-8C76-74277F523297}"/>
    <cellStyle name="Normal 4 3 2 2 2 2 2 4" xfId="29968" xr:uid="{00000000-0005-0000-0000-0000A51C0000}"/>
    <cellStyle name="Normal 4 3 2 2 2 2 2 4 2" xfId="29969" xr:uid="{00000000-0005-0000-0000-0000A61C0000}"/>
    <cellStyle name="Normal 4 3 2 2 2 2 2 4 2 2" xfId="36580" xr:uid="{43DDB6E3-EB42-4E80-AF43-8256BA641877}"/>
    <cellStyle name="Normal 4 3 2 2 2 2 2 4 3" xfId="29970" xr:uid="{00000000-0005-0000-0000-0000A71C0000}"/>
    <cellStyle name="Normal 4 3 2 2 2 2 2 4 3 2" xfId="36581" xr:uid="{93A98132-9042-4719-BAEB-D4FBCBCC8B99}"/>
    <cellStyle name="Normal 4 3 2 2 2 2 2 4 4" xfId="36579" xr:uid="{5F1DE58F-F63A-47B8-9AD5-BCC4707C7D7D}"/>
    <cellStyle name="Normal 4 3 2 2 2 2 2 5" xfId="29971" xr:uid="{00000000-0005-0000-0000-0000A81C0000}"/>
    <cellStyle name="Normal 4 3 2 2 2 2 2 5 2" xfId="36582" xr:uid="{B895051E-DBE1-4F5E-9C91-B1AE281526DE}"/>
    <cellStyle name="Normal 4 3 2 2 2 2 2 6" xfId="29972" xr:uid="{00000000-0005-0000-0000-0000A91C0000}"/>
    <cellStyle name="Normal 4 3 2 2 2 2 2 6 2" xfId="36583" xr:uid="{970643D2-EC8C-40F2-9A1E-D179A6BF4285}"/>
    <cellStyle name="Normal 4 3 2 2 2 2 2 7" xfId="29973" xr:uid="{00000000-0005-0000-0000-0000AA1C0000}"/>
    <cellStyle name="Normal 4 3 2 2 2 2 2 7 2" xfId="36584" xr:uid="{899CAEBB-6608-4B1F-B5B4-A1A597028F68}"/>
    <cellStyle name="Normal 4 3 2 2 2 2 2 8" xfId="36564" xr:uid="{778B2020-7D35-44D4-BADF-5F99B81AC9A7}"/>
    <cellStyle name="Normal 4 3 2 2 2 2 3" xfId="29974" xr:uid="{00000000-0005-0000-0000-0000AB1C0000}"/>
    <cellStyle name="Normal 4 3 2 2 2 2 3 2" xfId="29975" xr:uid="{00000000-0005-0000-0000-0000AC1C0000}"/>
    <cellStyle name="Normal 4 3 2 2 2 2 3 2 2" xfId="29976" xr:uid="{00000000-0005-0000-0000-0000AD1C0000}"/>
    <cellStyle name="Normal 4 3 2 2 2 2 3 2 2 2" xfId="36587" xr:uid="{274CAFA3-5B6E-4DC0-A142-369582732591}"/>
    <cellStyle name="Normal 4 3 2 2 2 2 3 2 3" xfId="29977" xr:uid="{00000000-0005-0000-0000-0000AE1C0000}"/>
    <cellStyle name="Normal 4 3 2 2 2 2 3 2 3 2" xfId="36588" xr:uid="{CABC592E-FDF7-4AB0-8106-E114E8C9ADE3}"/>
    <cellStyle name="Normal 4 3 2 2 2 2 3 2 4" xfId="36586" xr:uid="{8A5D0A7C-6469-4392-AF2C-730AA41C2F4A}"/>
    <cellStyle name="Normal 4 3 2 2 2 2 3 3" xfId="29978" xr:uid="{00000000-0005-0000-0000-0000AF1C0000}"/>
    <cellStyle name="Normal 4 3 2 2 2 2 3 3 2" xfId="36589" xr:uid="{3AC9A052-6F7A-4DC1-8435-FF628E04DC55}"/>
    <cellStyle name="Normal 4 3 2 2 2 2 3 4" xfId="29979" xr:uid="{00000000-0005-0000-0000-0000B01C0000}"/>
    <cellStyle name="Normal 4 3 2 2 2 2 3 4 2" xfId="36590" xr:uid="{CAC4E9A0-96C3-4D56-8A80-6B7548BA284B}"/>
    <cellStyle name="Normal 4 3 2 2 2 2 3 5" xfId="29980" xr:uid="{00000000-0005-0000-0000-0000B11C0000}"/>
    <cellStyle name="Normal 4 3 2 2 2 2 3 5 2" xfId="36591" xr:uid="{7FD009D1-4555-49E4-A8B4-39E66D2908F3}"/>
    <cellStyle name="Normal 4 3 2 2 2 2 3 6" xfId="36585" xr:uid="{4BAB4F69-BBD5-47EA-A72C-46A08F1B4403}"/>
    <cellStyle name="Normal 4 3 2 2 2 2 4" xfId="29981" xr:uid="{00000000-0005-0000-0000-0000B21C0000}"/>
    <cellStyle name="Normal 4 3 2 2 2 2 4 2" xfId="29982" xr:uid="{00000000-0005-0000-0000-0000B31C0000}"/>
    <cellStyle name="Normal 4 3 2 2 2 2 4 2 2" xfId="29983" xr:uid="{00000000-0005-0000-0000-0000B41C0000}"/>
    <cellStyle name="Normal 4 3 2 2 2 2 4 2 2 2" xfId="36594" xr:uid="{428D4BDB-2865-4A2A-8D8D-B73805CCEF54}"/>
    <cellStyle name="Normal 4 3 2 2 2 2 4 2 3" xfId="29984" xr:uid="{00000000-0005-0000-0000-0000B51C0000}"/>
    <cellStyle name="Normal 4 3 2 2 2 2 4 2 3 2" xfId="36595" xr:uid="{80E7D57F-E1CB-4847-8C0D-BC959B02CCDA}"/>
    <cellStyle name="Normal 4 3 2 2 2 2 4 2 4" xfId="36593" xr:uid="{FE247168-0C3A-4796-AD03-368747359939}"/>
    <cellStyle name="Normal 4 3 2 2 2 2 4 3" xfId="29985" xr:uid="{00000000-0005-0000-0000-0000B61C0000}"/>
    <cellStyle name="Normal 4 3 2 2 2 2 4 3 2" xfId="36596" xr:uid="{28AF190F-2509-48B6-A73A-0C6F205402CE}"/>
    <cellStyle name="Normal 4 3 2 2 2 2 4 4" xfId="29986" xr:uid="{00000000-0005-0000-0000-0000B71C0000}"/>
    <cellStyle name="Normal 4 3 2 2 2 2 4 4 2" xfId="36597" xr:uid="{3A27BBEE-0CF4-4C21-B608-7B533DF8216E}"/>
    <cellStyle name="Normal 4 3 2 2 2 2 4 5" xfId="29987" xr:uid="{00000000-0005-0000-0000-0000B81C0000}"/>
    <cellStyle name="Normal 4 3 2 2 2 2 4 5 2" xfId="36598" xr:uid="{E9F410C0-8240-43A1-8235-768802729B03}"/>
    <cellStyle name="Normal 4 3 2 2 2 2 4 6" xfId="36592" xr:uid="{B6124FDD-DD82-43A0-B050-24237899D1CD}"/>
    <cellStyle name="Normal 4 3 2 2 2 2 5" xfId="29988" xr:uid="{00000000-0005-0000-0000-0000B91C0000}"/>
    <cellStyle name="Normal 4 3 2 2 2 2 5 2" xfId="29989" xr:uid="{00000000-0005-0000-0000-0000BA1C0000}"/>
    <cellStyle name="Normal 4 3 2 2 2 2 5 2 2" xfId="36600" xr:uid="{9A0458B2-88D2-429C-9277-6C3770DBD950}"/>
    <cellStyle name="Normal 4 3 2 2 2 2 5 3" xfId="29990" xr:uid="{00000000-0005-0000-0000-0000BB1C0000}"/>
    <cellStyle name="Normal 4 3 2 2 2 2 5 3 2" xfId="36601" xr:uid="{A0286B6B-EAB0-4758-B027-AB1C6A0CF7AD}"/>
    <cellStyle name="Normal 4 3 2 2 2 2 5 4" xfId="36599" xr:uid="{CD5F9076-013C-44AD-B59C-15836E5C310F}"/>
    <cellStyle name="Normal 4 3 2 2 2 2 6" xfId="29991" xr:uid="{00000000-0005-0000-0000-0000BC1C0000}"/>
    <cellStyle name="Normal 4 3 2 2 2 2 6 2" xfId="36602" xr:uid="{18109147-008E-4747-B98C-19402540DAF0}"/>
    <cellStyle name="Normal 4 3 2 2 2 2 7" xfId="29992" xr:uid="{00000000-0005-0000-0000-0000BD1C0000}"/>
    <cellStyle name="Normal 4 3 2 2 2 2 7 2" xfId="36603" xr:uid="{984AD6BE-102D-4A3E-8385-A14CAB30B900}"/>
    <cellStyle name="Normal 4 3 2 2 2 2 8" xfId="29993" xr:uid="{00000000-0005-0000-0000-0000BE1C0000}"/>
    <cellStyle name="Normal 4 3 2 2 2 2 8 2" xfId="36604" xr:uid="{56B61231-32AD-4C2F-8D3B-5505DE2D5D8E}"/>
    <cellStyle name="Normal 4 3 2 2 2 2 9" xfId="36563" xr:uid="{59CEE661-23CD-4908-A1D2-3DBC9DD037EF}"/>
    <cellStyle name="Normal 4 3 2 2 2 3" xfId="29994" xr:uid="{00000000-0005-0000-0000-0000BF1C0000}"/>
    <cellStyle name="Normal 4 3 2 2 2 3 2" xfId="29995" xr:uid="{00000000-0005-0000-0000-0000C01C0000}"/>
    <cellStyle name="Normal 4 3 2 2 2 3 2 2" xfId="29996" xr:uid="{00000000-0005-0000-0000-0000C11C0000}"/>
    <cellStyle name="Normal 4 3 2 2 2 3 2 2 2" xfId="29997" xr:uid="{00000000-0005-0000-0000-0000C21C0000}"/>
    <cellStyle name="Normal 4 3 2 2 2 3 2 2 2 2" xfId="36608" xr:uid="{CC3B47E4-F42B-43F1-A40F-341F6E5693DC}"/>
    <cellStyle name="Normal 4 3 2 2 2 3 2 2 3" xfId="29998" xr:uid="{00000000-0005-0000-0000-0000C31C0000}"/>
    <cellStyle name="Normal 4 3 2 2 2 3 2 2 3 2" xfId="36609" xr:uid="{AD769B63-1090-4C2B-BE34-C23BFDAB3D51}"/>
    <cellStyle name="Normal 4 3 2 2 2 3 2 2 4" xfId="36607" xr:uid="{E8F2B992-FBFB-4C87-9868-35E83636C940}"/>
    <cellStyle name="Normal 4 3 2 2 2 3 2 3" xfId="29999" xr:uid="{00000000-0005-0000-0000-0000C41C0000}"/>
    <cellStyle name="Normal 4 3 2 2 2 3 2 3 2" xfId="36610" xr:uid="{9C45D1E9-E924-471F-A482-ED23BB3178E7}"/>
    <cellStyle name="Normal 4 3 2 2 2 3 2 4" xfId="30000" xr:uid="{00000000-0005-0000-0000-0000C51C0000}"/>
    <cellStyle name="Normal 4 3 2 2 2 3 2 4 2" xfId="36611" xr:uid="{229E322E-9C0E-4CAC-9375-82C96ABBF8F4}"/>
    <cellStyle name="Normal 4 3 2 2 2 3 2 5" xfId="30001" xr:uid="{00000000-0005-0000-0000-0000C61C0000}"/>
    <cellStyle name="Normal 4 3 2 2 2 3 2 5 2" xfId="36612" xr:uid="{9D8C444F-CAA8-4BAA-B402-6C30B7656039}"/>
    <cellStyle name="Normal 4 3 2 2 2 3 2 6" xfId="36606" xr:uid="{DDBDD63A-AFFF-498C-A8AE-01DDC88EA2A1}"/>
    <cellStyle name="Normal 4 3 2 2 2 3 3" xfId="30002" xr:uid="{00000000-0005-0000-0000-0000C71C0000}"/>
    <cellStyle name="Normal 4 3 2 2 2 3 3 2" xfId="30003" xr:uid="{00000000-0005-0000-0000-0000C81C0000}"/>
    <cellStyle name="Normal 4 3 2 2 2 3 3 2 2" xfId="30004" xr:uid="{00000000-0005-0000-0000-0000C91C0000}"/>
    <cellStyle name="Normal 4 3 2 2 2 3 3 2 2 2" xfId="36615" xr:uid="{B61E2D8D-65D6-4DA3-97E5-640C49B25250}"/>
    <cellStyle name="Normal 4 3 2 2 2 3 3 2 3" xfId="30005" xr:uid="{00000000-0005-0000-0000-0000CA1C0000}"/>
    <cellStyle name="Normal 4 3 2 2 2 3 3 2 3 2" xfId="36616" xr:uid="{358784EE-831A-44AF-A954-988951091298}"/>
    <cellStyle name="Normal 4 3 2 2 2 3 3 2 4" xfId="36614" xr:uid="{74AD6F61-9259-407F-AF7F-F6C381AD6CF6}"/>
    <cellStyle name="Normal 4 3 2 2 2 3 3 3" xfId="30006" xr:uid="{00000000-0005-0000-0000-0000CB1C0000}"/>
    <cellStyle name="Normal 4 3 2 2 2 3 3 3 2" xfId="36617" xr:uid="{B634F19E-1AA7-4768-8119-54D00EB1EFED}"/>
    <cellStyle name="Normal 4 3 2 2 2 3 3 4" xfId="30007" xr:uid="{00000000-0005-0000-0000-0000CC1C0000}"/>
    <cellStyle name="Normal 4 3 2 2 2 3 3 4 2" xfId="36618" xr:uid="{2D0ACC11-8ED2-4FBA-B3A7-5C0CB9DDA63E}"/>
    <cellStyle name="Normal 4 3 2 2 2 3 3 5" xfId="30008" xr:uid="{00000000-0005-0000-0000-0000CD1C0000}"/>
    <cellStyle name="Normal 4 3 2 2 2 3 3 5 2" xfId="36619" xr:uid="{805B1CDF-B902-405F-B444-8654D4F36D0C}"/>
    <cellStyle name="Normal 4 3 2 2 2 3 3 6" xfId="36613" xr:uid="{940317A6-80F4-4F0F-9488-B791B03C1F98}"/>
    <cellStyle name="Normal 4 3 2 2 2 3 4" xfId="30009" xr:uid="{00000000-0005-0000-0000-0000CE1C0000}"/>
    <cellStyle name="Normal 4 3 2 2 2 3 4 2" xfId="30010" xr:uid="{00000000-0005-0000-0000-0000CF1C0000}"/>
    <cellStyle name="Normal 4 3 2 2 2 3 4 2 2" xfId="36621" xr:uid="{B6B5CFB8-BC83-4B73-B914-71F8605238B3}"/>
    <cellStyle name="Normal 4 3 2 2 2 3 4 3" xfId="30011" xr:uid="{00000000-0005-0000-0000-0000D01C0000}"/>
    <cellStyle name="Normal 4 3 2 2 2 3 4 3 2" xfId="36622" xr:uid="{08DA6357-5346-43DC-B65F-8C1A894C20B7}"/>
    <cellStyle name="Normal 4 3 2 2 2 3 4 4" xfId="36620" xr:uid="{7F92A6F7-0B7E-4D4D-95C5-F394D9D75A97}"/>
    <cellStyle name="Normal 4 3 2 2 2 3 5" xfId="30012" xr:uid="{00000000-0005-0000-0000-0000D11C0000}"/>
    <cellStyle name="Normal 4 3 2 2 2 3 5 2" xfId="36623" xr:uid="{10071E03-2B2D-4E62-BBAE-5BCB62A2ACF3}"/>
    <cellStyle name="Normal 4 3 2 2 2 3 6" xfId="30013" xr:uid="{00000000-0005-0000-0000-0000D21C0000}"/>
    <cellStyle name="Normal 4 3 2 2 2 3 6 2" xfId="36624" xr:uid="{EF122F22-12C9-4E3B-A950-E8AAEEA5E0C6}"/>
    <cellStyle name="Normal 4 3 2 2 2 3 7" xfId="30014" xr:uid="{00000000-0005-0000-0000-0000D31C0000}"/>
    <cellStyle name="Normal 4 3 2 2 2 3 7 2" xfId="36625" xr:uid="{BA0DA066-77DB-44F7-AFCD-AC65B72717B8}"/>
    <cellStyle name="Normal 4 3 2 2 2 3 8" xfId="36605" xr:uid="{A1BA9D0A-9C8F-4015-91C3-1D499816D67D}"/>
    <cellStyle name="Normal 4 3 2 2 2 4" xfId="30015" xr:uid="{00000000-0005-0000-0000-0000D41C0000}"/>
    <cellStyle name="Normal 4 3 2 2 2 4 2" xfId="30016" xr:uid="{00000000-0005-0000-0000-0000D51C0000}"/>
    <cellStyle name="Normal 4 3 2 2 2 4 2 2" xfId="30017" xr:uid="{00000000-0005-0000-0000-0000D61C0000}"/>
    <cellStyle name="Normal 4 3 2 2 2 4 2 2 2" xfId="36628" xr:uid="{BCDD455A-4A6C-44C6-A7EE-3C96B804DF78}"/>
    <cellStyle name="Normal 4 3 2 2 2 4 2 3" xfId="30018" xr:uid="{00000000-0005-0000-0000-0000D71C0000}"/>
    <cellStyle name="Normal 4 3 2 2 2 4 2 3 2" xfId="36629" xr:uid="{0D6E7EE6-B6F6-4325-9722-E384B105D2CE}"/>
    <cellStyle name="Normal 4 3 2 2 2 4 2 4" xfId="36627" xr:uid="{8D7E0E45-5873-46EF-92E1-CF1FC825C6D9}"/>
    <cellStyle name="Normal 4 3 2 2 2 4 3" xfId="30019" xr:uid="{00000000-0005-0000-0000-0000D81C0000}"/>
    <cellStyle name="Normal 4 3 2 2 2 4 3 2" xfId="36630" xr:uid="{01245F8F-3A99-44B0-8358-9128B9F986F3}"/>
    <cellStyle name="Normal 4 3 2 2 2 4 4" xfId="30020" xr:uid="{00000000-0005-0000-0000-0000D91C0000}"/>
    <cellStyle name="Normal 4 3 2 2 2 4 4 2" xfId="36631" xr:uid="{0C4A8543-7D2B-424F-9DE5-28FA9FD637B7}"/>
    <cellStyle name="Normal 4 3 2 2 2 4 5" xfId="30021" xr:uid="{00000000-0005-0000-0000-0000DA1C0000}"/>
    <cellStyle name="Normal 4 3 2 2 2 4 5 2" xfId="36632" xr:uid="{19E56FCA-EA76-479D-ADA7-229F3DFBD1EE}"/>
    <cellStyle name="Normal 4 3 2 2 2 4 6" xfId="36626" xr:uid="{415F954C-44A2-4D92-A0A9-4AE84B99EA7C}"/>
    <cellStyle name="Normal 4 3 2 2 2 5" xfId="30022" xr:uid="{00000000-0005-0000-0000-0000DB1C0000}"/>
    <cellStyle name="Normal 4 3 2 2 2 5 2" xfId="30023" xr:uid="{00000000-0005-0000-0000-0000DC1C0000}"/>
    <cellStyle name="Normal 4 3 2 2 2 5 2 2" xfId="30024" xr:uid="{00000000-0005-0000-0000-0000DD1C0000}"/>
    <cellStyle name="Normal 4 3 2 2 2 5 2 2 2" xfId="36635" xr:uid="{4970F909-5A22-4143-B9A6-99633D5A2C96}"/>
    <cellStyle name="Normal 4 3 2 2 2 5 2 3" xfId="30025" xr:uid="{00000000-0005-0000-0000-0000DE1C0000}"/>
    <cellStyle name="Normal 4 3 2 2 2 5 2 3 2" xfId="36636" xr:uid="{597230EB-25C5-43FD-9CF6-85AA1968D49F}"/>
    <cellStyle name="Normal 4 3 2 2 2 5 2 4" xfId="36634" xr:uid="{73638934-157C-4438-A6FE-23F1B3CB9B27}"/>
    <cellStyle name="Normal 4 3 2 2 2 5 3" xfId="30026" xr:uid="{00000000-0005-0000-0000-0000DF1C0000}"/>
    <cellStyle name="Normal 4 3 2 2 2 5 3 2" xfId="36637" xr:uid="{915B0CAE-B914-4AAB-9386-9B77FA761118}"/>
    <cellStyle name="Normal 4 3 2 2 2 5 4" xfId="30027" xr:uid="{00000000-0005-0000-0000-0000E01C0000}"/>
    <cellStyle name="Normal 4 3 2 2 2 5 4 2" xfId="36638" xr:uid="{084C093B-79B2-4273-AAD8-35F6F046CDA5}"/>
    <cellStyle name="Normal 4 3 2 2 2 5 5" xfId="30028" xr:uid="{00000000-0005-0000-0000-0000E11C0000}"/>
    <cellStyle name="Normal 4 3 2 2 2 5 5 2" xfId="36639" xr:uid="{BC3F742F-24D4-415C-B633-1E997A37E8BF}"/>
    <cellStyle name="Normal 4 3 2 2 2 5 6" xfId="36633" xr:uid="{A7CF656D-E69A-48A0-98E7-1C356FD62527}"/>
    <cellStyle name="Normal 4 3 2 2 2 6" xfId="30029" xr:uid="{00000000-0005-0000-0000-0000E21C0000}"/>
    <cellStyle name="Normal 4 3 2 2 2 6 2" xfId="30030" xr:uid="{00000000-0005-0000-0000-0000E31C0000}"/>
    <cellStyle name="Normal 4 3 2 2 2 6 2 2" xfId="36641" xr:uid="{CADCC77F-ABF7-4BA8-A3D2-5898662ABF18}"/>
    <cellStyle name="Normal 4 3 2 2 2 6 3" xfId="30031" xr:uid="{00000000-0005-0000-0000-0000E41C0000}"/>
    <cellStyle name="Normal 4 3 2 2 2 6 3 2" xfId="36642" xr:uid="{CFEE03EB-C53C-4138-A63B-7DC44FD014C1}"/>
    <cellStyle name="Normal 4 3 2 2 2 6 4" xfId="36640" xr:uid="{73202D40-F9A4-409A-A24F-F35892744F6C}"/>
    <cellStyle name="Normal 4 3 2 2 2 7" xfId="30032" xr:uid="{00000000-0005-0000-0000-0000E51C0000}"/>
    <cellStyle name="Normal 4 3 2 2 2 7 2" xfId="36643" xr:uid="{6647B780-1206-4453-A2D3-9DC65DD2BC47}"/>
    <cellStyle name="Normal 4 3 2 2 2 8" xfId="30033" xr:uid="{00000000-0005-0000-0000-0000E61C0000}"/>
    <cellStyle name="Normal 4 3 2 2 2 8 2" xfId="36644" xr:uid="{EDF9F958-80ED-4DB3-925D-DFED7DEF1463}"/>
    <cellStyle name="Normal 4 3 2 2 2 9" xfId="30034" xr:uid="{00000000-0005-0000-0000-0000E71C0000}"/>
    <cellStyle name="Normal 4 3 2 2 2 9 2" xfId="36645" xr:uid="{1DB0EC95-F1F5-4E58-93E9-EE5EC9DCD391}"/>
    <cellStyle name="Normal 4 3 2 2 3" xfId="30035" xr:uid="{00000000-0005-0000-0000-0000E81C0000}"/>
    <cellStyle name="Normal 4 3 2 2 3 10" xfId="36646" xr:uid="{5A849E9F-AD42-4B5A-9B1D-AF0E98EFC6D5}"/>
    <cellStyle name="Normal 4 3 2 2 3 2" xfId="30036" xr:uid="{00000000-0005-0000-0000-0000E91C0000}"/>
    <cellStyle name="Normal 4 3 2 2 3 2 2" xfId="30037" xr:uid="{00000000-0005-0000-0000-0000EA1C0000}"/>
    <cellStyle name="Normal 4 3 2 2 3 2 2 2" xfId="30038" xr:uid="{00000000-0005-0000-0000-0000EB1C0000}"/>
    <cellStyle name="Normal 4 3 2 2 3 2 2 2 2" xfId="30039" xr:uid="{00000000-0005-0000-0000-0000EC1C0000}"/>
    <cellStyle name="Normal 4 3 2 2 3 2 2 2 2 2" xfId="30040" xr:uid="{00000000-0005-0000-0000-0000ED1C0000}"/>
    <cellStyle name="Normal 4 3 2 2 3 2 2 2 2 2 2" xfId="36651" xr:uid="{BB15029F-9579-41C6-A5ED-825CADB31C2B}"/>
    <cellStyle name="Normal 4 3 2 2 3 2 2 2 2 3" xfId="30041" xr:uid="{00000000-0005-0000-0000-0000EE1C0000}"/>
    <cellStyle name="Normal 4 3 2 2 3 2 2 2 2 3 2" xfId="36652" xr:uid="{29A6101E-4759-4D05-8940-33C3D53AD9D7}"/>
    <cellStyle name="Normal 4 3 2 2 3 2 2 2 2 4" xfId="36650" xr:uid="{6C8B2CED-5640-48D6-9392-CCB5BDDF067A}"/>
    <cellStyle name="Normal 4 3 2 2 3 2 2 2 3" xfId="30042" xr:uid="{00000000-0005-0000-0000-0000EF1C0000}"/>
    <cellStyle name="Normal 4 3 2 2 3 2 2 2 3 2" xfId="36653" xr:uid="{99AB50D5-70CE-4974-899C-745470C34957}"/>
    <cellStyle name="Normal 4 3 2 2 3 2 2 2 4" xfId="30043" xr:uid="{00000000-0005-0000-0000-0000F01C0000}"/>
    <cellStyle name="Normal 4 3 2 2 3 2 2 2 4 2" xfId="36654" xr:uid="{785131E7-5AAF-4B66-9D11-4BF85E7808A4}"/>
    <cellStyle name="Normal 4 3 2 2 3 2 2 2 5" xfId="30044" xr:uid="{00000000-0005-0000-0000-0000F11C0000}"/>
    <cellStyle name="Normal 4 3 2 2 3 2 2 2 5 2" xfId="36655" xr:uid="{1D0B5F15-199B-4634-BEC4-82C0719B7CDC}"/>
    <cellStyle name="Normal 4 3 2 2 3 2 2 2 6" xfId="36649" xr:uid="{A4E64CB8-D0E9-44CD-AE67-4A06A0AF0534}"/>
    <cellStyle name="Normal 4 3 2 2 3 2 2 3" xfId="30045" xr:uid="{00000000-0005-0000-0000-0000F21C0000}"/>
    <cellStyle name="Normal 4 3 2 2 3 2 2 3 2" xfId="30046" xr:uid="{00000000-0005-0000-0000-0000F31C0000}"/>
    <cellStyle name="Normal 4 3 2 2 3 2 2 3 2 2" xfId="30047" xr:uid="{00000000-0005-0000-0000-0000F41C0000}"/>
    <cellStyle name="Normal 4 3 2 2 3 2 2 3 2 2 2" xfId="36658" xr:uid="{8674625E-A339-4DB0-AD2B-0D9435629CE8}"/>
    <cellStyle name="Normal 4 3 2 2 3 2 2 3 2 3" xfId="30048" xr:uid="{00000000-0005-0000-0000-0000F51C0000}"/>
    <cellStyle name="Normal 4 3 2 2 3 2 2 3 2 3 2" xfId="36659" xr:uid="{4BE65BD3-DEDA-4A07-AA7C-10D9F6D5D486}"/>
    <cellStyle name="Normal 4 3 2 2 3 2 2 3 2 4" xfId="36657" xr:uid="{9FEA6723-A6AE-4D1C-8747-05789CE2EDE5}"/>
    <cellStyle name="Normal 4 3 2 2 3 2 2 3 3" xfId="30049" xr:uid="{00000000-0005-0000-0000-0000F61C0000}"/>
    <cellStyle name="Normal 4 3 2 2 3 2 2 3 3 2" xfId="36660" xr:uid="{A239F2A4-03BB-4037-98B0-3CA1864E5173}"/>
    <cellStyle name="Normal 4 3 2 2 3 2 2 3 4" xfId="30050" xr:uid="{00000000-0005-0000-0000-0000F71C0000}"/>
    <cellStyle name="Normal 4 3 2 2 3 2 2 3 4 2" xfId="36661" xr:uid="{B0448DB3-F518-45FF-ACB7-388EEF8A2DE8}"/>
    <cellStyle name="Normal 4 3 2 2 3 2 2 3 5" xfId="30051" xr:uid="{00000000-0005-0000-0000-0000F81C0000}"/>
    <cellStyle name="Normal 4 3 2 2 3 2 2 3 5 2" xfId="36662" xr:uid="{05209D68-116B-455A-B733-869BEB019A2E}"/>
    <cellStyle name="Normal 4 3 2 2 3 2 2 3 6" xfId="36656" xr:uid="{C3849DB9-55A3-4966-84A0-EEAF69C4EEA0}"/>
    <cellStyle name="Normal 4 3 2 2 3 2 2 4" xfId="30052" xr:uid="{00000000-0005-0000-0000-0000F91C0000}"/>
    <cellStyle name="Normal 4 3 2 2 3 2 2 4 2" xfId="30053" xr:uid="{00000000-0005-0000-0000-0000FA1C0000}"/>
    <cellStyle name="Normal 4 3 2 2 3 2 2 4 2 2" xfId="36664" xr:uid="{5D128A4D-69D2-489F-92F1-FD08E2EF9AD8}"/>
    <cellStyle name="Normal 4 3 2 2 3 2 2 4 3" xfId="30054" xr:uid="{00000000-0005-0000-0000-0000FB1C0000}"/>
    <cellStyle name="Normal 4 3 2 2 3 2 2 4 3 2" xfId="36665" xr:uid="{357D64B9-4F20-49B5-903F-76BDB00D67D0}"/>
    <cellStyle name="Normal 4 3 2 2 3 2 2 4 4" xfId="36663" xr:uid="{C4DD5FEE-4AE1-4FD6-97A3-3C319503A3DE}"/>
    <cellStyle name="Normal 4 3 2 2 3 2 2 5" xfId="30055" xr:uid="{00000000-0005-0000-0000-0000FC1C0000}"/>
    <cellStyle name="Normal 4 3 2 2 3 2 2 5 2" xfId="36666" xr:uid="{2D2137EE-63F5-4561-BD01-80518CF3B27F}"/>
    <cellStyle name="Normal 4 3 2 2 3 2 2 6" xfId="30056" xr:uid="{00000000-0005-0000-0000-0000FD1C0000}"/>
    <cellStyle name="Normal 4 3 2 2 3 2 2 6 2" xfId="36667" xr:uid="{C126E928-B237-4FAA-8775-B33AFB4BA09A}"/>
    <cellStyle name="Normal 4 3 2 2 3 2 2 7" xfId="30057" xr:uid="{00000000-0005-0000-0000-0000FE1C0000}"/>
    <cellStyle name="Normal 4 3 2 2 3 2 2 7 2" xfId="36668" xr:uid="{2DAFE711-D231-4B0F-B85C-A775C1C8E5E0}"/>
    <cellStyle name="Normal 4 3 2 2 3 2 2 8" xfId="36648" xr:uid="{957A11EF-5D1F-490A-86A2-BF1632AF80D4}"/>
    <cellStyle name="Normal 4 3 2 2 3 2 3" xfId="30058" xr:uid="{00000000-0005-0000-0000-0000FF1C0000}"/>
    <cellStyle name="Normal 4 3 2 2 3 2 3 2" xfId="30059" xr:uid="{00000000-0005-0000-0000-0000001D0000}"/>
    <cellStyle name="Normal 4 3 2 2 3 2 3 2 2" xfId="30060" xr:uid="{00000000-0005-0000-0000-0000011D0000}"/>
    <cellStyle name="Normal 4 3 2 2 3 2 3 2 2 2" xfId="36671" xr:uid="{765B0DDA-EB8F-4AB9-B605-9F9508F8FF2A}"/>
    <cellStyle name="Normal 4 3 2 2 3 2 3 2 3" xfId="30061" xr:uid="{00000000-0005-0000-0000-0000021D0000}"/>
    <cellStyle name="Normal 4 3 2 2 3 2 3 2 3 2" xfId="36672" xr:uid="{02FCA754-8B28-4B60-956E-EB4D5030DBBD}"/>
    <cellStyle name="Normal 4 3 2 2 3 2 3 2 4" xfId="36670" xr:uid="{760A3E61-A67A-4FF7-8F2C-D90B47AD4F2E}"/>
    <cellStyle name="Normal 4 3 2 2 3 2 3 3" xfId="30062" xr:uid="{00000000-0005-0000-0000-0000031D0000}"/>
    <cellStyle name="Normal 4 3 2 2 3 2 3 3 2" xfId="36673" xr:uid="{1C58DA6B-BC91-4D44-9109-ACE2775D5EA7}"/>
    <cellStyle name="Normal 4 3 2 2 3 2 3 4" xfId="30063" xr:uid="{00000000-0005-0000-0000-0000041D0000}"/>
    <cellStyle name="Normal 4 3 2 2 3 2 3 4 2" xfId="36674" xr:uid="{DD2FB3A0-CC02-425C-AA54-2BC30DDA01A7}"/>
    <cellStyle name="Normal 4 3 2 2 3 2 3 5" xfId="30064" xr:uid="{00000000-0005-0000-0000-0000051D0000}"/>
    <cellStyle name="Normal 4 3 2 2 3 2 3 5 2" xfId="36675" xr:uid="{AAFD8207-2CC4-426C-A85C-579190E7BCB1}"/>
    <cellStyle name="Normal 4 3 2 2 3 2 3 6" xfId="36669" xr:uid="{489A9E87-DFEC-4616-8E45-0B85C6D4C8E6}"/>
    <cellStyle name="Normal 4 3 2 2 3 2 4" xfId="30065" xr:uid="{00000000-0005-0000-0000-0000061D0000}"/>
    <cellStyle name="Normal 4 3 2 2 3 2 4 2" xfId="30066" xr:uid="{00000000-0005-0000-0000-0000071D0000}"/>
    <cellStyle name="Normal 4 3 2 2 3 2 4 2 2" xfId="30067" xr:uid="{00000000-0005-0000-0000-0000081D0000}"/>
    <cellStyle name="Normal 4 3 2 2 3 2 4 2 2 2" xfId="36678" xr:uid="{19454DAC-9CFE-4E3E-84C4-933C17C2A146}"/>
    <cellStyle name="Normal 4 3 2 2 3 2 4 2 3" xfId="30068" xr:uid="{00000000-0005-0000-0000-0000091D0000}"/>
    <cellStyle name="Normal 4 3 2 2 3 2 4 2 3 2" xfId="36679" xr:uid="{492B022D-BD06-4297-94E6-578428E76D98}"/>
    <cellStyle name="Normal 4 3 2 2 3 2 4 2 4" xfId="36677" xr:uid="{375270EB-4B9D-42AD-B92A-D14DA9D4BD01}"/>
    <cellStyle name="Normal 4 3 2 2 3 2 4 3" xfId="30069" xr:uid="{00000000-0005-0000-0000-00000A1D0000}"/>
    <cellStyle name="Normal 4 3 2 2 3 2 4 3 2" xfId="36680" xr:uid="{F653F07B-A724-4FDC-94B5-987B4C2A2A37}"/>
    <cellStyle name="Normal 4 3 2 2 3 2 4 4" xfId="30070" xr:uid="{00000000-0005-0000-0000-00000B1D0000}"/>
    <cellStyle name="Normal 4 3 2 2 3 2 4 4 2" xfId="36681" xr:uid="{E1F15C43-9826-41C3-8C52-B4DBAC7E029A}"/>
    <cellStyle name="Normal 4 3 2 2 3 2 4 5" xfId="30071" xr:uid="{00000000-0005-0000-0000-00000C1D0000}"/>
    <cellStyle name="Normal 4 3 2 2 3 2 4 5 2" xfId="36682" xr:uid="{9DF052B7-605B-4CD0-B97F-8F0C81DCA4D5}"/>
    <cellStyle name="Normal 4 3 2 2 3 2 4 6" xfId="36676" xr:uid="{D936D23F-55F8-4C3C-B68C-108BD214C7AF}"/>
    <cellStyle name="Normal 4 3 2 2 3 2 5" xfId="30072" xr:uid="{00000000-0005-0000-0000-00000D1D0000}"/>
    <cellStyle name="Normal 4 3 2 2 3 2 5 2" xfId="30073" xr:uid="{00000000-0005-0000-0000-00000E1D0000}"/>
    <cellStyle name="Normal 4 3 2 2 3 2 5 2 2" xfId="36684" xr:uid="{07AC982E-30E1-4523-9838-98B9AEA89BB2}"/>
    <cellStyle name="Normal 4 3 2 2 3 2 5 3" xfId="30074" xr:uid="{00000000-0005-0000-0000-00000F1D0000}"/>
    <cellStyle name="Normal 4 3 2 2 3 2 5 3 2" xfId="36685" xr:uid="{11A40DA4-BFE5-43BB-ACAE-0C0493E26CA5}"/>
    <cellStyle name="Normal 4 3 2 2 3 2 5 4" xfId="36683" xr:uid="{67DC59C3-BD63-4C47-976D-B041F4734580}"/>
    <cellStyle name="Normal 4 3 2 2 3 2 6" xfId="30075" xr:uid="{00000000-0005-0000-0000-0000101D0000}"/>
    <cellStyle name="Normal 4 3 2 2 3 2 6 2" xfId="36686" xr:uid="{EE830FCC-E69D-428C-B303-F9FD270550AA}"/>
    <cellStyle name="Normal 4 3 2 2 3 2 7" xfId="30076" xr:uid="{00000000-0005-0000-0000-0000111D0000}"/>
    <cellStyle name="Normal 4 3 2 2 3 2 7 2" xfId="36687" xr:uid="{0DA2E3B1-482F-4C64-8F34-2174A8A293E9}"/>
    <cellStyle name="Normal 4 3 2 2 3 2 8" xfId="30077" xr:uid="{00000000-0005-0000-0000-0000121D0000}"/>
    <cellStyle name="Normal 4 3 2 2 3 2 8 2" xfId="36688" xr:uid="{C6E07D20-B1B4-4D80-8001-40498881D503}"/>
    <cellStyle name="Normal 4 3 2 2 3 2 9" xfId="36647" xr:uid="{0386C2D5-10E8-4616-82A6-DA614E73170B}"/>
    <cellStyle name="Normal 4 3 2 2 3 3" xfId="30078" xr:uid="{00000000-0005-0000-0000-0000131D0000}"/>
    <cellStyle name="Normal 4 3 2 2 3 3 2" xfId="30079" xr:uid="{00000000-0005-0000-0000-0000141D0000}"/>
    <cellStyle name="Normal 4 3 2 2 3 3 2 2" xfId="30080" xr:uid="{00000000-0005-0000-0000-0000151D0000}"/>
    <cellStyle name="Normal 4 3 2 2 3 3 2 2 2" xfId="30081" xr:uid="{00000000-0005-0000-0000-0000161D0000}"/>
    <cellStyle name="Normal 4 3 2 2 3 3 2 2 2 2" xfId="36692" xr:uid="{F15D6D0F-AF37-422A-9DE6-2CFD9C4D6B77}"/>
    <cellStyle name="Normal 4 3 2 2 3 3 2 2 3" xfId="30082" xr:uid="{00000000-0005-0000-0000-0000171D0000}"/>
    <cellStyle name="Normal 4 3 2 2 3 3 2 2 3 2" xfId="36693" xr:uid="{63584ED6-D7EF-4BB9-8B43-19056B35DEB6}"/>
    <cellStyle name="Normal 4 3 2 2 3 3 2 2 4" xfId="36691" xr:uid="{2CEC47F2-7306-4B1E-8F7E-F9747E40511A}"/>
    <cellStyle name="Normal 4 3 2 2 3 3 2 3" xfId="30083" xr:uid="{00000000-0005-0000-0000-0000181D0000}"/>
    <cellStyle name="Normal 4 3 2 2 3 3 2 3 2" xfId="36694" xr:uid="{2131132E-82B3-418D-A78F-5761B113EBBF}"/>
    <cellStyle name="Normal 4 3 2 2 3 3 2 4" xfId="30084" xr:uid="{00000000-0005-0000-0000-0000191D0000}"/>
    <cellStyle name="Normal 4 3 2 2 3 3 2 4 2" xfId="36695" xr:uid="{87671F25-6FE7-4485-B4E2-091C53636947}"/>
    <cellStyle name="Normal 4 3 2 2 3 3 2 5" xfId="30085" xr:uid="{00000000-0005-0000-0000-00001A1D0000}"/>
    <cellStyle name="Normal 4 3 2 2 3 3 2 5 2" xfId="36696" xr:uid="{CAD81BE1-A822-449E-BAF8-9880468BD7EE}"/>
    <cellStyle name="Normal 4 3 2 2 3 3 2 6" xfId="36690" xr:uid="{9DECD33D-1654-4801-B027-3A3AE8F2F671}"/>
    <cellStyle name="Normal 4 3 2 2 3 3 3" xfId="30086" xr:uid="{00000000-0005-0000-0000-00001B1D0000}"/>
    <cellStyle name="Normal 4 3 2 2 3 3 3 2" xfId="30087" xr:uid="{00000000-0005-0000-0000-00001C1D0000}"/>
    <cellStyle name="Normal 4 3 2 2 3 3 3 2 2" xfId="30088" xr:uid="{00000000-0005-0000-0000-00001D1D0000}"/>
    <cellStyle name="Normal 4 3 2 2 3 3 3 2 2 2" xfId="36699" xr:uid="{4B8978D5-A784-4B1D-9ADE-CD822742603E}"/>
    <cellStyle name="Normal 4 3 2 2 3 3 3 2 3" xfId="30089" xr:uid="{00000000-0005-0000-0000-00001E1D0000}"/>
    <cellStyle name="Normal 4 3 2 2 3 3 3 2 3 2" xfId="36700" xr:uid="{D1375B08-2ADC-4F89-A64F-3168241B2CD9}"/>
    <cellStyle name="Normal 4 3 2 2 3 3 3 2 4" xfId="36698" xr:uid="{A18BDA51-D2A7-4484-9909-180201E31DC6}"/>
    <cellStyle name="Normal 4 3 2 2 3 3 3 3" xfId="30090" xr:uid="{00000000-0005-0000-0000-00001F1D0000}"/>
    <cellStyle name="Normal 4 3 2 2 3 3 3 3 2" xfId="36701" xr:uid="{30CE1BB7-B45D-416C-A280-603621FF2EC3}"/>
    <cellStyle name="Normal 4 3 2 2 3 3 3 4" xfId="30091" xr:uid="{00000000-0005-0000-0000-0000201D0000}"/>
    <cellStyle name="Normal 4 3 2 2 3 3 3 4 2" xfId="36702" xr:uid="{1FE707D1-3DB8-447E-8775-AD99C7B0662A}"/>
    <cellStyle name="Normal 4 3 2 2 3 3 3 5" xfId="30092" xr:uid="{00000000-0005-0000-0000-0000211D0000}"/>
    <cellStyle name="Normal 4 3 2 2 3 3 3 5 2" xfId="36703" xr:uid="{1D330F86-E53D-4806-AB12-194C5C8FCF95}"/>
    <cellStyle name="Normal 4 3 2 2 3 3 3 6" xfId="36697" xr:uid="{D857390E-F399-4160-8CB3-4B198A2F36E2}"/>
    <cellStyle name="Normal 4 3 2 2 3 3 4" xfId="30093" xr:uid="{00000000-0005-0000-0000-0000221D0000}"/>
    <cellStyle name="Normal 4 3 2 2 3 3 4 2" xfId="30094" xr:uid="{00000000-0005-0000-0000-0000231D0000}"/>
    <cellStyle name="Normal 4 3 2 2 3 3 4 2 2" xfId="36705" xr:uid="{D52EC4B3-2591-4022-80CB-ED153CA13ADF}"/>
    <cellStyle name="Normal 4 3 2 2 3 3 4 3" xfId="30095" xr:uid="{00000000-0005-0000-0000-0000241D0000}"/>
    <cellStyle name="Normal 4 3 2 2 3 3 4 3 2" xfId="36706" xr:uid="{847559C5-C541-4469-8D6B-196EBB0F7941}"/>
    <cellStyle name="Normal 4 3 2 2 3 3 4 4" xfId="36704" xr:uid="{1C2E06BF-686F-442A-94CA-D2F0991312CB}"/>
    <cellStyle name="Normal 4 3 2 2 3 3 5" xfId="30096" xr:uid="{00000000-0005-0000-0000-0000251D0000}"/>
    <cellStyle name="Normal 4 3 2 2 3 3 5 2" xfId="36707" xr:uid="{5C2A0653-A47B-4484-9D75-6C6BE4040FA4}"/>
    <cellStyle name="Normal 4 3 2 2 3 3 6" xfId="30097" xr:uid="{00000000-0005-0000-0000-0000261D0000}"/>
    <cellStyle name="Normal 4 3 2 2 3 3 6 2" xfId="36708" xr:uid="{465252ED-792C-4860-B1C1-F9CA58CA44B7}"/>
    <cellStyle name="Normal 4 3 2 2 3 3 7" xfId="30098" xr:uid="{00000000-0005-0000-0000-0000271D0000}"/>
    <cellStyle name="Normal 4 3 2 2 3 3 7 2" xfId="36709" xr:uid="{E4ABB661-B835-4F19-9204-ABC745FC04A0}"/>
    <cellStyle name="Normal 4 3 2 2 3 3 8" xfId="36689" xr:uid="{EE7F9A7E-DB54-4824-AAEB-126533E181D5}"/>
    <cellStyle name="Normal 4 3 2 2 3 4" xfId="30099" xr:uid="{00000000-0005-0000-0000-0000281D0000}"/>
    <cellStyle name="Normal 4 3 2 2 3 4 2" xfId="30100" xr:uid="{00000000-0005-0000-0000-0000291D0000}"/>
    <cellStyle name="Normal 4 3 2 2 3 4 2 2" xfId="30101" xr:uid="{00000000-0005-0000-0000-00002A1D0000}"/>
    <cellStyle name="Normal 4 3 2 2 3 4 2 2 2" xfId="36712" xr:uid="{E65C755E-DCD4-4DBD-8958-C8E32A7740F3}"/>
    <cellStyle name="Normal 4 3 2 2 3 4 2 3" xfId="30102" xr:uid="{00000000-0005-0000-0000-00002B1D0000}"/>
    <cellStyle name="Normal 4 3 2 2 3 4 2 3 2" xfId="36713" xr:uid="{68734777-A7CE-4F7A-B1B0-743DD8654C22}"/>
    <cellStyle name="Normal 4 3 2 2 3 4 2 4" xfId="36711" xr:uid="{1454FC07-68CE-4DB0-A17E-CAAE746DC6ED}"/>
    <cellStyle name="Normal 4 3 2 2 3 4 3" xfId="30103" xr:uid="{00000000-0005-0000-0000-00002C1D0000}"/>
    <cellStyle name="Normal 4 3 2 2 3 4 3 2" xfId="36714" xr:uid="{20D58664-5485-46E0-B7C0-D14A187F45BA}"/>
    <cellStyle name="Normal 4 3 2 2 3 4 4" xfId="30104" xr:uid="{00000000-0005-0000-0000-00002D1D0000}"/>
    <cellStyle name="Normal 4 3 2 2 3 4 4 2" xfId="36715" xr:uid="{FDA4681F-26D1-43DF-9F3A-C822A88194E4}"/>
    <cellStyle name="Normal 4 3 2 2 3 4 5" xfId="30105" xr:uid="{00000000-0005-0000-0000-00002E1D0000}"/>
    <cellStyle name="Normal 4 3 2 2 3 4 5 2" xfId="36716" xr:uid="{210695F4-FBC7-45FE-956B-FEDFECBC727C}"/>
    <cellStyle name="Normal 4 3 2 2 3 4 6" xfId="36710" xr:uid="{3EAB2071-F20C-466A-8ECD-D03D852ACFFA}"/>
    <cellStyle name="Normal 4 3 2 2 3 5" xfId="30106" xr:uid="{00000000-0005-0000-0000-00002F1D0000}"/>
    <cellStyle name="Normal 4 3 2 2 3 5 2" xfId="30107" xr:uid="{00000000-0005-0000-0000-0000301D0000}"/>
    <cellStyle name="Normal 4 3 2 2 3 5 2 2" xfId="30108" xr:uid="{00000000-0005-0000-0000-0000311D0000}"/>
    <cellStyle name="Normal 4 3 2 2 3 5 2 2 2" xfId="36719" xr:uid="{0436A332-79BC-453E-9FAC-522432472D79}"/>
    <cellStyle name="Normal 4 3 2 2 3 5 2 3" xfId="30109" xr:uid="{00000000-0005-0000-0000-0000321D0000}"/>
    <cellStyle name="Normal 4 3 2 2 3 5 2 3 2" xfId="36720" xr:uid="{35F8A3DC-7C83-47BE-BCEE-7A4BB9D3C916}"/>
    <cellStyle name="Normal 4 3 2 2 3 5 2 4" xfId="36718" xr:uid="{693BCB28-F9C7-455E-884E-9118C7D8BBC1}"/>
    <cellStyle name="Normal 4 3 2 2 3 5 3" xfId="30110" xr:uid="{00000000-0005-0000-0000-0000331D0000}"/>
    <cellStyle name="Normal 4 3 2 2 3 5 3 2" xfId="36721" xr:uid="{3A83CD22-BCD1-4737-B22E-99C8F62534FE}"/>
    <cellStyle name="Normal 4 3 2 2 3 5 4" xfId="30111" xr:uid="{00000000-0005-0000-0000-0000341D0000}"/>
    <cellStyle name="Normal 4 3 2 2 3 5 4 2" xfId="36722" xr:uid="{DCE71803-45A2-4F9D-B599-FC26A8B10D7A}"/>
    <cellStyle name="Normal 4 3 2 2 3 5 5" xfId="30112" xr:uid="{00000000-0005-0000-0000-0000351D0000}"/>
    <cellStyle name="Normal 4 3 2 2 3 5 5 2" xfId="36723" xr:uid="{3C896D99-3AE2-4F7E-93AA-C8357C3AA718}"/>
    <cellStyle name="Normal 4 3 2 2 3 5 6" xfId="36717" xr:uid="{498E7B85-AD58-4B55-995E-56EACA6B56C8}"/>
    <cellStyle name="Normal 4 3 2 2 3 6" xfId="30113" xr:uid="{00000000-0005-0000-0000-0000361D0000}"/>
    <cellStyle name="Normal 4 3 2 2 3 6 2" xfId="30114" xr:uid="{00000000-0005-0000-0000-0000371D0000}"/>
    <cellStyle name="Normal 4 3 2 2 3 6 2 2" xfId="36725" xr:uid="{2A8E976C-DE6B-4E99-830E-DBBAFF952CF7}"/>
    <cellStyle name="Normal 4 3 2 2 3 6 3" xfId="30115" xr:uid="{00000000-0005-0000-0000-0000381D0000}"/>
    <cellStyle name="Normal 4 3 2 2 3 6 3 2" xfId="36726" xr:uid="{95DCF778-715B-41FA-B190-CBD49A9D9C05}"/>
    <cellStyle name="Normal 4 3 2 2 3 6 4" xfId="36724" xr:uid="{75AC6440-8AAE-4D9B-BFC4-2CACBD2C07BD}"/>
    <cellStyle name="Normal 4 3 2 2 3 7" xfId="30116" xr:uid="{00000000-0005-0000-0000-0000391D0000}"/>
    <cellStyle name="Normal 4 3 2 2 3 7 2" xfId="36727" xr:uid="{BAF3600A-F407-4618-ADD5-E7E5E2D172CD}"/>
    <cellStyle name="Normal 4 3 2 2 3 8" xfId="30117" xr:uid="{00000000-0005-0000-0000-00003A1D0000}"/>
    <cellStyle name="Normal 4 3 2 2 3 8 2" xfId="36728" xr:uid="{78C1CF82-D67F-41DC-B58E-0BBDDE11F2A7}"/>
    <cellStyle name="Normal 4 3 2 2 3 9" xfId="30118" xr:uid="{00000000-0005-0000-0000-00003B1D0000}"/>
    <cellStyle name="Normal 4 3 2 2 3 9 2" xfId="36729" xr:uid="{5A18C914-3E38-4C16-904D-C795975D891C}"/>
    <cellStyle name="Normal 4 3 2 2 4" xfId="30119" xr:uid="{00000000-0005-0000-0000-00003C1D0000}"/>
    <cellStyle name="Normal 4 3 2 2 4 10" xfId="36730" xr:uid="{1025DC6F-EFD4-4724-A745-A295C6D5BCC3}"/>
    <cellStyle name="Normal 4 3 2 2 4 2" xfId="30120" xr:uid="{00000000-0005-0000-0000-00003D1D0000}"/>
    <cellStyle name="Normal 4 3 2 2 4 2 2" xfId="30121" xr:uid="{00000000-0005-0000-0000-00003E1D0000}"/>
    <cellStyle name="Normal 4 3 2 2 4 2 2 2" xfId="30122" xr:uid="{00000000-0005-0000-0000-00003F1D0000}"/>
    <cellStyle name="Normal 4 3 2 2 4 2 2 2 2" xfId="30123" xr:uid="{00000000-0005-0000-0000-0000401D0000}"/>
    <cellStyle name="Normal 4 3 2 2 4 2 2 2 2 2" xfId="30124" xr:uid="{00000000-0005-0000-0000-0000411D0000}"/>
    <cellStyle name="Normal 4 3 2 2 4 2 2 2 2 2 2" xfId="36735" xr:uid="{63C37C18-9276-458B-A6CE-90A34A98ABB4}"/>
    <cellStyle name="Normal 4 3 2 2 4 2 2 2 2 3" xfId="30125" xr:uid="{00000000-0005-0000-0000-0000421D0000}"/>
    <cellStyle name="Normal 4 3 2 2 4 2 2 2 2 3 2" xfId="36736" xr:uid="{D83A57F9-C7C6-4FA2-8F03-DCB69056A4D0}"/>
    <cellStyle name="Normal 4 3 2 2 4 2 2 2 2 4" xfId="36734" xr:uid="{59F1FABB-3549-4DE1-AFD9-6A06111F3A92}"/>
    <cellStyle name="Normal 4 3 2 2 4 2 2 2 3" xfId="30126" xr:uid="{00000000-0005-0000-0000-0000431D0000}"/>
    <cellStyle name="Normal 4 3 2 2 4 2 2 2 3 2" xfId="36737" xr:uid="{6ABB3167-4724-4C0C-AE30-05BFD7D63CB3}"/>
    <cellStyle name="Normal 4 3 2 2 4 2 2 2 4" xfId="30127" xr:uid="{00000000-0005-0000-0000-0000441D0000}"/>
    <cellStyle name="Normal 4 3 2 2 4 2 2 2 4 2" xfId="36738" xr:uid="{970D866E-8ED4-43E7-A92D-91F6073E1385}"/>
    <cellStyle name="Normal 4 3 2 2 4 2 2 2 5" xfId="30128" xr:uid="{00000000-0005-0000-0000-0000451D0000}"/>
    <cellStyle name="Normal 4 3 2 2 4 2 2 2 5 2" xfId="36739" xr:uid="{D2ADB97F-1B23-4F22-A432-CED9BB112340}"/>
    <cellStyle name="Normal 4 3 2 2 4 2 2 2 6" xfId="36733" xr:uid="{A24970F4-5813-4FF6-9620-64D52239EA1A}"/>
    <cellStyle name="Normal 4 3 2 2 4 2 2 3" xfId="30129" xr:uid="{00000000-0005-0000-0000-0000461D0000}"/>
    <cellStyle name="Normal 4 3 2 2 4 2 2 3 2" xfId="30130" xr:uid="{00000000-0005-0000-0000-0000471D0000}"/>
    <cellStyle name="Normal 4 3 2 2 4 2 2 3 2 2" xfId="30131" xr:uid="{00000000-0005-0000-0000-0000481D0000}"/>
    <cellStyle name="Normal 4 3 2 2 4 2 2 3 2 2 2" xfId="36742" xr:uid="{99779B31-CBD5-4438-8757-26B8CFD4BD87}"/>
    <cellStyle name="Normal 4 3 2 2 4 2 2 3 2 3" xfId="30132" xr:uid="{00000000-0005-0000-0000-0000491D0000}"/>
    <cellStyle name="Normal 4 3 2 2 4 2 2 3 2 3 2" xfId="36743" xr:uid="{0709D734-FCC1-43F2-8105-3B62F14B7679}"/>
    <cellStyle name="Normal 4 3 2 2 4 2 2 3 2 4" xfId="36741" xr:uid="{F80DA231-156B-4DF3-AB0F-63470D55955A}"/>
    <cellStyle name="Normal 4 3 2 2 4 2 2 3 3" xfId="30133" xr:uid="{00000000-0005-0000-0000-00004A1D0000}"/>
    <cellStyle name="Normal 4 3 2 2 4 2 2 3 3 2" xfId="36744" xr:uid="{9D43F1F2-13B6-43E4-91D0-680858E884AF}"/>
    <cellStyle name="Normal 4 3 2 2 4 2 2 3 4" xfId="30134" xr:uid="{00000000-0005-0000-0000-00004B1D0000}"/>
    <cellStyle name="Normal 4 3 2 2 4 2 2 3 4 2" xfId="36745" xr:uid="{AD853B17-CC7E-436C-968C-6D4A3D0E6DD3}"/>
    <cellStyle name="Normal 4 3 2 2 4 2 2 3 5" xfId="30135" xr:uid="{00000000-0005-0000-0000-00004C1D0000}"/>
    <cellStyle name="Normal 4 3 2 2 4 2 2 3 5 2" xfId="36746" xr:uid="{8E8C1954-275F-4AFF-AD56-9D157BAEE81A}"/>
    <cellStyle name="Normal 4 3 2 2 4 2 2 3 6" xfId="36740" xr:uid="{DCAE2B62-5CAD-429A-877C-C3C83D0EBA83}"/>
    <cellStyle name="Normal 4 3 2 2 4 2 2 4" xfId="30136" xr:uid="{00000000-0005-0000-0000-00004D1D0000}"/>
    <cellStyle name="Normal 4 3 2 2 4 2 2 4 2" xfId="30137" xr:uid="{00000000-0005-0000-0000-00004E1D0000}"/>
    <cellStyle name="Normal 4 3 2 2 4 2 2 4 2 2" xfId="36748" xr:uid="{6708FF5A-9A50-43AE-A764-A7E8608F29D8}"/>
    <cellStyle name="Normal 4 3 2 2 4 2 2 4 3" xfId="30138" xr:uid="{00000000-0005-0000-0000-00004F1D0000}"/>
    <cellStyle name="Normal 4 3 2 2 4 2 2 4 3 2" xfId="36749" xr:uid="{025F2289-AAE5-4205-B0B0-B54F4E84F297}"/>
    <cellStyle name="Normal 4 3 2 2 4 2 2 4 4" xfId="36747" xr:uid="{97A5ABD5-EFAC-475A-9749-5D1E15317BF6}"/>
    <cellStyle name="Normal 4 3 2 2 4 2 2 5" xfId="30139" xr:uid="{00000000-0005-0000-0000-0000501D0000}"/>
    <cellStyle name="Normal 4 3 2 2 4 2 2 5 2" xfId="36750" xr:uid="{9622E05C-EE29-4779-9664-81F578830A46}"/>
    <cellStyle name="Normal 4 3 2 2 4 2 2 6" xfId="30140" xr:uid="{00000000-0005-0000-0000-0000511D0000}"/>
    <cellStyle name="Normal 4 3 2 2 4 2 2 6 2" xfId="36751" xr:uid="{E5C194D0-3621-4C33-B529-8A145BE80FB7}"/>
    <cellStyle name="Normal 4 3 2 2 4 2 2 7" xfId="30141" xr:uid="{00000000-0005-0000-0000-0000521D0000}"/>
    <cellStyle name="Normal 4 3 2 2 4 2 2 7 2" xfId="36752" xr:uid="{D31BF491-D251-4AB3-9B61-440ABD623CCF}"/>
    <cellStyle name="Normal 4 3 2 2 4 2 2 8" xfId="36732" xr:uid="{E3342E35-1BC8-4AD2-97AF-44ACD330DB2D}"/>
    <cellStyle name="Normal 4 3 2 2 4 2 3" xfId="30142" xr:uid="{00000000-0005-0000-0000-0000531D0000}"/>
    <cellStyle name="Normal 4 3 2 2 4 2 3 2" xfId="30143" xr:uid="{00000000-0005-0000-0000-0000541D0000}"/>
    <cellStyle name="Normal 4 3 2 2 4 2 3 2 2" xfId="30144" xr:uid="{00000000-0005-0000-0000-0000551D0000}"/>
    <cellStyle name="Normal 4 3 2 2 4 2 3 2 2 2" xfId="36755" xr:uid="{F18EE894-605E-4648-9119-5DCC24C92E4D}"/>
    <cellStyle name="Normal 4 3 2 2 4 2 3 2 3" xfId="30145" xr:uid="{00000000-0005-0000-0000-0000561D0000}"/>
    <cellStyle name="Normal 4 3 2 2 4 2 3 2 3 2" xfId="36756" xr:uid="{C81C256E-63AE-402D-A182-B0F6B50C2139}"/>
    <cellStyle name="Normal 4 3 2 2 4 2 3 2 4" xfId="36754" xr:uid="{1D647EA3-73B0-45B5-8A5E-B3F18BA04EC4}"/>
    <cellStyle name="Normal 4 3 2 2 4 2 3 3" xfId="30146" xr:uid="{00000000-0005-0000-0000-0000571D0000}"/>
    <cellStyle name="Normal 4 3 2 2 4 2 3 3 2" xfId="36757" xr:uid="{30C2BA06-CBD9-44C7-8591-FA671F08C955}"/>
    <cellStyle name="Normal 4 3 2 2 4 2 3 4" xfId="30147" xr:uid="{00000000-0005-0000-0000-0000581D0000}"/>
    <cellStyle name="Normal 4 3 2 2 4 2 3 4 2" xfId="36758" xr:uid="{3A2A513A-E47F-4F28-8358-9932EC457D43}"/>
    <cellStyle name="Normal 4 3 2 2 4 2 3 5" xfId="30148" xr:uid="{00000000-0005-0000-0000-0000591D0000}"/>
    <cellStyle name="Normal 4 3 2 2 4 2 3 5 2" xfId="36759" xr:uid="{622BF7BD-6015-4FF7-B8BA-3F3AFF8395D5}"/>
    <cellStyle name="Normal 4 3 2 2 4 2 3 6" xfId="36753" xr:uid="{BC6D712D-3EBF-4E05-95CF-27B7B22E2251}"/>
    <cellStyle name="Normal 4 3 2 2 4 2 4" xfId="30149" xr:uid="{00000000-0005-0000-0000-00005A1D0000}"/>
    <cellStyle name="Normal 4 3 2 2 4 2 4 2" xfId="30150" xr:uid="{00000000-0005-0000-0000-00005B1D0000}"/>
    <cellStyle name="Normal 4 3 2 2 4 2 4 2 2" xfId="30151" xr:uid="{00000000-0005-0000-0000-00005C1D0000}"/>
    <cellStyle name="Normal 4 3 2 2 4 2 4 2 2 2" xfId="36762" xr:uid="{C9E01B01-202C-4ABB-93CA-4F6F93972CC2}"/>
    <cellStyle name="Normal 4 3 2 2 4 2 4 2 3" xfId="30152" xr:uid="{00000000-0005-0000-0000-00005D1D0000}"/>
    <cellStyle name="Normal 4 3 2 2 4 2 4 2 3 2" xfId="36763" xr:uid="{F64C3A1E-B46D-4E8B-9CAF-F7A32A22D3E5}"/>
    <cellStyle name="Normal 4 3 2 2 4 2 4 2 4" xfId="36761" xr:uid="{29F2371D-7DD9-4EDD-B7F1-D3E9E02DA224}"/>
    <cellStyle name="Normal 4 3 2 2 4 2 4 3" xfId="30153" xr:uid="{00000000-0005-0000-0000-00005E1D0000}"/>
    <cellStyle name="Normal 4 3 2 2 4 2 4 3 2" xfId="36764" xr:uid="{54BF6A9C-C68F-41BB-A4F0-AE0113E4B190}"/>
    <cellStyle name="Normal 4 3 2 2 4 2 4 4" xfId="30154" xr:uid="{00000000-0005-0000-0000-00005F1D0000}"/>
    <cellStyle name="Normal 4 3 2 2 4 2 4 4 2" xfId="36765" xr:uid="{FCEC8AB4-9D41-4F1F-A5F2-F68045139EB4}"/>
    <cellStyle name="Normal 4 3 2 2 4 2 4 5" xfId="30155" xr:uid="{00000000-0005-0000-0000-0000601D0000}"/>
    <cellStyle name="Normal 4 3 2 2 4 2 4 5 2" xfId="36766" xr:uid="{DEF61B91-34C2-443C-9FA5-38D5C6A2F32D}"/>
    <cellStyle name="Normal 4 3 2 2 4 2 4 6" xfId="36760" xr:uid="{25E0FFC3-1CC4-4EBA-A9A0-E55D7252E1E5}"/>
    <cellStyle name="Normal 4 3 2 2 4 2 5" xfId="30156" xr:uid="{00000000-0005-0000-0000-0000611D0000}"/>
    <cellStyle name="Normal 4 3 2 2 4 2 5 2" xfId="30157" xr:uid="{00000000-0005-0000-0000-0000621D0000}"/>
    <cellStyle name="Normal 4 3 2 2 4 2 5 2 2" xfId="36768" xr:uid="{2EC58304-5662-4366-9A1B-38E4C54D36FB}"/>
    <cellStyle name="Normal 4 3 2 2 4 2 5 3" xfId="30158" xr:uid="{00000000-0005-0000-0000-0000631D0000}"/>
    <cellStyle name="Normal 4 3 2 2 4 2 5 3 2" xfId="36769" xr:uid="{5D2C756C-BC72-4A7F-91CC-1D04983C21C5}"/>
    <cellStyle name="Normal 4 3 2 2 4 2 5 4" xfId="36767" xr:uid="{5C8160FC-0F61-425F-AB0B-0BB495A95B7B}"/>
    <cellStyle name="Normal 4 3 2 2 4 2 6" xfId="30159" xr:uid="{00000000-0005-0000-0000-0000641D0000}"/>
    <cellStyle name="Normal 4 3 2 2 4 2 6 2" xfId="36770" xr:uid="{41663EB3-6E89-45FA-801D-CEA0934385F3}"/>
    <cellStyle name="Normal 4 3 2 2 4 2 7" xfId="30160" xr:uid="{00000000-0005-0000-0000-0000651D0000}"/>
    <cellStyle name="Normal 4 3 2 2 4 2 7 2" xfId="36771" xr:uid="{32BA3FB2-DBAC-45CF-83F7-2D1E226CA995}"/>
    <cellStyle name="Normal 4 3 2 2 4 2 8" xfId="30161" xr:uid="{00000000-0005-0000-0000-0000661D0000}"/>
    <cellStyle name="Normal 4 3 2 2 4 2 8 2" xfId="36772" xr:uid="{8B062E9A-A968-44DB-8213-58F70203ED4A}"/>
    <cellStyle name="Normal 4 3 2 2 4 2 9" xfId="36731" xr:uid="{D19A2372-B4A4-42EB-8FCF-113FE888AD37}"/>
    <cellStyle name="Normal 4 3 2 2 4 3" xfId="30162" xr:uid="{00000000-0005-0000-0000-0000671D0000}"/>
    <cellStyle name="Normal 4 3 2 2 4 3 2" xfId="30163" xr:uid="{00000000-0005-0000-0000-0000681D0000}"/>
    <cellStyle name="Normal 4 3 2 2 4 3 2 2" xfId="30164" xr:uid="{00000000-0005-0000-0000-0000691D0000}"/>
    <cellStyle name="Normal 4 3 2 2 4 3 2 2 2" xfId="30165" xr:uid="{00000000-0005-0000-0000-00006A1D0000}"/>
    <cellStyle name="Normal 4 3 2 2 4 3 2 2 2 2" xfId="36776" xr:uid="{0628BA52-3A35-447D-91FC-92C0022AD97B}"/>
    <cellStyle name="Normal 4 3 2 2 4 3 2 2 3" xfId="30166" xr:uid="{00000000-0005-0000-0000-00006B1D0000}"/>
    <cellStyle name="Normal 4 3 2 2 4 3 2 2 3 2" xfId="36777" xr:uid="{FBA75AD9-7948-44CF-BD75-C65AD3442B69}"/>
    <cellStyle name="Normal 4 3 2 2 4 3 2 2 4" xfId="36775" xr:uid="{B9DA2155-05B0-4C0D-9C78-3888E99EB2E1}"/>
    <cellStyle name="Normal 4 3 2 2 4 3 2 3" xfId="30167" xr:uid="{00000000-0005-0000-0000-00006C1D0000}"/>
    <cellStyle name="Normal 4 3 2 2 4 3 2 3 2" xfId="36778" xr:uid="{779BD8CE-C016-4781-93BF-30C3ACE46527}"/>
    <cellStyle name="Normal 4 3 2 2 4 3 2 4" xfId="30168" xr:uid="{00000000-0005-0000-0000-00006D1D0000}"/>
    <cellStyle name="Normal 4 3 2 2 4 3 2 4 2" xfId="36779" xr:uid="{27A41DBA-3603-4D61-9C06-C24A8B118905}"/>
    <cellStyle name="Normal 4 3 2 2 4 3 2 5" xfId="30169" xr:uid="{00000000-0005-0000-0000-00006E1D0000}"/>
    <cellStyle name="Normal 4 3 2 2 4 3 2 5 2" xfId="36780" xr:uid="{9AB5DA64-2CB2-472B-827E-626918A8079F}"/>
    <cellStyle name="Normal 4 3 2 2 4 3 2 6" xfId="36774" xr:uid="{538B8885-A451-4275-9744-7BA7A592F95B}"/>
    <cellStyle name="Normal 4 3 2 2 4 3 3" xfId="30170" xr:uid="{00000000-0005-0000-0000-00006F1D0000}"/>
    <cellStyle name="Normal 4 3 2 2 4 3 3 2" xfId="30171" xr:uid="{00000000-0005-0000-0000-0000701D0000}"/>
    <cellStyle name="Normal 4 3 2 2 4 3 3 2 2" xfId="30172" xr:uid="{00000000-0005-0000-0000-0000711D0000}"/>
    <cellStyle name="Normal 4 3 2 2 4 3 3 2 2 2" xfId="36783" xr:uid="{B8F82E38-075E-49B6-BB04-50028BD0E102}"/>
    <cellStyle name="Normal 4 3 2 2 4 3 3 2 3" xfId="30173" xr:uid="{00000000-0005-0000-0000-0000721D0000}"/>
    <cellStyle name="Normal 4 3 2 2 4 3 3 2 3 2" xfId="36784" xr:uid="{81D0CCD8-1932-4D06-85BF-23C5483CC34E}"/>
    <cellStyle name="Normal 4 3 2 2 4 3 3 2 4" xfId="36782" xr:uid="{2CC9CF6B-D8E7-4515-95E0-B624C4B177E8}"/>
    <cellStyle name="Normal 4 3 2 2 4 3 3 3" xfId="30174" xr:uid="{00000000-0005-0000-0000-0000731D0000}"/>
    <cellStyle name="Normal 4 3 2 2 4 3 3 3 2" xfId="36785" xr:uid="{9304534C-FEC5-4FCC-9F18-2C1840A695F9}"/>
    <cellStyle name="Normal 4 3 2 2 4 3 3 4" xfId="30175" xr:uid="{00000000-0005-0000-0000-0000741D0000}"/>
    <cellStyle name="Normal 4 3 2 2 4 3 3 4 2" xfId="36786" xr:uid="{BFFD95CE-75ED-4AE4-9D01-52B2DE1EB7F3}"/>
    <cellStyle name="Normal 4 3 2 2 4 3 3 5" xfId="30176" xr:uid="{00000000-0005-0000-0000-0000751D0000}"/>
    <cellStyle name="Normal 4 3 2 2 4 3 3 5 2" xfId="36787" xr:uid="{B1F33346-A66C-4B08-A170-4D1E5FB3CE57}"/>
    <cellStyle name="Normal 4 3 2 2 4 3 3 6" xfId="36781" xr:uid="{B37F1337-285A-4B19-ABE0-8D44183EBD9D}"/>
    <cellStyle name="Normal 4 3 2 2 4 3 4" xfId="30177" xr:uid="{00000000-0005-0000-0000-0000761D0000}"/>
    <cellStyle name="Normal 4 3 2 2 4 3 4 2" xfId="30178" xr:uid="{00000000-0005-0000-0000-0000771D0000}"/>
    <cellStyle name="Normal 4 3 2 2 4 3 4 2 2" xfId="36789" xr:uid="{865C22C5-A1F4-4D38-801E-A3175F4A6B30}"/>
    <cellStyle name="Normal 4 3 2 2 4 3 4 3" xfId="30179" xr:uid="{00000000-0005-0000-0000-0000781D0000}"/>
    <cellStyle name="Normal 4 3 2 2 4 3 4 3 2" xfId="36790" xr:uid="{1593C2F0-73A5-4EB0-9459-ECDCF0412D84}"/>
    <cellStyle name="Normal 4 3 2 2 4 3 4 4" xfId="36788" xr:uid="{6BA37FB5-3054-40A6-B5A5-67337F050291}"/>
    <cellStyle name="Normal 4 3 2 2 4 3 5" xfId="30180" xr:uid="{00000000-0005-0000-0000-0000791D0000}"/>
    <cellStyle name="Normal 4 3 2 2 4 3 5 2" xfId="36791" xr:uid="{372B77E0-8F2D-49E3-938B-04CBE7D6E12F}"/>
    <cellStyle name="Normal 4 3 2 2 4 3 6" xfId="30181" xr:uid="{00000000-0005-0000-0000-00007A1D0000}"/>
    <cellStyle name="Normal 4 3 2 2 4 3 6 2" xfId="36792" xr:uid="{1E5A1959-391B-4E3A-9137-737A95AD484F}"/>
    <cellStyle name="Normal 4 3 2 2 4 3 7" xfId="30182" xr:uid="{00000000-0005-0000-0000-00007B1D0000}"/>
    <cellStyle name="Normal 4 3 2 2 4 3 7 2" xfId="36793" xr:uid="{B70F9D00-64DD-488D-A848-F325347B094A}"/>
    <cellStyle name="Normal 4 3 2 2 4 3 8" xfId="36773" xr:uid="{7D4AFBC8-1FC8-478A-9D2F-1294F7DF7BE0}"/>
    <cellStyle name="Normal 4 3 2 2 4 4" xfId="30183" xr:uid="{00000000-0005-0000-0000-00007C1D0000}"/>
    <cellStyle name="Normal 4 3 2 2 4 4 2" xfId="30184" xr:uid="{00000000-0005-0000-0000-00007D1D0000}"/>
    <cellStyle name="Normal 4 3 2 2 4 4 2 2" xfId="30185" xr:uid="{00000000-0005-0000-0000-00007E1D0000}"/>
    <cellStyle name="Normal 4 3 2 2 4 4 2 2 2" xfId="36796" xr:uid="{6C9FFA70-B5F5-43EF-A901-C3D5A6ECDD92}"/>
    <cellStyle name="Normal 4 3 2 2 4 4 2 3" xfId="30186" xr:uid="{00000000-0005-0000-0000-00007F1D0000}"/>
    <cellStyle name="Normal 4 3 2 2 4 4 2 3 2" xfId="36797" xr:uid="{AE0F7335-2566-4121-90CE-9B5CB3AC425F}"/>
    <cellStyle name="Normal 4 3 2 2 4 4 2 4" xfId="36795" xr:uid="{EBE62BB4-AE31-45DA-83FE-4CA9BEF4BF36}"/>
    <cellStyle name="Normal 4 3 2 2 4 4 3" xfId="30187" xr:uid="{00000000-0005-0000-0000-0000801D0000}"/>
    <cellStyle name="Normal 4 3 2 2 4 4 3 2" xfId="36798" xr:uid="{BBF03860-33B6-4EB5-936D-05FE11D13C78}"/>
    <cellStyle name="Normal 4 3 2 2 4 4 4" xfId="30188" xr:uid="{00000000-0005-0000-0000-0000811D0000}"/>
    <cellStyle name="Normal 4 3 2 2 4 4 4 2" xfId="36799" xr:uid="{136D2A9C-734E-4113-8B1B-AC0286E5EBF5}"/>
    <cellStyle name="Normal 4 3 2 2 4 4 5" xfId="30189" xr:uid="{00000000-0005-0000-0000-0000821D0000}"/>
    <cellStyle name="Normal 4 3 2 2 4 4 5 2" xfId="36800" xr:uid="{4A8F12D1-2053-462B-BE38-1B2EECCA545E}"/>
    <cellStyle name="Normal 4 3 2 2 4 4 6" xfId="36794" xr:uid="{1D4D6D25-5356-42E4-9D47-1319BC371054}"/>
    <cellStyle name="Normal 4 3 2 2 4 5" xfId="30190" xr:uid="{00000000-0005-0000-0000-0000831D0000}"/>
    <cellStyle name="Normal 4 3 2 2 4 5 2" xfId="30191" xr:uid="{00000000-0005-0000-0000-0000841D0000}"/>
    <cellStyle name="Normal 4 3 2 2 4 5 2 2" xfId="30192" xr:uid="{00000000-0005-0000-0000-0000851D0000}"/>
    <cellStyle name="Normal 4 3 2 2 4 5 2 2 2" xfId="36803" xr:uid="{8DCD6E2F-BAB0-4AE0-B8F6-7F7885EC2CEB}"/>
    <cellStyle name="Normal 4 3 2 2 4 5 2 3" xfId="30193" xr:uid="{00000000-0005-0000-0000-0000861D0000}"/>
    <cellStyle name="Normal 4 3 2 2 4 5 2 3 2" xfId="36804" xr:uid="{23EC0115-AED8-4AC5-A556-C17C22E4096A}"/>
    <cellStyle name="Normal 4 3 2 2 4 5 2 4" xfId="36802" xr:uid="{A4B3A643-807B-4CF5-BA33-4D4F2DF07378}"/>
    <cellStyle name="Normal 4 3 2 2 4 5 3" xfId="30194" xr:uid="{00000000-0005-0000-0000-0000871D0000}"/>
    <cellStyle name="Normal 4 3 2 2 4 5 3 2" xfId="36805" xr:uid="{CE0E4B42-937E-492A-9699-FA9EB77DA9E9}"/>
    <cellStyle name="Normal 4 3 2 2 4 5 4" xfId="30195" xr:uid="{00000000-0005-0000-0000-0000881D0000}"/>
    <cellStyle name="Normal 4 3 2 2 4 5 4 2" xfId="36806" xr:uid="{EC3C0B05-1462-42BC-87F3-FB4E3082FE7D}"/>
    <cellStyle name="Normal 4 3 2 2 4 5 5" xfId="30196" xr:uid="{00000000-0005-0000-0000-0000891D0000}"/>
    <cellStyle name="Normal 4 3 2 2 4 5 5 2" xfId="36807" xr:uid="{B8ED4E26-65A5-4053-98D5-F3F310ECDCB4}"/>
    <cellStyle name="Normal 4 3 2 2 4 5 6" xfId="36801" xr:uid="{77E6E8D6-F0DA-4C2A-A5B6-CA54302055C0}"/>
    <cellStyle name="Normal 4 3 2 2 4 6" xfId="30197" xr:uid="{00000000-0005-0000-0000-00008A1D0000}"/>
    <cellStyle name="Normal 4 3 2 2 4 6 2" xfId="30198" xr:uid="{00000000-0005-0000-0000-00008B1D0000}"/>
    <cellStyle name="Normal 4 3 2 2 4 6 2 2" xfId="36809" xr:uid="{471624A9-9EE7-4E3B-9FC6-B26D3B0CCC4F}"/>
    <cellStyle name="Normal 4 3 2 2 4 6 3" xfId="30199" xr:uid="{00000000-0005-0000-0000-00008C1D0000}"/>
    <cellStyle name="Normal 4 3 2 2 4 6 3 2" xfId="36810" xr:uid="{B37B332F-9FE2-4709-BAE1-8DCBCBA359AC}"/>
    <cellStyle name="Normal 4 3 2 2 4 6 4" xfId="36808" xr:uid="{DEF60C31-125C-4699-9560-C678F2272C6F}"/>
    <cellStyle name="Normal 4 3 2 2 4 7" xfId="30200" xr:uid="{00000000-0005-0000-0000-00008D1D0000}"/>
    <cellStyle name="Normal 4 3 2 2 4 7 2" xfId="36811" xr:uid="{7D0D38BD-CCE5-4852-B4BE-1727AA8F6A10}"/>
    <cellStyle name="Normal 4 3 2 2 4 8" xfId="30201" xr:uid="{00000000-0005-0000-0000-00008E1D0000}"/>
    <cellStyle name="Normal 4 3 2 2 4 8 2" xfId="36812" xr:uid="{208CBE8C-614D-400C-A5EB-9B2897AA744C}"/>
    <cellStyle name="Normal 4 3 2 2 4 9" xfId="30202" xr:uid="{00000000-0005-0000-0000-00008F1D0000}"/>
    <cellStyle name="Normal 4 3 2 2 4 9 2" xfId="36813" xr:uid="{C7B5B7D6-0BF6-4627-85BF-B5A670A692C2}"/>
    <cellStyle name="Normal 4 3 2 2 5" xfId="30203" xr:uid="{00000000-0005-0000-0000-0000901D0000}"/>
    <cellStyle name="Normal 4 3 2 2 5 2" xfId="30204" xr:uid="{00000000-0005-0000-0000-0000911D0000}"/>
    <cellStyle name="Normal 4 3 2 2 5 2 2" xfId="30205" xr:uid="{00000000-0005-0000-0000-0000921D0000}"/>
    <cellStyle name="Normal 4 3 2 2 5 2 2 2" xfId="30206" xr:uid="{00000000-0005-0000-0000-0000931D0000}"/>
    <cellStyle name="Normal 4 3 2 2 5 2 2 2 2" xfId="30207" xr:uid="{00000000-0005-0000-0000-0000941D0000}"/>
    <cellStyle name="Normal 4 3 2 2 5 2 2 2 2 2" xfId="36818" xr:uid="{9164E8D1-D965-4F7B-BF42-BFFCE8CB4787}"/>
    <cellStyle name="Normal 4 3 2 2 5 2 2 2 3" xfId="30208" xr:uid="{00000000-0005-0000-0000-0000951D0000}"/>
    <cellStyle name="Normal 4 3 2 2 5 2 2 2 3 2" xfId="36819" xr:uid="{7B6E4B82-2825-4319-A38F-DF268998C6A2}"/>
    <cellStyle name="Normal 4 3 2 2 5 2 2 2 4" xfId="36817" xr:uid="{6A1096CA-406A-4F68-8DBC-431359C0B734}"/>
    <cellStyle name="Normal 4 3 2 2 5 2 2 3" xfId="30209" xr:uid="{00000000-0005-0000-0000-0000961D0000}"/>
    <cellStyle name="Normal 4 3 2 2 5 2 2 3 2" xfId="36820" xr:uid="{666C7591-6BB0-4FB3-9A91-8F9287CD75AA}"/>
    <cellStyle name="Normal 4 3 2 2 5 2 2 4" xfId="30210" xr:uid="{00000000-0005-0000-0000-0000971D0000}"/>
    <cellStyle name="Normal 4 3 2 2 5 2 2 4 2" xfId="36821" xr:uid="{88BCB512-BB1E-4846-BE0B-CE6863E1E256}"/>
    <cellStyle name="Normal 4 3 2 2 5 2 2 5" xfId="30211" xr:uid="{00000000-0005-0000-0000-0000981D0000}"/>
    <cellStyle name="Normal 4 3 2 2 5 2 2 5 2" xfId="36822" xr:uid="{2F8CCB26-65F5-4543-939C-79DBD51D33E1}"/>
    <cellStyle name="Normal 4 3 2 2 5 2 2 6" xfId="36816" xr:uid="{9987A555-AFAC-47FA-8D6D-6816FEB2FCAA}"/>
    <cellStyle name="Normal 4 3 2 2 5 2 3" xfId="30212" xr:uid="{00000000-0005-0000-0000-0000991D0000}"/>
    <cellStyle name="Normal 4 3 2 2 5 2 3 2" xfId="30213" xr:uid="{00000000-0005-0000-0000-00009A1D0000}"/>
    <cellStyle name="Normal 4 3 2 2 5 2 3 2 2" xfId="30214" xr:uid="{00000000-0005-0000-0000-00009B1D0000}"/>
    <cellStyle name="Normal 4 3 2 2 5 2 3 2 2 2" xfId="36825" xr:uid="{8EB65FDE-911C-4966-9645-705C72D5B537}"/>
    <cellStyle name="Normal 4 3 2 2 5 2 3 2 3" xfId="30215" xr:uid="{00000000-0005-0000-0000-00009C1D0000}"/>
    <cellStyle name="Normal 4 3 2 2 5 2 3 2 3 2" xfId="36826" xr:uid="{1EB74DA7-D5D1-4F90-9ABB-53B2C968A2D0}"/>
    <cellStyle name="Normal 4 3 2 2 5 2 3 2 4" xfId="36824" xr:uid="{D35F36A2-DE7B-404B-A0DA-26065EF95042}"/>
    <cellStyle name="Normal 4 3 2 2 5 2 3 3" xfId="30216" xr:uid="{00000000-0005-0000-0000-00009D1D0000}"/>
    <cellStyle name="Normal 4 3 2 2 5 2 3 3 2" xfId="36827" xr:uid="{4E699559-1DED-4DE8-9F4B-61DA50EF595C}"/>
    <cellStyle name="Normal 4 3 2 2 5 2 3 4" xfId="30217" xr:uid="{00000000-0005-0000-0000-00009E1D0000}"/>
    <cellStyle name="Normal 4 3 2 2 5 2 3 4 2" xfId="36828" xr:uid="{3B841C07-A5AE-4DBC-A9AE-E4FA8CB83A21}"/>
    <cellStyle name="Normal 4 3 2 2 5 2 3 5" xfId="30218" xr:uid="{00000000-0005-0000-0000-00009F1D0000}"/>
    <cellStyle name="Normal 4 3 2 2 5 2 3 5 2" xfId="36829" xr:uid="{BF417547-AA0C-45C8-8979-3726F3A76308}"/>
    <cellStyle name="Normal 4 3 2 2 5 2 3 6" xfId="36823" xr:uid="{BB34A5DE-0A72-421F-AB33-16211D7DCB72}"/>
    <cellStyle name="Normal 4 3 2 2 5 2 4" xfId="30219" xr:uid="{00000000-0005-0000-0000-0000A01D0000}"/>
    <cellStyle name="Normal 4 3 2 2 5 2 4 2" xfId="30220" xr:uid="{00000000-0005-0000-0000-0000A11D0000}"/>
    <cellStyle name="Normal 4 3 2 2 5 2 4 2 2" xfId="36831" xr:uid="{007AE6C9-60FE-4F58-BCC4-0404E71F463C}"/>
    <cellStyle name="Normal 4 3 2 2 5 2 4 3" xfId="30221" xr:uid="{00000000-0005-0000-0000-0000A21D0000}"/>
    <cellStyle name="Normal 4 3 2 2 5 2 4 3 2" xfId="36832" xr:uid="{AC916AFF-85D2-40A9-9372-C0CC002F814B}"/>
    <cellStyle name="Normal 4 3 2 2 5 2 4 4" xfId="36830" xr:uid="{12FACB4D-B8D9-4E25-B09E-4156CFF3B325}"/>
    <cellStyle name="Normal 4 3 2 2 5 2 5" xfId="30222" xr:uid="{00000000-0005-0000-0000-0000A31D0000}"/>
    <cellStyle name="Normal 4 3 2 2 5 2 5 2" xfId="36833" xr:uid="{C595CE3C-3ACF-4993-BCC1-C5FB3D6CE9EA}"/>
    <cellStyle name="Normal 4 3 2 2 5 2 6" xfId="30223" xr:uid="{00000000-0005-0000-0000-0000A41D0000}"/>
    <cellStyle name="Normal 4 3 2 2 5 2 6 2" xfId="36834" xr:uid="{577D6882-D397-41A8-A332-904B08E71180}"/>
    <cellStyle name="Normal 4 3 2 2 5 2 7" xfId="30224" xr:uid="{00000000-0005-0000-0000-0000A51D0000}"/>
    <cellStyle name="Normal 4 3 2 2 5 2 7 2" xfId="36835" xr:uid="{67CEE93E-BA06-4C1E-8241-FEA4287B7090}"/>
    <cellStyle name="Normal 4 3 2 2 5 2 8" xfId="36815" xr:uid="{22EDB224-18C8-4274-A650-BC6C1C4213A0}"/>
    <cellStyle name="Normal 4 3 2 2 5 3" xfId="30225" xr:uid="{00000000-0005-0000-0000-0000A61D0000}"/>
    <cellStyle name="Normal 4 3 2 2 5 3 2" xfId="30226" xr:uid="{00000000-0005-0000-0000-0000A71D0000}"/>
    <cellStyle name="Normal 4 3 2 2 5 3 2 2" xfId="30227" xr:uid="{00000000-0005-0000-0000-0000A81D0000}"/>
    <cellStyle name="Normal 4 3 2 2 5 3 2 2 2" xfId="36838" xr:uid="{867B9CC0-478A-43FA-8320-96329808AA4B}"/>
    <cellStyle name="Normal 4 3 2 2 5 3 2 3" xfId="30228" xr:uid="{00000000-0005-0000-0000-0000A91D0000}"/>
    <cellStyle name="Normal 4 3 2 2 5 3 2 3 2" xfId="36839" xr:uid="{5692BF72-ED5B-4EBF-B4CC-30DB20291C0D}"/>
    <cellStyle name="Normal 4 3 2 2 5 3 2 4" xfId="36837" xr:uid="{299B9797-1D71-4A51-8864-69974E7F0C92}"/>
    <cellStyle name="Normal 4 3 2 2 5 3 3" xfId="30229" xr:uid="{00000000-0005-0000-0000-0000AA1D0000}"/>
    <cellStyle name="Normal 4 3 2 2 5 3 3 2" xfId="36840" xr:uid="{A83CB4F1-BE3F-4243-B110-691752BBF079}"/>
    <cellStyle name="Normal 4 3 2 2 5 3 4" xfId="30230" xr:uid="{00000000-0005-0000-0000-0000AB1D0000}"/>
    <cellStyle name="Normal 4 3 2 2 5 3 4 2" xfId="36841" xr:uid="{DD665650-AF4E-42F6-9EF5-0928FADCB454}"/>
    <cellStyle name="Normal 4 3 2 2 5 3 5" xfId="30231" xr:uid="{00000000-0005-0000-0000-0000AC1D0000}"/>
    <cellStyle name="Normal 4 3 2 2 5 3 5 2" xfId="36842" xr:uid="{B237CEDF-8E3B-4346-8ABE-C66B36616C72}"/>
    <cellStyle name="Normal 4 3 2 2 5 3 6" xfId="36836" xr:uid="{BF0BB78E-36FA-47E7-83FF-08D3711C2E70}"/>
    <cellStyle name="Normal 4 3 2 2 5 4" xfId="30232" xr:uid="{00000000-0005-0000-0000-0000AD1D0000}"/>
    <cellStyle name="Normal 4 3 2 2 5 4 2" xfId="30233" xr:uid="{00000000-0005-0000-0000-0000AE1D0000}"/>
    <cellStyle name="Normal 4 3 2 2 5 4 2 2" xfId="30234" xr:uid="{00000000-0005-0000-0000-0000AF1D0000}"/>
    <cellStyle name="Normal 4 3 2 2 5 4 2 2 2" xfId="36845" xr:uid="{142A7BBE-9052-42FA-B4D8-82A0E5CAB13F}"/>
    <cellStyle name="Normal 4 3 2 2 5 4 2 3" xfId="30235" xr:uid="{00000000-0005-0000-0000-0000B01D0000}"/>
    <cellStyle name="Normal 4 3 2 2 5 4 2 3 2" xfId="36846" xr:uid="{78291AFE-D2A6-4005-95FD-7C2CCEF6EF22}"/>
    <cellStyle name="Normal 4 3 2 2 5 4 2 4" xfId="36844" xr:uid="{EA305CA2-099B-46AD-9DF1-9A9BBC5930C8}"/>
    <cellStyle name="Normal 4 3 2 2 5 4 3" xfId="30236" xr:uid="{00000000-0005-0000-0000-0000B11D0000}"/>
    <cellStyle name="Normal 4 3 2 2 5 4 3 2" xfId="36847" xr:uid="{F5C7B8B4-0793-4F19-AD44-6B36DBDC4319}"/>
    <cellStyle name="Normal 4 3 2 2 5 4 4" xfId="30237" xr:uid="{00000000-0005-0000-0000-0000B21D0000}"/>
    <cellStyle name="Normal 4 3 2 2 5 4 4 2" xfId="36848" xr:uid="{EB1E3950-101A-4103-B657-D8F1796319AF}"/>
    <cellStyle name="Normal 4 3 2 2 5 4 5" xfId="30238" xr:uid="{00000000-0005-0000-0000-0000B31D0000}"/>
    <cellStyle name="Normal 4 3 2 2 5 4 5 2" xfId="36849" xr:uid="{EEAAAE43-7A44-4316-8E78-7C029ADF4627}"/>
    <cellStyle name="Normal 4 3 2 2 5 4 6" xfId="36843" xr:uid="{20EA0BE2-E8CB-44C3-BF50-7E2E31105B3C}"/>
    <cellStyle name="Normal 4 3 2 2 5 5" xfId="30239" xr:uid="{00000000-0005-0000-0000-0000B41D0000}"/>
    <cellStyle name="Normal 4 3 2 2 5 5 2" xfId="30240" xr:uid="{00000000-0005-0000-0000-0000B51D0000}"/>
    <cellStyle name="Normal 4 3 2 2 5 5 2 2" xfId="36851" xr:uid="{21FCA4B5-B87B-4B35-89ED-DF1ECB27930A}"/>
    <cellStyle name="Normal 4 3 2 2 5 5 3" xfId="30241" xr:uid="{00000000-0005-0000-0000-0000B61D0000}"/>
    <cellStyle name="Normal 4 3 2 2 5 5 3 2" xfId="36852" xr:uid="{D0E646F8-1B55-4BC8-B1B1-0491306BA0CD}"/>
    <cellStyle name="Normal 4 3 2 2 5 5 4" xfId="36850" xr:uid="{801CDCDA-2392-4C93-9EA3-10EFB420D80E}"/>
    <cellStyle name="Normal 4 3 2 2 5 6" xfId="30242" xr:uid="{00000000-0005-0000-0000-0000B71D0000}"/>
    <cellStyle name="Normal 4 3 2 2 5 6 2" xfId="36853" xr:uid="{C281F682-DB7D-4C9B-8F6E-7097CD1DDC2B}"/>
    <cellStyle name="Normal 4 3 2 2 5 7" xfId="30243" xr:uid="{00000000-0005-0000-0000-0000B81D0000}"/>
    <cellStyle name="Normal 4 3 2 2 5 7 2" xfId="36854" xr:uid="{CFFF7020-90D5-4B0E-AEA6-4A1F4A42AAC2}"/>
    <cellStyle name="Normal 4 3 2 2 5 8" xfId="30244" xr:uid="{00000000-0005-0000-0000-0000B91D0000}"/>
    <cellStyle name="Normal 4 3 2 2 5 8 2" xfId="36855" xr:uid="{8DB749EF-1807-4F88-9F86-C39BEA6B9BA6}"/>
    <cellStyle name="Normal 4 3 2 2 5 9" xfId="36814" xr:uid="{57D4A79F-1DF6-4970-A922-683015AE75E5}"/>
    <cellStyle name="Normal 4 3 2 2 6" xfId="30245" xr:uid="{00000000-0005-0000-0000-0000BA1D0000}"/>
    <cellStyle name="Normal 4 3 2 2 6 2" xfId="30246" xr:uid="{00000000-0005-0000-0000-0000BB1D0000}"/>
    <cellStyle name="Normal 4 3 2 2 6 2 2" xfId="30247" xr:uid="{00000000-0005-0000-0000-0000BC1D0000}"/>
    <cellStyle name="Normal 4 3 2 2 6 2 2 2" xfId="30248" xr:uid="{00000000-0005-0000-0000-0000BD1D0000}"/>
    <cellStyle name="Normal 4 3 2 2 6 2 2 2 2" xfId="36859" xr:uid="{1FCED812-824E-4127-9C56-1D2B5088CF15}"/>
    <cellStyle name="Normal 4 3 2 2 6 2 2 3" xfId="30249" xr:uid="{00000000-0005-0000-0000-0000BE1D0000}"/>
    <cellStyle name="Normal 4 3 2 2 6 2 2 3 2" xfId="36860" xr:uid="{97100E1D-E139-4A5A-B1BE-E6DB42267B14}"/>
    <cellStyle name="Normal 4 3 2 2 6 2 2 4" xfId="36858" xr:uid="{0078C130-203A-431A-96A8-1612F9401050}"/>
    <cellStyle name="Normal 4 3 2 2 6 2 3" xfId="30250" xr:uid="{00000000-0005-0000-0000-0000BF1D0000}"/>
    <cellStyle name="Normal 4 3 2 2 6 2 3 2" xfId="36861" xr:uid="{05EDC822-3E18-4306-AB04-392B71A4D3B6}"/>
    <cellStyle name="Normal 4 3 2 2 6 2 4" xfId="30251" xr:uid="{00000000-0005-0000-0000-0000C01D0000}"/>
    <cellStyle name="Normal 4 3 2 2 6 2 4 2" xfId="36862" xr:uid="{899C6BD4-75BC-4284-BBA8-2C1AF63D6325}"/>
    <cellStyle name="Normal 4 3 2 2 6 2 5" xfId="30252" xr:uid="{00000000-0005-0000-0000-0000C11D0000}"/>
    <cellStyle name="Normal 4 3 2 2 6 2 5 2" xfId="36863" xr:uid="{34DF5637-9345-4E59-BE61-075C1E7E7E9C}"/>
    <cellStyle name="Normal 4 3 2 2 6 2 6" xfId="36857" xr:uid="{7751D3F7-7A6D-4159-8DE5-17D1764BB2B4}"/>
    <cellStyle name="Normal 4 3 2 2 6 3" xfId="30253" xr:uid="{00000000-0005-0000-0000-0000C21D0000}"/>
    <cellStyle name="Normal 4 3 2 2 6 3 2" xfId="30254" xr:uid="{00000000-0005-0000-0000-0000C31D0000}"/>
    <cellStyle name="Normal 4 3 2 2 6 3 2 2" xfId="30255" xr:uid="{00000000-0005-0000-0000-0000C41D0000}"/>
    <cellStyle name="Normal 4 3 2 2 6 3 2 2 2" xfId="36866" xr:uid="{42560FBA-E32D-47D7-8707-3190AD619C72}"/>
    <cellStyle name="Normal 4 3 2 2 6 3 2 3" xfId="30256" xr:uid="{00000000-0005-0000-0000-0000C51D0000}"/>
    <cellStyle name="Normal 4 3 2 2 6 3 2 3 2" xfId="36867" xr:uid="{588D68BC-C19E-41A8-B3B6-09855C3E379D}"/>
    <cellStyle name="Normal 4 3 2 2 6 3 2 4" xfId="36865" xr:uid="{DB50192F-DFF0-4A64-AD71-0F28C72B3994}"/>
    <cellStyle name="Normal 4 3 2 2 6 3 3" xfId="30257" xr:uid="{00000000-0005-0000-0000-0000C61D0000}"/>
    <cellStyle name="Normal 4 3 2 2 6 3 3 2" xfId="36868" xr:uid="{F5308431-42CA-43F3-BC62-CA37C9E3CF7C}"/>
    <cellStyle name="Normal 4 3 2 2 6 3 4" xfId="30258" xr:uid="{00000000-0005-0000-0000-0000C71D0000}"/>
    <cellStyle name="Normal 4 3 2 2 6 3 4 2" xfId="36869" xr:uid="{A9E1E67C-3F16-4500-8E09-CDF598378BF9}"/>
    <cellStyle name="Normal 4 3 2 2 6 3 5" xfId="30259" xr:uid="{00000000-0005-0000-0000-0000C81D0000}"/>
    <cellStyle name="Normal 4 3 2 2 6 3 5 2" xfId="36870" xr:uid="{43F7B88F-9AD0-48DC-866F-27CF6D5DA9C7}"/>
    <cellStyle name="Normal 4 3 2 2 6 3 6" xfId="36864" xr:uid="{B03790CE-DEA9-456C-B7B0-1A1AE06DCD79}"/>
    <cellStyle name="Normal 4 3 2 2 6 4" xfId="30260" xr:uid="{00000000-0005-0000-0000-0000C91D0000}"/>
    <cellStyle name="Normal 4 3 2 2 6 4 2" xfId="30261" xr:uid="{00000000-0005-0000-0000-0000CA1D0000}"/>
    <cellStyle name="Normal 4 3 2 2 6 4 2 2" xfId="36872" xr:uid="{796F8316-BE99-42BB-89BD-313471B9DA7C}"/>
    <cellStyle name="Normal 4 3 2 2 6 4 3" xfId="30262" xr:uid="{00000000-0005-0000-0000-0000CB1D0000}"/>
    <cellStyle name="Normal 4 3 2 2 6 4 3 2" xfId="36873" xr:uid="{F99F0615-600B-41EC-A5FA-050FE052436F}"/>
    <cellStyle name="Normal 4 3 2 2 6 4 4" xfId="36871" xr:uid="{6306C47D-AB8C-4F11-A172-27DA2D01378A}"/>
    <cellStyle name="Normal 4 3 2 2 6 5" xfId="30263" xr:uid="{00000000-0005-0000-0000-0000CC1D0000}"/>
    <cellStyle name="Normal 4 3 2 2 6 5 2" xfId="36874" xr:uid="{ED8FF651-7EDD-42C1-A4D6-7C3EA960FBA3}"/>
    <cellStyle name="Normal 4 3 2 2 6 6" xfId="30264" xr:uid="{00000000-0005-0000-0000-0000CD1D0000}"/>
    <cellStyle name="Normal 4 3 2 2 6 6 2" xfId="36875" xr:uid="{BA21B402-7189-4618-A198-B46B447F930D}"/>
    <cellStyle name="Normal 4 3 2 2 6 7" xfId="30265" xr:uid="{00000000-0005-0000-0000-0000CE1D0000}"/>
    <cellStyle name="Normal 4 3 2 2 6 7 2" xfId="36876" xr:uid="{6198068F-1103-4DED-98D1-6FAF36792288}"/>
    <cellStyle name="Normal 4 3 2 2 6 8" xfId="36856" xr:uid="{91E5BF35-73BA-4371-B14B-B1236C5AD07B}"/>
    <cellStyle name="Normal 4 3 2 2 7" xfId="30266" xr:uid="{00000000-0005-0000-0000-0000CF1D0000}"/>
    <cellStyle name="Normal 4 3 2 2 7 2" xfId="30267" xr:uid="{00000000-0005-0000-0000-0000D01D0000}"/>
    <cellStyle name="Normal 4 3 2 2 7 2 2" xfId="30268" xr:uid="{00000000-0005-0000-0000-0000D11D0000}"/>
    <cellStyle name="Normal 4 3 2 2 7 2 2 2" xfId="30269" xr:uid="{00000000-0005-0000-0000-0000D21D0000}"/>
    <cellStyle name="Normal 4 3 2 2 7 2 2 2 2" xfId="36880" xr:uid="{2DC9EF4B-0051-4D37-A811-D072554E14EC}"/>
    <cellStyle name="Normal 4 3 2 2 7 2 2 3" xfId="30270" xr:uid="{00000000-0005-0000-0000-0000D31D0000}"/>
    <cellStyle name="Normal 4 3 2 2 7 2 2 3 2" xfId="36881" xr:uid="{CD422627-ABDB-4C8E-B7BE-C017F93EE43B}"/>
    <cellStyle name="Normal 4 3 2 2 7 2 2 4" xfId="36879" xr:uid="{E7D4DFE2-623B-442F-9375-E31B98EDECC7}"/>
    <cellStyle name="Normal 4 3 2 2 7 2 3" xfId="30271" xr:uid="{00000000-0005-0000-0000-0000D41D0000}"/>
    <cellStyle name="Normal 4 3 2 2 7 2 3 2" xfId="36882" xr:uid="{CAA09457-3432-427B-A0E0-E49D90A6A44E}"/>
    <cellStyle name="Normal 4 3 2 2 7 2 4" xfId="30272" xr:uid="{00000000-0005-0000-0000-0000D51D0000}"/>
    <cellStyle name="Normal 4 3 2 2 7 2 4 2" xfId="36883" xr:uid="{3855BDF6-7E75-4E27-9009-19CF59052C38}"/>
    <cellStyle name="Normal 4 3 2 2 7 2 5" xfId="30273" xr:uid="{00000000-0005-0000-0000-0000D61D0000}"/>
    <cellStyle name="Normal 4 3 2 2 7 2 5 2" xfId="36884" xr:uid="{256A3E2D-319E-43D5-B152-F2A60DB4536F}"/>
    <cellStyle name="Normal 4 3 2 2 7 2 6" xfId="36878" xr:uid="{47E3C63D-998F-4168-8BF5-757EBF1FDCDB}"/>
    <cellStyle name="Normal 4 3 2 2 7 3" xfId="30274" xr:uid="{00000000-0005-0000-0000-0000D71D0000}"/>
    <cellStyle name="Normal 4 3 2 2 7 3 2" xfId="30275" xr:uid="{00000000-0005-0000-0000-0000D81D0000}"/>
    <cellStyle name="Normal 4 3 2 2 7 3 2 2" xfId="30276" xr:uid="{00000000-0005-0000-0000-0000D91D0000}"/>
    <cellStyle name="Normal 4 3 2 2 7 3 2 2 2" xfId="36887" xr:uid="{D4D42CA8-5C64-49D7-BFE0-36ADFF640F01}"/>
    <cellStyle name="Normal 4 3 2 2 7 3 2 3" xfId="30277" xr:uid="{00000000-0005-0000-0000-0000DA1D0000}"/>
    <cellStyle name="Normal 4 3 2 2 7 3 2 3 2" xfId="36888" xr:uid="{F95DE304-447E-449F-8C33-AB0D995398CE}"/>
    <cellStyle name="Normal 4 3 2 2 7 3 2 4" xfId="36886" xr:uid="{30DE03AB-9243-498A-A775-BCCB63AB25D7}"/>
    <cellStyle name="Normal 4 3 2 2 7 3 3" xfId="30278" xr:uid="{00000000-0005-0000-0000-0000DB1D0000}"/>
    <cellStyle name="Normal 4 3 2 2 7 3 3 2" xfId="36889" xr:uid="{F161865E-F62D-416B-8571-8143E3F21F37}"/>
    <cellStyle name="Normal 4 3 2 2 7 3 4" xfId="30279" xr:uid="{00000000-0005-0000-0000-0000DC1D0000}"/>
    <cellStyle name="Normal 4 3 2 2 7 3 4 2" xfId="36890" xr:uid="{E973F88D-30FD-4113-8D3B-3DD768422850}"/>
    <cellStyle name="Normal 4 3 2 2 7 3 5" xfId="30280" xr:uid="{00000000-0005-0000-0000-0000DD1D0000}"/>
    <cellStyle name="Normal 4 3 2 2 7 3 5 2" xfId="36891" xr:uid="{CFEFEF9A-A89D-4503-B30C-5D63301F79D0}"/>
    <cellStyle name="Normal 4 3 2 2 7 3 6" xfId="36885" xr:uid="{8F175A32-931A-4764-B619-21918A1BA60F}"/>
    <cellStyle name="Normal 4 3 2 2 7 4" xfId="30281" xr:uid="{00000000-0005-0000-0000-0000DE1D0000}"/>
    <cellStyle name="Normal 4 3 2 2 7 4 2" xfId="30282" xr:uid="{00000000-0005-0000-0000-0000DF1D0000}"/>
    <cellStyle name="Normal 4 3 2 2 7 4 2 2" xfId="36893" xr:uid="{D664B668-7F12-4270-AC60-60473D016558}"/>
    <cellStyle name="Normal 4 3 2 2 7 4 3" xfId="30283" xr:uid="{00000000-0005-0000-0000-0000E01D0000}"/>
    <cellStyle name="Normal 4 3 2 2 7 4 3 2" xfId="36894" xr:uid="{64727D55-DAA2-46CA-8A55-1434CFA5B819}"/>
    <cellStyle name="Normal 4 3 2 2 7 4 4" xfId="36892" xr:uid="{DD37A9B0-646D-4280-B20B-57BF7B5C0EC9}"/>
    <cellStyle name="Normal 4 3 2 2 7 5" xfId="30284" xr:uid="{00000000-0005-0000-0000-0000E11D0000}"/>
    <cellStyle name="Normal 4 3 2 2 7 5 2" xfId="36895" xr:uid="{15104EAA-8842-449F-BA84-C99770F17FDA}"/>
    <cellStyle name="Normal 4 3 2 2 7 6" xfId="30285" xr:uid="{00000000-0005-0000-0000-0000E21D0000}"/>
    <cellStyle name="Normal 4 3 2 2 7 6 2" xfId="36896" xr:uid="{7747822E-D5AC-41B3-97CF-F43F8666DB8E}"/>
    <cellStyle name="Normal 4 3 2 2 7 7" xfId="30286" xr:uid="{00000000-0005-0000-0000-0000E31D0000}"/>
    <cellStyle name="Normal 4 3 2 2 7 7 2" xfId="36897" xr:uid="{75A8C1A3-C3C1-41C0-A400-1C5CCA45705E}"/>
    <cellStyle name="Normal 4 3 2 2 7 8" xfId="36877" xr:uid="{98308DC3-C413-43F3-9F12-8607B6274E1B}"/>
    <cellStyle name="Normal 4 3 2 2 8" xfId="30287" xr:uid="{00000000-0005-0000-0000-0000E41D0000}"/>
    <cellStyle name="Normal 4 3 2 2 8 2" xfId="30288" xr:uid="{00000000-0005-0000-0000-0000E51D0000}"/>
    <cellStyle name="Normal 4 3 2 2 8 2 2" xfId="30289" xr:uid="{00000000-0005-0000-0000-0000E61D0000}"/>
    <cellStyle name="Normal 4 3 2 2 8 2 2 2" xfId="36900" xr:uid="{3E7188EF-C68B-45F3-8EFE-706F65E1B4F9}"/>
    <cellStyle name="Normal 4 3 2 2 8 2 3" xfId="30290" xr:uid="{00000000-0005-0000-0000-0000E71D0000}"/>
    <cellStyle name="Normal 4 3 2 2 8 2 3 2" xfId="36901" xr:uid="{289C1ECF-B992-4706-BEFC-DA0E1775E4E3}"/>
    <cellStyle name="Normal 4 3 2 2 8 2 4" xfId="36899" xr:uid="{818B3B04-EC56-4BD4-806C-19200FE9A08A}"/>
    <cellStyle name="Normal 4 3 2 2 8 3" xfId="30291" xr:uid="{00000000-0005-0000-0000-0000E81D0000}"/>
    <cellStyle name="Normal 4 3 2 2 8 3 2" xfId="36902" xr:uid="{A4470EEE-6259-4AD9-BEB1-1F7CF4BAE173}"/>
    <cellStyle name="Normal 4 3 2 2 8 4" xfId="30292" xr:uid="{00000000-0005-0000-0000-0000E91D0000}"/>
    <cellStyle name="Normal 4 3 2 2 8 4 2" xfId="36903" xr:uid="{F2DC2BAD-FC4A-4ADA-9AAF-918C4A50658C}"/>
    <cellStyle name="Normal 4 3 2 2 8 5" xfId="30293" xr:uid="{00000000-0005-0000-0000-0000EA1D0000}"/>
    <cellStyle name="Normal 4 3 2 2 8 5 2" xfId="36904" xr:uid="{2FD6696A-2D30-4A68-9C72-5423C67D7DD5}"/>
    <cellStyle name="Normal 4 3 2 2 8 6" xfId="36898" xr:uid="{FF3CED34-B967-4FCA-A845-A551A0F7B0EB}"/>
    <cellStyle name="Normal 4 3 2 2 9" xfId="30294" xr:uid="{00000000-0005-0000-0000-0000EB1D0000}"/>
    <cellStyle name="Normal 4 3 2 2 9 2" xfId="30295" xr:uid="{00000000-0005-0000-0000-0000EC1D0000}"/>
    <cellStyle name="Normal 4 3 2 2 9 2 2" xfId="30296" xr:uid="{00000000-0005-0000-0000-0000ED1D0000}"/>
    <cellStyle name="Normal 4 3 2 2 9 2 2 2" xfId="36907" xr:uid="{73BBCAB0-F939-4C17-838F-787A6DA18670}"/>
    <cellStyle name="Normal 4 3 2 2 9 2 3" xfId="30297" xr:uid="{00000000-0005-0000-0000-0000EE1D0000}"/>
    <cellStyle name="Normal 4 3 2 2 9 2 3 2" xfId="36908" xr:uid="{322CBF24-4057-4091-95B9-0555A033C15E}"/>
    <cellStyle name="Normal 4 3 2 2 9 2 4" xfId="36906" xr:uid="{35FEB45B-A885-493B-BA0C-729D2FB82B3C}"/>
    <cellStyle name="Normal 4 3 2 2 9 3" xfId="30298" xr:uid="{00000000-0005-0000-0000-0000EF1D0000}"/>
    <cellStyle name="Normal 4 3 2 2 9 3 2" xfId="36909" xr:uid="{AC4356BB-BDA0-4EEC-A35F-84D2C2E95EA0}"/>
    <cellStyle name="Normal 4 3 2 2 9 4" xfId="30299" xr:uid="{00000000-0005-0000-0000-0000F01D0000}"/>
    <cellStyle name="Normal 4 3 2 2 9 4 2" xfId="36910" xr:uid="{C71ED3E0-8034-4047-99D3-A12B13F8C303}"/>
    <cellStyle name="Normal 4 3 2 2 9 5" xfId="30300" xr:uid="{00000000-0005-0000-0000-0000F11D0000}"/>
    <cellStyle name="Normal 4 3 2 2 9 5 2" xfId="36911" xr:uid="{007F9882-D7C9-4213-9A24-F3A1DAD26DFC}"/>
    <cellStyle name="Normal 4 3 2 2 9 6" xfId="36905" xr:uid="{5276AA48-AAD6-4DC2-AEB7-5B9EB50D6A47}"/>
    <cellStyle name="Normal 4 3 2 3" xfId="5388" xr:uid="{00000000-0005-0000-0000-0000F21D0000}"/>
    <cellStyle name="Normal 4 3 2 3 10" xfId="30301" xr:uid="{00000000-0005-0000-0000-0000F31D0000}"/>
    <cellStyle name="Normal 4 3 2 3 11" xfId="36912" xr:uid="{59A52542-10AD-47AD-B804-B2F04040D5D4}"/>
    <cellStyle name="Normal 4 3 2 3 2" xfId="30302" xr:uid="{00000000-0005-0000-0000-0000F41D0000}"/>
    <cellStyle name="Normal 4 3 2 3 2 2" xfId="30303" xr:uid="{00000000-0005-0000-0000-0000F51D0000}"/>
    <cellStyle name="Normal 4 3 2 3 2 2 2" xfId="30304" xr:uid="{00000000-0005-0000-0000-0000F61D0000}"/>
    <cellStyle name="Normal 4 3 2 3 2 2 2 2" xfId="30305" xr:uid="{00000000-0005-0000-0000-0000F71D0000}"/>
    <cellStyle name="Normal 4 3 2 3 2 2 2 2 2" xfId="30306" xr:uid="{00000000-0005-0000-0000-0000F81D0000}"/>
    <cellStyle name="Normal 4 3 2 3 2 2 2 2 2 2" xfId="36917" xr:uid="{51688168-2663-42C1-81F1-D34D14566C08}"/>
    <cellStyle name="Normal 4 3 2 3 2 2 2 2 3" xfId="30307" xr:uid="{00000000-0005-0000-0000-0000F91D0000}"/>
    <cellStyle name="Normal 4 3 2 3 2 2 2 2 3 2" xfId="36918" xr:uid="{4AA50822-7105-4E01-A1A9-D252AA495334}"/>
    <cellStyle name="Normal 4 3 2 3 2 2 2 2 4" xfId="36916" xr:uid="{8A784601-52C5-4E15-BDAD-BFC64C9B6EE2}"/>
    <cellStyle name="Normal 4 3 2 3 2 2 2 3" xfId="30308" xr:uid="{00000000-0005-0000-0000-0000FA1D0000}"/>
    <cellStyle name="Normal 4 3 2 3 2 2 2 3 2" xfId="36919" xr:uid="{B6A21228-1FCB-4011-AEC3-031319A32403}"/>
    <cellStyle name="Normal 4 3 2 3 2 2 2 4" xfId="30309" xr:uid="{00000000-0005-0000-0000-0000FB1D0000}"/>
    <cellStyle name="Normal 4 3 2 3 2 2 2 4 2" xfId="36920" xr:uid="{F9A57BA0-9644-43C0-8230-88551AAF4F4B}"/>
    <cellStyle name="Normal 4 3 2 3 2 2 2 5" xfId="30310" xr:uid="{00000000-0005-0000-0000-0000FC1D0000}"/>
    <cellStyle name="Normal 4 3 2 3 2 2 2 5 2" xfId="36921" xr:uid="{7BA59E42-F01A-4C58-A5C4-3AA73C153EEC}"/>
    <cellStyle name="Normal 4 3 2 3 2 2 2 6" xfId="36915" xr:uid="{5638ECC7-1C94-462B-B411-BCDDEFCA7FD7}"/>
    <cellStyle name="Normal 4 3 2 3 2 2 3" xfId="30311" xr:uid="{00000000-0005-0000-0000-0000FD1D0000}"/>
    <cellStyle name="Normal 4 3 2 3 2 2 3 2" xfId="30312" xr:uid="{00000000-0005-0000-0000-0000FE1D0000}"/>
    <cellStyle name="Normal 4 3 2 3 2 2 3 2 2" xfId="30313" xr:uid="{00000000-0005-0000-0000-0000FF1D0000}"/>
    <cellStyle name="Normal 4 3 2 3 2 2 3 2 2 2" xfId="36924" xr:uid="{DB5899AE-5668-4F91-BC6A-BC7E6F85F8DF}"/>
    <cellStyle name="Normal 4 3 2 3 2 2 3 2 3" xfId="30314" xr:uid="{00000000-0005-0000-0000-0000001E0000}"/>
    <cellStyle name="Normal 4 3 2 3 2 2 3 2 3 2" xfId="36925" xr:uid="{AA0ADEF3-342D-46CE-A6DD-DF6E503A4173}"/>
    <cellStyle name="Normal 4 3 2 3 2 2 3 2 4" xfId="36923" xr:uid="{31C5242B-E895-4F97-A3B0-23A6F184B640}"/>
    <cellStyle name="Normal 4 3 2 3 2 2 3 3" xfId="30315" xr:uid="{00000000-0005-0000-0000-0000011E0000}"/>
    <cellStyle name="Normal 4 3 2 3 2 2 3 3 2" xfId="36926" xr:uid="{46E7DAB5-194C-4858-BE19-D82102BC325C}"/>
    <cellStyle name="Normal 4 3 2 3 2 2 3 4" xfId="30316" xr:uid="{00000000-0005-0000-0000-0000021E0000}"/>
    <cellStyle name="Normal 4 3 2 3 2 2 3 4 2" xfId="36927" xr:uid="{B0893012-A131-40C5-A9B1-95B3B1F0B2CD}"/>
    <cellStyle name="Normal 4 3 2 3 2 2 3 5" xfId="30317" xr:uid="{00000000-0005-0000-0000-0000031E0000}"/>
    <cellStyle name="Normal 4 3 2 3 2 2 3 5 2" xfId="36928" xr:uid="{3A3143A0-3A38-4756-A0F1-790189B145C4}"/>
    <cellStyle name="Normal 4 3 2 3 2 2 3 6" xfId="36922" xr:uid="{C6920853-1EB6-4DCB-8C56-2C3792E89D1B}"/>
    <cellStyle name="Normal 4 3 2 3 2 2 4" xfId="30318" xr:uid="{00000000-0005-0000-0000-0000041E0000}"/>
    <cellStyle name="Normal 4 3 2 3 2 2 4 2" xfId="30319" xr:uid="{00000000-0005-0000-0000-0000051E0000}"/>
    <cellStyle name="Normal 4 3 2 3 2 2 4 2 2" xfId="36930" xr:uid="{CC57848C-6FCC-40BC-A304-A18220CFC73E}"/>
    <cellStyle name="Normal 4 3 2 3 2 2 4 3" xfId="30320" xr:uid="{00000000-0005-0000-0000-0000061E0000}"/>
    <cellStyle name="Normal 4 3 2 3 2 2 4 3 2" xfId="36931" xr:uid="{CE11A156-03AA-44CA-A5EA-DA63900FD2C1}"/>
    <cellStyle name="Normal 4 3 2 3 2 2 4 4" xfId="36929" xr:uid="{2B44F00D-A25B-46E9-850C-D11584CE8724}"/>
    <cellStyle name="Normal 4 3 2 3 2 2 5" xfId="30321" xr:uid="{00000000-0005-0000-0000-0000071E0000}"/>
    <cellStyle name="Normal 4 3 2 3 2 2 5 2" xfId="36932" xr:uid="{500678D9-0A42-4A3E-AC49-7467BEBD8345}"/>
    <cellStyle name="Normal 4 3 2 3 2 2 6" xfId="30322" xr:uid="{00000000-0005-0000-0000-0000081E0000}"/>
    <cellStyle name="Normal 4 3 2 3 2 2 6 2" xfId="36933" xr:uid="{6C4F9C7B-E8EE-49E9-A62E-E15B6E47AEF2}"/>
    <cellStyle name="Normal 4 3 2 3 2 2 7" xfId="30323" xr:uid="{00000000-0005-0000-0000-0000091E0000}"/>
    <cellStyle name="Normal 4 3 2 3 2 2 7 2" xfId="36934" xr:uid="{03077508-D200-4EDB-B951-AF438B4A8130}"/>
    <cellStyle name="Normal 4 3 2 3 2 2 8" xfId="36914" xr:uid="{B16B3B79-1106-4DB9-BBD6-23F169870C46}"/>
    <cellStyle name="Normal 4 3 2 3 2 3" xfId="30324" xr:uid="{00000000-0005-0000-0000-00000A1E0000}"/>
    <cellStyle name="Normal 4 3 2 3 2 3 2" xfId="30325" xr:uid="{00000000-0005-0000-0000-00000B1E0000}"/>
    <cellStyle name="Normal 4 3 2 3 2 3 2 2" xfId="30326" xr:uid="{00000000-0005-0000-0000-00000C1E0000}"/>
    <cellStyle name="Normal 4 3 2 3 2 3 2 2 2" xfId="36937" xr:uid="{6B12FA47-6B54-4170-9BC4-331FDE951203}"/>
    <cellStyle name="Normal 4 3 2 3 2 3 2 3" xfId="30327" xr:uid="{00000000-0005-0000-0000-00000D1E0000}"/>
    <cellStyle name="Normal 4 3 2 3 2 3 2 3 2" xfId="36938" xr:uid="{363AEA00-B709-482C-AB41-98ABB8CE4180}"/>
    <cellStyle name="Normal 4 3 2 3 2 3 2 4" xfId="36936" xr:uid="{557A67B5-60CD-4F08-A67F-75F311B6B639}"/>
    <cellStyle name="Normal 4 3 2 3 2 3 3" xfId="30328" xr:uid="{00000000-0005-0000-0000-00000E1E0000}"/>
    <cellStyle name="Normal 4 3 2 3 2 3 3 2" xfId="36939" xr:uid="{6F1AF43D-1B6D-4D64-8F88-51C8E7980F25}"/>
    <cellStyle name="Normal 4 3 2 3 2 3 4" xfId="30329" xr:uid="{00000000-0005-0000-0000-00000F1E0000}"/>
    <cellStyle name="Normal 4 3 2 3 2 3 4 2" xfId="36940" xr:uid="{77A37C5C-E551-4724-A15F-EFB81785AE39}"/>
    <cellStyle name="Normal 4 3 2 3 2 3 5" xfId="30330" xr:uid="{00000000-0005-0000-0000-0000101E0000}"/>
    <cellStyle name="Normal 4 3 2 3 2 3 5 2" xfId="36941" xr:uid="{0F052AAC-45CD-407B-9F53-77611AB843CB}"/>
    <cellStyle name="Normal 4 3 2 3 2 3 6" xfId="36935" xr:uid="{ED662A60-7D9B-4089-B046-CEC02E388925}"/>
    <cellStyle name="Normal 4 3 2 3 2 4" xfId="30331" xr:uid="{00000000-0005-0000-0000-0000111E0000}"/>
    <cellStyle name="Normal 4 3 2 3 2 4 2" xfId="30332" xr:uid="{00000000-0005-0000-0000-0000121E0000}"/>
    <cellStyle name="Normal 4 3 2 3 2 4 2 2" xfId="30333" xr:uid="{00000000-0005-0000-0000-0000131E0000}"/>
    <cellStyle name="Normal 4 3 2 3 2 4 2 2 2" xfId="36944" xr:uid="{91B5FF70-886D-415D-B40C-4BAECFC2AAE7}"/>
    <cellStyle name="Normal 4 3 2 3 2 4 2 3" xfId="30334" xr:uid="{00000000-0005-0000-0000-0000141E0000}"/>
    <cellStyle name="Normal 4 3 2 3 2 4 2 3 2" xfId="36945" xr:uid="{EF3C5275-413A-41BC-9AA7-2DC8131C882C}"/>
    <cellStyle name="Normal 4 3 2 3 2 4 2 4" xfId="36943" xr:uid="{463E3919-44F2-4BDE-9023-E4A68C6FD95B}"/>
    <cellStyle name="Normal 4 3 2 3 2 4 3" xfId="30335" xr:uid="{00000000-0005-0000-0000-0000151E0000}"/>
    <cellStyle name="Normal 4 3 2 3 2 4 3 2" xfId="36946" xr:uid="{D93A6F02-B4C0-4FDA-8D7D-DDC4EE6DE6BF}"/>
    <cellStyle name="Normal 4 3 2 3 2 4 4" xfId="30336" xr:uid="{00000000-0005-0000-0000-0000161E0000}"/>
    <cellStyle name="Normal 4 3 2 3 2 4 4 2" xfId="36947" xr:uid="{5F3B926A-BEBA-498E-81E6-F33DE89D719E}"/>
    <cellStyle name="Normal 4 3 2 3 2 4 5" xfId="30337" xr:uid="{00000000-0005-0000-0000-0000171E0000}"/>
    <cellStyle name="Normal 4 3 2 3 2 4 5 2" xfId="36948" xr:uid="{59FB9980-9247-4E57-A51D-C3118A264FDB}"/>
    <cellStyle name="Normal 4 3 2 3 2 4 6" xfId="36942" xr:uid="{68A5D9FC-1ADF-4DDF-8935-09AF1FFDA223}"/>
    <cellStyle name="Normal 4 3 2 3 2 5" xfId="30338" xr:uid="{00000000-0005-0000-0000-0000181E0000}"/>
    <cellStyle name="Normal 4 3 2 3 2 5 2" xfId="30339" xr:uid="{00000000-0005-0000-0000-0000191E0000}"/>
    <cellStyle name="Normal 4 3 2 3 2 5 2 2" xfId="36950" xr:uid="{F7AF1ED4-929D-4443-BEF1-D96AF401D257}"/>
    <cellStyle name="Normal 4 3 2 3 2 5 3" xfId="30340" xr:uid="{00000000-0005-0000-0000-00001A1E0000}"/>
    <cellStyle name="Normal 4 3 2 3 2 5 3 2" xfId="36951" xr:uid="{08C1D5AD-B15F-4B2A-AD3E-97441014E1E5}"/>
    <cellStyle name="Normal 4 3 2 3 2 5 4" xfId="36949" xr:uid="{50330D97-EE09-4227-BFC4-7D0A357BE412}"/>
    <cellStyle name="Normal 4 3 2 3 2 6" xfId="30341" xr:uid="{00000000-0005-0000-0000-00001B1E0000}"/>
    <cellStyle name="Normal 4 3 2 3 2 6 2" xfId="36952" xr:uid="{808DAB16-E896-4290-A220-5B7F721192C7}"/>
    <cellStyle name="Normal 4 3 2 3 2 7" xfId="30342" xr:uid="{00000000-0005-0000-0000-00001C1E0000}"/>
    <cellStyle name="Normal 4 3 2 3 2 7 2" xfId="36953" xr:uid="{54C169FE-2239-4F44-BE06-63265C5655DF}"/>
    <cellStyle name="Normal 4 3 2 3 2 8" xfId="30343" xr:uid="{00000000-0005-0000-0000-00001D1E0000}"/>
    <cellStyle name="Normal 4 3 2 3 2 8 2" xfId="36954" xr:uid="{BBF471B9-1EB8-4854-A6D4-67A371C7207D}"/>
    <cellStyle name="Normal 4 3 2 3 2 9" xfId="36913" xr:uid="{C0D9F086-78E9-49D8-9DE1-FEC6A3C29888}"/>
    <cellStyle name="Normal 4 3 2 3 3" xfId="30344" xr:uid="{00000000-0005-0000-0000-00001E1E0000}"/>
    <cellStyle name="Normal 4 3 2 3 3 2" xfId="30345" xr:uid="{00000000-0005-0000-0000-00001F1E0000}"/>
    <cellStyle name="Normal 4 3 2 3 3 2 2" xfId="30346" xr:uid="{00000000-0005-0000-0000-0000201E0000}"/>
    <cellStyle name="Normal 4 3 2 3 3 2 2 2" xfId="30347" xr:uid="{00000000-0005-0000-0000-0000211E0000}"/>
    <cellStyle name="Normal 4 3 2 3 3 2 2 2 2" xfId="36958" xr:uid="{B7404701-9F6C-4160-8A25-2173C669C5EB}"/>
    <cellStyle name="Normal 4 3 2 3 3 2 2 3" xfId="30348" xr:uid="{00000000-0005-0000-0000-0000221E0000}"/>
    <cellStyle name="Normal 4 3 2 3 3 2 2 3 2" xfId="36959" xr:uid="{02B2BE99-B958-49F5-BF93-BB3E58D220F1}"/>
    <cellStyle name="Normal 4 3 2 3 3 2 2 4" xfId="36957" xr:uid="{0B834EBE-7D1B-440E-9210-BE7BFBB9C3B8}"/>
    <cellStyle name="Normal 4 3 2 3 3 2 3" xfId="30349" xr:uid="{00000000-0005-0000-0000-0000231E0000}"/>
    <cellStyle name="Normal 4 3 2 3 3 2 3 2" xfId="36960" xr:uid="{1746C5A9-ACC5-4F80-858C-7C8C52D295F4}"/>
    <cellStyle name="Normal 4 3 2 3 3 2 4" xfId="30350" xr:uid="{00000000-0005-0000-0000-0000241E0000}"/>
    <cellStyle name="Normal 4 3 2 3 3 2 4 2" xfId="36961" xr:uid="{4652827A-5DB8-4C68-A458-BD0B93939FAF}"/>
    <cellStyle name="Normal 4 3 2 3 3 2 5" xfId="30351" xr:uid="{00000000-0005-0000-0000-0000251E0000}"/>
    <cellStyle name="Normal 4 3 2 3 3 2 5 2" xfId="36962" xr:uid="{A3459B80-38D6-4982-9F8E-04226686C420}"/>
    <cellStyle name="Normal 4 3 2 3 3 2 6" xfId="36956" xr:uid="{5298BFD6-A2E9-467F-A88B-B81F6755D670}"/>
    <cellStyle name="Normal 4 3 2 3 3 3" xfId="30352" xr:uid="{00000000-0005-0000-0000-0000261E0000}"/>
    <cellStyle name="Normal 4 3 2 3 3 3 2" xfId="30353" xr:uid="{00000000-0005-0000-0000-0000271E0000}"/>
    <cellStyle name="Normal 4 3 2 3 3 3 2 2" xfId="30354" xr:uid="{00000000-0005-0000-0000-0000281E0000}"/>
    <cellStyle name="Normal 4 3 2 3 3 3 2 2 2" xfId="36965" xr:uid="{79243D10-24AD-42DB-AF0A-F4BBC0C408AC}"/>
    <cellStyle name="Normal 4 3 2 3 3 3 2 3" xfId="30355" xr:uid="{00000000-0005-0000-0000-0000291E0000}"/>
    <cellStyle name="Normal 4 3 2 3 3 3 2 3 2" xfId="36966" xr:uid="{5DB81CB9-998C-423F-A11E-D38981A8AA33}"/>
    <cellStyle name="Normal 4 3 2 3 3 3 2 4" xfId="36964" xr:uid="{3C238BFD-7734-41BF-997D-E946ABC0FE1A}"/>
    <cellStyle name="Normal 4 3 2 3 3 3 3" xfId="30356" xr:uid="{00000000-0005-0000-0000-00002A1E0000}"/>
    <cellStyle name="Normal 4 3 2 3 3 3 3 2" xfId="36967" xr:uid="{2C9533F8-3A76-4438-A477-C0D5F4A04312}"/>
    <cellStyle name="Normal 4 3 2 3 3 3 4" xfId="30357" xr:uid="{00000000-0005-0000-0000-00002B1E0000}"/>
    <cellStyle name="Normal 4 3 2 3 3 3 4 2" xfId="36968" xr:uid="{338E7E07-AB76-43FF-A072-4BC3FB222E05}"/>
    <cellStyle name="Normal 4 3 2 3 3 3 5" xfId="30358" xr:uid="{00000000-0005-0000-0000-00002C1E0000}"/>
    <cellStyle name="Normal 4 3 2 3 3 3 5 2" xfId="36969" xr:uid="{BFA10AD9-529B-48DC-8F9D-BEEE2DD30F3C}"/>
    <cellStyle name="Normal 4 3 2 3 3 3 6" xfId="36963" xr:uid="{F68ECF4E-1129-4FA2-A99C-FB409D972192}"/>
    <cellStyle name="Normal 4 3 2 3 3 4" xfId="30359" xr:uid="{00000000-0005-0000-0000-00002D1E0000}"/>
    <cellStyle name="Normal 4 3 2 3 3 4 2" xfId="30360" xr:uid="{00000000-0005-0000-0000-00002E1E0000}"/>
    <cellStyle name="Normal 4 3 2 3 3 4 2 2" xfId="36971" xr:uid="{05520402-E305-4892-B015-BBFC42693F1C}"/>
    <cellStyle name="Normal 4 3 2 3 3 4 3" xfId="30361" xr:uid="{00000000-0005-0000-0000-00002F1E0000}"/>
    <cellStyle name="Normal 4 3 2 3 3 4 3 2" xfId="36972" xr:uid="{844557F8-D1D8-41DE-A6CE-C9B6BCFCF5A5}"/>
    <cellStyle name="Normal 4 3 2 3 3 4 4" xfId="36970" xr:uid="{9F005887-4995-4CDC-B27A-1B4B241010F0}"/>
    <cellStyle name="Normal 4 3 2 3 3 5" xfId="30362" xr:uid="{00000000-0005-0000-0000-0000301E0000}"/>
    <cellStyle name="Normal 4 3 2 3 3 5 2" xfId="36973" xr:uid="{572C2F60-C9B9-488D-85E2-6C2F99F853C1}"/>
    <cellStyle name="Normal 4 3 2 3 3 6" xfId="30363" xr:uid="{00000000-0005-0000-0000-0000311E0000}"/>
    <cellStyle name="Normal 4 3 2 3 3 6 2" xfId="36974" xr:uid="{C3BAA94C-EA38-41F6-BB2C-04E9C609A152}"/>
    <cellStyle name="Normal 4 3 2 3 3 7" xfId="30364" xr:uid="{00000000-0005-0000-0000-0000321E0000}"/>
    <cellStyle name="Normal 4 3 2 3 3 7 2" xfId="36975" xr:uid="{06DA25C4-1ED5-4AF3-8526-BDA74A925893}"/>
    <cellStyle name="Normal 4 3 2 3 3 8" xfId="36955" xr:uid="{5767AED0-FEE6-418E-B855-251B52343804}"/>
    <cellStyle name="Normal 4 3 2 3 4" xfId="30365" xr:uid="{00000000-0005-0000-0000-0000331E0000}"/>
    <cellStyle name="Normal 4 3 2 3 4 2" xfId="30366" xr:uid="{00000000-0005-0000-0000-0000341E0000}"/>
    <cellStyle name="Normal 4 3 2 3 4 2 2" xfId="30367" xr:uid="{00000000-0005-0000-0000-0000351E0000}"/>
    <cellStyle name="Normal 4 3 2 3 4 2 2 2" xfId="36978" xr:uid="{94F8CC48-D704-4823-9C10-2B4D27E00627}"/>
    <cellStyle name="Normal 4 3 2 3 4 2 3" xfId="30368" xr:uid="{00000000-0005-0000-0000-0000361E0000}"/>
    <cellStyle name="Normal 4 3 2 3 4 2 3 2" xfId="36979" xr:uid="{4FBF4F1A-01EA-4349-B629-9100AECE2CE7}"/>
    <cellStyle name="Normal 4 3 2 3 4 2 4" xfId="36977" xr:uid="{2863D010-0DCB-4C3B-8CF6-5495FC093369}"/>
    <cellStyle name="Normal 4 3 2 3 4 3" xfId="30369" xr:uid="{00000000-0005-0000-0000-0000371E0000}"/>
    <cellStyle name="Normal 4 3 2 3 4 3 2" xfId="36980" xr:uid="{B419493B-048A-4CAB-9571-631A36B7E4B6}"/>
    <cellStyle name="Normal 4 3 2 3 4 4" xfId="30370" xr:uid="{00000000-0005-0000-0000-0000381E0000}"/>
    <cellStyle name="Normal 4 3 2 3 4 4 2" xfId="36981" xr:uid="{2541E776-8AAE-48A8-A37B-6BA9C8831746}"/>
    <cellStyle name="Normal 4 3 2 3 4 5" xfId="30371" xr:uid="{00000000-0005-0000-0000-0000391E0000}"/>
    <cellStyle name="Normal 4 3 2 3 4 5 2" xfId="36982" xr:uid="{609502AF-39E4-4FA0-874D-293803D7660C}"/>
    <cellStyle name="Normal 4 3 2 3 4 6" xfId="36976" xr:uid="{627EEDC7-E818-4589-A525-1AA7ED6A8ECA}"/>
    <cellStyle name="Normal 4 3 2 3 5" xfId="30372" xr:uid="{00000000-0005-0000-0000-00003A1E0000}"/>
    <cellStyle name="Normal 4 3 2 3 5 2" xfId="30373" xr:uid="{00000000-0005-0000-0000-00003B1E0000}"/>
    <cellStyle name="Normal 4 3 2 3 5 2 2" xfId="30374" xr:uid="{00000000-0005-0000-0000-00003C1E0000}"/>
    <cellStyle name="Normal 4 3 2 3 5 2 2 2" xfId="36985" xr:uid="{4F303414-572C-45E2-8FFD-5626824F2637}"/>
    <cellStyle name="Normal 4 3 2 3 5 2 3" xfId="30375" xr:uid="{00000000-0005-0000-0000-00003D1E0000}"/>
    <cellStyle name="Normal 4 3 2 3 5 2 3 2" xfId="36986" xr:uid="{B98BAEDD-6F8A-46EE-A3E3-C588D9B95431}"/>
    <cellStyle name="Normal 4 3 2 3 5 2 4" xfId="36984" xr:uid="{B38FA216-F14B-4985-9C0F-1A32BE8CAED8}"/>
    <cellStyle name="Normal 4 3 2 3 5 3" xfId="30376" xr:uid="{00000000-0005-0000-0000-00003E1E0000}"/>
    <cellStyle name="Normal 4 3 2 3 5 3 2" xfId="36987" xr:uid="{341CD9D3-06BC-4BF1-8A1F-C927F899B2EC}"/>
    <cellStyle name="Normal 4 3 2 3 5 4" xfId="30377" xr:uid="{00000000-0005-0000-0000-00003F1E0000}"/>
    <cellStyle name="Normal 4 3 2 3 5 4 2" xfId="36988" xr:uid="{585ED98B-B487-4101-9CFD-CBD8D2B9748D}"/>
    <cellStyle name="Normal 4 3 2 3 5 5" xfId="30378" xr:uid="{00000000-0005-0000-0000-0000401E0000}"/>
    <cellStyle name="Normal 4 3 2 3 5 5 2" xfId="36989" xr:uid="{0462D208-A7A4-4F01-8242-E90AAA45E52E}"/>
    <cellStyle name="Normal 4 3 2 3 5 6" xfId="36983" xr:uid="{4940590A-4988-4905-9B5F-9DC69F0053C6}"/>
    <cellStyle name="Normal 4 3 2 3 6" xfId="30379" xr:uid="{00000000-0005-0000-0000-0000411E0000}"/>
    <cellStyle name="Normal 4 3 2 3 6 2" xfId="30380" xr:uid="{00000000-0005-0000-0000-0000421E0000}"/>
    <cellStyle name="Normal 4 3 2 3 6 2 2" xfId="36991" xr:uid="{C5CF9CE4-F7C5-4443-8793-2D9506F4D3FF}"/>
    <cellStyle name="Normal 4 3 2 3 6 3" xfId="30381" xr:uid="{00000000-0005-0000-0000-0000431E0000}"/>
    <cellStyle name="Normal 4 3 2 3 6 3 2" xfId="36992" xr:uid="{1F1426B0-93C5-47FD-8630-65CDC5711B21}"/>
    <cellStyle name="Normal 4 3 2 3 6 4" xfId="36990" xr:uid="{C103ED13-0741-4809-9088-08D3F8477901}"/>
    <cellStyle name="Normal 4 3 2 3 7" xfId="30382" xr:uid="{00000000-0005-0000-0000-0000441E0000}"/>
    <cellStyle name="Normal 4 3 2 3 7 2" xfId="36993" xr:uid="{64A7D550-0FEC-4427-ACDE-50FADBF4C7E3}"/>
    <cellStyle name="Normal 4 3 2 3 8" xfId="30383" xr:uid="{00000000-0005-0000-0000-0000451E0000}"/>
    <cellStyle name="Normal 4 3 2 3 8 2" xfId="36994" xr:uid="{BB18B41B-8C9B-478D-9F69-B9463EE5CB50}"/>
    <cellStyle name="Normal 4 3 2 3 9" xfId="30384" xr:uid="{00000000-0005-0000-0000-0000461E0000}"/>
    <cellStyle name="Normal 4 3 2 3 9 2" xfId="36995" xr:uid="{C4246982-8480-433A-8C49-9E6ECACD3D4A}"/>
    <cellStyle name="Normal 4 3 2 4" xfId="30385" xr:uid="{00000000-0005-0000-0000-0000471E0000}"/>
    <cellStyle name="Normal 4 3 2 4 10" xfId="36996" xr:uid="{61B77CD2-57AC-442A-8A01-26F00F7DE2FD}"/>
    <cellStyle name="Normal 4 3 2 4 2" xfId="30386" xr:uid="{00000000-0005-0000-0000-0000481E0000}"/>
    <cellStyle name="Normal 4 3 2 4 2 2" xfId="30387" xr:uid="{00000000-0005-0000-0000-0000491E0000}"/>
    <cellStyle name="Normal 4 3 2 4 2 2 2" xfId="30388" xr:uid="{00000000-0005-0000-0000-00004A1E0000}"/>
    <cellStyle name="Normal 4 3 2 4 2 2 2 2" xfId="30389" xr:uid="{00000000-0005-0000-0000-00004B1E0000}"/>
    <cellStyle name="Normal 4 3 2 4 2 2 2 2 2" xfId="30390" xr:uid="{00000000-0005-0000-0000-00004C1E0000}"/>
    <cellStyle name="Normal 4 3 2 4 2 2 2 2 2 2" xfId="37001" xr:uid="{C0D23374-9DFF-4293-B0A6-06ED290F7921}"/>
    <cellStyle name="Normal 4 3 2 4 2 2 2 2 3" xfId="30391" xr:uid="{00000000-0005-0000-0000-00004D1E0000}"/>
    <cellStyle name="Normal 4 3 2 4 2 2 2 2 3 2" xfId="37002" xr:uid="{7649CFD0-882F-4FA1-A2F5-19DA580A8452}"/>
    <cellStyle name="Normal 4 3 2 4 2 2 2 2 4" xfId="37000" xr:uid="{8929FAD3-2BAE-4948-8BE7-45699A890A88}"/>
    <cellStyle name="Normal 4 3 2 4 2 2 2 3" xfId="30392" xr:uid="{00000000-0005-0000-0000-00004E1E0000}"/>
    <cellStyle name="Normal 4 3 2 4 2 2 2 3 2" xfId="37003" xr:uid="{E629F7C9-33B3-4595-9C4A-8FB2825DEF85}"/>
    <cellStyle name="Normal 4 3 2 4 2 2 2 4" xfId="30393" xr:uid="{00000000-0005-0000-0000-00004F1E0000}"/>
    <cellStyle name="Normal 4 3 2 4 2 2 2 4 2" xfId="37004" xr:uid="{304121FB-8D8B-44F1-9F17-4E3ED251ABE2}"/>
    <cellStyle name="Normal 4 3 2 4 2 2 2 5" xfId="30394" xr:uid="{00000000-0005-0000-0000-0000501E0000}"/>
    <cellStyle name="Normal 4 3 2 4 2 2 2 5 2" xfId="37005" xr:uid="{03228E9D-294A-4619-86E4-0387AAF0426B}"/>
    <cellStyle name="Normal 4 3 2 4 2 2 2 6" xfId="36999" xr:uid="{D2276882-3C33-404B-ACD2-E6D9B25251D5}"/>
    <cellStyle name="Normal 4 3 2 4 2 2 3" xfId="30395" xr:uid="{00000000-0005-0000-0000-0000511E0000}"/>
    <cellStyle name="Normal 4 3 2 4 2 2 3 2" xfId="30396" xr:uid="{00000000-0005-0000-0000-0000521E0000}"/>
    <cellStyle name="Normal 4 3 2 4 2 2 3 2 2" xfId="30397" xr:uid="{00000000-0005-0000-0000-0000531E0000}"/>
    <cellStyle name="Normal 4 3 2 4 2 2 3 2 2 2" xfId="37008" xr:uid="{401E1EAC-A502-4795-8B6F-274297BF5298}"/>
    <cellStyle name="Normal 4 3 2 4 2 2 3 2 3" xfId="30398" xr:uid="{00000000-0005-0000-0000-0000541E0000}"/>
    <cellStyle name="Normal 4 3 2 4 2 2 3 2 3 2" xfId="37009" xr:uid="{50688AFC-4703-4A8E-993B-6A4DAB32ED4F}"/>
    <cellStyle name="Normal 4 3 2 4 2 2 3 2 4" xfId="37007" xr:uid="{6DADEE3E-A595-4E1F-A27F-8D5552E5C408}"/>
    <cellStyle name="Normal 4 3 2 4 2 2 3 3" xfId="30399" xr:uid="{00000000-0005-0000-0000-0000551E0000}"/>
    <cellStyle name="Normal 4 3 2 4 2 2 3 3 2" xfId="37010" xr:uid="{81648321-FBE7-48CA-8946-B3E3E687D649}"/>
    <cellStyle name="Normal 4 3 2 4 2 2 3 4" xfId="30400" xr:uid="{00000000-0005-0000-0000-0000561E0000}"/>
    <cellStyle name="Normal 4 3 2 4 2 2 3 4 2" xfId="37011" xr:uid="{A20F1A1F-5C75-464D-9767-288323D5B424}"/>
    <cellStyle name="Normal 4 3 2 4 2 2 3 5" xfId="30401" xr:uid="{00000000-0005-0000-0000-0000571E0000}"/>
    <cellStyle name="Normal 4 3 2 4 2 2 3 5 2" xfId="37012" xr:uid="{81631992-765C-4EF9-A410-D25D2C3AFEDC}"/>
    <cellStyle name="Normal 4 3 2 4 2 2 3 6" xfId="37006" xr:uid="{FB163CA7-445C-40E6-B187-BBD9DF9A27C0}"/>
    <cellStyle name="Normal 4 3 2 4 2 2 4" xfId="30402" xr:uid="{00000000-0005-0000-0000-0000581E0000}"/>
    <cellStyle name="Normal 4 3 2 4 2 2 4 2" xfId="30403" xr:uid="{00000000-0005-0000-0000-0000591E0000}"/>
    <cellStyle name="Normal 4 3 2 4 2 2 4 2 2" xfId="37014" xr:uid="{717F55ED-E361-42AE-A811-3FD5C35B5A1B}"/>
    <cellStyle name="Normal 4 3 2 4 2 2 4 3" xfId="30404" xr:uid="{00000000-0005-0000-0000-00005A1E0000}"/>
    <cellStyle name="Normal 4 3 2 4 2 2 4 3 2" xfId="37015" xr:uid="{043AC16C-9F47-491E-8370-8661E56FCF37}"/>
    <cellStyle name="Normal 4 3 2 4 2 2 4 4" xfId="37013" xr:uid="{07DC4849-19AF-443E-AD3A-223B66CEDC53}"/>
    <cellStyle name="Normal 4 3 2 4 2 2 5" xfId="30405" xr:uid="{00000000-0005-0000-0000-00005B1E0000}"/>
    <cellStyle name="Normal 4 3 2 4 2 2 5 2" xfId="37016" xr:uid="{9D6E8E7E-0943-4095-8206-D93560BEBB9C}"/>
    <cellStyle name="Normal 4 3 2 4 2 2 6" xfId="30406" xr:uid="{00000000-0005-0000-0000-00005C1E0000}"/>
    <cellStyle name="Normal 4 3 2 4 2 2 6 2" xfId="37017" xr:uid="{4D6791C6-4CAF-4EB8-8EC2-46B367182DED}"/>
    <cellStyle name="Normal 4 3 2 4 2 2 7" xfId="30407" xr:uid="{00000000-0005-0000-0000-00005D1E0000}"/>
    <cellStyle name="Normal 4 3 2 4 2 2 7 2" xfId="37018" xr:uid="{88EB4D58-A0FB-4393-A39F-D0567E099168}"/>
    <cellStyle name="Normal 4 3 2 4 2 2 8" xfId="36998" xr:uid="{E0C1B327-3CCA-4638-B09A-66A9965BDE04}"/>
    <cellStyle name="Normal 4 3 2 4 2 3" xfId="30408" xr:uid="{00000000-0005-0000-0000-00005E1E0000}"/>
    <cellStyle name="Normal 4 3 2 4 2 3 2" xfId="30409" xr:uid="{00000000-0005-0000-0000-00005F1E0000}"/>
    <cellStyle name="Normal 4 3 2 4 2 3 2 2" xfId="30410" xr:uid="{00000000-0005-0000-0000-0000601E0000}"/>
    <cellStyle name="Normal 4 3 2 4 2 3 2 2 2" xfId="37021" xr:uid="{98135B5E-2437-48DD-B457-13177609C93C}"/>
    <cellStyle name="Normal 4 3 2 4 2 3 2 3" xfId="30411" xr:uid="{00000000-0005-0000-0000-0000611E0000}"/>
    <cellStyle name="Normal 4 3 2 4 2 3 2 3 2" xfId="37022" xr:uid="{F5B03591-A149-49A8-9AE0-D3441A674BD0}"/>
    <cellStyle name="Normal 4 3 2 4 2 3 2 4" xfId="37020" xr:uid="{A5EF9E42-EEC0-405C-983D-17A7D6F40D7E}"/>
    <cellStyle name="Normal 4 3 2 4 2 3 3" xfId="30412" xr:uid="{00000000-0005-0000-0000-0000621E0000}"/>
    <cellStyle name="Normal 4 3 2 4 2 3 3 2" xfId="37023" xr:uid="{C93B6D6C-613E-4517-B990-E441E740AB52}"/>
    <cellStyle name="Normal 4 3 2 4 2 3 4" xfId="30413" xr:uid="{00000000-0005-0000-0000-0000631E0000}"/>
    <cellStyle name="Normal 4 3 2 4 2 3 4 2" xfId="37024" xr:uid="{96903D08-298D-47A2-BDC0-D093373DB0AB}"/>
    <cellStyle name="Normal 4 3 2 4 2 3 5" xfId="30414" xr:uid="{00000000-0005-0000-0000-0000641E0000}"/>
    <cellStyle name="Normal 4 3 2 4 2 3 5 2" xfId="37025" xr:uid="{847E57FC-2C41-4F96-9454-570F4310ABBF}"/>
    <cellStyle name="Normal 4 3 2 4 2 3 6" xfId="37019" xr:uid="{84FFB22B-6FEB-42FB-9C2A-C81C77B64E3A}"/>
    <cellStyle name="Normal 4 3 2 4 2 4" xfId="30415" xr:uid="{00000000-0005-0000-0000-0000651E0000}"/>
    <cellStyle name="Normal 4 3 2 4 2 4 2" xfId="30416" xr:uid="{00000000-0005-0000-0000-0000661E0000}"/>
    <cellStyle name="Normal 4 3 2 4 2 4 2 2" xfId="30417" xr:uid="{00000000-0005-0000-0000-0000671E0000}"/>
    <cellStyle name="Normal 4 3 2 4 2 4 2 2 2" xfId="37028" xr:uid="{6F37B41A-C6B0-49D4-A242-E583164E34B0}"/>
    <cellStyle name="Normal 4 3 2 4 2 4 2 3" xfId="30418" xr:uid="{00000000-0005-0000-0000-0000681E0000}"/>
    <cellStyle name="Normal 4 3 2 4 2 4 2 3 2" xfId="37029" xr:uid="{A27DBF1F-19B5-4AB6-AC20-981122F538B5}"/>
    <cellStyle name="Normal 4 3 2 4 2 4 2 4" xfId="37027" xr:uid="{E015C569-C2EE-4865-9170-25400E146E45}"/>
    <cellStyle name="Normal 4 3 2 4 2 4 3" xfId="30419" xr:uid="{00000000-0005-0000-0000-0000691E0000}"/>
    <cellStyle name="Normal 4 3 2 4 2 4 3 2" xfId="37030" xr:uid="{92258EF8-9D90-44C4-A8F9-1905BDC401E8}"/>
    <cellStyle name="Normal 4 3 2 4 2 4 4" xfId="30420" xr:uid="{00000000-0005-0000-0000-00006A1E0000}"/>
    <cellStyle name="Normal 4 3 2 4 2 4 4 2" xfId="37031" xr:uid="{B5B139A1-B3A4-4858-9AFC-1881142774A4}"/>
    <cellStyle name="Normal 4 3 2 4 2 4 5" xfId="30421" xr:uid="{00000000-0005-0000-0000-00006B1E0000}"/>
    <cellStyle name="Normal 4 3 2 4 2 4 5 2" xfId="37032" xr:uid="{A053E96B-7213-4892-8689-3F7C8940DB11}"/>
    <cellStyle name="Normal 4 3 2 4 2 4 6" xfId="37026" xr:uid="{E6AB9893-DF71-4D6A-A984-603130F8FD55}"/>
    <cellStyle name="Normal 4 3 2 4 2 5" xfId="30422" xr:uid="{00000000-0005-0000-0000-00006C1E0000}"/>
    <cellStyle name="Normal 4 3 2 4 2 5 2" xfId="30423" xr:uid="{00000000-0005-0000-0000-00006D1E0000}"/>
    <cellStyle name="Normal 4 3 2 4 2 5 2 2" xfId="37034" xr:uid="{9C414D46-EB0A-4BB6-9625-5A0D1162FA84}"/>
    <cellStyle name="Normal 4 3 2 4 2 5 3" xfId="30424" xr:uid="{00000000-0005-0000-0000-00006E1E0000}"/>
    <cellStyle name="Normal 4 3 2 4 2 5 3 2" xfId="37035" xr:uid="{F25A7FB4-FB80-4A1C-A5B4-FA01D1A09924}"/>
    <cellStyle name="Normal 4 3 2 4 2 5 4" xfId="37033" xr:uid="{9D72EC55-1FC0-48FA-8F9A-7B514A76F1FA}"/>
    <cellStyle name="Normal 4 3 2 4 2 6" xfId="30425" xr:uid="{00000000-0005-0000-0000-00006F1E0000}"/>
    <cellStyle name="Normal 4 3 2 4 2 6 2" xfId="37036" xr:uid="{3B58028E-4230-49CE-8009-975F6A71159B}"/>
    <cellStyle name="Normal 4 3 2 4 2 7" xfId="30426" xr:uid="{00000000-0005-0000-0000-0000701E0000}"/>
    <cellStyle name="Normal 4 3 2 4 2 7 2" xfId="37037" xr:uid="{48D2EFF5-CD10-4700-B31F-880815A21609}"/>
    <cellStyle name="Normal 4 3 2 4 2 8" xfId="30427" xr:uid="{00000000-0005-0000-0000-0000711E0000}"/>
    <cellStyle name="Normal 4 3 2 4 2 8 2" xfId="37038" xr:uid="{E2E26BFF-B042-42DA-9418-B24FB3AADAD4}"/>
    <cellStyle name="Normal 4 3 2 4 2 9" xfId="36997" xr:uid="{502B2E0F-906E-4631-9C21-75EAF889D33A}"/>
    <cellStyle name="Normal 4 3 2 4 3" xfId="30428" xr:uid="{00000000-0005-0000-0000-0000721E0000}"/>
    <cellStyle name="Normal 4 3 2 4 3 2" xfId="30429" xr:uid="{00000000-0005-0000-0000-0000731E0000}"/>
    <cellStyle name="Normal 4 3 2 4 3 2 2" xfId="30430" xr:uid="{00000000-0005-0000-0000-0000741E0000}"/>
    <cellStyle name="Normal 4 3 2 4 3 2 2 2" xfId="30431" xr:uid="{00000000-0005-0000-0000-0000751E0000}"/>
    <cellStyle name="Normal 4 3 2 4 3 2 2 2 2" xfId="37042" xr:uid="{3B11C124-A97C-4222-8607-B85CA2E71F7D}"/>
    <cellStyle name="Normal 4 3 2 4 3 2 2 3" xfId="30432" xr:uid="{00000000-0005-0000-0000-0000761E0000}"/>
    <cellStyle name="Normal 4 3 2 4 3 2 2 3 2" xfId="37043" xr:uid="{9773D683-8165-4BFE-A6F5-E1F63CB654A4}"/>
    <cellStyle name="Normal 4 3 2 4 3 2 2 4" xfId="37041" xr:uid="{475D6052-A4E4-4069-93CB-8EE2F325255F}"/>
    <cellStyle name="Normal 4 3 2 4 3 2 3" xfId="30433" xr:uid="{00000000-0005-0000-0000-0000771E0000}"/>
    <cellStyle name="Normal 4 3 2 4 3 2 3 2" xfId="37044" xr:uid="{E7D57E3C-EB48-415B-9927-6901A54A460A}"/>
    <cellStyle name="Normal 4 3 2 4 3 2 4" xfId="30434" xr:uid="{00000000-0005-0000-0000-0000781E0000}"/>
    <cellStyle name="Normal 4 3 2 4 3 2 4 2" xfId="37045" xr:uid="{66C934F2-94B3-4EFF-9027-D25DB13E7539}"/>
    <cellStyle name="Normal 4 3 2 4 3 2 5" xfId="30435" xr:uid="{00000000-0005-0000-0000-0000791E0000}"/>
    <cellStyle name="Normal 4 3 2 4 3 2 5 2" xfId="37046" xr:uid="{7444C617-B5B6-4B97-B470-EC7153FA3290}"/>
    <cellStyle name="Normal 4 3 2 4 3 2 6" xfId="37040" xr:uid="{2DA0A604-ABFE-4BDA-ACE0-3CC6878F3C0B}"/>
    <cellStyle name="Normal 4 3 2 4 3 3" xfId="30436" xr:uid="{00000000-0005-0000-0000-00007A1E0000}"/>
    <cellStyle name="Normal 4 3 2 4 3 3 2" xfId="30437" xr:uid="{00000000-0005-0000-0000-00007B1E0000}"/>
    <cellStyle name="Normal 4 3 2 4 3 3 2 2" xfId="30438" xr:uid="{00000000-0005-0000-0000-00007C1E0000}"/>
    <cellStyle name="Normal 4 3 2 4 3 3 2 2 2" xfId="37049" xr:uid="{508B1D50-0B93-4451-82C8-9658BDB9182B}"/>
    <cellStyle name="Normal 4 3 2 4 3 3 2 3" xfId="30439" xr:uid="{00000000-0005-0000-0000-00007D1E0000}"/>
    <cellStyle name="Normal 4 3 2 4 3 3 2 3 2" xfId="37050" xr:uid="{7D848319-7935-470C-B6E2-7A9440346D26}"/>
    <cellStyle name="Normal 4 3 2 4 3 3 2 4" xfId="37048" xr:uid="{4FD350E9-0A5D-45DB-901E-054EBFB52C53}"/>
    <cellStyle name="Normal 4 3 2 4 3 3 3" xfId="30440" xr:uid="{00000000-0005-0000-0000-00007E1E0000}"/>
    <cellStyle name="Normal 4 3 2 4 3 3 3 2" xfId="37051" xr:uid="{AB8BAC61-4FB9-4EAD-A8D9-A9EFFCEF1B9A}"/>
    <cellStyle name="Normal 4 3 2 4 3 3 4" xfId="30441" xr:uid="{00000000-0005-0000-0000-00007F1E0000}"/>
    <cellStyle name="Normal 4 3 2 4 3 3 4 2" xfId="37052" xr:uid="{C3D547FC-1B58-4826-9AE6-EB81825EF9DB}"/>
    <cellStyle name="Normal 4 3 2 4 3 3 5" xfId="30442" xr:uid="{00000000-0005-0000-0000-0000801E0000}"/>
    <cellStyle name="Normal 4 3 2 4 3 3 5 2" xfId="37053" xr:uid="{08EAC2F2-1C33-4D4C-A139-6739BA3AD026}"/>
    <cellStyle name="Normal 4 3 2 4 3 3 6" xfId="37047" xr:uid="{BB0A470F-ABC8-43F5-B11D-4D798A75E312}"/>
    <cellStyle name="Normal 4 3 2 4 3 4" xfId="30443" xr:uid="{00000000-0005-0000-0000-0000811E0000}"/>
    <cellStyle name="Normal 4 3 2 4 3 4 2" xfId="30444" xr:uid="{00000000-0005-0000-0000-0000821E0000}"/>
    <cellStyle name="Normal 4 3 2 4 3 4 2 2" xfId="37055" xr:uid="{E36E0A86-A4B6-438B-B706-98FB58F2A4F1}"/>
    <cellStyle name="Normal 4 3 2 4 3 4 3" xfId="30445" xr:uid="{00000000-0005-0000-0000-0000831E0000}"/>
    <cellStyle name="Normal 4 3 2 4 3 4 3 2" xfId="37056" xr:uid="{AF18BC30-87A4-457E-AA14-57D4C8B8FC64}"/>
    <cellStyle name="Normal 4 3 2 4 3 4 4" xfId="37054" xr:uid="{491CA7C8-824F-43C7-8306-C09C2111A331}"/>
    <cellStyle name="Normal 4 3 2 4 3 5" xfId="30446" xr:uid="{00000000-0005-0000-0000-0000841E0000}"/>
    <cellStyle name="Normal 4 3 2 4 3 5 2" xfId="37057" xr:uid="{6BE515BD-4882-43CC-A82A-8FCFF4BA3855}"/>
    <cellStyle name="Normal 4 3 2 4 3 6" xfId="30447" xr:uid="{00000000-0005-0000-0000-0000851E0000}"/>
    <cellStyle name="Normal 4 3 2 4 3 6 2" xfId="37058" xr:uid="{2B3FA3F2-7249-4289-B1F4-03E74E96519B}"/>
    <cellStyle name="Normal 4 3 2 4 3 7" xfId="30448" xr:uid="{00000000-0005-0000-0000-0000861E0000}"/>
    <cellStyle name="Normal 4 3 2 4 3 7 2" xfId="37059" xr:uid="{60551A4D-9F90-413B-BAAF-BF70E747BE75}"/>
    <cellStyle name="Normal 4 3 2 4 3 8" xfId="37039" xr:uid="{F19B0A6A-A80C-49D0-8EC5-5AA42C08B78B}"/>
    <cellStyle name="Normal 4 3 2 4 4" xfId="30449" xr:uid="{00000000-0005-0000-0000-0000871E0000}"/>
    <cellStyle name="Normal 4 3 2 4 4 2" xfId="30450" xr:uid="{00000000-0005-0000-0000-0000881E0000}"/>
    <cellStyle name="Normal 4 3 2 4 4 2 2" xfId="30451" xr:uid="{00000000-0005-0000-0000-0000891E0000}"/>
    <cellStyle name="Normal 4 3 2 4 4 2 2 2" xfId="37062" xr:uid="{722A0C4D-9DC4-4621-9D45-6421748275BA}"/>
    <cellStyle name="Normal 4 3 2 4 4 2 3" xfId="30452" xr:uid="{00000000-0005-0000-0000-00008A1E0000}"/>
    <cellStyle name="Normal 4 3 2 4 4 2 3 2" xfId="37063" xr:uid="{696F18D8-8817-4F82-BDE8-0A45FA317F55}"/>
    <cellStyle name="Normal 4 3 2 4 4 2 4" xfId="37061" xr:uid="{800D94F4-7EC8-41C1-9190-2C238A111315}"/>
    <cellStyle name="Normal 4 3 2 4 4 3" xfId="30453" xr:uid="{00000000-0005-0000-0000-00008B1E0000}"/>
    <cellStyle name="Normal 4 3 2 4 4 3 2" xfId="37064" xr:uid="{EA240019-C407-4824-94F3-5529CDC6AE65}"/>
    <cellStyle name="Normal 4 3 2 4 4 4" xfId="30454" xr:uid="{00000000-0005-0000-0000-00008C1E0000}"/>
    <cellStyle name="Normal 4 3 2 4 4 4 2" xfId="37065" xr:uid="{D391173C-4869-48B8-A20C-8C75CD9D5DF6}"/>
    <cellStyle name="Normal 4 3 2 4 4 5" xfId="30455" xr:uid="{00000000-0005-0000-0000-00008D1E0000}"/>
    <cellStyle name="Normal 4 3 2 4 4 5 2" xfId="37066" xr:uid="{AA805755-4BE5-4D8F-9A20-155A89BF711F}"/>
    <cellStyle name="Normal 4 3 2 4 4 6" xfId="37060" xr:uid="{317413C1-9A0C-4136-AAB0-258FCC4A7FF1}"/>
    <cellStyle name="Normal 4 3 2 4 5" xfId="30456" xr:uid="{00000000-0005-0000-0000-00008E1E0000}"/>
    <cellStyle name="Normal 4 3 2 4 5 2" xfId="30457" xr:uid="{00000000-0005-0000-0000-00008F1E0000}"/>
    <cellStyle name="Normal 4 3 2 4 5 2 2" xfId="30458" xr:uid="{00000000-0005-0000-0000-0000901E0000}"/>
    <cellStyle name="Normal 4 3 2 4 5 2 2 2" xfId="37069" xr:uid="{5FE83109-65F3-4C3A-A604-B571B677E278}"/>
    <cellStyle name="Normal 4 3 2 4 5 2 3" xfId="30459" xr:uid="{00000000-0005-0000-0000-0000911E0000}"/>
    <cellStyle name="Normal 4 3 2 4 5 2 3 2" xfId="37070" xr:uid="{D95BA40F-331D-4C97-870F-E1E984AD8699}"/>
    <cellStyle name="Normal 4 3 2 4 5 2 4" xfId="37068" xr:uid="{F07EE8D7-29D3-462A-84F1-24D231BA88F4}"/>
    <cellStyle name="Normal 4 3 2 4 5 3" xfId="30460" xr:uid="{00000000-0005-0000-0000-0000921E0000}"/>
    <cellStyle name="Normal 4 3 2 4 5 3 2" xfId="37071" xr:uid="{782543C0-C29A-40BE-82AA-61A5859E5AFE}"/>
    <cellStyle name="Normal 4 3 2 4 5 4" xfId="30461" xr:uid="{00000000-0005-0000-0000-0000931E0000}"/>
    <cellStyle name="Normal 4 3 2 4 5 4 2" xfId="37072" xr:uid="{41D12BD2-0C8E-45F4-9C4B-66670F9BD5DA}"/>
    <cellStyle name="Normal 4 3 2 4 5 5" xfId="30462" xr:uid="{00000000-0005-0000-0000-0000941E0000}"/>
    <cellStyle name="Normal 4 3 2 4 5 5 2" xfId="37073" xr:uid="{2059B6B9-4ED2-41BB-A644-DE41A9DC6F3F}"/>
    <cellStyle name="Normal 4 3 2 4 5 6" xfId="37067" xr:uid="{B28E20E0-0200-44B6-8E7A-3CFDCF0BB621}"/>
    <cellStyle name="Normal 4 3 2 4 6" xfId="30463" xr:uid="{00000000-0005-0000-0000-0000951E0000}"/>
    <cellStyle name="Normal 4 3 2 4 6 2" xfId="30464" xr:uid="{00000000-0005-0000-0000-0000961E0000}"/>
    <cellStyle name="Normal 4 3 2 4 6 2 2" xfId="37075" xr:uid="{F587263D-C598-464F-AB50-DC6069E633F6}"/>
    <cellStyle name="Normal 4 3 2 4 6 3" xfId="30465" xr:uid="{00000000-0005-0000-0000-0000971E0000}"/>
    <cellStyle name="Normal 4 3 2 4 6 3 2" xfId="37076" xr:uid="{A81882EF-9E82-4670-8631-6198571032A0}"/>
    <cellStyle name="Normal 4 3 2 4 6 4" xfId="37074" xr:uid="{43214EF3-ACAB-4B1D-A054-86646CC3F1F1}"/>
    <cellStyle name="Normal 4 3 2 4 7" xfId="30466" xr:uid="{00000000-0005-0000-0000-0000981E0000}"/>
    <cellStyle name="Normal 4 3 2 4 7 2" xfId="37077" xr:uid="{BD4E2F02-9ACB-44C8-9834-010F1ACBCC90}"/>
    <cellStyle name="Normal 4 3 2 4 8" xfId="30467" xr:uid="{00000000-0005-0000-0000-0000991E0000}"/>
    <cellStyle name="Normal 4 3 2 4 8 2" xfId="37078" xr:uid="{4D847EBD-0F1F-49CE-BF2E-ADABE9B6F9F3}"/>
    <cellStyle name="Normal 4 3 2 4 9" xfId="30468" xr:uid="{00000000-0005-0000-0000-00009A1E0000}"/>
    <cellStyle name="Normal 4 3 2 4 9 2" xfId="37079" xr:uid="{CC80A9C8-9179-48C7-AE7E-26FD24326192}"/>
    <cellStyle name="Normal 4 3 2 5" xfId="30469" xr:uid="{00000000-0005-0000-0000-00009B1E0000}"/>
    <cellStyle name="Normal 4 3 2 5 10" xfId="37080" xr:uid="{40DA889B-101D-4FF0-87FE-11333DF327EB}"/>
    <cellStyle name="Normal 4 3 2 5 2" xfId="30470" xr:uid="{00000000-0005-0000-0000-00009C1E0000}"/>
    <cellStyle name="Normal 4 3 2 5 2 2" xfId="30471" xr:uid="{00000000-0005-0000-0000-00009D1E0000}"/>
    <cellStyle name="Normal 4 3 2 5 2 2 2" xfId="30472" xr:uid="{00000000-0005-0000-0000-00009E1E0000}"/>
    <cellStyle name="Normal 4 3 2 5 2 2 2 2" xfId="30473" xr:uid="{00000000-0005-0000-0000-00009F1E0000}"/>
    <cellStyle name="Normal 4 3 2 5 2 2 2 2 2" xfId="30474" xr:uid="{00000000-0005-0000-0000-0000A01E0000}"/>
    <cellStyle name="Normal 4 3 2 5 2 2 2 2 2 2" xfId="37085" xr:uid="{B4E49D53-B5CA-47B3-9ED5-3AA0A596B1DF}"/>
    <cellStyle name="Normal 4 3 2 5 2 2 2 2 3" xfId="30475" xr:uid="{00000000-0005-0000-0000-0000A11E0000}"/>
    <cellStyle name="Normal 4 3 2 5 2 2 2 2 3 2" xfId="37086" xr:uid="{B74E323B-9073-42F9-BC81-988910184217}"/>
    <cellStyle name="Normal 4 3 2 5 2 2 2 2 4" xfId="37084" xr:uid="{2108ED06-5E50-4C2C-B838-41DE531A39DB}"/>
    <cellStyle name="Normal 4 3 2 5 2 2 2 3" xfId="30476" xr:uid="{00000000-0005-0000-0000-0000A21E0000}"/>
    <cellStyle name="Normal 4 3 2 5 2 2 2 3 2" xfId="37087" xr:uid="{68D4D749-584C-42B4-876E-423864D9F12F}"/>
    <cellStyle name="Normal 4 3 2 5 2 2 2 4" xfId="30477" xr:uid="{00000000-0005-0000-0000-0000A31E0000}"/>
    <cellStyle name="Normal 4 3 2 5 2 2 2 4 2" xfId="37088" xr:uid="{0F4F2E15-994F-4B90-89E5-17DDB814EF5F}"/>
    <cellStyle name="Normal 4 3 2 5 2 2 2 5" xfId="30478" xr:uid="{00000000-0005-0000-0000-0000A41E0000}"/>
    <cellStyle name="Normal 4 3 2 5 2 2 2 5 2" xfId="37089" xr:uid="{51040D2F-A61B-44C6-B473-DEB8A84D6D6C}"/>
    <cellStyle name="Normal 4 3 2 5 2 2 2 6" xfId="37083" xr:uid="{10781A52-B0D6-4A74-95EA-56175D31A943}"/>
    <cellStyle name="Normal 4 3 2 5 2 2 3" xfId="30479" xr:uid="{00000000-0005-0000-0000-0000A51E0000}"/>
    <cellStyle name="Normal 4 3 2 5 2 2 3 2" xfId="30480" xr:uid="{00000000-0005-0000-0000-0000A61E0000}"/>
    <cellStyle name="Normal 4 3 2 5 2 2 3 2 2" xfId="30481" xr:uid="{00000000-0005-0000-0000-0000A71E0000}"/>
    <cellStyle name="Normal 4 3 2 5 2 2 3 2 2 2" xfId="37092" xr:uid="{9B5145C8-EB9A-4F34-A044-88BB12E63E11}"/>
    <cellStyle name="Normal 4 3 2 5 2 2 3 2 3" xfId="30482" xr:uid="{00000000-0005-0000-0000-0000A81E0000}"/>
    <cellStyle name="Normal 4 3 2 5 2 2 3 2 3 2" xfId="37093" xr:uid="{839E9230-BFB1-4962-8719-05EA88D92946}"/>
    <cellStyle name="Normal 4 3 2 5 2 2 3 2 4" xfId="37091" xr:uid="{E421F0BF-EF08-4675-B48F-D2B9C4A89463}"/>
    <cellStyle name="Normal 4 3 2 5 2 2 3 3" xfId="30483" xr:uid="{00000000-0005-0000-0000-0000A91E0000}"/>
    <cellStyle name="Normal 4 3 2 5 2 2 3 3 2" xfId="37094" xr:uid="{3A48BB74-77F3-44A3-B56D-95BEA67AE5F4}"/>
    <cellStyle name="Normal 4 3 2 5 2 2 3 4" xfId="30484" xr:uid="{00000000-0005-0000-0000-0000AA1E0000}"/>
    <cellStyle name="Normal 4 3 2 5 2 2 3 4 2" xfId="37095" xr:uid="{AB6B3A3A-B718-4338-A8F3-F4B86CDC2544}"/>
    <cellStyle name="Normal 4 3 2 5 2 2 3 5" xfId="30485" xr:uid="{00000000-0005-0000-0000-0000AB1E0000}"/>
    <cellStyle name="Normal 4 3 2 5 2 2 3 5 2" xfId="37096" xr:uid="{0748271B-30FE-4FA3-AAE5-094C376EBA63}"/>
    <cellStyle name="Normal 4 3 2 5 2 2 3 6" xfId="37090" xr:uid="{A769426B-A788-4B86-B229-5A62D8784B5B}"/>
    <cellStyle name="Normal 4 3 2 5 2 2 4" xfId="30486" xr:uid="{00000000-0005-0000-0000-0000AC1E0000}"/>
    <cellStyle name="Normal 4 3 2 5 2 2 4 2" xfId="30487" xr:uid="{00000000-0005-0000-0000-0000AD1E0000}"/>
    <cellStyle name="Normal 4 3 2 5 2 2 4 2 2" xfId="37098" xr:uid="{A23DB0BB-D366-4D62-B10C-AAB75A20B64E}"/>
    <cellStyle name="Normal 4 3 2 5 2 2 4 3" xfId="30488" xr:uid="{00000000-0005-0000-0000-0000AE1E0000}"/>
    <cellStyle name="Normal 4 3 2 5 2 2 4 3 2" xfId="37099" xr:uid="{32CC0EBA-36DA-416D-8196-A9D8BB22BBA6}"/>
    <cellStyle name="Normal 4 3 2 5 2 2 4 4" xfId="37097" xr:uid="{0E1DF5CA-F2AE-494C-B07A-968ACF3BF12B}"/>
    <cellStyle name="Normal 4 3 2 5 2 2 5" xfId="30489" xr:uid="{00000000-0005-0000-0000-0000AF1E0000}"/>
    <cellStyle name="Normal 4 3 2 5 2 2 5 2" xfId="37100" xr:uid="{D2016C56-A29B-405D-9883-83897C605F40}"/>
    <cellStyle name="Normal 4 3 2 5 2 2 6" xfId="30490" xr:uid="{00000000-0005-0000-0000-0000B01E0000}"/>
    <cellStyle name="Normal 4 3 2 5 2 2 6 2" xfId="37101" xr:uid="{58BD01D4-781A-47D7-8666-7DB2AE881535}"/>
    <cellStyle name="Normal 4 3 2 5 2 2 7" xfId="30491" xr:uid="{00000000-0005-0000-0000-0000B11E0000}"/>
    <cellStyle name="Normal 4 3 2 5 2 2 7 2" xfId="37102" xr:uid="{190D67FF-225B-4C93-8513-DCC9ECA1FAE6}"/>
    <cellStyle name="Normal 4 3 2 5 2 2 8" xfId="37082" xr:uid="{C8BB3E90-2BE0-4F66-A243-818383CA06F7}"/>
    <cellStyle name="Normal 4 3 2 5 2 3" xfId="30492" xr:uid="{00000000-0005-0000-0000-0000B21E0000}"/>
    <cellStyle name="Normal 4 3 2 5 2 3 2" xfId="30493" xr:uid="{00000000-0005-0000-0000-0000B31E0000}"/>
    <cellStyle name="Normal 4 3 2 5 2 3 2 2" xfId="30494" xr:uid="{00000000-0005-0000-0000-0000B41E0000}"/>
    <cellStyle name="Normal 4 3 2 5 2 3 2 2 2" xfId="37105" xr:uid="{F7B426C7-29EB-4802-98D0-EA9A6FE9E692}"/>
    <cellStyle name="Normal 4 3 2 5 2 3 2 3" xfId="30495" xr:uid="{00000000-0005-0000-0000-0000B51E0000}"/>
    <cellStyle name="Normal 4 3 2 5 2 3 2 3 2" xfId="37106" xr:uid="{F5C6270F-DED1-4D6D-9C54-84B58B8CE9A3}"/>
    <cellStyle name="Normal 4 3 2 5 2 3 2 4" xfId="37104" xr:uid="{61142728-003F-4ACA-B760-C2162564DA1A}"/>
    <cellStyle name="Normal 4 3 2 5 2 3 3" xfId="30496" xr:uid="{00000000-0005-0000-0000-0000B61E0000}"/>
    <cellStyle name="Normal 4 3 2 5 2 3 3 2" xfId="37107" xr:uid="{E736D595-DFC9-466B-928F-80551B0D45E1}"/>
    <cellStyle name="Normal 4 3 2 5 2 3 4" xfId="30497" xr:uid="{00000000-0005-0000-0000-0000B71E0000}"/>
    <cellStyle name="Normal 4 3 2 5 2 3 4 2" xfId="37108" xr:uid="{DCB36737-9B55-4268-AFD1-BFD816FEA3AF}"/>
    <cellStyle name="Normal 4 3 2 5 2 3 5" xfId="30498" xr:uid="{00000000-0005-0000-0000-0000B81E0000}"/>
    <cellStyle name="Normal 4 3 2 5 2 3 5 2" xfId="37109" xr:uid="{BC724097-F2BA-4DE7-9309-994595A0139C}"/>
    <cellStyle name="Normal 4 3 2 5 2 3 6" xfId="37103" xr:uid="{D971FE8B-E48F-4445-93C5-FC908D99421F}"/>
    <cellStyle name="Normal 4 3 2 5 2 4" xfId="30499" xr:uid="{00000000-0005-0000-0000-0000B91E0000}"/>
    <cellStyle name="Normal 4 3 2 5 2 4 2" xfId="30500" xr:uid="{00000000-0005-0000-0000-0000BA1E0000}"/>
    <cellStyle name="Normal 4 3 2 5 2 4 2 2" xfId="30501" xr:uid="{00000000-0005-0000-0000-0000BB1E0000}"/>
    <cellStyle name="Normal 4 3 2 5 2 4 2 2 2" xfId="37112" xr:uid="{475A03F6-B584-4AE2-A2FD-95C02ED5FCDF}"/>
    <cellStyle name="Normal 4 3 2 5 2 4 2 3" xfId="30502" xr:uid="{00000000-0005-0000-0000-0000BC1E0000}"/>
    <cellStyle name="Normal 4 3 2 5 2 4 2 3 2" xfId="37113" xr:uid="{1D2F1075-2A92-4BDF-B07F-1D85A86830D8}"/>
    <cellStyle name="Normal 4 3 2 5 2 4 2 4" xfId="37111" xr:uid="{53EFD52C-78FD-4DAB-9E28-BDDF4CD10EB9}"/>
    <cellStyle name="Normal 4 3 2 5 2 4 3" xfId="30503" xr:uid="{00000000-0005-0000-0000-0000BD1E0000}"/>
    <cellStyle name="Normal 4 3 2 5 2 4 3 2" xfId="37114" xr:uid="{97E1B7D9-D14A-481E-A07E-29DD8CB1DD81}"/>
    <cellStyle name="Normal 4 3 2 5 2 4 4" xfId="30504" xr:uid="{00000000-0005-0000-0000-0000BE1E0000}"/>
    <cellStyle name="Normal 4 3 2 5 2 4 4 2" xfId="37115" xr:uid="{335E70CC-40A1-47EE-9E7C-D78C83BAB505}"/>
    <cellStyle name="Normal 4 3 2 5 2 4 5" xfId="30505" xr:uid="{00000000-0005-0000-0000-0000BF1E0000}"/>
    <cellStyle name="Normal 4 3 2 5 2 4 5 2" xfId="37116" xr:uid="{DBFE3944-0953-4948-B881-AF8FC03AF7E6}"/>
    <cellStyle name="Normal 4 3 2 5 2 4 6" xfId="37110" xr:uid="{6155115E-6264-4B14-B301-F0EBDB2DC3E2}"/>
    <cellStyle name="Normal 4 3 2 5 2 5" xfId="30506" xr:uid="{00000000-0005-0000-0000-0000C01E0000}"/>
    <cellStyle name="Normal 4 3 2 5 2 5 2" xfId="30507" xr:uid="{00000000-0005-0000-0000-0000C11E0000}"/>
    <cellStyle name="Normal 4 3 2 5 2 5 2 2" xfId="37118" xr:uid="{A26E66CE-B17F-416A-ACCF-A882207EED54}"/>
    <cellStyle name="Normal 4 3 2 5 2 5 3" xfId="30508" xr:uid="{00000000-0005-0000-0000-0000C21E0000}"/>
    <cellStyle name="Normal 4 3 2 5 2 5 3 2" xfId="37119" xr:uid="{A901BBED-F9EC-4A4E-9C8F-E4CEB71836C3}"/>
    <cellStyle name="Normal 4 3 2 5 2 5 4" xfId="37117" xr:uid="{92F2659A-F674-4E8B-86EB-0563F7E6F105}"/>
    <cellStyle name="Normal 4 3 2 5 2 6" xfId="30509" xr:uid="{00000000-0005-0000-0000-0000C31E0000}"/>
    <cellStyle name="Normal 4 3 2 5 2 6 2" xfId="37120" xr:uid="{0AADE7A5-5B04-4D76-8ACA-0A11453D8202}"/>
    <cellStyle name="Normal 4 3 2 5 2 7" xfId="30510" xr:uid="{00000000-0005-0000-0000-0000C41E0000}"/>
    <cellStyle name="Normal 4 3 2 5 2 7 2" xfId="37121" xr:uid="{F918E289-B471-40F0-936E-3D321559854A}"/>
    <cellStyle name="Normal 4 3 2 5 2 8" xfId="30511" xr:uid="{00000000-0005-0000-0000-0000C51E0000}"/>
    <cellStyle name="Normal 4 3 2 5 2 8 2" xfId="37122" xr:uid="{436D2A8F-78EC-4142-AD17-C8D6A7E04655}"/>
    <cellStyle name="Normal 4 3 2 5 2 9" xfId="37081" xr:uid="{5D71CB7A-0B54-49AF-A703-A43AE60FAB3B}"/>
    <cellStyle name="Normal 4 3 2 5 3" xfId="30512" xr:uid="{00000000-0005-0000-0000-0000C61E0000}"/>
    <cellStyle name="Normal 4 3 2 5 3 2" xfId="30513" xr:uid="{00000000-0005-0000-0000-0000C71E0000}"/>
    <cellStyle name="Normal 4 3 2 5 3 2 2" xfId="30514" xr:uid="{00000000-0005-0000-0000-0000C81E0000}"/>
    <cellStyle name="Normal 4 3 2 5 3 2 2 2" xfId="30515" xr:uid="{00000000-0005-0000-0000-0000C91E0000}"/>
    <cellStyle name="Normal 4 3 2 5 3 2 2 2 2" xfId="37126" xr:uid="{3E71B92F-3D6B-4995-804C-DAF787B42C2B}"/>
    <cellStyle name="Normal 4 3 2 5 3 2 2 3" xfId="30516" xr:uid="{00000000-0005-0000-0000-0000CA1E0000}"/>
    <cellStyle name="Normal 4 3 2 5 3 2 2 3 2" xfId="37127" xr:uid="{597F03AC-E212-4973-B767-65D745650639}"/>
    <cellStyle name="Normal 4 3 2 5 3 2 2 4" xfId="37125" xr:uid="{E1AA4353-CBE4-4F60-AADE-37F21B3619AA}"/>
    <cellStyle name="Normal 4 3 2 5 3 2 3" xfId="30517" xr:uid="{00000000-0005-0000-0000-0000CB1E0000}"/>
    <cellStyle name="Normal 4 3 2 5 3 2 3 2" xfId="37128" xr:uid="{39691925-E5CA-471E-8470-CCE0FD10E0DD}"/>
    <cellStyle name="Normal 4 3 2 5 3 2 4" xfId="30518" xr:uid="{00000000-0005-0000-0000-0000CC1E0000}"/>
    <cellStyle name="Normal 4 3 2 5 3 2 4 2" xfId="37129" xr:uid="{AA1DD654-36B5-4077-92A3-63DF13FE19F5}"/>
    <cellStyle name="Normal 4 3 2 5 3 2 5" xfId="30519" xr:uid="{00000000-0005-0000-0000-0000CD1E0000}"/>
    <cellStyle name="Normal 4 3 2 5 3 2 5 2" xfId="37130" xr:uid="{3EE51867-94A9-4A50-A3D0-B2F30C671D39}"/>
    <cellStyle name="Normal 4 3 2 5 3 2 6" xfId="37124" xr:uid="{068E6FC3-6F18-44CA-8C1A-7BB7BEB8AD49}"/>
    <cellStyle name="Normal 4 3 2 5 3 3" xfId="30520" xr:uid="{00000000-0005-0000-0000-0000CE1E0000}"/>
    <cellStyle name="Normal 4 3 2 5 3 3 2" xfId="30521" xr:uid="{00000000-0005-0000-0000-0000CF1E0000}"/>
    <cellStyle name="Normal 4 3 2 5 3 3 2 2" xfId="30522" xr:uid="{00000000-0005-0000-0000-0000D01E0000}"/>
    <cellStyle name="Normal 4 3 2 5 3 3 2 2 2" xfId="37133" xr:uid="{2AB559B5-F819-41FC-A03C-57ABF563CCDA}"/>
    <cellStyle name="Normal 4 3 2 5 3 3 2 3" xfId="30523" xr:uid="{00000000-0005-0000-0000-0000D11E0000}"/>
    <cellStyle name="Normal 4 3 2 5 3 3 2 3 2" xfId="37134" xr:uid="{18228663-D08D-40E7-9035-F494B51F4343}"/>
    <cellStyle name="Normal 4 3 2 5 3 3 2 4" xfId="37132" xr:uid="{233C7F17-1D40-4EF5-A30F-94289E5C2C3B}"/>
    <cellStyle name="Normal 4 3 2 5 3 3 3" xfId="30524" xr:uid="{00000000-0005-0000-0000-0000D21E0000}"/>
    <cellStyle name="Normal 4 3 2 5 3 3 3 2" xfId="37135" xr:uid="{778FCE5D-DFA3-425D-8EFF-5C74C7AA3B01}"/>
    <cellStyle name="Normal 4 3 2 5 3 3 4" xfId="30525" xr:uid="{00000000-0005-0000-0000-0000D31E0000}"/>
    <cellStyle name="Normal 4 3 2 5 3 3 4 2" xfId="37136" xr:uid="{96E2E154-AE7B-423F-B88A-E08A3552195C}"/>
    <cellStyle name="Normal 4 3 2 5 3 3 5" xfId="30526" xr:uid="{00000000-0005-0000-0000-0000D41E0000}"/>
    <cellStyle name="Normal 4 3 2 5 3 3 5 2" xfId="37137" xr:uid="{C869FA92-3E74-49D5-885B-FD235DF9CE59}"/>
    <cellStyle name="Normal 4 3 2 5 3 3 6" xfId="37131" xr:uid="{EAF26DD7-7999-4C37-9B33-4BEED3E058CD}"/>
    <cellStyle name="Normal 4 3 2 5 3 4" xfId="30527" xr:uid="{00000000-0005-0000-0000-0000D51E0000}"/>
    <cellStyle name="Normal 4 3 2 5 3 4 2" xfId="30528" xr:uid="{00000000-0005-0000-0000-0000D61E0000}"/>
    <cellStyle name="Normal 4 3 2 5 3 4 2 2" xfId="37139" xr:uid="{C3ED154A-950C-4CB3-B64A-BCC6D66B4DF6}"/>
    <cellStyle name="Normal 4 3 2 5 3 4 3" xfId="30529" xr:uid="{00000000-0005-0000-0000-0000D71E0000}"/>
    <cellStyle name="Normal 4 3 2 5 3 4 3 2" xfId="37140" xr:uid="{BE431F9B-3D39-4A94-A427-505F992CF8BB}"/>
    <cellStyle name="Normal 4 3 2 5 3 4 4" xfId="37138" xr:uid="{33B72FA7-CDCC-4D1E-A497-9F0BCD191BAE}"/>
    <cellStyle name="Normal 4 3 2 5 3 5" xfId="30530" xr:uid="{00000000-0005-0000-0000-0000D81E0000}"/>
    <cellStyle name="Normal 4 3 2 5 3 5 2" xfId="37141" xr:uid="{8EC2D591-6FB7-4972-A011-FD63A872F668}"/>
    <cellStyle name="Normal 4 3 2 5 3 6" xfId="30531" xr:uid="{00000000-0005-0000-0000-0000D91E0000}"/>
    <cellStyle name="Normal 4 3 2 5 3 6 2" xfId="37142" xr:uid="{0EC47332-E008-4A76-8868-2BE9A273BA3C}"/>
    <cellStyle name="Normal 4 3 2 5 3 7" xfId="30532" xr:uid="{00000000-0005-0000-0000-0000DA1E0000}"/>
    <cellStyle name="Normal 4 3 2 5 3 7 2" xfId="37143" xr:uid="{A9C1B97B-7239-438F-8FF4-0E59CD6D0D65}"/>
    <cellStyle name="Normal 4 3 2 5 3 8" xfId="37123" xr:uid="{2F609A45-65F9-4132-978E-4040DE1836C6}"/>
    <cellStyle name="Normal 4 3 2 5 4" xfId="30533" xr:uid="{00000000-0005-0000-0000-0000DB1E0000}"/>
    <cellStyle name="Normal 4 3 2 5 4 2" xfId="30534" xr:uid="{00000000-0005-0000-0000-0000DC1E0000}"/>
    <cellStyle name="Normal 4 3 2 5 4 2 2" xfId="30535" xr:uid="{00000000-0005-0000-0000-0000DD1E0000}"/>
    <cellStyle name="Normal 4 3 2 5 4 2 2 2" xfId="37146" xr:uid="{01232D96-614D-4C9F-BFDD-13F8990F5391}"/>
    <cellStyle name="Normal 4 3 2 5 4 2 3" xfId="30536" xr:uid="{00000000-0005-0000-0000-0000DE1E0000}"/>
    <cellStyle name="Normal 4 3 2 5 4 2 3 2" xfId="37147" xr:uid="{67D2E889-A054-4CCD-8B1A-387A31746821}"/>
    <cellStyle name="Normal 4 3 2 5 4 2 4" xfId="37145" xr:uid="{8E279DED-1093-4DFB-9275-88CC9E14B523}"/>
    <cellStyle name="Normal 4 3 2 5 4 3" xfId="30537" xr:uid="{00000000-0005-0000-0000-0000DF1E0000}"/>
    <cellStyle name="Normal 4 3 2 5 4 3 2" xfId="37148" xr:uid="{16DF7AD9-BD8A-42DD-A01D-4AFF510A14CA}"/>
    <cellStyle name="Normal 4 3 2 5 4 4" xfId="30538" xr:uid="{00000000-0005-0000-0000-0000E01E0000}"/>
    <cellStyle name="Normal 4 3 2 5 4 4 2" xfId="37149" xr:uid="{6CB9E9EC-6E6D-4185-B7DB-8379B21F78DE}"/>
    <cellStyle name="Normal 4 3 2 5 4 5" xfId="30539" xr:uid="{00000000-0005-0000-0000-0000E11E0000}"/>
    <cellStyle name="Normal 4 3 2 5 4 5 2" xfId="37150" xr:uid="{E3DA994E-F58B-45C9-B1E3-3F13121DF42F}"/>
    <cellStyle name="Normal 4 3 2 5 4 6" xfId="37144" xr:uid="{21549161-1141-453F-B093-1418662531EB}"/>
    <cellStyle name="Normal 4 3 2 5 5" xfId="30540" xr:uid="{00000000-0005-0000-0000-0000E21E0000}"/>
    <cellStyle name="Normal 4 3 2 5 5 2" xfId="30541" xr:uid="{00000000-0005-0000-0000-0000E31E0000}"/>
    <cellStyle name="Normal 4 3 2 5 5 2 2" xfId="30542" xr:uid="{00000000-0005-0000-0000-0000E41E0000}"/>
    <cellStyle name="Normal 4 3 2 5 5 2 2 2" xfId="37153" xr:uid="{8CA376C1-FB13-41E3-9E65-579AEA7A16B5}"/>
    <cellStyle name="Normal 4 3 2 5 5 2 3" xfId="30543" xr:uid="{00000000-0005-0000-0000-0000E51E0000}"/>
    <cellStyle name="Normal 4 3 2 5 5 2 3 2" xfId="37154" xr:uid="{5CF3E131-DC44-4945-A52B-14066E9AEAD3}"/>
    <cellStyle name="Normal 4 3 2 5 5 2 4" xfId="37152" xr:uid="{0FF859EB-0E9D-4C32-BF0D-A4EE72283C40}"/>
    <cellStyle name="Normal 4 3 2 5 5 3" xfId="30544" xr:uid="{00000000-0005-0000-0000-0000E61E0000}"/>
    <cellStyle name="Normal 4 3 2 5 5 3 2" xfId="37155" xr:uid="{1F36E0C8-0FA4-4326-9547-A2A86D95D68E}"/>
    <cellStyle name="Normal 4 3 2 5 5 4" xfId="30545" xr:uid="{00000000-0005-0000-0000-0000E71E0000}"/>
    <cellStyle name="Normal 4 3 2 5 5 4 2" xfId="37156" xr:uid="{9FBEE133-0DA1-4CF4-B6F6-273119B8FFEE}"/>
    <cellStyle name="Normal 4 3 2 5 5 5" xfId="30546" xr:uid="{00000000-0005-0000-0000-0000E81E0000}"/>
    <cellStyle name="Normal 4 3 2 5 5 5 2" xfId="37157" xr:uid="{49A06C18-72E8-4887-AAA5-802F3C9E0279}"/>
    <cellStyle name="Normal 4 3 2 5 5 6" xfId="37151" xr:uid="{A14704ED-295F-4D73-9159-8F6581807958}"/>
    <cellStyle name="Normal 4 3 2 5 6" xfId="30547" xr:uid="{00000000-0005-0000-0000-0000E91E0000}"/>
    <cellStyle name="Normal 4 3 2 5 6 2" xfId="30548" xr:uid="{00000000-0005-0000-0000-0000EA1E0000}"/>
    <cellStyle name="Normal 4 3 2 5 6 2 2" xfId="37159" xr:uid="{89F7E8CE-9643-4AA0-8D14-9A67B3DA4883}"/>
    <cellStyle name="Normal 4 3 2 5 6 3" xfId="30549" xr:uid="{00000000-0005-0000-0000-0000EB1E0000}"/>
    <cellStyle name="Normal 4 3 2 5 6 3 2" xfId="37160" xr:uid="{6DAD4612-680E-406B-8A43-9FE168AEBE67}"/>
    <cellStyle name="Normal 4 3 2 5 6 4" xfId="37158" xr:uid="{7A07AFBE-8D08-4C2F-87C7-F57D9EFB2231}"/>
    <cellStyle name="Normal 4 3 2 5 7" xfId="30550" xr:uid="{00000000-0005-0000-0000-0000EC1E0000}"/>
    <cellStyle name="Normal 4 3 2 5 7 2" xfId="37161" xr:uid="{E8B49FA2-0A1B-41A0-8782-0B03E72352D7}"/>
    <cellStyle name="Normal 4 3 2 5 8" xfId="30551" xr:uid="{00000000-0005-0000-0000-0000ED1E0000}"/>
    <cellStyle name="Normal 4 3 2 5 8 2" xfId="37162" xr:uid="{64CEDB4D-638F-43DA-B9A9-239D6631C26E}"/>
    <cellStyle name="Normal 4 3 2 5 9" xfId="30552" xr:uid="{00000000-0005-0000-0000-0000EE1E0000}"/>
    <cellStyle name="Normal 4 3 2 5 9 2" xfId="37163" xr:uid="{9CA972D4-F105-4A52-8959-9C639B5D4639}"/>
    <cellStyle name="Normal 4 3 2 6" xfId="30553" xr:uid="{00000000-0005-0000-0000-0000EF1E0000}"/>
    <cellStyle name="Normal 4 3 2 6 2" xfId="30554" xr:uid="{00000000-0005-0000-0000-0000F01E0000}"/>
    <cellStyle name="Normal 4 3 2 6 2 2" xfId="30555" xr:uid="{00000000-0005-0000-0000-0000F11E0000}"/>
    <cellStyle name="Normal 4 3 2 6 2 2 2" xfId="30556" xr:uid="{00000000-0005-0000-0000-0000F21E0000}"/>
    <cellStyle name="Normal 4 3 2 6 2 2 2 2" xfId="30557" xr:uid="{00000000-0005-0000-0000-0000F31E0000}"/>
    <cellStyle name="Normal 4 3 2 6 2 2 2 2 2" xfId="37168" xr:uid="{A3450C49-2206-40A4-9DBE-D013A7941929}"/>
    <cellStyle name="Normal 4 3 2 6 2 2 2 3" xfId="30558" xr:uid="{00000000-0005-0000-0000-0000F41E0000}"/>
    <cellStyle name="Normal 4 3 2 6 2 2 2 3 2" xfId="37169" xr:uid="{06A4DDF9-3176-4B8B-8A46-A970F03F3AF8}"/>
    <cellStyle name="Normal 4 3 2 6 2 2 2 4" xfId="37167" xr:uid="{E4773458-AF53-4633-9DAA-780EED8B4362}"/>
    <cellStyle name="Normal 4 3 2 6 2 2 3" xfId="30559" xr:uid="{00000000-0005-0000-0000-0000F51E0000}"/>
    <cellStyle name="Normal 4 3 2 6 2 2 3 2" xfId="37170" xr:uid="{3C746284-9E39-418D-B645-5857DB466631}"/>
    <cellStyle name="Normal 4 3 2 6 2 2 4" xfId="30560" xr:uid="{00000000-0005-0000-0000-0000F61E0000}"/>
    <cellStyle name="Normal 4 3 2 6 2 2 4 2" xfId="37171" xr:uid="{40293B53-EADC-4126-9501-B6673EF3B0BB}"/>
    <cellStyle name="Normal 4 3 2 6 2 2 5" xfId="30561" xr:uid="{00000000-0005-0000-0000-0000F71E0000}"/>
    <cellStyle name="Normal 4 3 2 6 2 2 5 2" xfId="37172" xr:uid="{1B0C50B6-512D-4616-9437-64641F4A245A}"/>
    <cellStyle name="Normal 4 3 2 6 2 2 6" xfId="37166" xr:uid="{1A3BDDBF-AB01-461F-A824-C1FFD3EB33CC}"/>
    <cellStyle name="Normal 4 3 2 6 2 3" xfId="30562" xr:uid="{00000000-0005-0000-0000-0000F81E0000}"/>
    <cellStyle name="Normal 4 3 2 6 2 3 2" xfId="30563" xr:uid="{00000000-0005-0000-0000-0000F91E0000}"/>
    <cellStyle name="Normal 4 3 2 6 2 3 2 2" xfId="30564" xr:uid="{00000000-0005-0000-0000-0000FA1E0000}"/>
    <cellStyle name="Normal 4 3 2 6 2 3 2 2 2" xfId="37175" xr:uid="{ACF42B76-2794-4A8D-A3AB-34B4B56C8190}"/>
    <cellStyle name="Normal 4 3 2 6 2 3 2 3" xfId="30565" xr:uid="{00000000-0005-0000-0000-0000FB1E0000}"/>
    <cellStyle name="Normal 4 3 2 6 2 3 2 3 2" xfId="37176" xr:uid="{F93DDA8F-131A-4794-857A-87D59D51B5AE}"/>
    <cellStyle name="Normal 4 3 2 6 2 3 2 4" xfId="37174" xr:uid="{1F22DB2D-30D2-4791-9CC3-64C11F0EB196}"/>
    <cellStyle name="Normal 4 3 2 6 2 3 3" xfId="30566" xr:uid="{00000000-0005-0000-0000-0000FC1E0000}"/>
    <cellStyle name="Normal 4 3 2 6 2 3 3 2" xfId="37177" xr:uid="{9B6CA0D2-A512-46AB-A2C1-71B9C801BFD1}"/>
    <cellStyle name="Normal 4 3 2 6 2 3 4" xfId="30567" xr:uid="{00000000-0005-0000-0000-0000FD1E0000}"/>
    <cellStyle name="Normal 4 3 2 6 2 3 4 2" xfId="37178" xr:uid="{5DC432DB-A75F-4EF9-AE87-AF403AFD688A}"/>
    <cellStyle name="Normal 4 3 2 6 2 3 5" xfId="30568" xr:uid="{00000000-0005-0000-0000-0000FE1E0000}"/>
    <cellStyle name="Normal 4 3 2 6 2 3 5 2" xfId="37179" xr:uid="{C5DC4C15-88A6-4AD4-BE52-48DB23730103}"/>
    <cellStyle name="Normal 4 3 2 6 2 3 6" xfId="37173" xr:uid="{93831101-9375-47F3-B4CC-E264E1357B19}"/>
    <cellStyle name="Normal 4 3 2 6 2 4" xfId="30569" xr:uid="{00000000-0005-0000-0000-0000FF1E0000}"/>
    <cellStyle name="Normal 4 3 2 6 2 4 2" xfId="30570" xr:uid="{00000000-0005-0000-0000-0000001F0000}"/>
    <cellStyle name="Normal 4 3 2 6 2 4 2 2" xfId="37181" xr:uid="{A3F2CAF8-6430-4994-B4FA-7D5346678083}"/>
    <cellStyle name="Normal 4 3 2 6 2 4 3" xfId="30571" xr:uid="{00000000-0005-0000-0000-0000011F0000}"/>
    <cellStyle name="Normal 4 3 2 6 2 4 3 2" xfId="37182" xr:uid="{484C564F-8F91-463E-8F02-2D2704C8889A}"/>
    <cellStyle name="Normal 4 3 2 6 2 4 4" xfId="37180" xr:uid="{6E97328A-21E8-4262-B7AC-5DA01AA01858}"/>
    <cellStyle name="Normal 4 3 2 6 2 5" xfId="30572" xr:uid="{00000000-0005-0000-0000-0000021F0000}"/>
    <cellStyle name="Normal 4 3 2 6 2 5 2" xfId="37183" xr:uid="{E71483B2-8B51-442B-960D-1C6B9A61706D}"/>
    <cellStyle name="Normal 4 3 2 6 2 6" xfId="30573" xr:uid="{00000000-0005-0000-0000-0000031F0000}"/>
    <cellStyle name="Normal 4 3 2 6 2 6 2" xfId="37184" xr:uid="{A213BAAB-0844-4719-8D12-058708DFBCB0}"/>
    <cellStyle name="Normal 4 3 2 6 2 7" xfId="30574" xr:uid="{00000000-0005-0000-0000-0000041F0000}"/>
    <cellStyle name="Normal 4 3 2 6 2 7 2" xfId="37185" xr:uid="{5D603D38-6C95-4FD1-AF6B-A8E80DB9522C}"/>
    <cellStyle name="Normal 4 3 2 6 2 8" xfId="37165" xr:uid="{0963815E-AB5F-4F58-B1CF-30D4A1B05D32}"/>
    <cellStyle name="Normal 4 3 2 6 3" xfId="30575" xr:uid="{00000000-0005-0000-0000-0000051F0000}"/>
    <cellStyle name="Normal 4 3 2 6 3 2" xfId="30576" xr:uid="{00000000-0005-0000-0000-0000061F0000}"/>
    <cellStyle name="Normal 4 3 2 6 3 2 2" xfId="30577" xr:uid="{00000000-0005-0000-0000-0000071F0000}"/>
    <cellStyle name="Normal 4 3 2 6 3 2 2 2" xfId="37188" xr:uid="{03F22609-2CB8-4C67-9F5F-8EFCFFEE128D}"/>
    <cellStyle name="Normal 4 3 2 6 3 2 3" xfId="30578" xr:uid="{00000000-0005-0000-0000-0000081F0000}"/>
    <cellStyle name="Normal 4 3 2 6 3 2 3 2" xfId="37189" xr:uid="{85FAFE4B-41FD-499D-AFE4-BD46098C1A20}"/>
    <cellStyle name="Normal 4 3 2 6 3 2 4" xfId="37187" xr:uid="{D41251A6-00AD-4DE8-A98E-F516CFBF57A9}"/>
    <cellStyle name="Normal 4 3 2 6 3 3" xfId="30579" xr:uid="{00000000-0005-0000-0000-0000091F0000}"/>
    <cellStyle name="Normal 4 3 2 6 3 3 2" xfId="37190" xr:uid="{D0375223-C910-43FD-88B9-DBB57C983EDB}"/>
    <cellStyle name="Normal 4 3 2 6 3 4" xfId="30580" xr:uid="{00000000-0005-0000-0000-00000A1F0000}"/>
    <cellStyle name="Normal 4 3 2 6 3 4 2" xfId="37191" xr:uid="{3E9F314D-236E-4850-9B90-68ACBB869FD4}"/>
    <cellStyle name="Normal 4 3 2 6 3 5" xfId="30581" xr:uid="{00000000-0005-0000-0000-00000B1F0000}"/>
    <cellStyle name="Normal 4 3 2 6 3 5 2" xfId="37192" xr:uid="{B66D57E3-0234-4CEE-9DA7-BF24886E3790}"/>
    <cellStyle name="Normal 4 3 2 6 3 6" xfId="37186" xr:uid="{D4A1EB3A-9E8D-4596-AE99-F237D9C64796}"/>
    <cellStyle name="Normal 4 3 2 6 4" xfId="30582" xr:uid="{00000000-0005-0000-0000-00000C1F0000}"/>
    <cellStyle name="Normal 4 3 2 6 4 2" xfId="30583" xr:uid="{00000000-0005-0000-0000-00000D1F0000}"/>
    <cellStyle name="Normal 4 3 2 6 4 2 2" xfId="30584" xr:uid="{00000000-0005-0000-0000-00000E1F0000}"/>
    <cellStyle name="Normal 4 3 2 6 4 2 2 2" xfId="37195" xr:uid="{FD7561D5-DDE2-417C-889E-CF6257668E47}"/>
    <cellStyle name="Normal 4 3 2 6 4 2 3" xfId="30585" xr:uid="{00000000-0005-0000-0000-00000F1F0000}"/>
    <cellStyle name="Normal 4 3 2 6 4 2 3 2" xfId="37196" xr:uid="{49195BAF-056E-4DAE-94D5-284914EFCDD8}"/>
    <cellStyle name="Normal 4 3 2 6 4 2 4" xfId="37194" xr:uid="{A4CADE49-D5D4-4F01-B70B-F275696C654A}"/>
    <cellStyle name="Normal 4 3 2 6 4 3" xfId="30586" xr:uid="{00000000-0005-0000-0000-0000101F0000}"/>
    <cellStyle name="Normal 4 3 2 6 4 3 2" xfId="37197" xr:uid="{BEF3CFBB-4A47-4F3D-AC21-060A11FBC3A7}"/>
    <cellStyle name="Normal 4 3 2 6 4 4" xfId="30587" xr:uid="{00000000-0005-0000-0000-0000111F0000}"/>
    <cellStyle name="Normal 4 3 2 6 4 4 2" xfId="37198" xr:uid="{3E95D652-94D9-4C46-B076-3E0A5B18D18D}"/>
    <cellStyle name="Normal 4 3 2 6 4 5" xfId="30588" xr:uid="{00000000-0005-0000-0000-0000121F0000}"/>
    <cellStyle name="Normal 4 3 2 6 4 5 2" xfId="37199" xr:uid="{247B6A56-4432-42BA-9582-B309D3827E7D}"/>
    <cellStyle name="Normal 4 3 2 6 4 6" xfId="37193" xr:uid="{F5E29802-8428-437A-9282-3F24C4A80715}"/>
    <cellStyle name="Normal 4 3 2 6 5" xfId="30589" xr:uid="{00000000-0005-0000-0000-0000131F0000}"/>
    <cellStyle name="Normal 4 3 2 6 5 2" xfId="30590" xr:uid="{00000000-0005-0000-0000-0000141F0000}"/>
    <cellStyle name="Normal 4 3 2 6 5 2 2" xfId="37201" xr:uid="{813E746A-CEA7-4C02-9D57-0A4F3D95B63E}"/>
    <cellStyle name="Normal 4 3 2 6 5 3" xfId="30591" xr:uid="{00000000-0005-0000-0000-0000151F0000}"/>
    <cellStyle name="Normal 4 3 2 6 5 3 2" xfId="37202" xr:uid="{36D9B867-8F1E-471F-B71A-90CCA865B67C}"/>
    <cellStyle name="Normal 4 3 2 6 5 4" xfId="37200" xr:uid="{8F5CDA88-845D-4E76-96CB-AF3F4AA69802}"/>
    <cellStyle name="Normal 4 3 2 6 6" xfId="30592" xr:uid="{00000000-0005-0000-0000-0000161F0000}"/>
    <cellStyle name="Normal 4 3 2 6 6 2" xfId="37203" xr:uid="{12651751-B0C5-4F8F-9865-78A8C4B9B32B}"/>
    <cellStyle name="Normal 4 3 2 6 7" xfId="30593" xr:uid="{00000000-0005-0000-0000-0000171F0000}"/>
    <cellStyle name="Normal 4 3 2 6 7 2" xfId="37204" xr:uid="{5A32DEAE-0FAD-4727-AB3B-FA6F5F5566C4}"/>
    <cellStyle name="Normal 4 3 2 6 8" xfId="30594" xr:uid="{00000000-0005-0000-0000-0000181F0000}"/>
    <cellStyle name="Normal 4 3 2 6 8 2" xfId="37205" xr:uid="{6303483E-E62D-4F4A-A388-2B13A473B530}"/>
    <cellStyle name="Normal 4 3 2 6 9" xfId="37164" xr:uid="{84EC7C9A-51A1-4E48-A23D-406BF6AA0997}"/>
    <cellStyle name="Normal 4 3 2 7" xfId="30595" xr:uid="{00000000-0005-0000-0000-0000191F0000}"/>
    <cellStyle name="Normal 4 3 2 7 2" xfId="30596" xr:uid="{00000000-0005-0000-0000-00001A1F0000}"/>
    <cellStyle name="Normal 4 3 2 7 2 2" xfId="30597" xr:uid="{00000000-0005-0000-0000-00001B1F0000}"/>
    <cellStyle name="Normal 4 3 2 7 2 2 2" xfId="30598" xr:uid="{00000000-0005-0000-0000-00001C1F0000}"/>
    <cellStyle name="Normal 4 3 2 7 2 2 2 2" xfId="37209" xr:uid="{730ED915-B177-45FB-87E7-089EBF813012}"/>
    <cellStyle name="Normal 4 3 2 7 2 2 3" xfId="30599" xr:uid="{00000000-0005-0000-0000-00001D1F0000}"/>
    <cellStyle name="Normal 4 3 2 7 2 2 3 2" xfId="37210" xr:uid="{C9E39174-28AC-455F-90BC-2F5D96E25FA7}"/>
    <cellStyle name="Normal 4 3 2 7 2 2 4" xfId="37208" xr:uid="{FC263F9F-84C9-4278-BFD2-3B862FE1049A}"/>
    <cellStyle name="Normal 4 3 2 7 2 3" xfId="30600" xr:uid="{00000000-0005-0000-0000-00001E1F0000}"/>
    <cellStyle name="Normal 4 3 2 7 2 3 2" xfId="37211" xr:uid="{C39F29B9-AB45-49E0-B8E2-69EFB4087F77}"/>
    <cellStyle name="Normal 4 3 2 7 2 4" xfId="30601" xr:uid="{00000000-0005-0000-0000-00001F1F0000}"/>
    <cellStyle name="Normal 4 3 2 7 2 4 2" xfId="37212" xr:uid="{C525E2E7-A780-4722-9569-FB2ACFC48734}"/>
    <cellStyle name="Normal 4 3 2 7 2 5" xfId="30602" xr:uid="{00000000-0005-0000-0000-0000201F0000}"/>
    <cellStyle name="Normal 4 3 2 7 2 5 2" xfId="37213" xr:uid="{7CA1DFF7-0954-4BBE-82FE-3AEC24417BA4}"/>
    <cellStyle name="Normal 4 3 2 7 2 6" xfId="37207" xr:uid="{C9AFB08B-D455-47D7-8F27-EA564EABB246}"/>
    <cellStyle name="Normal 4 3 2 7 3" xfId="30603" xr:uid="{00000000-0005-0000-0000-0000211F0000}"/>
    <cellStyle name="Normal 4 3 2 7 3 2" xfId="30604" xr:uid="{00000000-0005-0000-0000-0000221F0000}"/>
    <cellStyle name="Normal 4 3 2 7 3 2 2" xfId="30605" xr:uid="{00000000-0005-0000-0000-0000231F0000}"/>
    <cellStyle name="Normal 4 3 2 7 3 2 2 2" xfId="37216" xr:uid="{A78BFD6E-AE70-4791-B229-C3C5F12ECFFC}"/>
    <cellStyle name="Normal 4 3 2 7 3 2 3" xfId="30606" xr:uid="{00000000-0005-0000-0000-0000241F0000}"/>
    <cellStyle name="Normal 4 3 2 7 3 2 3 2" xfId="37217" xr:uid="{E3621B4F-691E-4148-8336-9B70EE8F9DE7}"/>
    <cellStyle name="Normal 4 3 2 7 3 2 4" xfId="37215" xr:uid="{C67A4AD0-7F23-457D-9424-B2F43C430BE5}"/>
    <cellStyle name="Normal 4 3 2 7 3 3" xfId="30607" xr:uid="{00000000-0005-0000-0000-0000251F0000}"/>
    <cellStyle name="Normal 4 3 2 7 3 3 2" xfId="37218" xr:uid="{82836AB9-78C5-47F8-B80D-7B254814F184}"/>
    <cellStyle name="Normal 4 3 2 7 3 4" xfId="30608" xr:uid="{00000000-0005-0000-0000-0000261F0000}"/>
    <cellStyle name="Normal 4 3 2 7 3 4 2" xfId="37219" xr:uid="{579AA2F8-E04B-47FC-B344-770EEE6535B9}"/>
    <cellStyle name="Normal 4 3 2 7 3 5" xfId="30609" xr:uid="{00000000-0005-0000-0000-0000271F0000}"/>
    <cellStyle name="Normal 4 3 2 7 3 5 2" xfId="37220" xr:uid="{1AD33E98-92CD-4DFC-8F24-BF0A03FFBA30}"/>
    <cellStyle name="Normal 4 3 2 7 3 6" xfId="37214" xr:uid="{5E81DA97-BF80-4041-8F6B-20509B161D25}"/>
    <cellStyle name="Normal 4 3 2 7 4" xfId="30610" xr:uid="{00000000-0005-0000-0000-0000281F0000}"/>
    <cellStyle name="Normal 4 3 2 7 4 2" xfId="30611" xr:uid="{00000000-0005-0000-0000-0000291F0000}"/>
    <cellStyle name="Normal 4 3 2 7 4 2 2" xfId="37222" xr:uid="{D8D8DB24-D34B-4BBC-A8AE-7FA7B8A724E8}"/>
    <cellStyle name="Normal 4 3 2 7 4 3" xfId="30612" xr:uid="{00000000-0005-0000-0000-00002A1F0000}"/>
    <cellStyle name="Normal 4 3 2 7 4 3 2" xfId="37223" xr:uid="{C7A76BF2-4F42-43EE-94D0-1CCF4EE72256}"/>
    <cellStyle name="Normal 4 3 2 7 4 4" xfId="37221" xr:uid="{77808BC6-539D-4B24-9C0A-D843AD2BF3A3}"/>
    <cellStyle name="Normal 4 3 2 7 5" xfId="30613" xr:uid="{00000000-0005-0000-0000-00002B1F0000}"/>
    <cellStyle name="Normal 4 3 2 7 5 2" xfId="37224" xr:uid="{79309D4F-B7A5-47E1-BA54-6F9405D79538}"/>
    <cellStyle name="Normal 4 3 2 7 6" xfId="30614" xr:uid="{00000000-0005-0000-0000-00002C1F0000}"/>
    <cellStyle name="Normal 4 3 2 7 6 2" xfId="37225" xr:uid="{107C1A7E-71F0-41D3-B6BE-F4E6DB4DF1DC}"/>
    <cellStyle name="Normal 4 3 2 7 7" xfId="30615" xr:uid="{00000000-0005-0000-0000-00002D1F0000}"/>
    <cellStyle name="Normal 4 3 2 7 7 2" xfId="37226" xr:uid="{72974BA1-8DEB-4EB0-9826-1EC15B5AEBCD}"/>
    <cellStyle name="Normal 4 3 2 7 8" xfId="37206" xr:uid="{746ABD0F-765A-451E-BA28-836028FC4177}"/>
    <cellStyle name="Normal 4 3 2 8" xfId="30616" xr:uid="{00000000-0005-0000-0000-00002E1F0000}"/>
    <cellStyle name="Normal 4 3 2 8 2" xfId="30617" xr:uid="{00000000-0005-0000-0000-00002F1F0000}"/>
    <cellStyle name="Normal 4 3 2 8 2 2" xfId="30618" xr:uid="{00000000-0005-0000-0000-0000301F0000}"/>
    <cellStyle name="Normal 4 3 2 8 2 2 2" xfId="30619" xr:uid="{00000000-0005-0000-0000-0000311F0000}"/>
    <cellStyle name="Normal 4 3 2 8 2 2 2 2" xfId="37230" xr:uid="{9CF99EC3-534C-47BC-833B-3A016563000C}"/>
    <cellStyle name="Normal 4 3 2 8 2 2 3" xfId="30620" xr:uid="{00000000-0005-0000-0000-0000321F0000}"/>
    <cellStyle name="Normal 4 3 2 8 2 2 3 2" xfId="37231" xr:uid="{5216F367-15EC-4327-914D-9FA0A94C3961}"/>
    <cellStyle name="Normal 4 3 2 8 2 2 4" xfId="37229" xr:uid="{AB7DDE13-7F83-4390-82EA-D0379AA4DBD0}"/>
    <cellStyle name="Normal 4 3 2 8 2 3" xfId="30621" xr:uid="{00000000-0005-0000-0000-0000331F0000}"/>
    <cellStyle name="Normal 4 3 2 8 2 3 2" xfId="37232" xr:uid="{E33B3A10-7CBA-4B84-82AD-8C943AEE5B50}"/>
    <cellStyle name="Normal 4 3 2 8 2 4" xfId="30622" xr:uid="{00000000-0005-0000-0000-0000341F0000}"/>
    <cellStyle name="Normal 4 3 2 8 2 4 2" xfId="37233" xr:uid="{64CFB909-A497-4311-B0B2-230EA2290A97}"/>
    <cellStyle name="Normal 4 3 2 8 2 5" xfId="30623" xr:uid="{00000000-0005-0000-0000-0000351F0000}"/>
    <cellStyle name="Normal 4 3 2 8 2 5 2" xfId="37234" xr:uid="{B3EC3E35-6981-456D-A650-1B077BF0E7C2}"/>
    <cellStyle name="Normal 4 3 2 8 2 6" xfId="37228" xr:uid="{93AE9747-0ED1-424A-95B4-7CE0F0A80625}"/>
    <cellStyle name="Normal 4 3 2 8 3" xfId="30624" xr:uid="{00000000-0005-0000-0000-0000361F0000}"/>
    <cellStyle name="Normal 4 3 2 8 3 2" xfId="30625" xr:uid="{00000000-0005-0000-0000-0000371F0000}"/>
    <cellStyle name="Normal 4 3 2 8 3 2 2" xfId="30626" xr:uid="{00000000-0005-0000-0000-0000381F0000}"/>
    <cellStyle name="Normal 4 3 2 8 3 2 2 2" xfId="37237" xr:uid="{00C31342-FC98-4B4A-90CC-1B5B00B7694A}"/>
    <cellStyle name="Normal 4 3 2 8 3 2 3" xfId="30627" xr:uid="{00000000-0005-0000-0000-0000391F0000}"/>
    <cellStyle name="Normal 4 3 2 8 3 2 3 2" xfId="37238" xr:uid="{FED33D8F-A0F0-4878-9D21-E5E3D25A113A}"/>
    <cellStyle name="Normal 4 3 2 8 3 2 4" xfId="37236" xr:uid="{E0E0A7C2-4030-435D-BFB3-08B9EF558582}"/>
    <cellStyle name="Normal 4 3 2 8 3 3" xfId="30628" xr:uid="{00000000-0005-0000-0000-00003A1F0000}"/>
    <cellStyle name="Normal 4 3 2 8 3 3 2" xfId="37239" xr:uid="{8988C01A-9906-44B7-8533-C428BFD7463B}"/>
    <cellStyle name="Normal 4 3 2 8 3 4" xfId="30629" xr:uid="{00000000-0005-0000-0000-00003B1F0000}"/>
    <cellStyle name="Normal 4 3 2 8 3 4 2" xfId="37240" xr:uid="{DAE63D2F-E92E-44B4-9DBF-30E53430EBF2}"/>
    <cellStyle name="Normal 4 3 2 8 3 5" xfId="30630" xr:uid="{00000000-0005-0000-0000-00003C1F0000}"/>
    <cellStyle name="Normal 4 3 2 8 3 5 2" xfId="37241" xr:uid="{A72BBEF0-3D0F-4376-8E56-FA4F02B63CEE}"/>
    <cellStyle name="Normal 4 3 2 8 3 6" xfId="37235" xr:uid="{1042DC71-CCFE-4E83-9686-2FB9D5F7CC77}"/>
    <cellStyle name="Normal 4 3 2 8 4" xfId="30631" xr:uid="{00000000-0005-0000-0000-00003D1F0000}"/>
    <cellStyle name="Normal 4 3 2 8 4 2" xfId="30632" xr:uid="{00000000-0005-0000-0000-00003E1F0000}"/>
    <cellStyle name="Normal 4 3 2 8 4 2 2" xfId="37243" xr:uid="{E25AE2B5-3BF1-45E9-87FC-57FDA51C116F}"/>
    <cellStyle name="Normal 4 3 2 8 4 3" xfId="30633" xr:uid="{00000000-0005-0000-0000-00003F1F0000}"/>
    <cellStyle name="Normal 4 3 2 8 4 3 2" xfId="37244" xr:uid="{EB50C002-906C-4E3B-865E-38135C9D7BCD}"/>
    <cellStyle name="Normal 4 3 2 8 4 4" xfId="37242" xr:uid="{ECF02C10-196C-4D11-9E3B-FA2C88916500}"/>
    <cellStyle name="Normal 4 3 2 8 5" xfId="30634" xr:uid="{00000000-0005-0000-0000-0000401F0000}"/>
    <cellStyle name="Normal 4 3 2 8 5 2" xfId="37245" xr:uid="{F4D62BB2-0B43-49FC-AC8A-3D8C5ACF373C}"/>
    <cellStyle name="Normal 4 3 2 8 6" xfId="30635" xr:uid="{00000000-0005-0000-0000-0000411F0000}"/>
    <cellStyle name="Normal 4 3 2 8 6 2" xfId="37246" xr:uid="{B94A5C31-9854-4501-AEC7-348AC13A9F24}"/>
    <cellStyle name="Normal 4 3 2 8 7" xfId="30636" xr:uid="{00000000-0005-0000-0000-0000421F0000}"/>
    <cellStyle name="Normal 4 3 2 8 7 2" xfId="37247" xr:uid="{6B86D9D9-82D5-42D5-97BB-97FD6694E150}"/>
    <cellStyle name="Normal 4 3 2 8 8" xfId="37227" xr:uid="{85D6C58A-7D85-4A2D-82D0-F1A9C34EC252}"/>
    <cellStyle name="Normal 4 3 2 9" xfId="30637" xr:uid="{00000000-0005-0000-0000-0000431F0000}"/>
    <cellStyle name="Normal 4 3 2 9 2" xfId="30638" xr:uid="{00000000-0005-0000-0000-0000441F0000}"/>
    <cellStyle name="Normal 4 3 2 9 2 2" xfId="30639" xr:uid="{00000000-0005-0000-0000-0000451F0000}"/>
    <cellStyle name="Normal 4 3 2 9 2 2 2" xfId="37250" xr:uid="{E00DC71F-C375-4A1D-B1F2-541E1FE0FD47}"/>
    <cellStyle name="Normal 4 3 2 9 2 3" xfId="30640" xr:uid="{00000000-0005-0000-0000-0000461F0000}"/>
    <cellStyle name="Normal 4 3 2 9 2 3 2" xfId="37251" xr:uid="{94724BA9-E3B3-4B81-9558-B0C0DBD2D179}"/>
    <cellStyle name="Normal 4 3 2 9 2 4" xfId="37249" xr:uid="{F3A3FD30-44FC-40C9-A634-D5158145F60B}"/>
    <cellStyle name="Normal 4 3 2 9 3" xfId="30641" xr:uid="{00000000-0005-0000-0000-0000471F0000}"/>
    <cellStyle name="Normal 4 3 2 9 3 2" xfId="37252" xr:uid="{BCBD36B7-DFA5-42DF-82D9-A326BC584A4D}"/>
    <cellStyle name="Normal 4 3 2 9 4" xfId="30642" xr:uid="{00000000-0005-0000-0000-0000481F0000}"/>
    <cellStyle name="Normal 4 3 2 9 4 2" xfId="37253" xr:uid="{7327E9C4-BB49-44A7-888B-F112DEB05573}"/>
    <cellStyle name="Normal 4 3 2 9 5" xfId="30643" xr:uid="{00000000-0005-0000-0000-0000491F0000}"/>
    <cellStyle name="Normal 4 3 2 9 5 2" xfId="37254" xr:uid="{120FB0FB-0B56-4901-8108-92F5895160F8}"/>
    <cellStyle name="Normal 4 3 2 9 6" xfId="37248" xr:uid="{A6D67F22-DB08-47BC-9638-4F26A628B7AB}"/>
    <cellStyle name="Normal 4 3 20" xfId="32848" xr:uid="{41D4905E-DA2F-4583-A64F-0B0E53EB4017}"/>
    <cellStyle name="Normal 4 3 3" xfId="806" xr:uid="{00000000-0005-0000-0000-00004A1F0000}"/>
    <cellStyle name="Normal 4 3 3 10" xfId="30645" xr:uid="{00000000-0005-0000-0000-00004B1F0000}"/>
    <cellStyle name="Normal 4 3 3 10 2" xfId="30646" xr:uid="{00000000-0005-0000-0000-00004C1F0000}"/>
    <cellStyle name="Normal 4 3 3 10 2 2" xfId="30647" xr:uid="{00000000-0005-0000-0000-00004D1F0000}"/>
    <cellStyle name="Normal 4 3 3 10 2 2 2" xfId="37258" xr:uid="{6B2AFEB6-A6EA-4275-8A02-005B8F38F442}"/>
    <cellStyle name="Normal 4 3 3 10 2 3" xfId="30648" xr:uid="{00000000-0005-0000-0000-00004E1F0000}"/>
    <cellStyle name="Normal 4 3 3 10 2 3 2" xfId="37259" xr:uid="{BF23CC4B-2FF3-4F48-98C1-DAFF9D29DC56}"/>
    <cellStyle name="Normal 4 3 3 10 2 4" xfId="37257" xr:uid="{B29F2DE4-7122-423E-A54B-B50A10E7807C}"/>
    <cellStyle name="Normal 4 3 3 10 3" xfId="30649" xr:uid="{00000000-0005-0000-0000-00004F1F0000}"/>
    <cellStyle name="Normal 4 3 3 10 3 2" xfId="37260" xr:uid="{5B40C5BF-EA6F-4757-9A7B-158B5C25DAA0}"/>
    <cellStyle name="Normal 4 3 3 10 4" xfId="30650" xr:uid="{00000000-0005-0000-0000-0000501F0000}"/>
    <cellStyle name="Normal 4 3 3 10 4 2" xfId="37261" xr:uid="{CD2C839C-CD7D-41CE-A8B8-77C098BD50E1}"/>
    <cellStyle name="Normal 4 3 3 10 5" xfId="30651" xr:uid="{00000000-0005-0000-0000-0000511F0000}"/>
    <cellStyle name="Normal 4 3 3 10 5 2" xfId="37262" xr:uid="{737929E6-B0CC-40A7-9415-EDC458C2BD9B}"/>
    <cellStyle name="Normal 4 3 3 10 6" xfId="37256" xr:uid="{AC54AC4F-4A54-48CB-B649-706D4F37AE00}"/>
    <cellStyle name="Normal 4 3 3 11" xfId="30652" xr:uid="{00000000-0005-0000-0000-0000521F0000}"/>
    <cellStyle name="Normal 4 3 3 11 2" xfId="30653" xr:uid="{00000000-0005-0000-0000-0000531F0000}"/>
    <cellStyle name="Normal 4 3 3 11 2 2" xfId="37264" xr:uid="{694F99DE-E8B8-4157-AF2F-740D4AFD733C}"/>
    <cellStyle name="Normal 4 3 3 11 3" xfId="30654" xr:uid="{00000000-0005-0000-0000-0000541F0000}"/>
    <cellStyle name="Normal 4 3 3 11 3 2" xfId="37265" xr:uid="{5B4E933B-A78F-4F95-90CB-AB691A836699}"/>
    <cellStyle name="Normal 4 3 3 11 4" xfId="37263" xr:uid="{037A7E5C-9A16-4B1A-90FF-36C66EC776CC}"/>
    <cellStyle name="Normal 4 3 3 12" xfId="30655" xr:uid="{00000000-0005-0000-0000-0000551F0000}"/>
    <cellStyle name="Normal 4 3 3 12 2" xfId="37266" xr:uid="{A31AB772-E920-4853-B0AD-4421F48DFB6B}"/>
    <cellStyle name="Normal 4 3 3 13" xfId="30656" xr:uid="{00000000-0005-0000-0000-0000561F0000}"/>
    <cellStyle name="Normal 4 3 3 13 2" xfId="37267" xr:uid="{8DA2E135-80B7-4665-B7DD-49B8D84BD612}"/>
    <cellStyle name="Normal 4 3 3 14" xfId="30657" xr:uid="{00000000-0005-0000-0000-0000571F0000}"/>
    <cellStyle name="Normal 4 3 3 14 2" xfId="37268" xr:uid="{1373AA39-0B6F-4B65-9C9D-467D6224DBAB}"/>
    <cellStyle name="Normal 4 3 3 15" xfId="30644" xr:uid="{00000000-0005-0000-0000-0000581F0000}"/>
    <cellStyle name="Normal 4 3 3 16" xfId="37255" xr:uid="{1B4AF8D3-0E8C-4786-AA23-C835E29EB371}"/>
    <cellStyle name="Normal 4 3 3 2" xfId="2166" xr:uid="{00000000-0005-0000-0000-0000591F0000}"/>
    <cellStyle name="Normal 4 3 3 2 10" xfId="30659" xr:uid="{00000000-0005-0000-0000-00005A1F0000}"/>
    <cellStyle name="Normal 4 3 3 2 10 2" xfId="37270" xr:uid="{34CFC77C-A15C-4CAD-B05D-183869AF11D1}"/>
    <cellStyle name="Normal 4 3 3 2 11" xfId="30660" xr:uid="{00000000-0005-0000-0000-00005B1F0000}"/>
    <cellStyle name="Normal 4 3 3 2 11 2" xfId="37271" xr:uid="{B465CF7F-CDD0-41A2-91A1-EF52DF2C8282}"/>
    <cellStyle name="Normal 4 3 3 2 12" xfId="30661" xr:uid="{00000000-0005-0000-0000-00005C1F0000}"/>
    <cellStyle name="Normal 4 3 3 2 12 2" xfId="37272" xr:uid="{C4752F93-F962-49BB-AA0A-B06B05380674}"/>
    <cellStyle name="Normal 4 3 3 2 13" xfId="30658" xr:uid="{00000000-0005-0000-0000-00005D1F0000}"/>
    <cellStyle name="Normal 4 3 3 2 14" xfId="37269" xr:uid="{F4306713-6478-437A-BEE6-3F7AE58DB0DF}"/>
    <cellStyle name="Normal 4 3 3 2 2" xfId="30662" xr:uid="{00000000-0005-0000-0000-00005E1F0000}"/>
    <cellStyle name="Normal 4 3 3 2 2 10" xfId="37273" xr:uid="{78770548-EFBD-4F38-AB5E-AFDAF2358AB4}"/>
    <cellStyle name="Normal 4 3 3 2 2 2" xfId="30663" xr:uid="{00000000-0005-0000-0000-00005F1F0000}"/>
    <cellStyle name="Normal 4 3 3 2 2 2 2" xfId="30664" xr:uid="{00000000-0005-0000-0000-0000601F0000}"/>
    <cellStyle name="Normal 4 3 3 2 2 2 2 2" xfId="30665" xr:uid="{00000000-0005-0000-0000-0000611F0000}"/>
    <cellStyle name="Normal 4 3 3 2 2 2 2 2 2" xfId="30666" xr:uid="{00000000-0005-0000-0000-0000621F0000}"/>
    <cellStyle name="Normal 4 3 3 2 2 2 2 2 2 2" xfId="30667" xr:uid="{00000000-0005-0000-0000-0000631F0000}"/>
    <cellStyle name="Normal 4 3 3 2 2 2 2 2 2 2 2" xfId="37278" xr:uid="{CAA8DB06-B4C7-4B77-AFAA-C1FC9D75A940}"/>
    <cellStyle name="Normal 4 3 3 2 2 2 2 2 2 3" xfId="30668" xr:uid="{00000000-0005-0000-0000-0000641F0000}"/>
    <cellStyle name="Normal 4 3 3 2 2 2 2 2 2 3 2" xfId="37279" xr:uid="{50222D61-BCC7-46D7-8FDB-16732603A20B}"/>
    <cellStyle name="Normal 4 3 3 2 2 2 2 2 2 4" xfId="37277" xr:uid="{97334AE1-0187-44E3-BD32-719E4B46D13F}"/>
    <cellStyle name="Normal 4 3 3 2 2 2 2 2 3" xfId="30669" xr:uid="{00000000-0005-0000-0000-0000651F0000}"/>
    <cellStyle name="Normal 4 3 3 2 2 2 2 2 3 2" xfId="37280" xr:uid="{B9C53F61-4584-4324-A12F-CEE2753DD09F}"/>
    <cellStyle name="Normal 4 3 3 2 2 2 2 2 4" xfId="30670" xr:uid="{00000000-0005-0000-0000-0000661F0000}"/>
    <cellStyle name="Normal 4 3 3 2 2 2 2 2 4 2" xfId="37281" xr:uid="{12C62493-3BC0-47B3-920C-AFCD565D2396}"/>
    <cellStyle name="Normal 4 3 3 2 2 2 2 2 5" xfId="30671" xr:uid="{00000000-0005-0000-0000-0000671F0000}"/>
    <cellStyle name="Normal 4 3 3 2 2 2 2 2 5 2" xfId="37282" xr:uid="{64D2294B-6E4B-4E09-9447-5AB559178FF3}"/>
    <cellStyle name="Normal 4 3 3 2 2 2 2 2 6" xfId="37276" xr:uid="{35702F77-06A8-459A-AE38-9BF5CD8A89F1}"/>
    <cellStyle name="Normal 4 3 3 2 2 2 2 3" xfId="30672" xr:uid="{00000000-0005-0000-0000-0000681F0000}"/>
    <cellStyle name="Normal 4 3 3 2 2 2 2 3 2" xfId="30673" xr:uid="{00000000-0005-0000-0000-0000691F0000}"/>
    <cellStyle name="Normal 4 3 3 2 2 2 2 3 2 2" xfId="30674" xr:uid="{00000000-0005-0000-0000-00006A1F0000}"/>
    <cellStyle name="Normal 4 3 3 2 2 2 2 3 2 2 2" xfId="37285" xr:uid="{D4F82585-1CCE-4269-B0A2-B19791184798}"/>
    <cellStyle name="Normal 4 3 3 2 2 2 2 3 2 3" xfId="30675" xr:uid="{00000000-0005-0000-0000-00006B1F0000}"/>
    <cellStyle name="Normal 4 3 3 2 2 2 2 3 2 3 2" xfId="37286" xr:uid="{6F30C6BE-BC23-42D5-B666-7DD3AF9DCB86}"/>
    <cellStyle name="Normal 4 3 3 2 2 2 2 3 2 4" xfId="37284" xr:uid="{FC9BF72D-B911-46EF-97F5-86FAD4BB917A}"/>
    <cellStyle name="Normal 4 3 3 2 2 2 2 3 3" xfId="30676" xr:uid="{00000000-0005-0000-0000-00006C1F0000}"/>
    <cellStyle name="Normal 4 3 3 2 2 2 2 3 3 2" xfId="37287" xr:uid="{0FD621AD-AA89-4708-8FE6-250AEE30E6E0}"/>
    <cellStyle name="Normal 4 3 3 2 2 2 2 3 4" xfId="30677" xr:uid="{00000000-0005-0000-0000-00006D1F0000}"/>
    <cellStyle name="Normal 4 3 3 2 2 2 2 3 4 2" xfId="37288" xr:uid="{CC6DE7CB-7F00-42E8-A23C-5E8CEE68B0D2}"/>
    <cellStyle name="Normal 4 3 3 2 2 2 2 3 5" xfId="30678" xr:uid="{00000000-0005-0000-0000-00006E1F0000}"/>
    <cellStyle name="Normal 4 3 3 2 2 2 2 3 5 2" xfId="37289" xr:uid="{1A56BD9D-128E-4F1A-9DB9-4D92F238EB46}"/>
    <cellStyle name="Normal 4 3 3 2 2 2 2 3 6" xfId="37283" xr:uid="{3D8324AF-3224-4CFE-88B1-9BBEA0C757F9}"/>
    <cellStyle name="Normal 4 3 3 2 2 2 2 4" xfId="30679" xr:uid="{00000000-0005-0000-0000-00006F1F0000}"/>
    <cellStyle name="Normal 4 3 3 2 2 2 2 4 2" xfId="30680" xr:uid="{00000000-0005-0000-0000-0000701F0000}"/>
    <cellStyle name="Normal 4 3 3 2 2 2 2 4 2 2" xfId="37291" xr:uid="{28879E56-C847-4AF8-9C83-6DEE4481C40B}"/>
    <cellStyle name="Normal 4 3 3 2 2 2 2 4 3" xfId="30681" xr:uid="{00000000-0005-0000-0000-0000711F0000}"/>
    <cellStyle name="Normal 4 3 3 2 2 2 2 4 3 2" xfId="37292" xr:uid="{2D68B2FD-CBC4-41BE-8D06-F80C5A1B46BF}"/>
    <cellStyle name="Normal 4 3 3 2 2 2 2 4 4" xfId="37290" xr:uid="{C22F0941-A0AC-413E-8BDD-AAF430853673}"/>
    <cellStyle name="Normal 4 3 3 2 2 2 2 5" xfId="30682" xr:uid="{00000000-0005-0000-0000-0000721F0000}"/>
    <cellStyle name="Normal 4 3 3 2 2 2 2 5 2" xfId="37293" xr:uid="{16B16C04-3D4B-4726-80CB-45A3FFDCCE12}"/>
    <cellStyle name="Normal 4 3 3 2 2 2 2 6" xfId="30683" xr:uid="{00000000-0005-0000-0000-0000731F0000}"/>
    <cellStyle name="Normal 4 3 3 2 2 2 2 6 2" xfId="37294" xr:uid="{EFD27BA2-8E18-4023-A953-82FFB83B6C8C}"/>
    <cellStyle name="Normal 4 3 3 2 2 2 2 7" xfId="30684" xr:uid="{00000000-0005-0000-0000-0000741F0000}"/>
    <cellStyle name="Normal 4 3 3 2 2 2 2 7 2" xfId="37295" xr:uid="{C22A09FE-63A9-42E6-AA34-B02C5EAED65C}"/>
    <cellStyle name="Normal 4 3 3 2 2 2 2 8" xfId="37275" xr:uid="{95629D45-EE5C-4CA7-B213-982A918DE572}"/>
    <cellStyle name="Normal 4 3 3 2 2 2 3" xfId="30685" xr:uid="{00000000-0005-0000-0000-0000751F0000}"/>
    <cellStyle name="Normal 4 3 3 2 2 2 3 2" xfId="30686" xr:uid="{00000000-0005-0000-0000-0000761F0000}"/>
    <cellStyle name="Normal 4 3 3 2 2 2 3 2 2" xfId="30687" xr:uid="{00000000-0005-0000-0000-0000771F0000}"/>
    <cellStyle name="Normal 4 3 3 2 2 2 3 2 2 2" xfId="37298" xr:uid="{FA8C38BF-719D-4BD7-BB9F-A7DA77B38051}"/>
    <cellStyle name="Normal 4 3 3 2 2 2 3 2 3" xfId="30688" xr:uid="{00000000-0005-0000-0000-0000781F0000}"/>
    <cellStyle name="Normal 4 3 3 2 2 2 3 2 3 2" xfId="37299" xr:uid="{B72D4333-B207-49E9-89D6-31B4277840FA}"/>
    <cellStyle name="Normal 4 3 3 2 2 2 3 2 4" xfId="37297" xr:uid="{5F1E9958-0070-41BE-9BEA-AEC5B4BE5E5B}"/>
    <cellStyle name="Normal 4 3 3 2 2 2 3 3" xfId="30689" xr:uid="{00000000-0005-0000-0000-0000791F0000}"/>
    <cellStyle name="Normal 4 3 3 2 2 2 3 3 2" xfId="37300" xr:uid="{A81F0D9E-CFD9-40AC-BCA0-00520B78810C}"/>
    <cellStyle name="Normal 4 3 3 2 2 2 3 4" xfId="30690" xr:uid="{00000000-0005-0000-0000-00007A1F0000}"/>
    <cellStyle name="Normal 4 3 3 2 2 2 3 4 2" xfId="37301" xr:uid="{5F49EFD5-E639-495F-B86A-40C123F52DBD}"/>
    <cellStyle name="Normal 4 3 3 2 2 2 3 5" xfId="30691" xr:uid="{00000000-0005-0000-0000-00007B1F0000}"/>
    <cellStyle name="Normal 4 3 3 2 2 2 3 5 2" xfId="37302" xr:uid="{21F3D682-E149-46E5-B281-E0A1D9697A8A}"/>
    <cellStyle name="Normal 4 3 3 2 2 2 3 6" xfId="37296" xr:uid="{3754C137-8320-4D5A-8E90-24466388F3C2}"/>
    <cellStyle name="Normal 4 3 3 2 2 2 4" xfId="30692" xr:uid="{00000000-0005-0000-0000-00007C1F0000}"/>
    <cellStyle name="Normal 4 3 3 2 2 2 4 2" xfId="30693" xr:uid="{00000000-0005-0000-0000-00007D1F0000}"/>
    <cellStyle name="Normal 4 3 3 2 2 2 4 2 2" xfId="30694" xr:uid="{00000000-0005-0000-0000-00007E1F0000}"/>
    <cellStyle name="Normal 4 3 3 2 2 2 4 2 2 2" xfId="37305" xr:uid="{58435A33-CBC5-4435-8982-529D2BE4C3B5}"/>
    <cellStyle name="Normal 4 3 3 2 2 2 4 2 3" xfId="30695" xr:uid="{00000000-0005-0000-0000-00007F1F0000}"/>
    <cellStyle name="Normal 4 3 3 2 2 2 4 2 3 2" xfId="37306" xr:uid="{C7A1167D-C307-457B-8C06-9298EE9A39B8}"/>
    <cellStyle name="Normal 4 3 3 2 2 2 4 2 4" xfId="37304" xr:uid="{6C55FEE1-015B-4E21-B613-710E1B904B31}"/>
    <cellStyle name="Normal 4 3 3 2 2 2 4 3" xfId="30696" xr:uid="{00000000-0005-0000-0000-0000801F0000}"/>
    <cellStyle name="Normal 4 3 3 2 2 2 4 3 2" xfId="37307" xr:uid="{EC9E5477-15FB-439C-9225-910F61460CD7}"/>
    <cellStyle name="Normal 4 3 3 2 2 2 4 4" xfId="30697" xr:uid="{00000000-0005-0000-0000-0000811F0000}"/>
    <cellStyle name="Normal 4 3 3 2 2 2 4 4 2" xfId="37308" xr:uid="{41950D66-2A1D-476B-B507-D40480969781}"/>
    <cellStyle name="Normal 4 3 3 2 2 2 4 5" xfId="30698" xr:uid="{00000000-0005-0000-0000-0000821F0000}"/>
    <cellStyle name="Normal 4 3 3 2 2 2 4 5 2" xfId="37309" xr:uid="{7AA4B06C-DE3A-4521-9222-A58C1968005A}"/>
    <cellStyle name="Normal 4 3 3 2 2 2 4 6" xfId="37303" xr:uid="{7EA842B1-598C-4C73-934C-3A9380D5464A}"/>
    <cellStyle name="Normal 4 3 3 2 2 2 5" xfId="30699" xr:uid="{00000000-0005-0000-0000-0000831F0000}"/>
    <cellStyle name="Normal 4 3 3 2 2 2 5 2" xfId="30700" xr:uid="{00000000-0005-0000-0000-0000841F0000}"/>
    <cellStyle name="Normal 4 3 3 2 2 2 5 2 2" xfId="37311" xr:uid="{85A8C65E-7BBB-4315-B713-3A70FD905F94}"/>
    <cellStyle name="Normal 4 3 3 2 2 2 5 3" xfId="30701" xr:uid="{00000000-0005-0000-0000-0000851F0000}"/>
    <cellStyle name="Normal 4 3 3 2 2 2 5 3 2" xfId="37312" xr:uid="{C863F4DB-02CE-4E69-9D89-CB4FDA56401B}"/>
    <cellStyle name="Normal 4 3 3 2 2 2 5 4" xfId="37310" xr:uid="{6F1B9DB4-DC6C-4D8A-BAFD-BBF14909DE91}"/>
    <cellStyle name="Normal 4 3 3 2 2 2 6" xfId="30702" xr:uid="{00000000-0005-0000-0000-0000861F0000}"/>
    <cellStyle name="Normal 4 3 3 2 2 2 6 2" xfId="37313" xr:uid="{31A865F1-E859-49D0-B9B1-57039324BF2B}"/>
    <cellStyle name="Normal 4 3 3 2 2 2 7" xfId="30703" xr:uid="{00000000-0005-0000-0000-0000871F0000}"/>
    <cellStyle name="Normal 4 3 3 2 2 2 7 2" xfId="37314" xr:uid="{B344CC39-8224-48DE-809A-F9A290091C2C}"/>
    <cellStyle name="Normal 4 3 3 2 2 2 8" xfId="30704" xr:uid="{00000000-0005-0000-0000-0000881F0000}"/>
    <cellStyle name="Normal 4 3 3 2 2 2 8 2" xfId="37315" xr:uid="{89DCA2F1-D08C-4895-84C0-F56D01693424}"/>
    <cellStyle name="Normal 4 3 3 2 2 2 9" xfId="37274" xr:uid="{1907BA05-BC5B-4CF3-8BBD-40AD708CC832}"/>
    <cellStyle name="Normal 4 3 3 2 2 3" xfId="30705" xr:uid="{00000000-0005-0000-0000-0000891F0000}"/>
    <cellStyle name="Normal 4 3 3 2 2 3 2" xfId="30706" xr:uid="{00000000-0005-0000-0000-00008A1F0000}"/>
    <cellStyle name="Normal 4 3 3 2 2 3 2 2" xfId="30707" xr:uid="{00000000-0005-0000-0000-00008B1F0000}"/>
    <cellStyle name="Normal 4 3 3 2 2 3 2 2 2" xfId="30708" xr:uid="{00000000-0005-0000-0000-00008C1F0000}"/>
    <cellStyle name="Normal 4 3 3 2 2 3 2 2 2 2" xfId="37319" xr:uid="{7A43ED6E-C9FD-40CF-B05C-A501EF818B11}"/>
    <cellStyle name="Normal 4 3 3 2 2 3 2 2 3" xfId="30709" xr:uid="{00000000-0005-0000-0000-00008D1F0000}"/>
    <cellStyle name="Normal 4 3 3 2 2 3 2 2 3 2" xfId="37320" xr:uid="{03D90679-2FF1-4A5A-B318-3EF662395EA6}"/>
    <cellStyle name="Normal 4 3 3 2 2 3 2 2 4" xfId="37318" xr:uid="{1A9CFE12-8FB1-4DFC-9FC6-4EF2656BFDEA}"/>
    <cellStyle name="Normal 4 3 3 2 2 3 2 3" xfId="30710" xr:uid="{00000000-0005-0000-0000-00008E1F0000}"/>
    <cellStyle name="Normal 4 3 3 2 2 3 2 3 2" xfId="37321" xr:uid="{85B70EB4-9965-4C09-8BD5-DE4234CCF32F}"/>
    <cellStyle name="Normal 4 3 3 2 2 3 2 4" xfId="30711" xr:uid="{00000000-0005-0000-0000-00008F1F0000}"/>
    <cellStyle name="Normal 4 3 3 2 2 3 2 4 2" xfId="37322" xr:uid="{A07FEF0C-8284-4DE4-852C-C000740F1D19}"/>
    <cellStyle name="Normal 4 3 3 2 2 3 2 5" xfId="30712" xr:uid="{00000000-0005-0000-0000-0000901F0000}"/>
    <cellStyle name="Normal 4 3 3 2 2 3 2 5 2" xfId="37323" xr:uid="{DB5FE737-7C1B-4230-9211-68892D671415}"/>
    <cellStyle name="Normal 4 3 3 2 2 3 2 6" xfId="37317" xr:uid="{9812830A-1737-4F8C-9974-216593F0BEAA}"/>
    <cellStyle name="Normal 4 3 3 2 2 3 3" xfId="30713" xr:uid="{00000000-0005-0000-0000-0000911F0000}"/>
    <cellStyle name="Normal 4 3 3 2 2 3 3 2" xfId="30714" xr:uid="{00000000-0005-0000-0000-0000921F0000}"/>
    <cellStyle name="Normal 4 3 3 2 2 3 3 2 2" xfId="30715" xr:uid="{00000000-0005-0000-0000-0000931F0000}"/>
    <cellStyle name="Normal 4 3 3 2 2 3 3 2 2 2" xfId="37326" xr:uid="{4E455D80-AAE8-4D23-9001-098C4D8A4C8E}"/>
    <cellStyle name="Normal 4 3 3 2 2 3 3 2 3" xfId="30716" xr:uid="{00000000-0005-0000-0000-0000941F0000}"/>
    <cellStyle name="Normal 4 3 3 2 2 3 3 2 3 2" xfId="37327" xr:uid="{04EF59A6-FF29-44BC-8DDD-D8EA36AF3FFB}"/>
    <cellStyle name="Normal 4 3 3 2 2 3 3 2 4" xfId="37325" xr:uid="{67D455E1-E6E3-42C0-AB9B-005A660BEBAA}"/>
    <cellStyle name="Normal 4 3 3 2 2 3 3 3" xfId="30717" xr:uid="{00000000-0005-0000-0000-0000951F0000}"/>
    <cellStyle name="Normal 4 3 3 2 2 3 3 3 2" xfId="37328" xr:uid="{4A68BB1E-C82D-4106-8F2D-DF78E8EA13AF}"/>
    <cellStyle name="Normal 4 3 3 2 2 3 3 4" xfId="30718" xr:uid="{00000000-0005-0000-0000-0000961F0000}"/>
    <cellStyle name="Normal 4 3 3 2 2 3 3 4 2" xfId="37329" xr:uid="{18BB2B16-4B29-4D6A-94C4-5B348ADB0249}"/>
    <cellStyle name="Normal 4 3 3 2 2 3 3 5" xfId="30719" xr:uid="{00000000-0005-0000-0000-0000971F0000}"/>
    <cellStyle name="Normal 4 3 3 2 2 3 3 5 2" xfId="37330" xr:uid="{DB6533AD-F050-42D4-B98E-5F249BC1AC10}"/>
    <cellStyle name="Normal 4 3 3 2 2 3 3 6" xfId="37324" xr:uid="{E8039F2E-6E29-43DD-8BD2-1D2C5E129F81}"/>
    <cellStyle name="Normal 4 3 3 2 2 3 4" xfId="30720" xr:uid="{00000000-0005-0000-0000-0000981F0000}"/>
    <cellStyle name="Normal 4 3 3 2 2 3 4 2" xfId="30721" xr:uid="{00000000-0005-0000-0000-0000991F0000}"/>
    <cellStyle name="Normal 4 3 3 2 2 3 4 2 2" xfId="37332" xr:uid="{2B85BE1C-2637-4BA6-ADC7-A7EF04E72894}"/>
    <cellStyle name="Normal 4 3 3 2 2 3 4 3" xfId="30722" xr:uid="{00000000-0005-0000-0000-00009A1F0000}"/>
    <cellStyle name="Normal 4 3 3 2 2 3 4 3 2" xfId="37333" xr:uid="{A0124027-775C-4B56-BA31-FECFA7FED6D7}"/>
    <cellStyle name="Normal 4 3 3 2 2 3 4 4" xfId="37331" xr:uid="{5A5C8D57-3352-4ED4-8CBA-B0105E936808}"/>
    <cellStyle name="Normal 4 3 3 2 2 3 5" xfId="30723" xr:uid="{00000000-0005-0000-0000-00009B1F0000}"/>
    <cellStyle name="Normal 4 3 3 2 2 3 5 2" xfId="37334" xr:uid="{9CF93D08-F5DC-4030-B6F5-AB1983A9EA4A}"/>
    <cellStyle name="Normal 4 3 3 2 2 3 6" xfId="30724" xr:uid="{00000000-0005-0000-0000-00009C1F0000}"/>
    <cellStyle name="Normal 4 3 3 2 2 3 6 2" xfId="37335" xr:uid="{05876729-5249-4C0A-B9F7-F32EDE348389}"/>
    <cellStyle name="Normal 4 3 3 2 2 3 7" xfId="30725" xr:uid="{00000000-0005-0000-0000-00009D1F0000}"/>
    <cellStyle name="Normal 4 3 3 2 2 3 7 2" xfId="37336" xr:uid="{E6292F95-46EA-4DBB-9B5B-99028FEB860B}"/>
    <cellStyle name="Normal 4 3 3 2 2 3 8" xfId="37316" xr:uid="{FAD438EF-B3ED-499A-A049-6C0979EE43FF}"/>
    <cellStyle name="Normal 4 3 3 2 2 4" xfId="30726" xr:uid="{00000000-0005-0000-0000-00009E1F0000}"/>
    <cellStyle name="Normal 4 3 3 2 2 4 2" xfId="30727" xr:uid="{00000000-0005-0000-0000-00009F1F0000}"/>
    <cellStyle name="Normal 4 3 3 2 2 4 2 2" xfId="30728" xr:uid="{00000000-0005-0000-0000-0000A01F0000}"/>
    <cellStyle name="Normal 4 3 3 2 2 4 2 2 2" xfId="37339" xr:uid="{0F814BAB-A11D-4BC7-A722-C07F0A3E3FB3}"/>
    <cellStyle name="Normal 4 3 3 2 2 4 2 3" xfId="30729" xr:uid="{00000000-0005-0000-0000-0000A11F0000}"/>
    <cellStyle name="Normal 4 3 3 2 2 4 2 3 2" xfId="37340" xr:uid="{E3BB96B2-F9E4-4312-8264-DDADC53D68EC}"/>
    <cellStyle name="Normal 4 3 3 2 2 4 2 4" xfId="37338" xr:uid="{54CCC7E4-CD63-4C2D-BB54-46B92E6D755E}"/>
    <cellStyle name="Normal 4 3 3 2 2 4 3" xfId="30730" xr:uid="{00000000-0005-0000-0000-0000A21F0000}"/>
    <cellStyle name="Normal 4 3 3 2 2 4 3 2" xfId="37341" xr:uid="{9714DF30-B9FA-4970-85BB-589D3A32B89D}"/>
    <cellStyle name="Normal 4 3 3 2 2 4 4" xfId="30731" xr:uid="{00000000-0005-0000-0000-0000A31F0000}"/>
    <cellStyle name="Normal 4 3 3 2 2 4 4 2" xfId="37342" xr:uid="{D4BC0E2C-FE7D-4D96-A3E3-CCD21C52CD39}"/>
    <cellStyle name="Normal 4 3 3 2 2 4 5" xfId="30732" xr:uid="{00000000-0005-0000-0000-0000A41F0000}"/>
    <cellStyle name="Normal 4 3 3 2 2 4 5 2" xfId="37343" xr:uid="{B01EE4FB-FC82-4253-8465-FB21FA6164A3}"/>
    <cellStyle name="Normal 4 3 3 2 2 4 6" xfId="37337" xr:uid="{B75662A5-80C3-452B-A325-1CE35DB6A53C}"/>
    <cellStyle name="Normal 4 3 3 2 2 5" xfId="30733" xr:uid="{00000000-0005-0000-0000-0000A51F0000}"/>
    <cellStyle name="Normal 4 3 3 2 2 5 2" xfId="30734" xr:uid="{00000000-0005-0000-0000-0000A61F0000}"/>
    <cellStyle name="Normal 4 3 3 2 2 5 2 2" xfId="30735" xr:uid="{00000000-0005-0000-0000-0000A71F0000}"/>
    <cellStyle name="Normal 4 3 3 2 2 5 2 2 2" xfId="37346" xr:uid="{4CD99326-57B3-4B40-90C3-724900689B80}"/>
    <cellStyle name="Normal 4 3 3 2 2 5 2 3" xfId="30736" xr:uid="{00000000-0005-0000-0000-0000A81F0000}"/>
    <cellStyle name="Normal 4 3 3 2 2 5 2 3 2" xfId="37347" xr:uid="{328C38F3-5A02-4299-9B66-E85D3CEDDF39}"/>
    <cellStyle name="Normal 4 3 3 2 2 5 2 4" xfId="37345" xr:uid="{AEC67B04-EDBD-4336-BC6C-38E2D14BA1EB}"/>
    <cellStyle name="Normal 4 3 3 2 2 5 3" xfId="30737" xr:uid="{00000000-0005-0000-0000-0000A91F0000}"/>
    <cellStyle name="Normal 4 3 3 2 2 5 3 2" xfId="37348" xr:uid="{11DB6B9F-F0F7-4C6E-8C6C-D9976202D396}"/>
    <cellStyle name="Normal 4 3 3 2 2 5 4" xfId="30738" xr:uid="{00000000-0005-0000-0000-0000AA1F0000}"/>
    <cellStyle name="Normal 4 3 3 2 2 5 4 2" xfId="37349" xr:uid="{7FEBFD14-EE80-4D8F-9576-CD1A62724453}"/>
    <cellStyle name="Normal 4 3 3 2 2 5 5" xfId="30739" xr:uid="{00000000-0005-0000-0000-0000AB1F0000}"/>
    <cellStyle name="Normal 4 3 3 2 2 5 5 2" xfId="37350" xr:uid="{5F9919DA-B86C-49E6-B633-C181C9A96B78}"/>
    <cellStyle name="Normal 4 3 3 2 2 5 6" xfId="37344" xr:uid="{C5319757-251F-4601-AF0D-B7C95363C18C}"/>
    <cellStyle name="Normal 4 3 3 2 2 6" xfId="30740" xr:uid="{00000000-0005-0000-0000-0000AC1F0000}"/>
    <cellStyle name="Normal 4 3 3 2 2 6 2" xfId="30741" xr:uid="{00000000-0005-0000-0000-0000AD1F0000}"/>
    <cellStyle name="Normal 4 3 3 2 2 6 2 2" xfId="37352" xr:uid="{920D75CC-049E-45DA-8398-31F3C677AAA2}"/>
    <cellStyle name="Normal 4 3 3 2 2 6 3" xfId="30742" xr:uid="{00000000-0005-0000-0000-0000AE1F0000}"/>
    <cellStyle name="Normal 4 3 3 2 2 6 3 2" xfId="37353" xr:uid="{D6FFEAA5-DD61-4E12-8413-D65AD51FA0AB}"/>
    <cellStyle name="Normal 4 3 3 2 2 6 4" xfId="37351" xr:uid="{09EABD2C-D005-400B-AC0A-ED12FE981291}"/>
    <cellStyle name="Normal 4 3 3 2 2 7" xfId="30743" xr:uid="{00000000-0005-0000-0000-0000AF1F0000}"/>
    <cellStyle name="Normal 4 3 3 2 2 7 2" xfId="37354" xr:uid="{9271F8F7-99E2-4529-8315-6516C65300DF}"/>
    <cellStyle name="Normal 4 3 3 2 2 8" xfId="30744" xr:uid="{00000000-0005-0000-0000-0000B01F0000}"/>
    <cellStyle name="Normal 4 3 3 2 2 8 2" xfId="37355" xr:uid="{50AE1DE5-8882-4809-9FC0-D94FCF7E6849}"/>
    <cellStyle name="Normal 4 3 3 2 2 9" xfId="30745" xr:uid="{00000000-0005-0000-0000-0000B11F0000}"/>
    <cellStyle name="Normal 4 3 3 2 2 9 2" xfId="37356" xr:uid="{9D026DAC-B8FA-4D8D-B85F-1EC67C63BCC8}"/>
    <cellStyle name="Normal 4 3 3 2 3" xfId="30746" xr:uid="{00000000-0005-0000-0000-0000B21F0000}"/>
    <cellStyle name="Normal 4 3 3 2 3 10" xfId="37357" xr:uid="{28A36405-F165-4EA5-A86F-086761FD21C3}"/>
    <cellStyle name="Normal 4 3 3 2 3 2" xfId="30747" xr:uid="{00000000-0005-0000-0000-0000B31F0000}"/>
    <cellStyle name="Normal 4 3 3 2 3 2 2" xfId="30748" xr:uid="{00000000-0005-0000-0000-0000B41F0000}"/>
    <cellStyle name="Normal 4 3 3 2 3 2 2 2" xfId="30749" xr:uid="{00000000-0005-0000-0000-0000B51F0000}"/>
    <cellStyle name="Normal 4 3 3 2 3 2 2 2 2" xfId="30750" xr:uid="{00000000-0005-0000-0000-0000B61F0000}"/>
    <cellStyle name="Normal 4 3 3 2 3 2 2 2 2 2" xfId="30751" xr:uid="{00000000-0005-0000-0000-0000B71F0000}"/>
    <cellStyle name="Normal 4 3 3 2 3 2 2 2 2 2 2" xfId="37362" xr:uid="{6A0A7931-5C09-48B5-9E2A-C663A188F70F}"/>
    <cellStyle name="Normal 4 3 3 2 3 2 2 2 2 3" xfId="30752" xr:uid="{00000000-0005-0000-0000-0000B81F0000}"/>
    <cellStyle name="Normal 4 3 3 2 3 2 2 2 2 3 2" xfId="37363" xr:uid="{2AAA7F83-9135-4069-A0D4-26BB93B25CF5}"/>
    <cellStyle name="Normal 4 3 3 2 3 2 2 2 2 4" xfId="37361" xr:uid="{20D93486-3754-4297-9AFB-CF09C5C1A4B4}"/>
    <cellStyle name="Normal 4 3 3 2 3 2 2 2 3" xfId="30753" xr:uid="{00000000-0005-0000-0000-0000B91F0000}"/>
    <cellStyle name="Normal 4 3 3 2 3 2 2 2 3 2" xfId="37364" xr:uid="{8B80A0CD-E19B-46EB-B6D8-E29FA25CC8F7}"/>
    <cellStyle name="Normal 4 3 3 2 3 2 2 2 4" xfId="30754" xr:uid="{00000000-0005-0000-0000-0000BA1F0000}"/>
    <cellStyle name="Normal 4 3 3 2 3 2 2 2 4 2" xfId="37365" xr:uid="{54DD13C0-3538-4147-8585-987C30B50B4C}"/>
    <cellStyle name="Normal 4 3 3 2 3 2 2 2 5" xfId="30755" xr:uid="{00000000-0005-0000-0000-0000BB1F0000}"/>
    <cellStyle name="Normal 4 3 3 2 3 2 2 2 5 2" xfId="37366" xr:uid="{21BB6647-AC18-4292-89E4-1E1F8750FD49}"/>
    <cellStyle name="Normal 4 3 3 2 3 2 2 2 6" xfId="37360" xr:uid="{48DC7A0C-34E8-49BF-9876-6B8E16DF2524}"/>
    <cellStyle name="Normal 4 3 3 2 3 2 2 3" xfId="30756" xr:uid="{00000000-0005-0000-0000-0000BC1F0000}"/>
    <cellStyle name="Normal 4 3 3 2 3 2 2 3 2" xfId="30757" xr:uid="{00000000-0005-0000-0000-0000BD1F0000}"/>
    <cellStyle name="Normal 4 3 3 2 3 2 2 3 2 2" xfId="30758" xr:uid="{00000000-0005-0000-0000-0000BE1F0000}"/>
    <cellStyle name="Normal 4 3 3 2 3 2 2 3 2 2 2" xfId="37369" xr:uid="{2ADD3567-8B25-4934-BD2C-36261771A14E}"/>
    <cellStyle name="Normal 4 3 3 2 3 2 2 3 2 3" xfId="30759" xr:uid="{00000000-0005-0000-0000-0000BF1F0000}"/>
    <cellStyle name="Normal 4 3 3 2 3 2 2 3 2 3 2" xfId="37370" xr:uid="{BDB226DB-792C-4EF5-A96F-44805105B8DF}"/>
    <cellStyle name="Normal 4 3 3 2 3 2 2 3 2 4" xfId="37368" xr:uid="{72BADEC6-1095-4E1F-9D3C-4F3E88640254}"/>
    <cellStyle name="Normal 4 3 3 2 3 2 2 3 3" xfId="30760" xr:uid="{00000000-0005-0000-0000-0000C01F0000}"/>
    <cellStyle name="Normal 4 3 3 2 3 2 2 3 3 2" xfId="37371" xr:uid="{3160977C-EC63-49C3-958B-45C3CCAAA58E}"/>
    <cellStyle name="Normal 4 3 3 2 3 2 2 3 4" xfId="30761" xr:uid="{00000000-0005-0000-0000-0000C11F0000}"/>
    <cellStyle name="Normal 4 3 3 2 3 2 2 3 4 2" xfId="37372" xr:uid="{6EE3E375-C850-4983-8912-2AD8203CEF69}"/>
    <cellStyle name="Normal 4 3 3 2 3 2 2 3 5" xfId="30762" xr:uid="{00000000-0005-0000-0000-0000C21F0000}"/>
    <cellStyle name="Normal 4 3 3 2 3 2 2 3 5 2" xfId="37373" xr:uid="{A140BED1-7283-4F2A-BBAB-881E62710258}"/>
    <cellStyle name="Normal 4 3 3 2 3 2 2 3 6" xfId="37367" xr:uid="{836D0102-316B-4C35-899A-5F4D7B64DD65}"/>
    <cellStyle name="Normal 4 3 3 2 3 2 2 4" xfId="30763" xr:uid="{00000000-0005-0000-0000-0000C31F0000}"/>
    <cellStyle name="Normal 4 3 3 2 3 2 2 4 2" xfId="30764" xr:uid="{00000000-0005-0000-0000-0000C41F0000}"/>
    <cellStyle name="Normal 4 3 3 2 3 2 2 4 2 2" xfId="37375" xr:uid="{DA8DCDCD-B8CE-48DA-AEE7-9DAB0F5F2D25}"/>
    <cellStyle name="Normal 4 3 3 2 3 2 2 4 3" xfId="30765" xr:uid="{00000000-0005-0000-0000-0000C51F0000}"/>
    <cellStyle name="Normal 4 3 3 2 3 2 2 4 3 2" xfId="37376" xr:uid="{6F1F3FDC-486F-4595-9F0C-B68EAE5EE2E2}"/>
    <cellStyle name="Normal 4 3 3 2 3 2 2 4 4" xfId="37374" xr:uid="{2E97D3B4-F166-45CA-8526-95BEF296C7CA}"/>
    <cellStyle name="Normal 4 3 3 2 3 2 2 5" xfId="30766" xr:uid="{00000000-0005-0000-0000-0000C61F0000}"/>
    <cellStyle name="Normal 4 3 3 2 3 2 2 5 2" xfId="37377" xr:uid="{5629E29E-EC1B-4DA0-BF1E-13420DB1853B}"/>
    <cellStyle name="Normal 4 3 3 2 3 2 2 6" xfId="30767" xr:uid="{00000000-0005-0000-0000-0000C71F0000}"/>
    <cellStyle name="Normal 4 3 3 2 3 2 2 6 2" xfId="37378" xr:uid="{7A1505E3-B09D-4F3C-B061-9634BA9DA757}"/>
    <cellStyle name="Normal 4 3 3 2 3 2 2 7" xfId="30768" xr:uid="{00000000-0005-0000-0000-0000C81F0000}"/>
    <cellStyle name="Normal 4 3 3 2 3 2 2 7 2" xfId="37379" xr:uid="{A5D7259F-A9AF-4919-A97E-1E0A8C188677}"/>
    <cellStyle name="Normal 4 3 3 2 3 2 2 8" xfId="37359" xr:uid="{F4560761-A77D-4AE0-BE61-9AE9E8ACB987}"/>
    <cellStyle name="Normal 4 3 3 2 3 2 3" xfId="30769" xr:uid="{00000000-0005-0000-0000-0000C91F0000}"/>
    <cellStyle name="Normal 4 3 3 2 3 2 3 2" xfId="30770" xr:uid="{00000000-0005-0000-0000-0000CA1F0000}"/>
    <cellStyle name="Normal 4 3 3 2 3 2 3 2 2" xfId="30771" xr:uid="{00000000-0005-0000-0000-0000CB1F0000}"/>
    <cellStyle name="Normal 4 3 3 2 3 2 3 2 2 2" xfId="37382" xr:uid="{E20FAA98-B5D5-4A37-B266-F7209121694E}"/>
    <cellStyle name="Normal 4 3 3 2 3 2 3 2 3" xfId="30772" xr:uid="{00000000-0005-0000-0000-0000CC1F0000}"/>
    <cellStyle name="Normal 4 3 3 2 3 2 3 2 3 2" xfId="37383" xr:uid="{3DBDF4E6-D49A-41A0-A740-F98A7B0968AC}"/>
    <cellStyle name="Normal 4 3 3 2 3 2 3 2 4" xfId="37381" xr:uid="{1033463D-681E-480F-9ED6-66409BBC684C}"/>
    <cellStyle name="Normal 4 3 3 2 3 2 3 3" xfId="30773" xr:uid="{00000000-0005-0000-0000-0000CD1F0000}"/>
    <cellStyle name="Normal 4 3 3 2 3 2 3 3 2" xfId="37384" xr:uid="{9C609C09-D1C5-4F80-ABC7-089F415553F7}"/>
    <cellStyle name="Normal 4 3 3 2 3 2 3 4" xfId="30774" xr:uid="{00000000-0005-0000-0000-0000CE1F0000}"/>
    <cellStyle name="Normal 4 3 3 2 3 2 3 4 2" xfId="37385" xr:uid="{F6A04BB0-FFE3-42A0-A8A1-E950DCEDF812}"/>
    <cellStyle name="Normal 4 3 3 2 3 2 3 5" xfId="30775" xr:uid="{00000000-0005-0000-0000-0000CF1F0000}"/>
    <cellStyle name="Normal 4 3 3 2 3 2 3 5 2" xfId="37386" xr:uid="{414B5B99-EE12-4D4F-8CFC-3C04B4978EF4}"/>
    <cellStyle name="Normal 4 3 3 2 3 2 3 6" xfId="37380" xr:uid="{6993FB0C-8BFF-4C07-A1B8-F392CFC8BD2D}"/>
    <cellStyle name="Normal 4 3 3 2 3 2 4" xfId="30776" xr:uid="{00000000-0005-0000-0000-0000D01F0000}"/>
    <cellStyle name="Normal 4 3 3 2 3 2 4 2" xfId="30777" xr:uid="{00000000-0005-0000-0000-0000D11F0000}"/>
    <cellStyle name="Normal 4 3 3 2 3 2 4 2 2" xfId="30778" xr:uid="{00000000-0005-0000-0000-0000D21F0000}"/>
    <cellStyle name="Normal 4 3 3 2 3 2 4 2 2 2" xfId="37389" xr:uid="{8923F4B9-592A-40C2-9ABD-756481077267}"/>
    <cellStyle name="Normal 4 3 3 2 3 2 4 2 3" xfId="30779" xr:uid="{00000000-0005-0000-0000-0000D31F0000}"/>
    <cellStyle name="Normal 4 3 3 2 3 2 4 2 3 2" xfId="37390" xr:uid="{B462C875-F505-40F3-8B9C-FB460F222550}"/>
    <cellStyle name="Normal 4 3 3 2 3 2 4 2 4" xfId="37388" xr:uid="{B6F6116E-7F3D-4D5B-9DF3-76413CB5BD0F}"/>
    <cellStyle name="Normal 4 3 3 2 3 2 4 3" xfId="30780" xr:uid="{00000000-0005-0000-0000-0000D41F0000}"/>
    <cellStyle name="Normal 4 3 3 2 3 2 4 3 2" xfId="37391" xr:uid="{1B23E238-7C10-4D59-85F9-F8D22BF72CC5}"/>
    <cellStyle name="Normal 4 3 3 2 3 2 4 4" xfId="30781" xr:uid="{00000000-0005-0000-0000-0000D51F0000}"/>
    <cellStyle name="Normal 4 3 3 2 3 2 4 4 2" xfId="37392" xr:uid="{D82A74DF-B3B8-4DF6-9791-3DCD944D9A25}"/>
    <cellStyle name="Normal 4 3 3 2 3 2 4 5" xfId="30782" xr:uid="{00000000-0005-0000-0000-0000D61F0000}"/>
    <cellStyle name="Normal 4 3 3 2 3 2 4 5 2" xfId="37393" xr:uid="{4A2A3A09-011A-469C-9465-9CA230C3F0CD}"/>
    <cellStyle name="Normal 4 3 3 2 3 2 4 6" xfId="37387" xr:uid="{60563C74-EE74-48E2-B23C-66ABCEECDF20}"/>
    <cellStyle name="Normal 4 3 3 2 3 2 5" xfId="30783" xr:uid="{00000000-0005-0000-0000-0000D71F0000}"/>
    <cellStyle name="Normal 4 3 3 2 3 2 5 2" xfId="30784" xr:uid="{00000000-0005-0000-0000-0000D81F0000}"/>
    <cellStyle name="Normal 4 3 3 2 3 2 5 2 2" xfId="37395" xr:uid="{2FCB6263-2A80-4B96-87F0-BBAC30AEDB16}"/>
    <cellStyle name="Normal 4 3 3 2 3 2 5 3" xfId="30785" xr:uid="{00000000-0005-0000-0000-0000D91F0000}"/>
    <cellStyle name="Normal 4 3 3 2 3 2 5 3 2" xfId="37396" xr:uid="{87803849-F0F8-42C5-B8EB-4752D7075C9B}"/>
    <cellStyle name="Normal 4 3 3 2 3 2 5 4" xfId="37394" xr:uid="{D7FBF963-7E17-4908-8C06-A9206C115657}"/>
    <cellStyle name="Normal 4 3 3 2 3 2 6" xfId="30786" xr:uid="{00000000-0005-0000-0000-0000DA1F0000}"/>
    <cellStyle name="Normal 4 3 3 2 3 2 6 2" xfId="37397" xr:uid="{70AAB694-1F88-4596-B030-4DFF03B63451}"/>
    <cellStyle name="Normal 4 3 3 2 3 2 7" xfId="30787" xr:uid="{00000000-0005-0000-0000-0000DB1F0000}"/>
    <cellStyle name="Normal 4 3 3 2 3 2 7 2" xfId="37398" xr:uid="{A131737B-CECB-4C41-BF97-A4DAF2D52374}"/>
    <cellStyle name="Normal 4 3 3 2 3 2 8" xfId="30788" xr:uid="{00000000-0005-0000-0000-0000DC1F0000}"/>
    <cellStyle name="Normal 4 3 3 2 3 2 8 2" xfId="37399" xr:uid="{3B7571A9-56F8-47DF-8DDD-4D219B6D8E5D}"/>
    <cellStyle name="Normal 4 3 3 2 3 2 9" xfId="37358" xr:uid="{62E3CD9B-C12C-49F8-9BF8-10821743A782}"/>
    <cellStyle name="Normal 4 3 3 2 3 3" xfId="30789" xr:uid="{00000000-0005-0000-0000-0000DD1F0000}"/>
    <cellStyle name="Normal 4 3 3 2 3 3 2" xfId="30790" xr:uid="{00000000-0005-0000-0000-0000DE1F0000}"/>
    <cellStyle name="Normal 4 3 3 2 3 3 2 2" xfId="30791" xr:uid="{00000000-0005-0000-0000-0000DF1F0000}"/>
    <cellStyle name="Normal 4 3 3 2 3 3 2 2 2" xfId="30792" xr:uid="{00000000-0005-0000-0000-0000E01F0000}"/>
    <cellStyle name="Normal 4 3 3 2 3 3 2 2 2 2" xfId="37403" xr:uid="{C0F95511-63E0-44D7-9547-C9C9D1431588}"/>
    <cellStyle name="Normal 4 3 3 2 3 3 2 2 3" xfId="30793" xr:uid="{00000000-0005-0000-0000-0000E11F0000}"/>
    <cellStyle name="Normal 4 3 3 2 3 3 2 2 3 2" xfId="37404" xr:uid="{8666F411-F154-4F79-8663-45E390A995BF}"/>
    <cellStyle name="Normal 4 3 3 2 3 3 2 2 4" xfId="37402" xr:uid="{8739DF3D-8432-471E-93FE-2FBDC3843A80}"/>
    <cellStyle name="Normal 4 3 3 2 3 3 2 3" xfId="30794" xr:uid="{00000000-0005-0000-0000-0000E21F0000}"/>
    <cellStyle name="Normal 4 3 3 2 3 3 2 3 2" xfId="37405" xr:uid="{476C41DD-5721-4680-864C-3C95F357E024}"/>
    <cellStyle name="Normal 4 3 3 2 3 3 2 4" xfId="30795" xr:uid="{00000000-0005-0000-0000-0000E31F0000}"/>
    <cellStyle name="Normal 4 3 3 2 3 3 2 4 2" xfId="37406" xr:uid="{53E67B55-162D-4E42-9BCF-56DBACF826B4}"/>
    <cellStyle name="Normal 4 3 3 2 3 3 2 5" xfId="30796" xr:uid="{00000000-0005-0000-0000-0000E41F0000}"/>
    <cellStyle name="Normal 4 3 3 2 3 3 2 5 2" xfId="37407" xr:uid="{EC2EEEC7-7DEF-4BC8-961E-4448B0E762FF}"/>
    <cellStyle name="Normal 4 3 3 2 3 3 2 6" xfId="37401" xr:uid="{471ADEC6-EA02-4A64-80DA-CF17B494932E}"/>
    <cellStyle name="Normal 4 3 3 2 3 3 3" xfId="30797" xr:uid="{00000000-0005-0000-0000-0000E51F0000}"/>
    <cellStyle name="Normal 4 3 3 2 3 3 3 2" xfId="30798" xr:uid="{00000000-0005-0000-0000-0000E61F0000}"/>
    <cellStyle name="Normal 4 3 3 2 3 3 3 2 2" xfId="30799" xr:uid="{00000000-0005-0000-0000-0000E71F0000}"/>
    <cellStyle name="Normal 4 3 3 2 3 3 3 2 2 2" xfId="37410" xr:uid="{B57FAFCB-D16F-4B09-A76B-25F8C81DDBF8}"/>
    <cellStyle name="Normal 4 3 3 2 3 3 3 2 3" xfId="30800" xr:uid="{00000000-0005-0000-0000-0000E81F0000}"/>
    <cellStyle name="Normal 4 3 3 2 3 3 3 2 3 2" xfId="37411" xr:uid="{43FF39AD-F648-4CF5-8D8D-DC97C1378247}"/>
    <cellStyle name="Normal 4 3 3 2 3 3 3 2 4" xfId="37409" xr:uid="{504C9F06-F1A7-4009-971E-59BF8C965157}"/>
    <cellStyle name="Normal 4 3 3 2 3 3 3 3" xfId="30801" xr:uid="{00000000-0005-0000-0000-0000E91F0000}"/>
    <cellStyle name="Normal 4 3 3 2 3 3 3 3 2" xfId="37412" xr:uid="{CB7B93A7-2FBB-4520-88B8-EB9CD2BF6ACF}"/>
    <cellStyle name="Normal 4 3 3 2 3 3 3 4" xfId="30802" xr:uid="{00000000-0005-0000-0000-0000EA1F0000}"/>
    <cellStyle name="Normal 4 3 3 2 3 3 3 4 2" xfId="37413" xr:uid="{C4FF9F59-B79F-4F85-B111-079F9C938C69}"/>
    <cellStyle name="Normal 4 3 3 2 3 3 3 5" xfId="30803" xr:uid="{00000000-0005-0000-0000-0000EB1F0000}"/>
    <cellStyle name="Normal 4 3 3 2 3 3 3 5 2" xfId="37414" xr:uid="{4FA4613E-8896-4D4A-B45B-5620BB4F4AFD}"/>
    <cellStyle name="Normal 4 3 3 2 3 3 3 6" xfId="37408" xr:uid="{972F5F3C-9ACB-48FA-A30E-81A0F4282EAA}"/>
    <cellStyle name="Normal 4 3 3 2 3 3 4" xfId="30804" xr:uid="{00000000-0005-0000-0000-0000EC1F0000}"/>
    <cellStyle name="Normal 4 3 3 2 3 3 4 2" xfId="30805" xr:uid="{00000000-0005-0000-0000-0000ED1F0000}"/>
    <cellStyle name="Normal 4 3 3 2 3 3 4 2 2" xfId="37416" xr:uid="{F973CBBA-9ECA-42A0-83D9-870DDC209890}"/>
    <cellStyle name="Normal 4 3 3 2 3 3 4 3" xfId="30806" xr:uid="{00000000-0005-0000-0000-0000EE1F0000}"/>
    <cellStyle name="Normal 4 3 3 2 3 3 4 3 2" xfId="37417" xr:uid="{C0A59358-EA88-46BF-8786-AD01E774FFF3}"/>
    <cellStyle name="Normal 4 3 3 2 3 3 4 4" xfId="37415" xr:uid="{59D6B7F8-B36A-47E9-BD0F-E2789F9872B2}"/>
    <cellStyle name="Normal 4 3 3 2 3 3 5" xfId="30807" xr:uid="{00000000-0005-0000-0000-0000EF1F0000}"/>
    <cellStyle name="Normal 4 3 3 2 3 3 5 2" xfId="37418" xr:uid="{1D7FE30D-B294-41AE-9676-BDDECD084F2C}"/>
    <cellStyle name="Normal 4 3 3 2 3 3 6" xfId="30808" xr:uid="{00000000-0005-0000-0000-0000F01F0000}"/>
    <cellStyle name="Normal 4 3 3 2 3 3 6 2" xfId="37419" xr:uid="{B0164944-2742-4407-B29F-08046EB27541}"/>
    <cellStyle name="Normal 4 3 3 2 3 3 7" xfId="30809" xr:uid="{00000000-0005-0000-0000-0000F11F0000}"/>
    <cellStyle name="Normal 4 3 3 2 3 3 7 2" xfId="37420" xr:uid="{270AA583-4931-44F5-B1EA-CB4A96F614D0}"/>
    <cellStyle name="Normal 4 3 3 2 3 3 8" xfId="37400" xr:uid="{17433919-8F0D-4698-AE1D-50A56A796FED}"/>
    <cellStyle name="Normal 4 3 3 2 3 4" xfId="30810" xr:uid="{00000000-0005-0000-0000-0000F21F0000}"/>
    <cellStyle name="Normal 4 3 3 2 3 4 2" xfId="30811" xr:uid="{00000000-0005-0000-0000-0000F31F0000}"/>
    <cellStyle name="Normal 4 3 3 2 3 4 2 2" xfId="30812" xr:uid="{00000000-0005-0000-0000-0000F41F0000}"/>
    <cellStyle name="Normal 4 3 3 2 3 4 2 2 2" xfId="37423" xr:uid="{A76D7C2E-0DFC-48A0-9D4B-7037D39BF39B}"/>
    <cellStyle name="Normal 4 3 3 2 3 4 2 3" xfId="30813" xr:uid="{00000000-0005-0000-0000-0000F51F0000}"/>
    <cellStyle name="Normal 4 3 3 2 3 4 2 3 2" xfId="37424" xr:uid="{79F75D99-7603-434D-9104-C3AC4ADA069C}"/>
    <cellStyle name="Normal 4 3 3 2 3 4 2 4" xfId="37422" xr:uid="{86AA1961-787F-460D-BE02-0EE953684142}"/>
    <cellStyle name="Normal 4 3 3 2 3 4 3" xfId="30814" xr:uid="{00000000-0005-0000-0000-0000F61F0000}"/>
    <cellStyle name="Normal 4 3 3 2 3 4 3 2" xfId="37425" xr:uid="{A3EC8BCA-0E8E-4972-B130-4ED3CBFC3926}"/>
    <cellStyle name="Normal 4 3 3 2 3 4 4" xfId="30815" xr:uid="{00000000-0005-0000-0000-0000F71F0000}"/>
    <cellStyle name="Normal 4 3 3 2 3 4 4 2" xfId="37426" xr:uid="{EF5371EF-11E0-4BAF-A145-1750C331EF3E}"/>
    <cellStyle name="Normal 4 3 3 2 3 4 5" xfId="30816" xr:uid="{00000000-0005-0000-0000-0000F81F0000}"/>
    <cellStyle name="Normal 4 3 3 2 3 4 5 2" xfId="37427" xr:uid="{11248556-3B53-408D-B8E0-65DC521600A6}"/>
    <cellStyle name="Normal 4 3 3 2 3 4 6" xfId="37421" xr:uid="{EAA46DAB-9860-4E4D-8F4F-2077CDAC413A}"/>
    <cellStyle name="Normal 4 3 3 2 3 5" xfId="30817" xr:uid="{00000000-0005-0000-0000-0000F91F0000}"/>
    <cellStyle name="Normal 4 3 3 2 3 5 2" xfId="30818" xr:uid="{00000000-0005-0000-0000-0000FA1F0000}"/>
    <cellStyle name="Normal 4 3 3 2 3 5 2 2" xfId="30819" xr:uid="{00000000-0005-0000-0000-0000FB1F0000}"/>
    <cellStyle name="Normal 4 3 3 2 3 5 2 2 2" xfId="37430" xr:uid="{96AFFA39-0E89-4F6B-A8FC-53ECCF705575}"/>
    <cellStyle name="Normal 4 3 3 2 3 5 2 3" xfId="30820" xr:uid="{00000000-0005-0000-0000-0000FC1F0000}"/>
    <cellStyle name="Normal 4 3 3 2 3 5 2 3 2" xfId="37431" xr:uid="{51039EA5-E12B-426E-962F-6D15B341C1C3}"/>
    <cellStyle name="Normal 4 3 3 2 3 5 2 4" xfId="37429" xr:uid="{77AAC750-CFCE-4F97-AD9D-6F8FDFF81A37}"/>
    <cellStyle name="Normal 4 3 3 2 3 5 3" xfId="30821" xr:uid="{00000000-0005-0000-0000-0000FD1F0000}"/>
    <cellStyle name="Normal 4 3 3 2 3 5 3 2" xfId="37432" xr:uid="{8339877A-56ED-4FA4-9008-DC45225946C3}"/>
    <cellStyle name="Normal 4 3 3 2 3 5 4" xfId="30822" xr:uid="{00000000-0005-0000-0000-0000FE1F0000}"/>
    <cellStyle name="Normal 4 3 3 2 3 5 4 2" xfId="37433" xr:uid="{2677E3DB-0320-4928-A7D8-195FEC28D343}"/>
    <cellStyle name="Normal 4 3 3 2 3 5 5" xfId="30823" xr:uid="{00000000-0005-0000-0000-0000FF1F0000}"/>
    <cellStyle name="Normal 4 3 3 2 3 5 5 2" xfId="37434" xr:uid="{C38B9322-16F2-4F50-B18B-4EFFBE4EC204}"/>
    <cellStyle name="Normal 4 3 3 2 3 5 6" xfId="37428" xr:uid="{CE11FFA4-6D99-4D14-A656-63FDBC2FEB5F}"/>
    <cellStyle name="Normal 4 3 3 2 3 6" xfId="30824" xr:uid="{00000000-0005-0000-0000-000000200000}"/>
    <cellStyle name="Normal 4 3 3 2 3 6 2" xfId="30825" xr:uid="{00000000-0005-0000-0000-000001200000}"/>
    <cellStyle name="Normal 4 3 3 2 3 6 2 2" xfId="37436" xr:uid="{BF6DE3A1-14E8-4D8A-8708-C0082B4DAC47}"/>
    <cellStyle name="Normal 4 3 3 2 3 6 3" xfId="30826" xr:uid="{00000000-0005-0000-0000-000002200000}"/>
    <cellStyle name="Normal 4 3 3 2 3 6 3 2" xfId="37437" xr:uid="{79DD7F2C-AE72-4EC3-BC88-56D039C44D71}"/>
    <cellStyle name="Normal 4 3 3 2 3 6 4" xfId="37435" xr:uid="{23530D1C-A9C6-48DD-BAB8-BFFCAA4279EB}"/>
    <cellStyle name="Normal 4 3 3 2 3 7" xfId="30827" xr:uid="{00000000-0005-0000-0000-000003200000}"/>
    <cellStyle name="Normal 4 3 3 2 3 7 2" xfId="37438" xr:uid="{E858AA2C-5F59-4D34-80AA-EA0B314CFE93}"/>
    <cellStyle name="Normal 4 3 3 2 3 8" xfId="30828" xr:uid="{00000000-0005-0000-0000-000004200000}"/>
    <cellStyle name="Normal 4 3 3 2 3 8 2" xfId="37439" xr:uid="{3B5F4FCA-0B9B-4BA1-BFE7-8CE82DC0D699}"/>
    <cellStyle name="Normal 4 3 3 2 3 9" xfId="30829" xr:uid="{00000000-0005-0000-0000-000005200000}"/>
    <cellStyle name="Normal 4 3 3 2 3 9 2" xfId="37440" xr:uid="{A7D11014-EE7D-43E3-8A9B-B0623F264E9E}"/>
    <cellStyle name="Normal 4 3 3 2 4" xfId="30830" xr:uid="{00000000-0005-0000-0000-000006200000}"/>
    <cellStyle name="Normal 4 3 3 2 4 10" xfId="37441" xr:uid="{6BC85600-4926-416C-8408-3AC917AAAB9D}"/>
    <cellStyle name="Normal 4 3 3 2 4 2" xfId="30831" xr:uid="{00000000-0005-0000-0000-000007200000}"/>
    <cellStyle name="Normal 4 3 3 2 4 2 2" xfId="30832" xr:uid="{00000000-0005-0000-0000-000008200000}"/>
    <cellStyle name="Normal 4 3 3 2 4 2 2 2" xfId="30833" xr:uid="{00000000-0005-0000-0000-000009200000}"/>
    <cellStyle name="Normal 4 3 3 2 4 2 2 2 2" xfId="30834" xr:uid="{00000000-0005-0000-0000-00000A200000}"/>
    <cellStyle name="Normal 4 3 3 2 4 2 2 2 2 2" xfId="30835" xr:uid="{00000000-0005-0000-0000-00000B200000}"/>
    <cellStyle name="Normal 4 3 3 2 4 2 2 2 2 2 2" xfId="37446" xr:uid="{3D709998-E041-4A8C-BF20-AA46F4C16B6F}"/>
    <cellStyle name="Normal 4 3 3 2 4 2 2 2 2 3" xfId="30836" xr:uid="{00000000-0005-0000-0000-00000C200000}"/>
    <cellStyle name="Normal 4 3 3 2 4 2 2 2 2 3 2" xfId="37447" xr:uid="{7952906D-B8CE-48AC-BDA0-3384C7D2D8E4}"/>
    <cellStyle name="Normal 4 3 3 2 4 2 2 2 2 4" xfId="37445" xr:uid="{A441E3E8-FCFB-4EA1-9613-BD43F95D1517}"/>
    <cellStyle name="Normal 4 3 3 2 4 2 2 2 3" xfId="30837" xr:uid="{00000000-0005-0000-0000-00000D200000}"/>
    <cellStyle name="Normal 4 3 3 2 4 2 2 2 3 2" xfId="37448" xr:uid="{DE9EA54E-1670-4BF0-A77A-6BE8D76360F3}"/>
    <cellStyle name="Normal 4 3 3 2 4 2 2 2 4" xfId="30838" xr:uid="{00000000-0005-0000-0000-00000E200000}"/>
    <cellStyle name="Normal 4 3 3 2 4 2 2 2 4 2" xfId="37449" xr:uid="{0EEE821E-5467-4295-80F0-2ADA93A425C6}"/>
    <cellStyle name="Normal 4 3 3 2 4 2 2 2 5" xfId="30839" xr:uid="{00000000-0005-0000-0000-00000F200000}"/>
    <cellStyle name="Normal 4 3 3 2 4 2 2 2 5 2" xfId="37450" xr:uid="{F30868C4-FA02-407C-BAD8-90BF43619E59}"/>
    <cellStyle name="Normal 4 3 3 2 4 2 2 2 6" xfId="37444" xr:uid="{98F91877-14E4-41CB-A640-32E7945C9A7F}"/>
    <cellStyle name="Normal 4 3 3 2 4 2 2 3" xfId="30840" xr:uid="{00000000-0005-0000-0000-000010200000}"/>
    <cellStyle name="Normal 4 3 3 2 4 2 2 3 2" xfId="30841" xr:uid="{00000000-0005-0000-0000-000011200000}"/>
    <cellStyle name="Normal 4 3 3 2 4 2 2 3 2 2" xfId="30842" xr:uid="{00000000-0005-0000-0000-000012200000}"/>
    <cellStyle name="Normal 4 3 3 2 4 2 2 3 2 2 2" xfId="37453" xr:uid="{6227D860-DACA-4FAB-8109-9A944BB7EF43}"/>
    <cellStyle name="Normal 4 3 3 2 4 2 2 3 2 3" xfId="30843" xr:uid="{00000000-0005-0000-0000-000013200000}"/>
    <cellStyle name="Normal 4 3 3 2 4 2 2 3 2 3 2" xfId="37454" xr:uid="{2FA590C4-D9BD-4A3A-BA7E-557B2CBB7DD0}"/>
    <cellStyle name="Normal 4 3 3 2 4 2 2 3 2 4" xfId="37452" xr:uid="{C4DE6AD6-48B4-4BEC-B9E2-ABA5DB8AAE86}"/>
    <cellStyle name="Normal 4 3 3 2 4 2 2 3 3" xfId="30844" xr:uid="{00000000-0005-0000-0000-000014200000}"/>
    <cellStyle name="Normal 4 3 3 2 4 2 2 3 3 2" xfId="37455" xr:uid="{0E8098FB-4931-4E21-B217-C37B04F2A139}"/>
    <cellStyle name="Normal 4 3 3 2 4 2 2 3 4" xfId="30845" xr:uid="{00000000-0005-0000-0000-000015200000}"/>
    <cellStyle name="Normal 4 3 3 2 4 2 2 3 4 2" xfId="37456" xr:uid="{3D57129A-562C-47C7-8E9B-FA9B153C48A0}"/>
    <cellStyle name="Normal 4 3 3 2 4 2 2 3 5" xfId="30846" xr:uid="{00000000-0005-0000-0000-000016200000}"/>
    <cellStyle name="Normal 4 3 3 2 4 2 2 3 5 2" xfId="37457" xr:uid="{25C1370A-1464-4AC3-BD81-58359EF08CC1}"/>
    <cellStyle name="Normal 4 3 3 2 4 2 2 3 6" xfId="37451" xr:uid="{0DE587AE-B210-429D-9B81-429EA448E7D3}"/>
    <cellStyle name="Normal 4 3 3 2 4 2 2 4" xfId="30847" xr:uid="{00000000-0005-0000-0000-000017200000}"/>
    <cellStyle name="Normal 4 3 3 2 4 2 2 4 2" xfId="30848" xr:uid="{00000000-0005-0000-0000-000018200000}"/>
    <cellStyle name="Normal 4 3 3 2 4 2 2 4 2 2" xfId="37459" xr:uid="{9E28834E-8679-4FF3-90D1-8301C19FFA29}"/>
    <cellStyle name="Normal 4 3 3 2 4 2 2 4 3" xfId="30849" xr:uid="{00000000-0005-0000-0000-000019200000}"/>
    <cellStyle name="Normal 4 3 3 2 4 2 2 4 3 2" xfId="37460" xr:uid="{28A97915-8C62-4B13-8F26-D8DF40EACAA9}"/>
    <cellStyle name="Normal 4 3 3 2 4 2 2 4 4" xfId="37458" xr:uid="{B2ED2223-A2E0-43B1-B66E-4EF7850FE796}"/>
    <cellStyle name="Normal 4 3 3 2 4 2 2 5" xfId="30850" xr:uid="{00000000-0005-0000-0000-00001A200000}"/>
    <cellStyle name="Normal 4 3 3 2 4 2 2 5 2" xfId="37461" xr:uid="{209501F6-A2B4-4290-B931-E02FB8464DD5}"/>
    <cellStyle name="Normal 4 3 3 2 4 2 2 6" xfId="30851" xr:uid="{00000000-0005-0000-0000-00001B200000}"/>
    <cellStyle name="Normal 4 3 3 2 4 2 2 6 2" xfId="37462" xr:uid="{F4753F70-AC72-4BBB-950F-ADD6CECFB72D}"/>
    <cellStyle name="Normal 4 3 3 2 4 2 2 7" xfId="30852" xr:uid="{00000000-0005-0000-0000-00001C200000}"/>
    <cellStyle name="Normal 4 3 3 2 4 2 2 7 2" xfId="37463" xr:uid="{A3D18172-2529-4EFB-A37E-99F912F5C9F8}"/>
    <cellStyle name="Normal 4 3 3 2 4 2 2 8" xfId="37443" xr:uid="{CD5E1C6E-DB88-4A0D-9BF7-1524B77D6960}"/>
    <cellStyle name="Normal 4 3 3 2 4 2 3" xfId="30853" xr:uid="{00000000-0005-0000-0000-00001D200000}"/>
    <cellStyle name="Normal 4 3 3 2 4 2 3 2" xfId="30854" xr:uid="{00000000-0005-0000-0000-00001E200000}"/>
    <cellStyle name="Normal 4 3 3 2 4 2 3 2 2" xfId="30855" xr:uid="{00000000-0005-0000-0000-00001F200000}"/>
    <cellStyle name="Normal 4 3 3 2 4 2 3 2 2 2" xfId="37466" xr:uid="{36935554-B343-4CA6-B1E6-872E4EA54C08}"/>
    <cellStyle name="Normal 4 3 3 2 4 2 3 2 3" xfId="30856" xr:uid="{00000000-0005-0000-0000-000020200000}"/>
    <cellStyle name="Normal 4 3 3 2 4 2 3 2 3 2" xfId="37467" xr:uid="{241D1E99-3D9C-47E3-957A-21591B403F01}"/>
    <cellStyle name="Normal 4 3 3 2 4 2 3 2 4" xfId="37465" xr:uid="{B0FA6874-7266-4C3A-82E1-7BB66F9A435A}"/>
    <cellStyle name="Normal 4 3 3 2 4 2 3 3" xfId="30857" xr:uid="{00000000-0005-0000-0000-000021200000}"/>
    <cellStyle name="Normal 4 3 3 2 4 2 3 3 2" xfId="37468" xr:uid="{A1576B84-954D-43B3-92F4-4D493AA050CC}"/>
    <cellStyle name="Normal 4 3 3 2 4 2 3 4" xfId="30858" xr:uid="{00000000-0005-0000-0000-000022200000}"/>
    <cellStyle name="Normal 4 3 3 2 4 2 3 4 2" xfId="37469" xr:uid="{E24C8847-8258-4C34-8DD5-657D7BF2B454}"/>
    <cellStyle name="Normal 4 3 3 2 4 2 3 5" xfId="30859" xr:uid="{00000000-0005-0000-0000-000023200000}"/>
    <cellStyle name="Normal 4 3 3 2 4 2 3 5 2" xfId="37470" xr:uid="{D2AD2DBB-5FF0-42E8-941A-BB9E97CB5ECC}"/>
    <cellStyle name="Normal 4 3 3 2 4 2 3 6" xfId="37464" xr:uid="{0664CFA6-7AE0-43FB-85AD-F119293D7366}"/>
    <cellStyle name="Normal 4 3 3 2 4 2 4" xfId="30860" xr:uid="{00000000-0005-0000-0000-000024200000}"/>
    <cellStyle name="Normal 4 3 3 2 4 2 4 2" xfId="30861" xr:uid="{00000000-0005-0000-0000-000025200000}"/>
    <cellStyle name="Normal 4 3 3 2 4 2 4 2 2" xfId="30862" xr:uid="{00000000-0005-0000-0000-000026200000}"/>
    <cellStyle name="Normal 4 3 3 2 4 2 4 2 2 2" xfId="37473" xr:uid="{EFFDB4C5-23C3-48AE-8A30-2D78E1F0E3C0}"/>
    <cellStyle name="Normal 4 3 3 2 4 2 4 2 3" xfId="30863" xr:uid="{00000000-0005-0000-0000-000027200000}"/>
    <cellStyle name="Normal 4 3 3 2 4 2 4 2 3 2" xfId="37474" xr:uid="{38B850A9-5D01-478A-AE23-3E0FBBC7915E}"/>
    <cellStyle name="Normal 4 3 3 2 4 2 4 2 4" xfId="37472" xr:uid="{D6A1DCCC-11AE-42DB-AD36-7FB92A7C919B}"/>
    <cellStyle name="Normal 4 3 3 2 4 2 4 3" xfId="30864" xr:uid="{00000000-0005-0000-0000-000028200000}"/>
    <cellStyle name="Normal 4 3 3 2 4 2 4 3 2" xfId="37475" xr:uid="{9EE15654-1685-4B27-AAE8-61DC47E9C58C}"/>
    <cellStyle name="Normal 4 3 3 2 4 2 4 4" xfId="30865" xr:uid="{00000000-0005-0000-0000-000029200000}"/>
    <cellStyle name="Normal 4 3 3 2 4 2 4 4 2" xfId="37476" xr:uid="{7196476C-C839-44B9-A597-B82C11654EF6}"/>
    <cellStyle name="Normal 4 3 3 2 4 2 4 5" xfId="30866" xr:uid="{00000000-0005-0000-0000-00002A200000}"/>
    <cellStyle name="Normal 4 3 3 2 4 2 4 5 2" xfId="37477" xr:uid="{CD7505B3-AECF-4121-A29D-582D82052AAE}"/>
    <cellStyle name="Normal 4 3 3 2 4 2 4 6" xfId="37471" xr:uid="{21A32151-E970-4630-A432-9B026829496D}"/>
    <cellStyle name="Normal 4 3 3 2 4 2 5" xfId="30867" xr:uid="{00000000-0005-0000-0000-00002B200000}"/>
    <cellStyle name="Normal 4 3 3 2 4 2 5 2" xfId="30868" xr:uid="{00000000-0005-0000-0000-00002C200000}"/>
    <cellStyle name="Normal 4 3 3 2 4 2 5 2 2" xfId="37479" xr:uid="{41DB86F4-41D7-483C-8A4F-934B32F22278}"/>
    <cellStyle name="Normal 4 3 3 2 4 2 5 3" xfId="30869" xr:uid="{00000000-0005-0000-0000-00002D200000}"/>
    <cellStyle name="Normal 4 3 3 2 4 2 5 3 2" xfId="37480" xr:uid="{02FB6B72-81B6-4AC6-A5AD-B16A51625023}"/>
    <cellStyle name="Normal 4 3 3 2 4 2 5 4" xfId="37478" xr:uid="{5B6DC2EF-DA92-44F7-B02C-79E8E6906E11}"/>
    <cellStyle name="Normal 4 3 3 2 4 2 6" xfId="30870" xr:uid="{00000000-0005-0000-0000-00002E200000}"/>
    <cellStyle name="Normal 4 3 3 2 4 2 6 2" xfId="37481" xr:uid="{FE8320EB-3110-473F-B191-9F22C373F1F5}"/>
    <cellStyle name="Normal 4 3 3 2 4 2 7" xfId="30871" xr:uid="{00000000-0005-0000-0000-00002F200000}"/>
    <cellStyle name="Normal 4 3 3 2 4 2 7 2" xfId="37482" xr:uid="{9FBED4EE-8D1D-4CA0-A391-A9C6289F1A5E}"/>
    <cellStyle name="Normal 4 3 3 2 4 2 8" xfId="30872" xr:uid="{00000000-0005-0000-0000-000030200000}"/>
    <cellStyle name="Normal 4 3 3 2 4 2 8 2" xfId="37483" xr:uid="{B46C013B-DB33-497E-A053-088CA51F4FEA}"/>
    <cellStyle name="Normal 4 3 3 2 4 2 9" xfId="37442" xr:uid="{D5BB338D-EC91-453D-81A8-B87F70111BF3}"/>
    <cellStyle name="Normal 4 3 3 2 4 3" xfId="30873" xr:uid="{00000000-0005-0000-0000-000031200000}"/>
    <cellStyle name="Normal 4 3 3 2 4 3 2" xfId="30874" xr:uid="{00000000-0005-0000-0000-000032200000}"/>
    <cellStyle name="Normal 4 3 3 2 4 3 2 2" xfId="30875" xr:uid="{00000000-0005-0000-0000-000033200000}"/>
    <cellStyle name="Normal 4 3 3 2 4 3 2 2 2" xfId="30876" xr:uid="{00000000-0005-0000-0000-000034200000}"/>
    <cellStyle name="Normal 4 3 3 2 4 3 2 2 2 2" xfId="37487" xr:uid="{8EF3E093-1177-4DF1-BC2E-3BA1E7931E90}"/>
    <cellStyle name="Normal 4 3 3 2 4 3 2 2 3" xfId="30877" xr:uid="{00000000-0005-0000-0000-000035200000}"/>
    <cellStyle name="Normal 4 3 3 2 4 3 2 2 3 2" xfId="37488" xr:uid="{98C863FE-DDB5-46E3-99B8-DF28D66D9173}"/>
    <cellStyle name="Normal 4 3 3 2 4 3 2 2 4" xfId="37486" xr:uid="{2B314A1A-A483-4D49-BE38-FFA03A5EE35E}"/>
    <cellStyle name="Normal 4 3 3 2 4 3 2 3" xfId="30878" xr:uid="{00000000-0005-0000-0000-000036200000}"/>
    <cellStyle name="Normal 4 3 3 2 4 3 2 3 2" xfId="37489" xr:uid="{94A536C1-3B4E-4323-9657-1A3901FB219E}"/>
    <cellStyle name="Normal 4 3 3 2 4 3 2 4" xfId="30879" xr:uid="{00000000-0005-0000-0000-000037200000}"/>
    <cellStyle name="Normal 4 3 3 2 4 3 2 4 2" xfId="37490" xr:uid="{03559141-FEF4-4CC0-8693-7B0690936012}"/>
    <cellStyle name="Normal 4 3 3 2 4 3 2 5" xfId="30880" xr:uid="{00000000-0005-0000-0000-000038200000}"/>
    <cellStyle name="Normal 4 3 3 2 4 3 2 5 2" xfId="37491" xr:uid="{79F27453-D636-4FBC-A29D-99B09EC4E592}"/>
    <cellStyle name="Normal 4 3 3 2 4 3 2 6" xfId="37485" xr:uid="{397FCCD1-4F0B-4AE4-BA56-67969E6C35C3}"/>
    <cellStyle name="Normal 4 3 3 2 4 3 3" xfId="30881" xr:uid="{00000000-0005-0000-0000-000039200000}"/>
    <cellStyle name="Normal 4 3 3 2 4 3 3 2" xfId="30882" xr:uid="{00000000-0005-0000-0000-00003A200000}"/>
    <cellStyle name="Normal 4 3 3 2 4 3 3 2 2" xfId="30883" xr:uid="{00000000-0005-0000-0000-00003B200000}"/>
    <cellStyle name="Normal 4 3 3 2 4 3 3 2 2 2" xfId="37494" xr:uid="{A5C6F49D-4322-4266-BC42-F962A4985035}"/>
    <cellStyle name="Normal 4 3 3 2 4 3 3 2 3" xfId="30884" xr:uid="{00000000-0005-0000-0000-00003C200000}"/>
    <cellStyle name="Normal 4 3 3 2 4 3 3 2 3 2" xfId="37495" xr:uid="{4FF651FE-3365-48FA-B705-AC40FA03F83F}"/>
    <cellStyle name="Normal 4 3 3 2 4 3 3 2 4" xfId="37493" xr:uid="{12301F98-31A0-4FDD-9CD3-FF53F8972605}"/>
    <cellStyle name="Normal 4 3 3 2 4 3 3 3" xfId="30885" xr:uid="{00000000-0005-0000-0000-00003D200000}"/>
    <cellStyle name="Normal 4 3 3 2 4 3 3 3 2" xfId="37496" xr:uid="{6A2908DE-9654-4C40-8A5D-8D2252828954}"/>
    <cellStyle name="Normal 4 3 3 2 4 3 3 4" xfId="30886" xr:uid="{00000000-0005-0000-0000-00003E200000}"/>
    <cellStyle name="Normal 4 3 3 2 4 3 3 4 2" xfId="37497" xr:uid="{C94EEC45-053B-4FF9-9162-65342EA038AD}"/>
    <cellStyle name="Normal 4 3 3 2 4 3 3 5" xfId="30887" xr:uid="{00000000-0005-0000-0000-00003F200000}"/>
    <cellStyle name="Normal 4 3 3 2 4 3 3 5 2" xfId="37498" xr:uid="{E41621C9-C0FE-4362-9D16-B298316A6815}"/>
    <cellStyle name="Normal 4 3 3 2 4 3 3 6" xfId="37492" xr:uid="{EB6D5841-2126-4B9F-93E1-35079A66BFF6}"/>
    <cellStyle name="Normal 4 3 3 2 4 3 4" xfId="30888" xr:uid="{00000000-0005-0000-0000-000040200000}"/>
    <cellStyle name="Normal 4 3 3 2 4 3 4 2" xfId="30889" xr:uid="{00000000-0005-0000-0000-000041200000}"/>
    <cellStyle name="Normal 4 3 3 2 4 3 4 2 2" xfId="37500" xr:uid="{92399C62-BFCD-41BF-A341-C939B9400326}"/>
    <cellStyle name="Normal 4 3 3 2 4 3 4 3" xfId="30890" xr:uid="{00000000-0005-0000-0000-000042200000}"/>
    <cellStyle name="Normal 4 3 3 2 4 3 4 3 2" xfId="37501" xr:uid="{1A859A87-F851-47FE-A96C-D2AAD298939A}"/>
    <cellStyle name="Normal 4 3 3 2 4 3 4 4" xfId="37499" xr:uid="{B04988C2-5D12-403D-A814-E34826190854}"/>
    <cellStyle name="Normal 4 3 3 2 4 3 5" xfId="30891" xr:uid="{00000000-0005-0000-0000-000043200000}"/>
    <cellStyle name="Normal 4 3 3 2 4 3 5 2" xfId="37502" xr:uid="{010FABF4-D9B8-4D78-B0B1-6E1EB6F63684}"/>
    <cellStyle name="Normal 4 3 3 2 4 3 6" xfId="30892" xr:uid="{00000000-0005-0000-0000-000044200000}"/>
    <cellStyle name="Normal 4 3 3 2 4 3 6 2" xfId="37503" xr:uid="{5A02C291-4D08-4CC1-9494-07762C978EFB}"/>
    <cellStyle name="Normal 4 3 3 2 4 3 7" xfId="30893" xr:uid="{00000000-0005-0000-0000-000045200000}"/>
    <cellStyle name="Normal 4 3 3 2 4 3 7 2" xfId="37504" xr:uid="{BB8525CF-1B38-4C4D-8617-3B437FB9C23A}"/>
    <cellStyle name="Normal 4 3 3 2 4 3 8" xfId="37484" xr:uid="{D2F22D42-CE3A-4E7B-A13B-93DD3A446341}"/>
    <cellStyle name="Normal 4 3 3 2 4 4" xfId="30894" xr:uid="{00000000-0005-0000-0000-000046200000}"/>
    <cellStyle name="Normal 4 3 3 2 4 4 2" xfId="30895" xr:uid="{00000000-0005-0000-0000-000047200000}"/>
    <cellStyle name="Normal 4 3 3 2 4 4 2 2" xfId="30896" xr:uid="{00000000-0005-0000-0000-000048200000}"/>
    <cellStyle name="Normal 4 3 3 2 4 4 2 2 2" xfId="37507" xr:uid="{C15065C4-7103-4BD9-8FE8-D466DD79C542}"/>
    <cellStyle name="Normal 4 3 3 2 4 4 2 3" xfId="30897" xr:uid="{00000000-0005-0000-0000-000049200000}"/>
    <cellStyle name="Normal 4 3 3 2 4 4 2 3 2" xfId="37508" xr:uid="{FDEE1F4E-2C90-4384-8261-A87BF669ED91}"/>
    <cellStyle name="Normal 4 3 3 2 4 4 2 4" xfId="37506" xr:uid="{5240DF54-C5E4-4AB6-A8F5-6E8EB0A6F29D}"/>
    <cellStyle name="Normal 4 3 3 2 4 4 3" xfId="30898" xr:uid="{00000000-0005-0000-0000-00004A200000}"/>
    <cellStyle name="Normal 4 3 3 2 4 4 3 2" xfId="37509" xr:uid="{CAF88D1B-F038-4DF1-8CAC-68DA1E3D5A26}"/>
    <cellStyle name="Normal 4 3 3 2 4 4 4" xfId="30899" xr:uid="{00000000-0005-0000-0000-00004B200000}"/>
    <cellStyle name="Normal 4 3 3 2 4 4 4 2" xfId="37510" xr:uid="{3CA9933D-A9BB-40CC-9410-08BBD48CE649}"/>
    <cellStyle name="Normal 4 3 3 2 4 4 5" xfId="30900" xr:uid="{00000000-0005-0000-0000-00004C200000}"/>
    <cellStyle name="Normal 4 3 3 2 4 4 5 2" xfId="37511" xr:uid="{F128BEC5-AB87-475C-8561-6850F12B7859}"/>
    <cellStyle name="Normal 4 3 3 2 4 4 6" xfId="37505" xr:uid="{0E82B702-5F75-4ACA-8603-F575BDAB4CAA}"/>
    <cellStyle name="Normal 4 3 3 2 4 5" xfId="30901" xr:uid="{00000000-0005-0000-0000-00004D200000}"/>
    <cellStyle name="Normal 4 3 3 2 4 5 2" xfId="30902" xr:uid="{00000000-0005-0000-0000-00004E200000}"/>
    <cellStyle name="Normal 4 3 3 2 4 5 2 2" xfId="30903" xr:uid="{00000000-0005-0000-0000-00004F200000}"/>
    <cellStyle name="Normal 4 3 3 2 4 5 2 2 2" xfId="37514" xr:uid="{FEF287FA-93D7-4507-823F-9ADA8AD27600}"/>
    <cellStyle name="Normal 4 3 3 2 4 5 2 3" xfId="30904" xr:uid="{00000000-0005-0000-0000-000050200000}"/>
    <cellStyle name="Normal 4 3 3 2 4 5 2 3 2" xfId="37515" xr:uid="{4D3F8B97-2626-4590-B96D-19FCCC603084}"/>
    <cellStyle name="Normal 4 3 3 2 4 5 2 4" xfId="37513" xr:uid="{41E81972-13F1-4C6E-963B-C794128869B5}"/>
    <cellStyle name="Normal 4 3 3 2 4 5 3" xfId="30905" xr:uid="{00000000-0005-0000-0000-000051200000}"/>
    <cellStyle name="Normal 4 3 3 2 4 5 3 2" xfId="37516" xr:uid="{6B7A25A5-F47D-4659-8E26-B3E2C09DDADF}"/>
    <cellStyle name="Normal 4 3 3 2 4 5 4" xfId="30906" xr:uid="{00000000-0005-0000-0000-000052200000}"/>
    <cellStyle name="Normal 4 3 3 2 4 5 4 2" xfId="37517" xr:uid="{DB36EF0E-6F44-4076-82C8-4874DA376A02}"/>
    <cellStyle name="Normal 4 3 3 2 4 5 5" xfId="30907" xr:uid="{00000000-0005-0000-0000-000053200000}"/>
    <cellStyle name="Normal 4 3 3 2 4 5 5 2" xfId="37518" xr:uid="{664E8844-4D1D-436B-B376-57BEB0AB24FB}"/>
    <cellStyle name="Normal 4 3 3 2 4 5 6" xfId="37512" xr:uid="{EC3C5D37-58BB-46FA-993D-981D5359246A}"/>
    <cellStyle name="Normal 4 3 3 2 4 6" xfId="30908" xr:uid="{00000000-0005-0000-0000-000054200000}"/>
    <cellStyle name="Normal 4 3 3 2 4 6 2" xfId="30909" xr:uid="{00000000-0005-0000-0000-000055200000}"/>
    <cellStyle name="Normal 4 3 3 2 4 6 2 2" xfId="37520" xr:uid="{96284B0D-9B3A-493F-933C-97B82478999E}"/>
    <cellStyle name="Normal 4 3 3 2 4 6 3" xfId="30910" xr:uid="{00000000-0005-0000-0000-000056200000}"/>
    <cellStyle name="Normal 4 3 3 2 4 6 3 2" xfId="37521" xr:uid="{8A9241CB-602C-49AB-A3F1-E6F595F21BC8}"/>
    <cellStyle name="Normal 4 3 3 2 4 6 4" xfId="37519" xr:uid="{EFFC6EAE-FC02-4E61-A1A2-9308519DA2FA}"/>
    <cellStyle name="Normal 4 3 3 2 4 7" xfId="30911" xr:uid="{00000000-0005-0000-0000-000057200000}"/>
    <cellStyle name="Normal 4 3 3 2 4 7 2" xfId="37522" xr:uid="{4C63D3F3-15B0-4374-89F5-68F54C900EA3}"/>
    <cellStyle name="Normal 4 3 3 2 4 8" xfId="30912" xr:uid="{00000000-0005-0000-0000-000058200000}"/>
    <cellStyle name="Normal 4 3 3 2 4 8 2" xfId="37523" xr:uid="{29EBB487-A719-4BAB-B8AD-E11A464D1178}"/>
    <cellStyle name="Normal 4 3 3 2 4 9" xfId="30913" xr:uid="{00000000-0005-0000-0000-000059200000}"/>
    <cellStyle name="Normal 4 3 3 2 4 9 2" xfId="37524" xr:uid="{C806B40D-D02B-4160-8F2A-7217443B745B}"/>
    <cellStyle name="Normal 4 3 3 2 5" xfId="30914" xr:uid="{00000000-0005-0000-0000-00005A200000}"/>
    <cellStyle name="Normal 4 3 3 2 5 2" xfId="30915" xr:uid="{00000000-0005-0000-0000-00005B200000}"/>
    <cellStyle name="Normal 4 3 3 2 5 2 2" xfId="30916" xr:uid="{00000000-0005-0000-0000-00005C200000}"/>
    <cellStyle name="Normal 4 3 3 2 5 2 2 2" xfId="30917" xr:uid="{00000000-0005-0000-0000-00005D200000}"/>
    <cellStyle name="Normal 4 3 3 2 5 2 2 2 2" xfId="30918" xr:uid="{00000000-0005-0000-0000-00005E200000}"/>
    <cellStyle name="Normal 4 3 3 2 5 2 2 2 2 2" xfId="37529" xr:uid="{1EA3604F-6F4E-4654-AD88-1A0095F195C7}"/>
    <cellStyle name="Normal 4 3 3 2 5 2 2 2 3" xfId="30919" xr:uid="{00000000-0005-0000-0000-00005F200000}"/>
    <cellStyle name="Normal 4 3 3 2 5 2 2 2 3 2" xfId="37530" xr:uid="{86A26CD9-1DB8-485F-A6EF-DEBF775E5964}"/>
    <cellStyle name="Normal 4 3 3 2 5 2 2 2 4" xfId="37528" xr:uid="{7A962ACE-30C9-45B0-8DA8-7DE5922FFFC9}"/>
    <cellStyle name="Normal 4 3 3 2 5 2 2 3" xfId="30920" xr:uid="{00000000-0005-0000-0000-000060200000}"/>
    <cellStyle name="Normal 4 3 3 2 5 2 2 3 2" xfId="37531" xr:uid="{98980605-A402-4768-BB53-BED7FF747F84}"/>
    <cellStyle name="Normal 4 3 3 2 5 2 2 4" xfId="30921" xr:uid="{00000000-0005-0000-0000-000061200000}"/>
    <cellStyle name="Normal 4 3 3 2 5 2 2 4 2" xfId="37532" xr:uid="{BC805765-8B5D-47A2-9A0C-B51CA5B0BD9E}"/>
    <cellStyle name="Normal 4 3 3 2 5 2 2 5" xfId="30922" xr:uid="{00000000-0005-0000-0000-000062200000}"/>
    <cellStyle name="Normal 4 3 3 2 5 2 2 5 2" xfId="37533" xr:uid="{854DB4B4-65D8-49C7-BC5C-A18C577459D9}"/>
    <cellStyle name="Normal 4 3 3 2 5 2 2 6" xfId="37527" xr:uid="{42AC9CEC-DCD1-4D8F-B695-C7526A72C4E6}"/>
    <cellStyle name="Normal 4 3 3 2 5 2 3" xfId="30923" xr:uid="{00000000-0005-0000-0000-000063200000}"/>
    <cellStyle name="Normal 4 3 3 2 5 2 3 2" xfId="30924" xr:uid="{00000000-0005-0000-0000-000064200000}"/>
    <cellStyle name="Normal 4 3 3 2 5 2 3 2 2" xfId="30925" xr:uid="{00000000-0005-0000-0000-000065200000}"/>
    <cellStyle name="Normal 4 3 3 2 5 2 3 2 2 2" xfId="37536" xr:uid="{DB2E4C84-D742-45D7-BD15-8B1E2C6C9F40}"/>
    <cellStyle name="Normal 4 3 3 2 5 2 3 2 3" xfId="30926" xr:uid="{00000000-0005-0000-0000-000066200000}"/>
    <cellStyle name="Normal 4 3 3 2 5 2 3 2 3 2" xfId="37537" xr:uid="{B3992747-12DC-43FC-9617-9D2CC767D1D1}"/>
    <cellStyle name="Normal 4 3 3 2 5 2 3 2 4" xfId="37535" xr:uid="{32094673-920B-485B-BC8D-FAB7BCA93C4B}"/>
    <cellStyle name="Normal 4 3 3 2 5 2 3 3" xfId="30927" xr:uid="{00000000-0005-0000-0000-000067200000}"/>
    <cellStyle name="Normal 4 3 3 2 5 2 3 3 2" xfId="37538" xr:uid="{62AC8011-67EF-44C5-AF41-77FE61D8F30A}"/>
    <cellStyle name="Normal 4 3 3 2 5 2 3 4" xfId="30928" xr:uid="{00000000-0005-0000-0000-000068200000}"/>
    <cellStyle name="Normal 4 3 3 2 5 2 3 4 2" xfId="37539" xr:uid="{99D28580-8857-4F64-9E12-03C88E763539}"/>
    <cellStyle name="Normal 4 3 3 2 5 2 3 5" xfId="30929" xr:uid="{00000000-0005-0000-0000-000069200000}"/>
    <cellStyle name="Normal 4 3 3 2 5 2 3 5 2" xfId="37540" xr:uid="{75C830AA-0FC9-4C38-9766-2F7FD252122C}"/>
    <cellStyle name="Normal 4 3 3 2 5 2 3 6" xfId="37534" xr:uid="{AE35E047-05F6-48E2-B6B9-A540D2C07414}"/>
    <cellStyle name="Normal 4 3 3 2 5 2 4" xfId="30930" xr:uid="{00000000-0005-0000-0000-00006A200000}"/>
    <cellStyle name="Normal 4 3 3 2 5 2 4 2" xfId="30931" xr:uid="{00000000-0005-0000-0000-00006B200000}"/>
    <cellStyle name="Normal 4 3 3 2 5 2 4 2 2" xfId="37542" xr:uid="{36D7ED0D-21C7-4916-A7CE-90D6DDF43C42}"/>
    <cellStyle name="Normal 4 3 3 2 5 2 4 3" xfId="30932" xr:uid="{00000000-0005-0000-0000-00006C200000}"/>
    <cellStyle name="Normal 4 3 3 2 5 2 4 3 2" xfId="37543" xr:uid="{E48A5AE5-9FC0-4896-9EC9-52CA0E4CBA4F}"/>
    <cellStyle name="Normal 4 3 3 2 5 2 4 4" xfId="37541" xr:uid="{B13192E3-0A07-4856-BBFD-39C981C184EC}"/>
    <cellStyle name="Normal 4 3 3 2 5 2 5" xfId="30933" xr:uid="{00000000-0005-0000-0000-00006D200000}"/>
    <cellStyle name="Normal 4 3 3 2 5 2 5 2" xfId="37544" xr:uid="{990C616A-201A-48F7-9BFA-6C5B5039E5C2}"/>
    <cellStyle name="Normal 4 3 3 2 5 2 6" xfId="30934" xr:uid="{00000000-0005-0000-0000-00006E200000}"/>
    <cellStyle name="Normal 4 3 3 2 5 2 6 2" xfId="37545" xr:uid="{3EF85FD4-8E4D-4C7B-B3DA-6821A431F591}"/>
    <cellStyle name="Normal 4 3 3 2 5 2 7" xfId="30935" xr:uid="{00000000-0005-0000-0000-00006F200000}"/>
    <cellStyle name="Normal 4 3 3 2 5 2 7 2" xfId="37546" xr:uid="{0854F646-D71C-4AD4-9CD9-1FC39C533F9B}"/>
    <cellStyle name="Normal 4 3 3 2 5 2 8" xfId="37526" xr:uid="{4503F467-76CB-4220-AB2A-3EA4628E58F6}"/>
    <cellStyle name="Normal 4 3 3 2 5 3" xfId="30936" xr:uid="{00000000-0005-0000-0000-000070200000}"/>
    <cellStyle name="Normal 4 3 3 2 5 3 2" xfId="30937" xr:uid="{00000000-0005-0000-0000-000071200000}"/>
    <cellStyle name="Normal 4 3 3 2 5 3 2 2" xfId="30938" xr:uid="{00000000-0005-0000-0000-000072200000}"/>
    <cellStyle name="Normal 4 3 3 2 5 3 2 2 2" xfId="37549" xr:uid="{4D08198D-0605-4C50-9907-16FFC5F24F3B}"/>
    <cellStyle name="Normal 4 3 3 2 5 3 2 3" xfId="30939" xr:uid="{00000000-0005-0000-0000-000073200000}"/>
    <cellStyle name="Normal 4 3 3 2 5 3 2 3 2" xfId="37550" xr:uid="{63BDB7F8-0A80-4E89-94F5-0EC7C517C3AC}"/>
    <cellStyle name="Normal 4 3 3 2 5 3 2 4" xfId="37548" xr:uid="{A5B08A08-6A5B-4E1F-8762-42F0BD9A44C8}"/>
    <cellStyle name="Normal 4 3 3 2 5 3 3" xfId="30940" xr:uid="{00000000-0005-0000-0000-000074200000}"/>
    <cellStyle name="Normal 4 3 3 2 5 3 3 2" xfId="37551" xr:uid="{E5FE6DF1-0551-4FC2-8EF9-FF49EE08884A}"/>
    <cellStyle name="Normal 4 3 3 2 5 3 4" xfId="30941" xr:uid="{00000000-0005-0000-0000-000075200000}"/>
    <cellStyle name="Normal 4 3 3 2 5 3 4 2" xfId="37552" xr:uid="{494B48D9-ED32-42A2-B90A-D48414B5BFE2}"/>
    <cellStyle name="Normal 4 3 3 2 5 3 5" xfId="30942" xr:uid="{00000000-0005-0000-0000-000076200000}"/>
    <cellStyle name="Normal 4 3 3 2 5 3 5 2" xfId="37553" xr:uid="{67E97FB6-846C-4BBE-B65C-EC2D9A324DFB}"/>
    <cellStyle name="Normal 4 3 3 2 5 3 6" xfId="37547" xr:uid="{F06111E5-D993-49F2-A73E-7B00658C6129}"/>
    <cellStyle name="Normal 4 3 3 2 5 4" xfId="30943" xr:uid="{00000000-0005-0000-0000-000077200000}"/>
    <cellStyle name="Normal 4 3 3 2 5 4 2" xfId="30944" xr:uid="{00000000-0005-0000-0000-000078200000}"/>
    <cellStyle name="Normal 4 3 3 2 5 4 2 2" xfId="30945" xr:uid="{00000000-0005-0000-0000-000079200000}"/>
    <cellStyle name="Normal 4 3 3 2 5 4 2 2 2" xfId="37556" xr:uid="{52640EE6-1F9B-473C-8BCC-0312F45B9723}"/>
    <cellStyle name="Normal 4 3 3 2 5 4 2 3" xfId="30946" xr:uid="{00000000-0005-0000-0000-00007A200000}"/>
    <cellStyle name="Normal 4 3 3 2 5 4 2 3 2" xfId="37557" xr:uid="{359D80C8-1581-4081-ACD7-11039806599A}"/>
    <cellStyle name="Normal 4 3 3 2 5 4 2 4" xfId="37555" xr:uid="{CB97A43A-9225-47D0-B2CF-A7B6CD064FDF}"/>
    <cellStyle name="Normal 4 3 3 2 5 4 3" xfId="30947" xr:uid="{00000000-0005-0000-0000-00007B200000}"/>
    <cellStyle name="Normal 4 3 3 2 5 4 3 2" xfId="37558" xr:uid="{250B034E-7B01-4E18-B1A1-1B042CD7EF32}"/>
    <cellStyle name="Normal 4 3 3 2 5 4 4" xfId="30948" xr:uid="{00000000-0005-0000-0000-00007C200000}"/>
    <cellStyle name="Normal 4 3 3 2 5 4 4 2" xfId="37559" xr:uid="{0681E5C9-ADF8-4EF7-8773-F249A0C28A40}"/>
    <cellStyle name="Normal 4 3 3 2 5 4 5" xfId="30949" xr:uid="{00000000-0005-0000-0000-00007D200000}"/>
    <cellStyle name="Normal 4 3 3 2 5 4 5 2" xfId="37560" xr:uid="{703E85BB-63D8-4C99-A61F-C241C12247AB}"/>
    <cellStyle name="Normal 4 3 3 2 5 4 6" xfId="37554" xr:uid="{25124415-3967-4F59-8693-3E6ECE680912}"/>
    <cellStyle name="Normal 4 3 3 2 5 5" xfId="30950" xr:uid="{00000000-0005-0000-0000-00007E200000}"/>
    <cellStyle name="Normal 4 3 3 2 5 5 2" xfId="30951" xr:uid="{00000000-0005-0000-0000-00007F200000}"/>
    <cellStyle name="Normal 4 3 3 2 5 5 2 2" xfId="37562" xr:uid="{E7054063-3BB3-46DC-8E65-01D202D701EF}"/>
    <cellStyle name="Normal 4 3 3 2 5 5 3" xfId="30952" xr:uid="{00000000-0005-0000-0000-000080200000}"/>
    <cellStyle name="Normal 4 3 3 2 5 5 3 2" xfId="37563" xr:uid="{42FE3818-B6CF-4EED-BAC7-EB583D2F6582}"/>
    <cellStyle name="Normal 4 3 3 2 5 5 4" xfId="37561" xr:uid="{6C022A0B-5B37-405F-92A4-82A21C68A9DE}"/>
    <cellStyle name="Normal 4 3 3 2 5 6" xfId="30953" xr:uid="{00000000-0005-0000-0000-000081200000}"/>
    <cellStyle name="Normal 4 3 3 2 5 6 2" xfId="37564" xr:uid="{52E31972-3A00-4EB3-82CF-B8A5A0A35B50}"/>
    <cellStyle name="Normal 4 3 3 2 5 7" xfId="30954" xr:uid="{00000000-0005-0000-0000-000082200000}"/>
    <cellStyle name="Normal 4 3 3 2 5 7 2" xfId="37565" xr:uid="{8E39AB73-3011-4E30-81A6-FE899CE0144D}"/>
    <cellStyle name="Normal 4 3 3 2 5 8" xfId="30955" xr:uid="{00000000-0005-0000-0000-000083200000}"/>
    <cellStyle name="Normal 4 3 3 2 5 8 2" xfId="37566" xr:uid="{A5AC5B07-59F1-418D-9CA4-24A8C766754E}"/>
    <cellStyle name="Normal 4 3 3 2 5 9" xfId="37525" xr:uid="{530D76BB-D16C-47FA-AB82-8D0A9734B415}"/>
    <cellStyle name="Normal 4 3 3 2 6" xfId="30956" xr:uid="{00000000-0005-0000-0000-000084200000}"/>
    <cellStyle name="Normal 4 3 3 2 6 2" xfId="30957" xr:uid="{00000000-0005-0000-0000-000085200000}"/>
    <cellStyle name="Normal 4 3 3 2 6 2 2" xfId="30958" xr:uid="{00000000-0005-0000-0000-000086200000}"/>
    <cellStyle name="Normal 4 3 3 2 6 2 2 2" xfId="30959" xr:uid="{00000000-0005-0000-0000-000087200000}"/>
    <cellStyle name="Normal 4 3 3 2 6 2 2 2 2" xfId="37570" xr:uid="{CCF61B3F-35B9-4C1F-9118-0C8B73BE268D}"/>
    <cellStyle name="Normal 4 3 3 2 6 2 2 3" xfId="30960" xr:uid="{00000000-0005-0000-0000-000088200000}"/>
    <cellStyle name="Normal 4 3 3 2 6 2 2 3 2" xfId="37571" xr:uid="{69053F26-593B-4815-8F12-D446B6743F1F}"/>
    <cellStyle name="Normal 4 3 3 2 6 2 2 4" xfId="37569" xr:uid="{89B0AC42-2564-4A1C-B790-30374BE78910}"/>
    <cellStyle name="Normal 4 3 3 2 6 2 3" xfId="30961" xr:uid="{00000000-0005-0000-0000-000089200000}"/>
    <cellStyle name="Normal 4 3 3 2 6 2 3 2" xfId="37572" xr:uid="{4BC64A53-BFF8-4C00-B3A3-377EA64BAEA8}"/>
    <cellStyle name="Normal 4 3 3 2 6 2 4" xfId="30962" xr:uid="{00000000-0005-0000-0000-00008A200000}"/>
    <cellStyle name="Normal 4 3 3 2 6 2 4 2" xfId="37573" xr:uid="{5865FEF1-B1A5-41F3-AF15-A6F8ED0B4851}"/>
    <cellStyle name="Normal 4 3 3 2 6 2 5" xfId="30963" xr:uid="{00000000-0005-0000-0000-00008B200000}"/>
    <cellStyle name="Normal 4 3 3 2 6 2 5 2" xfId="37574" xr:uid="{3DBB03C1-227C-44D3-888B-66A5F40C8727}"/>
    <cellStyle name="Normal 4 3 3 2 6 2 6" xfId="37568" xr:uid="{FC33050D-B409-4795-9C5F-91D20C84E868}"/>
    <cellStyle name="Normal 4 3 3 2 6 3" xfId="30964" xr:uid="{00000000-0005-0000-0000-00008C200000}"/>
    <cellStyle name="Normal 4 3 3 2 6 3 2" xfId="30965" xr:uid="{00000000-0005-0000-0000-00008D200000}"/>
    <cellStyle name="Normal 4 3 3 2 6 3 2 2" xfId="30966" xr:uid="{00000000-0005-0000-0000-00008E200000}"/>
    <cellStyle name="Normal 4 3 3 2 6 3 2 2 2" xfId="37577" xr:uid="{CF4FD8B2-93AE-4D58-A85E-BBFF17C0234F}"/>
    <cellStyle name="Normal 4 3 3 2 6 3 2 3" xfId="30967" xr:uid="{00000000-0005-0000-0000-00008F200000}"/>
    <cellStyle name="Normal 4 3 3 2 6 3 2 3 2" xfId="37578" xr:uid="{9245D09C-C7F9-4834-9186-A555045EF92D}"/>
    <cellStyle name="Normal 4 3 3 2 6 3 2 4" xfId="37576" xr:uid="{CA5BD34D-4B20-437C-B5C0-22C5B72079D1}"/>
    <cellStyle name="Normal 4 3 3 2 6 3 3" xfId="30968" xr:uid="{00000000-0005-0000-0000-000090200000}"/>
    <cellStyle name="Normal 4 3 3 2 6 3 3 2" xfId="37579" xr:uid="{F8B7C4FB-0A04-47E8-B37D-A8DEA7BB3AB3}"/>
    <cellStyle name="Normal 4 3 3 2 6 3 4" xfId="30969" xr:uid="{00000000-0005-0000-0000-000091200000}"/>
    <cellStyle name="Normal 4 3 3 2 6 3 4 2" xfId="37580" xr:uid="{D5EDA25D-8962-49DE-AE3C-F4FF5400CDE0}"/>
    <cellStyle name="Normal 4 3 3 2 6 3 5" xfId="30970" xr:uid="{00000000-0005-0000-0000-000092200000}"/>
    <cellStyle name="Normal 4 3 3 2 6 3 5 2" xfId="37581" xr:uid="{6D6DE812-AFAF-4B15-B873-8FD2BE87D7F2}"/>
    <cellStyle name="Normal 4 3 3 2 6 3 6" xfId="37575" xr:uid="{0680274C-74E9-4E83-8B41-3DEE796AB3FB}"/>
    <cellStyle name="Normal 4 3 3 2 6 4" xfId="30971" xr:uid="{00000000-0005-0000-0000-000093200000}"/>
    <cellStyle name="Normal 4 3 3 2 6 4 2" xfId="30972" xr:uid="{00000000-0005-0000-0000-000094200000}"/>
    <cellStyle name="Normal 4 3 3 2 6 4 2 2" xfId="37583" xr:uid="{C9B0E659-DE0C-45CA-8C91-FE3327703C80}"/>
    <cellStyle name="Normal 4 3 3 2 6 4 3" xfId="30973" xr:uid="{00000000-0005-0000-0000-000095200000}"/>
    <cellStyle name="Normal 4 3 3 2 6 4 3 2" xfId="37584" xr:uid="{6FF19BD3-0746-46AA-B694-F579B964033F}"/>
    <cellStyle name="Normal 4 3 3 2 6 4 4" xfId="37582" xr:uid="{B1B667E5-BAEE-4DBA-83E2-70DED08D8848}"/>
    <cellStyle name="Normal 4 3 3 2 6 5" xfId="30974" xr:uid="{00000000-0005-0000-0000-000096200000}"/>
    <cellStyle name="Normal 4 3 3 2 6 5 2" xfId="37585" xr:uid="{6524EC61-6F7B-4D3B-98F7-F04C2BEF8B5E}"/>
    <cellStyle name="Normal 4 3 3 2 6 6" xfId="30975" xr:uid="{00000000-0005-0000-0000-000097200000}"/>
    <cellStyle name="Normal 4 3 3 2 6 6 2" xfId="37586" xr:uid="{B4B448C2-C2F2-4E25-86E7-57AE78ECF4EC}"/>
    <cellStyle name="Normal 4 3 3 2 6 7" xfId="30976" xr:uid="{00000000-0005-0000-0000-000098200000}"/>
    <cellStyle name="Normal 4 3 3 2 6 7 2" xfId="37587" xr:uid="{B36458F1-A477-46BC-9397-8D5248268943}"/>
    <cellStyle name="Normal 4 3 3 2 6 8" xfId="37567" xr:uid="{34C865B6-9EA4-4BF8-8F10-E3BD33610D61}"/>
    <cellStyle name="Normal 4 3 3 2 7" xfId="30977" xr:uid="{00000000-0005-0000-0000-000099200000}"/>
    <cellStyle name="Normal 4 3 3 2 7 2" xfId="30978" xr:uid="{00000000-0005-0000-0000-00009A200000}"/>
    <cellStyle name="Normal 4 3 3 2 7 2 2" xfId="30979" xr:uid="{00000000-0005-0000-0000-00009B200000}"/>
    <cellStyle name="Normal 4 3 3 2 7 2 2 2" xfId="37590" xr:uid="{B96DBB72-9F2C-4B63-B7D2-624C36418893}"/>
    <cellStyle name="Normal 4 3 3 2 7 2 3" xfId="30980" xr:uid="{00000000-0005-0000-0000-00009C200000}"/>
    <cellStyle name="Normal 4 3 3 2 7 2 3 2" xfId="37591" xr:uid="{295B7D98-E28A-45D9-BCCF-F154C688C51B}"/>
    <cellStyle name="Normal 4 3 3 2 7 2 4" xfId="37589" xr:uid="{C3795650-5869-46EC-A9F1-C67D0948D7FC}"/>
    <cellStyle name="Normal 4 3 3 2 7 3" xfId="30981" xr:uid="{00000000-0005-0000-0000-00009D200000}"/>
    <cellStyle name="Normal 4 3 3 2 7 3 2" xfId="37592" xr:uid="{6A930CA0-9BA1-442A-95F9-EB771D705140}"/>
    <cellStyle name="Normal 4 3 3 2 7 4" xfId="30982" xr:uid="{00000000-0005-0000-0000-00009E200000}"/>
    <cellStyle name="Normal 4 3 3 2 7 4 2" xfId="37593" xr:uid="{90C92A33-699D-4A29-BA93-F88CDAE4994C}"/>
    <cellStyle name="Normal 4 3 3 2 7 5" xfId="30983" xr:uid="{00000000-0005-0000-0000-00009F200000}"/>
    <cellStyle name="Normal 4 3 3 2 7 5 2" xfId="37594" xr:uid="{A147D844-4CDD-4716-91F2-FDCA45BFB7B7}"/>
    <cellStyle name="Normal 4 3 3 2 7 6" xfId="37588" xr:uid="{F4AAF24A-AF19-4261-90AA-55C9F171109E}"/>
    <cellStyle name="Normal 4 3 3 2 8" xfId="30984" xr:uid="{00000000-0005-0000-0000-0000A0200000}"/>
    <cellStyle name="Normal 4 3 3 2 8 2" xfId="30985" xr:uid="{00000000-0005-0000-0000-0000A1200000}"/>
    <cellStyle name="Normal 4 3 3 2 8 2 2" xfId="30986" xr:uid="{00000000-0005-0000-0000-0000A2200000}"/>
    <cellStyle name="Normal 4 3 3 2 8 2 2 2" xfId="37597" xr:uid="{E9D7C3DF-FD90-40AC-A84C-6D4D5CF4DEE5}"/>
    <cellStyle name="Normal 4 3 3 2 8 2 3" xfId="30987" xr:uid="{00000000-0005-0000-0000-0000A3200000}"/>
    <cellStyle name="Normal 4 3 3 2 8 2 3 2" xfId="37598" xr:uid="{A9696235-2E80-47CF-9071-880864B69950}"/>
    <cellStyle name="Normal 4 3 3 2 8 2 4" xfId="37596" xr:uid="{72D25F09-6976-49C4-9017-64204E01769C}"/>
    <cellStyle name="Normal 4 3 3 2 8 3" xfId="30988" xr:uid="{00000000-0005-0000-0000-0000A4200000}"/>
    <cellStyle name="Normal 4 3 3 2 8 3 2" xfId="37599" xr:uid="{6A88B9E5-721C-4B14-8EA3-1EB84DB90224}"/>
    <cellStyle name="Normal 4 3 3 2 8 4" xfId="30989" xr:uid="{00000000-0005-0000-0000-0000A5200000}"/>
    <cellStyle name="Normal 4 3 3 2 8 4 2" xfId="37600" xr:uid="{E0563377-C8BD-448D-A2B3-115231EEC99F}"/>
    <cellStyle name="Normal 4 3 3 2 8 5" xfId="30990" xr:uid="{00000000-0005-0000-0000-0000A6200000}"/>
    <cellStyle name="Normal 4 3 3 2 8 5 2" xfId="37601" xr:uid="{F92010F7-4BA7-4F6B-988F-552136865833}"/>
    <cellStyle name="Normal 4 3 3 2 8 6" xfId="37595" xr:uid="{A5EE0FFC-76F3-459B-B917-BE1360B436FE}"/>
    <cellStyle name="Normal 4 3 3 2 9" xfId="30991" xr:uid="{00000000-0005-0000-0000-0000A7200000}"/>
    <cellStyle name="Normal 4 3 3 2 9 2" xfId="30992" xr:uid="{00000000-0005-0000-0000-0000A8200000}"/>
    <cellStyle name="Normal 4 3 3 2 9 2 2" xfId="37603" xr:uid="{99B128CF-E002-4032-A68D-6985262D88CB}"/>
    <cellStyle name="Normal 4 3 3 2 9 3" xfId="30993" xr:uid="{00000000-0005-0000-0000-0000A9200000}"/>
    <cellStyle name="Normal 4 3 3 2 9 3 2" xfId="37604" xr:uid="{B0DF3E8D-E5F4-4E99-B5D5-CE52D8D4EC3C}"/>
    <cellStyle name="Normal 4 3 3 2 9 4" xfId="37602" xr:uid="{5F0CB0AA-E8FB-4CCF-A23A-958DC8C4F3B3}"/>
    <cellStyle name="Normal 4 3 3 3" xfId="5389" xr:uid="{00000000-0005-0000-0000-0000AA200000}"/>
    <cellStyle name="Normal 4 3 3 3 10" xfId="30994" xr:uid="{00000000-0005-0000-0000-0000AB200000}"/>
    <cellStyle name="Normal 4 3 3 3 11" xfId="37605" xr:uid="{5499677D-671B-47E6-924D-8A0D47E9C907}"/>
    <cellStyle name="Normal 4 3 3 3 2" xfId="30995" xr:uid="{00000000-0005-0000-0000-0000AC200000}"/>
    <cellStyle name="Normal 4 3 3 3 2 2" xfId="30996" xr:uid="{00000000-0005-0000-0000-0000AD200000}"/>
    <cellStyle name="Normal 4 3 3 3 2 2 2" xfId="30997" xr:uid="{00000000-0005-0000-0000-0000AE200000}"/>
    <cellStyle name="Normal 4 3 3 3 2 2 2 2" xfId="30998" xr:uid="{00000000-0005-0000-0000-0000AF200000}"/>
    <cellStyle name="Normal 4 3 3 3 2 2 2 2 2" xfId="30999" xr:uid="{00000000-0005-0000-0000-0000B0200000}"/>
    <cellStyle name="Normal 4 3 3 3 2 2 2 2 2 2" xfId="37610" xr:uid="{46584F46-2645-4496-A589-9F4E4FC991CF}"/>
    <cellStyle name="Normal 4 3 3 3 2 2 2 2 3" xfId="31000" xr:uid="{00000000-0005-0000-0000-0000B1200000}"/>
    <cellStyle name="Normal 4 3 3 3 2 2 2 2 3 2" xfId="37611" xr:uid="{9303C85D-439C-4F44-926D-9232ED6968E6}"/>
    <cellStyle name="Normal 4 3 3 3 2 2 2 2 4" xfId="37609" xr:uid="{59835E29-CE80-4C72-8BA1-35840FC7F401}"/>
    <cellStyle name="Normal 4 3 3 3 2 2 2 3" xfId="31001" xr:uid="{00000000-0005-0000-0000-0000B2200000}"/>
    <cellStyle name="Normal 4 3 3 3 2 2 2 3 2" xfId="37612" xr:uid="{A2D87D24-C09C-443F-91F1-70742DA64749}"/>
    <cellStyle name="Normal 4 3 3 3 2 2 2 4" xfId="31002" xr:uid="{00000000-0005-0000-0000-0000B3200000}"/>
    <cellStyle name="Normal 4 3 3 3 2 2 2 4 2" xfId="37613" xr:uid="{9466F577-3996-4C0E-BCFE-484E08DA48CC}"/>
    <cellStyle name="Normal 4 3 3 3 2 2 2 5" xfId="31003" xr:uid="{00000000-0005-0000-0000-0000B4200000}"/>
    <cellStyle name="Normal 4 3 3 3 2 2 2 5 2" xfId="37614" xr:uid="{3CCC7C6E-0116-4D37-9123-93135345435F}"/>
    <cellStyle name="Normal 4 3 3 3 2 2 2 6" xfId="37608" xr:uid="{D8730016-5D48-4B68-8B6A-323B2351B1FE}"/>
    <cellStyle name="Normal 4 3 3 3 2 2 3" xfId="31004" xr:uid="{00000000-0005-0000-0000-0000B5200000}"/>
    <cellStyle name="Normal 4 3 3 3 2 2 3 2" xfId="31005" xr:uid="{00000000-0005-0000-0000-0000B6200000}"/>
    <cellStyle name="Normal 4 3 3 3 2 2 3 2 2" xfId="31006" xr:uid="{00000000-0005-0000-0000-0000B7200000}"/>
    <cellStyle name="Normal 4 3 3 3 2 2 3 2 2 2" xfId="37617" xr:uid="{78C037C3-481B-484A-9581-01B6422DA994}"/>
    <cellStyle name="Normal 4 3 3 3 2 2 3 2 3" xfId="31007" xr:uid="{00000000-0005-0000-0000-0000B8200000}"/>
    <cellStyle name="Normal 4 3 3 3 2 2 3 2 3 2" xfId="37618" xr:uid="{CA5E5A34-718D-4DF0-8D56-41B61A82BE61}"/>
    <cellStyle name="Normal 4 3 3 3 2 2 3 2 4" xfId="37616" xr:uid="{4FF34DE2-D899-40B5-B582-E51ED1BC9877}"/>
    <cellStyle name="Normal 4 3 3 3 2 2 3 3" xfId="31008" xr:uid="{00000000-0005-0000-0000-0000B9200000}"/>
    <cellStyle name="Normal 4 3 3 3 2 2 3 3 2" xfId="37619" xr:uid="{0BF49922-42CE-4713-BFCC-C4A458F16731}"/>
    <cellStyle name="Normal 4 3 3 3 2 2 3 4" xfId="31009" xr:uid="{00000000-0005-0000-0000-0000BA200000}"/>
    <cellStyle name="Normal 4 3 3 3 2 2 3 4 2" xfId="37620" xr:uid="{A4867653-D1D0-4AB2-87D1-8E779F70A2B5}"/>
    <cellStyle name="Normal 4 3 3 3 2 2 3 5" xfId="31010" xr:uid="{00000000-0005-0000-0000-0000BB200000}"/>
    <cellStyle name="Normal 4 3 3 3 2 2 3 5 2" xfId="37621" xr:uid="{349AFFF6-3A1A-4EDE-9F26-382BF4DFBEA2}"/>
    <cellStyle name="Normal 4 3 3 3 2 2 3 6" xfId="37615" xr:uid="{6B70C775-672B-4403-8AB4-418413E61F44}"/>
    <cellStyle name="Normal 4 3 3 3 2 2 4" xfId="31011" xr:uid="{00000000-0005-0000-0000-0000BC200000}"/>
    <cellStyle name="Normal 4 3 3 3 2 2 4 2" xfId="31012" xr:uid="{00000000-0005-0000-0000-0000BD200000}"/>
    <cellStyle name="Normal 4 3 3 3 2 2 4 2 2" xfId="37623" xr:uid="{C7869710-5FD2-4108-BD2B-F8B067DD3DFD}"/>
    <cellStyle name="Normal 4 3 3 3 2 2 4 3" xfId="31013" xr:uid="{00000000-0005-0000-0000-0000BE200000}"/>
    <cellStyle name="Normal 4 3 3 3 2 2 4 3 2" xfId="37624" xr:uid="{571F337E-CCC8-4149-A9F3-0B0F50044800}"/>
    <cellStyle name="Normal 4 3 3 3 2 2 4 4" xfId="37622" xr:uid="{7BB81B53-4E11-4502-8A1D-CDACD99FA09B}"/>
    <cellStyle name="Normal 4 3 3 3 2 2 5" xfId="31014" xr:uid="{00000000-0005-0000-0000-0000BF200000}"/>
    <cellStyle name="Normal 4 3 3 3 2 2 5 2" xfId="37625" xr:uid="{CECD031C-CB0D-48C5-9381-169DBB655CD3}"/>
    <cellStyle name="Normal 4 3 3 3 2 2 6" xfId="31015" xr:uid="{00000000-0005-0000-0000-0000C0200000}"/>
    <cellStyle name="Normal 4 3 3 3 2 2 6 2" xfId="37626" xr:uid="{98646079-5297-4C1D-8C55-41FB5BE33E79}"/>
    <cellStyle name="Normal 4 3 3 3 2 2 7" xfId="31016" xr:uid="{00000000-0005-0000-0000-0000C1200000}"/>
    <cellStyle name="Normal 4 3 3 3 2 2 7 2" xfId="37627" xr:uid="{D16A1E65-10E3-4770-921D-75F78256097F}"/>
    <cellStyle name="Normal 4 3 3 3 2 2 8" xfId="37607" xr:uid="{7DA608A2-E01D-49A8-956B-E060E8FA860A}"/>
    <cellStyle name="Normal 4 3 3 3 2 3" xfId="31017" xr:uid="{00000000-0005-0000-0000-0000C2200000}"/>
    <cellStyle name="Normal 4 3 3 3 2 3 2" xfId="31018" xr:uid="{00000000-0005-0000-0000-0000C3200000}"/>
    <cellStyle name="Normal 4 3 3 3 2 3 2 2" xfId="31019" xr:uid="{00000000-0005-0000-0000-0000C4200000}"/>
    <cellStyle name="Normal 4 3 3 3 2 3 2 2 2" xfId="37630" xr:uid="{5E3D8DEA-95E7-4705-B10C-CA75895F1F76}"/>
    <cellStyle name="Normal 4 3 3 3 2 3 2 3" xfId="31020" xr:uid="{00000000-0005-0000-0000-0000C5200000}"/>
    <cellStyle name="Normal 4 3 3 3 2 3 2 3 2" xfId="37631" xr:uid="{F9C773A9-AB2B-4058-86D6-F6BF5A3FD850}"/>
    <cellStyle name="Normal 4 3 3 3 2 3 2 4" xfId="37629" xr:uid="{299C80E9-0DE0-482D-9524-F2FC163FF7DE}"/>
    <cellStyle name="Normal 4 3 3 3 2 3 3" xfId="31021" xr:uid="{00000000-0005-0000-0000-0000C6200000}"/>
    <cellStyle name="Normal 4 3 3 3 2 3 3 2" xfId="37632" xr:uid="{A4D057CD-BF71-4894-A6C8-D121626C80BF}"/>
    <cellStyle name="Normal 4 3 3 3 2 3 4" xfId="31022" xr:uid="{00000000-0005-0000-0000-0000C7200000}"/>
    <cellStyle name="Normal 4 3 3 3 2 3 4 2" xfId="37633" xr:uid="{2A2CF6F8-5F60-43CC-9607-17085646B5B5}"/>
    <cellStyle name="Normal 4 3 3 3 2 3 5" xfId="31023" xr:uid="{00000000-0005-0000-0000-0000C8200000}"/>
    <cellStyle name="Normal 4 3 3 3 2 3 5 2" xfId="37634" xr:uid="{245161E8-0918-4E1A-9F20-F61E6BB04C51}"/>
    <cellStyle name="Normal 4 3 3 3 2 3 6" xfId="37628" xr:uid="{8F1DB3FF-C369-4A01-AABE-990054A2F8FF}"/>
    <cellStyle name="Normal 4 3 3 3 2 4" xfId="31024" xr:uid="{00000000-0005-0000-0000-0000C9200000}"/>
    <cellStyle name="Normal 4 3 3 3 2 4 2" xfId="31025" xr:uid="{00000000-0005-0000-0000-0000CA200000}"/>
    <cellStyle name="Normal 4 3 3 3 2 4 2 2" xfId="31026" xr:uid="{00000000-0005-0000-0000-0000CB200000}"/>
    <cellStyle name="Normal 4 3 3 3 2 4 2 2 2" xfId="37637" xr:uid="{2F1E29B8-7518-4F49-809F-58B0376958FB}"/>
    <cellStyle name="Normal 4 3 3 3 2 4 2 3" xfId="31027" xr:uid="{00000000-0005-0000-0000-0000CC200000}"/>
    <cellStyle name="Normal 4 3 3 3 2 4 2 3 2" xfId="37638" xr:uid="{CC8A62C0-34F1-43EE-8132-C36E006FB825}"/>
    <cellStyle name="Normal 4 3 3 3 2 4 2 4" xfId="37636" xr:uid="{C1E9D577-CD0E-4C6D-8E5E-0AA961975682}"/>
    <cellStyle name="Normal 4 3 3 3 2 4 3" xfId="31028" xr:uid="{00000000-0005-0000-0000-0000CD200000}"/>
    <cellStyle name="Normal 4 3 3 3 2 4 3 2" xfId="37639" xr:uid="{C35E6C06-5BBB-456E-9C75-210399D16C2E}"/>
    <cellStyle name="Normal 4 3 3 3 2 4 4" xfId="31029" xr:uid="{00000000-0005-0000-0000-0000CE200000}"/>
    <cellStyle name="Normal 4 3 3 3 2 4 4 2" xfId="37640" xr:uid="{E6E135C2-40BF-4467-AE46-A56E0FEDB3B2}"/>
    <cellStyle name="Normal 4 3 3 3 2 4 5" xfId="31030" xr:uid="{00000000-0005-0000-0000-0000CF200000}"/>
    <cellStyle name="Normal 4 3 3 3 2 4 5 2" xfId="37641" xr:uid="{14335771-7B5A-4BDA-906F-0C446409CE22}"/>
    <cellStyle name="Normal 4 3 3 3 2 4 6" xfId="37635" xr:uid="{E47116C7-754F-4EDB-A966-BFCAE860CC90}"/>
    <cellStyle name="Normal 4 3 3 3 2 5" xfId="31031" xr:uid="{00000000-0005-0000-0000-0000D0200000}"/>
    <cellStyle name="Normal 4 3 3 3 2 5 2" xfId="31032" xr:uid="{00000000-0005-0000-0000-0000D1200000}"/>
    <cellStyle name="Normal 4 3 3 3 2 5 2 2" xfId="37643" xr:uid="{A0ADE851-702A-41FA-8A4B-1AB62A26CF75}"/>
    <cellStyle name="Normal 4 3 3 3 2 5 3" xfId="31033" xr:uid="{00000000-0005-0000-0000-0000D2200000}"/>
    <cellStyle name="Normal 4 3 3 3 2 5 3 2" xfId="37644" xr:uid="{DC61F0A4-62FD-42A3-8D8A-449E1A87F560}"/>
    <cellStyle name="Normal 4 3 3 3 2 5 4" xfId="37642" xr:uid="{15F6109B-911D-4160-870D-6C3C81C56C94}"/>
    <cellStyle name="Normal 4 3 3 3 2 6" xfId="31034" xr:uid="{00000000-0005-0000-0000-0000D3200000}"/>
    <cellStyle name="Normal 4 3 3 3 2 6 2" xfId="37645" xr:uid="{4A71AD70-41DC-40B4-AA9A-4486569795F5}"/>
    <cellStyle name="Normal 4 3 3 3 2 7" xfId="31035" xr:uid="{00000000-0005-0000-0000-0000D4200000}"/>
    <cellStyle name="Normal 4 3 3 3 2 7 2" xfId="37646" xr:uid="{FBB44465-043E-4AFE-8F7A-5D2F8C7BE8BD}"/>
    <cellStyle name="Normal 4 3 3 3 2 8" xfId="31036" xr:uid="{00000000-0005-0000-0000-0000D5200000}"/>
    <cellStyle name="Normal 4 3 3 3 2 8 2" xfId="37647" xr:uid="{185F0159-FC31-4D30-9F6C-4AEB9F864217}"/>
    <cellStyle name="Normal 4 3 3 3 2 9" xfId="37606" xr:uid="{B2E77A59-3ABB-4547-BAB0-FE22C21090EF}"/>
    <cellStyle name="Normal 4 3 3 3 3" xfId="31037" xr:uid="{00000000-0005-0000-0000-0000D6200000}"/>
    <cellStyle name="Normal 4 3 3 3 3 2" xfId="31038" xr:uid="{00000000-0005-0000-0000-0000D7200000}"/>
    <cellStyle name="Normal 4 3 3 3 3 2 2" xfId="31039" xr:uid="{00000000-0005-0000-0000-0000D8200000}"/>
    <cellStyle name="Normal 4 3 3 3 3 2 2 2" xfId="31040" xr:uid="{00000000-0005-0000-0000-0000D9200000}"/>
    <cellStyle name="Normal 4 3 3 3 3 2 2 2 2" xfId="37651" xr:uid="{24E77443-6616-4449-9417-2E36B98BD09B}"/>
    <cellStyle name="Normal 4 3 3 3 3 2 2 3" xfId="31041" xr:uid="{00000000-0005-0000-0000-0000DA200000}"/>
    <cellStyle name="Normal 4 3 3 3 3 2 2 3 2" xfId="37652" xr:uid="{10362542-9055-48B3-9DC9-5B8D7F2D95E5}"/>
    <cellStyle name="Normal 4 3 3 3 3 2 2 4" xfId="37650" xr:uid="{16090A56-F6F3-4B09-B863-15EEB375BFBA}"/>
    <cellStyle name="Normal 4 3 3 3 3 2 3" xfId="31042" xr:uid="{00000000-0005-0000-0000-0000DB200000}"/>
    <cellStyle name="Normal 4 3 3 3 3 2 3 2" xfId="37653" xr:uid="{D366AF79-AB5B-421C-8211-7D4C4270C843}"/>
    <cellStyle name="Normal 4 3 3 3 3 2 4" xfId="31043" xr:uid="{00000000-0005-0000-0000-0000DC200000}"/>
    <cellStyle name="Normal 4 3 3 3 3 2 4 2" xfId="37654" xr:uid="{B303B86E-1BBB-478C-ACCC-1119D089E536}"/>
    <cellStyle name="Normal 4 3 3 3 3 2 5" xfId="31044" xr:uid="{00000000-0005-0000-0000-0000DD200000}"/>
    <cellStyle name="Normal 4 3 3 3 3 2 5 2" xfId="37655" xr:uid="{455142A4-C0AC-43AA-BD91-9EA21AB7A5A5}"/>
    <cellStyle name="Normal 4 3 3 3 3 2 6" xfId="37649" xr:uid="{E4FCB633-6A15-4DC6-9EFD-95CB79E9607D}"/>
    <cellStyle name="Normal 4 3 3 3 3 3" xfId="31045" xr:uid="{00000000-0005-0000-0000-0000DE200000}"/>
    <cellStyle name="Normal 4 3 3 3 3 3 2" xfId="31046" xr:uid="{00000000-0005-0000-0000-0000DF200000}"/>
    <cellStyle name="Normal 4 3 3 3 3 3 2 2" xfId="31047" xr:uid="{00000000-0005-0000-0000-0000E0200000}"/>
    <cellStyle name="Normal 4 3 3 3 3 3 2 2 2" xfId="37658" xr:uid="{046FB61E-CEB2-4C41-98A0-85A268D9BF1A}"/>
    <cellStyle name="Normal 4 3 3 3 3 3 2 3" xfId="31048" xr:uid="{00000000-0005-0000-0000-0000E1200000}"/>
    <cellStyle name="Normal 4 3 3 3 3 3 2 3 2" xfId="37659" xr:uid="{415545C1-2C01-49A5-8EDF-3C41963468C2}"/>
    <cellStyle name="Normal 4 3 3 3 3 3 2 4" xfId="37657" xr:uid="{7799E343-EEAD-45A0-9913-7FCF5CA6F05E}"/>
    <cellStyle name="Normal 4 3 3 3 3 3 3" xfId="31049" xr:uid="{00000000-0005-0000-0000-0000E2200000}"/>
    <cellStyle name="Normal 4 3 3 3 3 3 3 2" xfId="37660" xr:uid="{8F3E3A85-1E45-4C95-A13F-75ECEAFDA4D9}"/>
    <cellStyle name="Normal 4 3 3 3 3 3 4" xfId="31050" xr:uid="{00000000-0005-0000-0000-0000E3200000}"/>
    <cellStyle name="Normal 4 3 3 3 3 3 4 2" xfId="37661" xr:uid="{840F1CCA-65C1-4511-88B9-43F30B409D96}"/>
    <cellStyle name="Normal 4 3 3 3 3 3 5" xfId="31051" xr:uid="{00000000-0005-0000-0000-0000E4200000}"/>
    <cellStyle name="Normal 4 3 3 3 3 3 5 2" xfId="37662" xr:uid="{81F27CC8-F7A9-4802-B000-FBAED48F5136}"/>
    <cellStyle name="Normal 4 3 3 3 3 3 6" xfId="37656" xr:uid="{6C4787A0-ECBB-4E6D-9940-28F08D4A38D7}"/>
    <cellStyle name="Normal 4 3 3 3 3 4" xfId="31052" xr:uid="{00000000-0005-0000-0000-0000E5200000}"/>
    <cellStyle name="Normal 4 3 3 3 3 4 2" xfId="31053" xr:uid="{00000000-0005-0000-0000-0000E6200000}"/>
    <cellStyle name="Normal 4 3 3 3 3 4 2 2" xfId="37664" xr:uid="{B28680C5-1233-43EF-A0B3-A9925CF53017}"/>
    <cellStyle name="Normal 4 3 3 3 3 4 3" xfId="31054" xr:uid="{00000000-0005-0000-0000-0000E7200000}"/>
    <cellStyle name="Normal 4 3 3 3 3 4 3 2" xfId="37665" xr:uid="{7855F69A-6566-4DF0-B706-BC2A6633CE70}"/>
    <cellStyle name="Normal 4 3 3 3 3 4 4" xfId="37663" xr:uid="{D235054C-46AA-4EC1-9BED-D28EBD368EB3}"/>
    <cellStyle name="Normal 4 3 3 3 3 5" xfId="31055" xr:uid="{00000000-0005-0000-0000-0000E8200000}"/>
    <cellStyle name="Normal 4 3 3 3 3 5 2" xfId="37666" xr:uid="{87AE520F-D88A-4569-B199-59D39059761F}"/>
    <cellStyle name="Normal 4 3 3 3 3 6" xfId="31056" xr:uid="{00000000-0005-0000-0000-0000E9200000}"/>
    <cellStyle name="Normal 4 3 3 3 3 6 2" xfId="37667" xr:uid="{53041F7A-682D-44AD-9C53-A67985EE010C}"/>
    <cellStyle name="Normal 4 3 3 3 3 7" xfId="31057" xr:uid="{00000000-0005-0000-0000-0000EA200000}"/>
    <cellStyle name="Normal 4 3 3 3 3 7 2" xfId="37668" xr:uid="{13FF5481-AD3F-4197-8342-8F876E1F0282}"/>
    <cellStyle name="Normal 4 3 3 3 3 8" xfId="37648" xr:uid="{EA6B7917-0134-49CF-9C76-9BDD7122098B}"/>
    <cellStyle name="Normal 4 3 3 3 4" xfId="31058" xr:uid="{00000000-0005-0000-0000-0000EB200000}"/>
    <cellStyle name="Normal 4 3 3 3 4 2" xfId="31059" xr:uid="{00000000-0005-0000-0000-0000EC200000}"/>
    <cellStyle name="Normal 4 3 3 3 4 2 2" xfId="31060" xr:uid="{00000000-0005-0000-0000-0000ED200000}"/>
    <cellStyle name="Normal 4 3 3 3 4 2 2 2" xfId="37671" xr:uid="{3E59C803-9F8E-48BB-B40C-ACBFF55D18A7}"/>
    <cellStyle name="Normal 4 3 3 3 4 2 3" xfId="31061" xr:uid="{00000000-0005-0000-0000-0000EE200000}"/>
    <cellStyle name="Normal 4 3 3 3 4 2 3 2" xfId="37672" xr:uid="{11C70F59-0D6A-48D3-9331-93678D3895DA}"/>
    <cellStyle name="Normal 4 3 3 3 4 2 4" xfId="37670" xr:uid="{887764EA-2156-441B-8DD7-78B0AF026781}"/>
    <cellStyle name="Normal 4 3 3 3 4 3" xfId="31062" xr:uid="{00000000-0005-0000-0000-0000EF200000}"/>
    <cellStyle name="Normal 4 3 3 3 4 3 2" xfId="37673" xr:uid="{B3A8AB06-33EC-406A-A497-AAA43224D4A3}"/>
    <cellStyle name="Normal 4 3 3 3 4 4" xfId="31063" xr:uid="{00000000-0005-0000-0000-0000F0200000}"/>
    <cellStyle name="Normal 4 3 3 3 4 4 2" xfId="37674" xr:uid="{D262ECE2-0402-481C-8F9A-6D353F2803F8}"/>
    <cellStyle name="Normal 4 3 3 3 4 5" xfId="31064" xr:uid="{00000000-0005-0000-0000-0000F1200000}"/>
    <cellStyle name="Normal 4 3 3 3 4 5 2" xfId="37675" xr:uid="{5E6540AA-BF5B-4C0E-BF9E-740008C8CF3C}"/>
    <cellStyle name="Normal 4 3 3 3 4 6" xfId="37669" xr:uid="{D422B9DB-1853-45A3-B3C9-E7C34143F541}"/>
    <cellStyle name="Normal 4 3 3 3 5" xfId="31065" xr:uid="{00000000-0005-0000-0000-0000F2200000}"/>
    <cellStyle name="Normal 4 3 3 3 5 2" xfId="31066" xr:uid="{00000000-0005-0000-0000-0000F3200000}"/>
    <cellStyle name="Normal 4 3 3 3 5 2 2" xfId="31067" xr:uid="{00000000-0005-0000-0000-0000F4200000}"/>
    <cellStyle name="Normal 4 3 3 3 5 2 2 2" xfId="37678" xr:uid="{7C128D48-674D-4970-9039-61A70DD3E631}"/>
    <cellStyle name="Normal 4 3 3 3 5 2 3" xfId="31068" xr:uid="{00000000-0005-0000-0000-0000F5200000}"/>
    <cellStyle name="Normal 4 3 3 3 5 2 3 2" xfId="37679" xr:uid="{DCCB3E0A-72C6-41AE-8EC9-001581201DCD}"/>
    <cellStyle name="Normal 4 3 3 3 5 2 4" xfId="37677" xr:uid="{910DC8C0-56C8-4D82-998B-F2EE7A2395E9}"/>
    <cellStyle name="Normal 4 3 3 3 5 3" xfId="31069" xr:uid="{00000000-0005-0000-0000-0000F6200000}"/>
    <cellStyle name="Normal 4 3 3 3 5 3 2" xfId="37680" xr:uid="{A0E18A2D-8B6C-4EF5-84DA-85F20C141CA8}"/>
    <cellStyle name="Normal 4 3 3 3 5 4" xfId="31070" xr:uid="{00000000-0005-0000-0000-0000F7200000}"/>
    <cellStyle name="Normal 4 3 3 3 5 4 2" xfId="37681" xr:uid="{7A030062-BB0D-4620-912F-409C1566237A}"/>
    <cellStyle name="Normal 4 3 3 3 5 5" xfId="31071" xr:uid="{00000000-0005-0000-0000-0000F8200000}"/>
    <cellStyle name="Normal 4 3 3 3 5 5 2" xfId="37682" xr:uid="{4068635B-D7FF-4A1D-BC23-C08CA7829692}"/>
    <cellStyle name="Normal 4 3 3 3 5 6" xfId="37676" xr:uid="{B7BD01D3-B38B-48C6-A6D4-ADE730898CD4}"/>
    <cellStyle name="Normal 4 3 3 3 6" xfId="31072" xr:uid="{00000000-0005-0000-0000-0000F9200000}"/>
    <cellStyle name="Normal 4 3 3 3 6 2" xfId="31073" xr:uid="{00000000-0005-0000-0000-0000FA200000}"/>
    <cellStyle name="Normal 4 3 3 3 6 2 2" xfId="37684" xr:uid="{76712E39-5013-4B08-9723-D7E397487F9B}"/>
    <cellStyle name="Normal 4 3 3 3 6 3" xfId="31074" xr:uid="{00000000-0005-0000-0000-0000FB200000}"/>
    <cellStyle name="Normal 4 3 3 3 6 3 2" xfId="37685" xr:uid="{F56AEDA5-0B6D-4DDF-B0E4-6188B9E8B80F}"/>
    <cellStyle name="Normal 4 3 3 3 6 4" xfId="37683" xr:uid="{30AF90DC-5045-47BD-951C-1FE93312E668}"/>
    <cellStyle name="Normal 4 3 3 3 7" xfId="31075" xr:uid="{00000000-0005-0000-0000-0000FC200000}"/>
    <cellStyle name="Normal 4 3 3 3 7 2" xfId="37686" xr:uid="{AB040FEB-7FC8-4EC6-9813-33BA8E5ED5E1}"/>
    <cellStyle name="Normal 4 3 3 3 8" xfId="31076" xr:uid="{00000000-0005-0000-0000-0000FD200000}"/>
    <cellStyle name="Normal 4 3 3 3 8 2" xfId="37687" xr:uid="{0F4E7054-F7A7-4E72-8C49-9ED0FEA5F899}"/>
    <cellStyle name="Normal 4 3 3 3 9" xfId="31077" xr:uid="{00000000-0005-0000-0000-0000FE200000}"/>
    <cellStyle name="Normal 4 3 3 3 9 2" xfId="37688" xr:uid="{2FA1A978-3ECD-4A17-BB21-6CD7E373A58E}"/>
    <cellStyle name="Normal 4 3 3 4" xfId="31078" xr:uid="{00000000-0005-0000-0000-0000FF200000}"/>
    <cellStyle name="Normal 4 3 3 4 10" xfId="37689" xr:uid="{E0E7518B-C58E-41F5-96BD-18FC50D7718C}"/>
    <cellStyle name="Normal 4 3 3 4 2" xfId="31079" xr:uid="{00000000-0005-0000-0000-000000210000}"/>
    <cellStyle name="Normal 4 3 3 4 2 2" xfId="31080" xr:uid="{00000000-0005-0000-0000-000001210000}"/>
    <cellStyle name="Normal 4 3 3 4 2 2 2" xfId="31081" xr:uid="{00000000-0005-0000-0000-000002210000}"/>
    <cellStyle name="Normal 4 3 3 4 2 2 2 2" xfId="31082" xr:uid="{00000000-0005-0000-0000-000003210000}"/>
    <cellStyle name="Normal 4 3 3 4 2 2 2 2 2" xfId="31083" xr:uid="{00000000-0005-0000-0000-000004210000}"/>
    <cellStyle name="Normal 4 3 3 4 2 2 2 2 2 2" xfId="37694" xr:uid="{53E066F5-FD85-4425-AFC4-9E7C4F7DAA1C}"/>
    <cellStyle name="Normal 4 3 3 4 2 2 2 2 3" xfId="31084" xr:uid="{00000000-0005-0000-0000-000005210000}"/>
    <cellStyle name="Normal 4 3 3 4 2 2 2 2 3 2" xfId="37695" xr:uid="{250A2814-CA51-471B-8013-0656002183F7}"/>
    <cellStyle name="Normal 4 3 3 4 2 2 2 2 4" xfId="37693" xr:uid="{22D6DBF4-FF18-4BF6-8AE0-61306B5F284E}"/>
    <cellStyle name="Normal 4 3 3 4 2 2 2 3" xfId="31085" xr:uid="{00000000-0005-0000-0000-000006210000}"/>
    <cellStyle name="Normal 4 3 3 4 2 2 2 3 2" xfId="37696" xr:uid="{C3B1E61D-3909-4915-96E2-1B13D9C03B74}"/>
    <cellStyle name="Normal 4 3 3 4 2 2 2 4" xfId="31086" xr:uid="{00000000-0005-0000-0000-000007210000}"/>
    <cellStyle name="Normal 4 3 3 4 2 2 2 4 2" xfId="37697" xr:uid="{EB3A18E0-4F72-4063-A139-F1597279CF9A}"/>
    <cellStyle name="Normal 4 3 3 4 2 2 2 5" xfId="31087" xr:uid="{00000000-0005-0000-0000-000008210000}"/>
    <cellStyle name="Normal 4 3 3 4 2 2 2 5 2" xfId="37698" xr:uid="{17883EAB-4778-4D48-BA3C-71F7076B8515}"/>
    <cellStyle name="Normal 4 3 3 4 2 2 2 6" xfId="37692" xr:uid="{DF637A11-31BC-42CB-A765-0B7564935B55}"/>
    <cellStyle name="Normal 4 3 3 4 2 2 3" xfId="31088" xr:uid="{00000000-0005-0000-0000-000009210000}"/>
    <cellStyle name="Normal 4 3 3 4 2 2 3 2" xfId="31089" xr:uid="{00000000-0005-0000-0000-00000A210000}"/>
    <cellStyle name="Normal 4 3 3 4 2 2 3 2 2" xfId="31090" xr:uid="{00000000-0005-0000-0000-00000B210000}"/>
    <cellStyle name="Normal 4 3 3 4 2 2 3 2 2 2" xfId="37701" xr:uid="{EC9EAA73-4B1D-457C-AA97-AD2FD151E30E}"/>
    <cellStyle name="Normal 4 3 3 4 2 2 3 2 3" xfId="31091" xr:uid="{00000000-0005-0000-0000-00000C210000}"/>
    <cellStyle name="Normal 4 3 3 4 2 2 3 2 3 2" xfId="37702" xr:uid="{3388C5B0-97FB-4926-9C6B-371EC4B148DC}"/>
    <cellStyle name="Normal 4 3 3 4 2 2 3 2 4" xfId="37700" xr:uid="{E8442FE7-D77B-4A7A-83CE-F33E3FA56860}"/>
    <cellStyle name="Normal 4 3 3 4 2 2 3 3" xfId="31092" xr:uid="{00000000-0005-0000-0000-00000D210000}"/>
    <cellStyle name="Normal 4 3 3 4 2 2 3 3 2" xfId="37703" xr:uid="{8EA917CA-8EB4-4F1B-9CE8-4FFF18F8D94E}"/>
    <cellStyle name="Normal 4 3 3 4 2 2 3 4" xfId="31093" xr:uid="{00000000-0005-0000-0000-00000E210000}"/>
    <cellStyle name="Normal 4 3 3 4 2 2 3 4 2" xfId="37704" xr:uid="{4AC2AEE9-54B6-4030-8603-62CFBD5622B2}"/>
    <cellStyle name="Normal 4 3 3 4 2 2 3 5" xfId="31094" xr:uid="{00000000-0005-0000-0000-00000F210000}"/>
    <cellStyle name="Normal 4 3 3 4 2 2 3 5 2" xfId="37705" xr:uid="{CD7DE004-6C24-4495-9B4B-796E9BCBFE52}"/>
    <cellStyle name="Normal 4 3 3 4 2 2 3 6" xfId="37699" xr:uid="{2B1C5240-FFF6-40B4-A129-E91E165ABBA5}"/>
    <cellStyle name="Normal 4 3 3 4 2 2 4" xfId="31095" xr:uid="{00000000-0005-0000-0000-000010210000}"/>
    <cellStyle name="Normal 4 3 3 4 2 2 4 2" xfId="31096" xr:uid="{00000000-0005-0000-0000-000011210000}"/>
    <cellStyle name="Normal 4 3 3 4 2 2 4 2 2" xfId="37707" xr:uid="{3803EA1A-DCB7-4AE4-9741-BF2C7A7B5E4F}"/>
    <cellStyle name="Normal 4 3 3 4 2 2 4 3" xfId="31097" xr:uid="{00000000-0005-0000-0000-000012210000}"/>
    <cellStyle name="Normal 4 3 3 4 2 2 4 3 2" xfId="37708" xr:uid="{0CA05BBF-2A8E-4750-A9E0-3B2E0FC10418}"/>
    <cellStyle name="Normal 4 3 3 4 2 2 4 4" xfId="37706" xr:uid="{1D08BB9E-C31D-4A3D-A5D8-0CA5764F8DC5}"/>
    <cellStyle name="Normal 4 3 3 4 2 2 5" xfId="31098" xr:uid="{00000000-0005-0000-0000-000013210000}"/>
    <cellStyle name="Normal 4 3 3 4 2 2 5 2" xfId="37709" xr:uid="{A1C8FBAA-EE07-4A4D-981A-35B772B894B1}"/>
    <cellStyle name="Normal 4 3 3 4 2 2 6" xfId="31099" xr:uid="{00000000-0005-0000-0000-000014210000}"/>
    <cellStyle name="Normal 4 3 3 4 2 2 6 2" xfId="37710" xr:uid="{65EED8F7-2432-4647-B94D-C377AFF53151}"/>
    <cellStyle name="Normal 4 3 3 4 2 2 7" xfId="31100" xr:uid="{00000000-0005-0000-0000-000015210000}"/>
    <cellStyle name="Normal 4 3 3 4 2 2 7 2" xfId="37711" xr:uid="{8329178B-D290-4FD3-B576-20A922A1660C}"/>
    <cellStyle name="Normal 4 3 3 4 2 2 8" xfId="37691" xr:uid="{46712853-552F-46A4-AB89-16EFACD7E0EF}"/>
    <cellStyle name="Normal 4 3 3 4 2 3" xfId="31101" xr:uid="{00000000-0005-0000-0000-000016210000}"/>
    <cellStyle name="Normal 4 3 3 4 2 3 2" xfId="31102" xr:uid="{00000000-0005-0000-0000-000017210000}"/>
    <cellStyle name="Normal 4 3 3 4 2 3 2 2" xfId="31103" xr:uid="{00000000-0005-0000-0000-000018210000}"/>
    <cellStyle name="Normal 4 3 3 4 2 3 2 2 2" xfId="37714" xr:uid="{649683E8-8FC9-4A24-BE81-157F1BE3DCFB}"/>
    <cellStyle name="Normal 4 3 3 4 2 3 2 3" xfId="31104" xr:uid="{00000000-0005-0000-0000-000019210000}"/>
    <cellStyle name="Normal 4 3 3 4 2 3 2 3 2" xfId="37715" xr:uid="{FF9E41C9-FB46-4CEC-A455-72C45A2B22B8}"/>
    <cellStyle name="Normal 4 3 3 4 2 3 2 4" xfId="37713" xr:uid="{CD3FF814-AFD8-4600-8AF5-89A6B001640A}"/>
    <cellStyle name="Normal 4 3 3 4 2 3 3" xfId="31105" xr:uid="{00000000-0005-0000-0000-00001A210000}"/>
    <cellStyle name="Normal 4 3 3 4 2 3 3 2" xfId="37716" xr:uid="{4BBE899B-48E8-4D53-9F49-79D24D8780A7}"/>
    <cellStyle name="Normal 4 3 3 4 2 3 4" xfId="31106" xr:uid="{00000000-0005-0000-0000-00001B210000}"/>
    <cellStyle name="Normal 4 3 3 4 2 3 4 2" xfId="37717" xr:uid="{6B7128F9-5DFA-4B0B-9E0D-A7459AA581FA}"/>
    <cellStyle name="Normal 4 3 3 4 2 3 5" xfId="31107" xr:uid="{00000000-0005-0000-0000-00001C210000}"/>
    <cellStyle name="Normal 4 3 3 4 2 3 5 2" xfId="37718" xr:uid="{FFBEDDEA-7BA2-4422-8840-9E9CF301D68E}"/>
    <cellStyle name="Normal 4 3 3 4 2 3 6" xfId="37712" xr:uid="{BD891F59-56ED-428E-8760-A7092E539420}"/>
    <cellStyle name="Normal 4 3 3 4 2 4" xfId="31108" xr:uid="{00000000-0005-0000-0000-00001D210000}"/>
    <cellStyle name="Normal 4 3 3 4 2 4 2" xfId="31109" xr:uid="{00000000-0005-0000-0000-00001E210000}"/>
    <cellStyle name="Normal 4 3 3 4 2 4 2 2" xfId="31110" xr:uid="{00000000-0005-0000-0000-00001F210000}"/>
    <cellStyle name="Normal 4 3 3 4 2 4 2 2 2" xfId="37721" xr:uid="{16ABD701-75EE-4472-B94C-28D6D961F38F}"/>
    <cellStyle name="Normal 4 3 3 4 2 4 2 3" xfId="31111" xr:uid="{00000000-0005-0000-0000-000020210000}"/>
    <cellStyle name="Normal 4 3 3 4 2 4 2 3 2" xfId="37722" xr:uid="{9E8D97D1-8D52-45DA-893A-56AD610D5FF6}"/>
    <cellStyle name="Normal 4 3 3 4 2 4 2 4" xfId="37720" xr:uid="{D3F4CF57-95D7-46C8-BB73-81DC369BCAB3}"/>
    <cellStyle name="Normal 4 3 3 4 2 4 3" xfId="31112" xr:uid="{00000000-0005-0000-0000-000021210000}"/>
    <cellStyle name="Normal 4 3 3 4 2 4 3 2" xfId="37723" xr:uid="{20C3C9D9-01AA-4B51-AF44-B28F7F40F114}"/>
    <cellStyle name="Normal 4 3 3 4 2 4 4" xfId="31113" xr:uid="{00000000-0005-0000-0000-000022210000}"/>
    <cellStyle name="Normal 4 3 3 4 2 4 4 2" xfId="37724" xr:uid="{C368B57A-FFB7-4E92-B889-8E83D88DAF1B}"/>
    <cellStyle name="Normal 4 3 3 4 2 4 5" xfId="31114" xr:uid="{00000000-0005-0000-0000-000023210000}"/>
    <cellStyle name="Normal 4 3 3 4 2 4 5 2" xfId="37725" xr:uid="{1494A571-F173-4422-826D-F72234E6BDAD}"/>
    <cellStyle name="Normal 4 3 3 4 2 4 6" xfId="37719" xr:uid="{E33BEE9D-C6F7-45A3-8E54-4BC7BE3EE8ED}"/>
    <cellStyle name="Normal 4 3 3 4 2 5" xfId="31115" xr:uid="{00000000-0005-0000-0000-000024210000}"/>
    <cellStyle name="Normal 4 3 3 4 2 5 2" xfId="31116" xr:uid="{00000000-0005-0000-0000-000025210000}"/>
    <cellStyle name="Normal 4 3 3 4 2 5 2 2" xfId="37727" xr:uid="{03B7676A-7AC6-4686-A3FD-FEFC14818C67}"/>
    <cellStyle name="Normal 4 3 3 4 2 5 3" xfId="31117" xr:uid="{00000000-0005-0000-0000-000026210000}"/>
    <cellStyle name="Normal 4 3 3 4 2 5 3 2" xfId="37728" xr:uid="{9C3387DB-5976-4ACB-8232-14BA6F8A397C}"/>
    <cellStyle name="Normal 4 3 3 4 2 5 4" xfId="37726" xr:uid="{E9F6FCD9-0FE1-469C-A1D4-AB49E624D516}"/>
    <cellStyle name="Normal 4 3 3 4 2 6" xfId="31118" xr:uid="{00000000-0005-0000-0000-000027210000}"/>
    <cellStyle name="Normal 4 3 3 4 2 6 2" xfId="37729" xr:uid="{F1A2F993-2ABA-48F0-85DF-92BAA9F34D9A}"/>
    <cellStyle name="Normal 4 3 3 4 2 7" xfId="31119" xr:uid="{00000000-0005-0000-0000-000028210000}"/>
    <cellStyle name="Normal 4 3 3 4 2 7 2" xfId="37730" xr:uid="{16008E3F-2CEF-46D6-A814-D6F84ED18E20}"/>
    <cellStyle name="Normal 4 3 3 4 2 8" xfId="31120" xr:uid="{00000000-0005-0000-0000-000029210000}"/>
    <cellStyle name="Normal 4 3 3 4 2 8 2" xfId="37731" xr:uid="{0BA07E49-77F0-48FB-9B7F-FA07BA60C49C}"/>
    <cellStyle name="Normal 4 3 3 4 2 9" xfId="37690" xr:uid="{6A84A996-2D6F-4A4F-8D91-CA93BAEA05AF}"/>
    <cellStyle name="Normal 4 3 3 4 3" xfId="31121" xr:uid="{00000000-0005-0000-0000-00002A210000}"/>
    <cellStyle name="Normal 4 3 3 4 3 2" xfId="31122" xr:uid="{00000000-0005-0000-0000-00002B210000}"/>
    <cellStyle name="Normal 4 3 3 4 3 2 2" xfId="31123" xr:uid="{00000000-0005-0000-0000-00002C210000}"/>
    <cellStyle name="Normal 4 3 3 4 3 2 2 2" xfId="31124" xr:uid="{00000000-0005-0000-0000-00002D210000}"/>
    <cellStyle name="Normal 4 3 3 4 3 2 2 2 2" xfId="37735" xr:uid="{56C9E720-A0BB-47C3-80DF-62F13F57F521}"/>
    <cellStyle name="Normal 4 3 3 4 3 2 2 3" xfId="31125" xr:uid="{00000000-0005-0000-0000-00002E210000}"/>
    <cellStyle name="Normal 4 3 3 4 3 2 2 3 2" xfId="37736" xr:uid="{372199EB-8167-4D9D-8C16-252F2D64B4F3}"/>
    <cellStyle name="Normal 4 3 3 4 3 2 2 4" xfId="37734" xr:uid="{921811A8-6200-4B21-8335-3EE6EA5231BE}"/>
    <cellStyle name="Normal 4 3 3 4 3 2 3" xfId="31126" xr:uid="{00000000-0005-0000-0000-00002F210000}"/>
    <cellStyle name="Normal 4 3 3 4 3 2 3 2" xfId="37737" xr:uid="{B5C0118C-A672-4542-836B-B7CD34802000}"/>
    <cellStyle name="Normal 4 3 3 4 3 2 4" xfId="31127" xr:uid="{00000000-0005-0000-0000-000030210000}"/>
    <cellStyle name="Normal 4 3 3 4 3 2 4 2" xfId="37738" xr:uid="{A23905D7-F7AD-4BFC-BCC0-E227F757428C}"/>
    <cellStyle name="Normal 4 3 3 4 3 2 5" xfId="31128" xr:uid="{00000000-0005-0000-0000-000031210000}"/>
    <cellStyle name="Normal 4 3 3 4 3 2 5 2" xfId="37739" xr:uid="{8C41125F-D4A4-4035-A94C-AEAFC5DD6B21}"/>
    <cellStyle name="Normal 4 3 3 4 3 2 6" xfId="37733" xr:uid="{A5B222C9-EB3F-4B54-9A05-E2FD1EA2E6EE}"/>
    <cellStyle name="Normal 4 3 3 4 3 3" xfId="31129" xr:uid="{00000000-0005-0000-0000-000032210000}"/>
    <cellStyle name="Normal 4 3 3 4 3 3 2" xfId="31130" xr:uid="{00000000-0005-0000-0000-000033210000}"/>
    <cellStyle name="Normal 4 3 3 4 3 3 2 2" xfId="31131" xr:uid="{00000000-0005-0000-0000-000034210000}"/>
    <cellStyle name="Normal 4 3 3 4 3 3 2 2 2" xfId="37742" xr:uid="{C95B8DC0-A1DC-4251-A498-8AF631154216}"/>
    <cellStyle name="Normal 4 3 3 4 3 3 2 3" xfId="31132" xr:uid="{00000000-0005-0000-0000-000035210000}"/>
    <cellStyle name="Normal 4 3 3 4 3 3 2 3 2" xfId="37743" xr:uid="{C89E7188-7AD4-45C3-84F0-E953337EE21D}"/>
    <cellStyle name="Normal 4 3 3 4 3 3 2 4" xfId="37741" xr:uid="{D92B958F-6B1A-41E1-851C-B9D47AD61475}"/>
    <cellStyle name="Normal 4 3 3 4 3 3 3" xfId="31133" xr:uid="{00000000-0005-0000-0000-000036210000}"/>
    <cellStyle name="Normal 4 3 3 4 3 3 3 2" xfId="37744" xr:uid="{A2C6BDA2-F737-41DF-AA15-3729E13148D9}"/>
    <cellStyle name="Normal 4 3 3 4 3 3 4" xfId="31134" xr:uid="{00000000-0005-0000-0000-000037210000}"/>
    <cellStyle name="Normal 4 3 3 4 3 3 4 2" xfId="37745" xr:uid="{E046CC69-9DBD-4C85-B352-821D33601BC0}"/>
    <cellStyle name="Normal 4 3 3 4 3 3 5" xfId="31135" xr:uid="{00000000-0005-0000-0000-000038210000}"/>
    <cellStyle name="Normal 4 3 3 4 3 3 5 2" xfId="37746" xr:uid="{6F3D69F2-3110-4EF6-8E52-539333B5A319}"/>
    <cellStyle name="Normal 4 3 3 4 3 3 6" xfId="37740" xr:uid="{3B1361D3-62E8-4D36-B817-848D2FA01883}"/>
    <cellStyle name="Normal 4 3 3 4 3 4" xfId="31136" xr:uid="{00000000-0005-0000-0000-000039210000}"/>
    <cellStyle name="Normal 4 3 3 4 3 4 2" xfId="31137" xr:uid="{00000000-0005-0000-0000-00003A210000}"/>
    <cellStyle name="Normal 4 3 3 4 3 4 2 2" xfId="37748" xr:uid="{F9FD9D96-64DB-486E-B9FA-74BADB63E49C}"/>
    <cellStyle name="Normal 4 3 3 4 3 4 3" xfId="31138" xr:uid="{00000000-0005-0000-0000-00003B210000}"/>
    <cellStyle name="Normal 4 3 3 4 3 4 3 2" xfId="37749" xr:uid="{A3FC15ED-8362-4CC2-BD94-AC63EEDFA91D}"/>
    <cellStyle name="Normal 4 3 3 4 3 4 4" xfId="37747" xr:uid="{B7B35149-9875-4DF8-9360-E2480D88AF0B}"/>
    <cellStyle name="Normal 4 3 3 4 3 5" xfId="31139" xr:uid="{00000000-0005-0000-0000-00003C210000}"/>
    <cellStyle name="Normal 4 3 3 4 3 5 2" xfId="37750" xr:uid="{F9B3E42E-FE81-4C23-B3BB-86F23AC5CC98}"/>
    <cellStyle name="Normal 4 3 3 4 3 6" xfId="31140" xr:uid="{00000000-0005-0000-0000-00003D210000}"/>
    <cellStyle name="Normal 4 3 3 4 3 6 2" xfId="37751" xr:uid="{8ADAE0C3-B30A-4149-922A-A94E0E9144A2}"/>
    <cellStyle name="Normal 4 3 3 4 3 7" xfId="31141" xr:uid="{00000000-0005-0000-0000-00003E210000}"/>
    <cellStyle name="Normal 4 3 3 4 3 7 2" xfId="37752" xr:uid="{E41EEAB0-5DCA-4A5D-AD27-CC38F646AE2F}"/>
    <cellStyle name="Normal 4 3 3 4 3 8" xfId="37732" xr:uid="{1D9F4E08-5C5F-4572-803F-EA2897A183EA}"/>
    <cellStyle name="Normal 4 3 3 4 4" xfId="31142" xr:uid="{00000000-0005-0000-0000-00003F210000}"/>
    <cellStyle name="Normal 4 3 3 4 4 2" xfId="31143" xr:uid="{00000000-0005-0000-0000-000040210000}"/>
    <cellStyle name="Normal 4 3 3 4 4 2 2" xfId="31144" xr:uid="{00000000-0005-0000-0000-000041210000}"/>
    <cellStyle name="Normal 4 3 3 4 4 2 2 2" xfId="37755" xr:uid="{07181945-1DC1-49EE-B442-CE36D15DC968}"/>
    <cellStyle name="Normal 4 3 3 4 4 2 3" xfId="31145" xr:uid="{00000000-0005-0000-0000-000042210000}"/>
    <cellStyle name="Normal 4 3 3 4 4 2 3 2" xfId="37756" xr:uid="{8A5CAF66-9E7A-4E05-A3E2-43090C820738}"/>
    <cellStyle name="Normal 4 3 3 4 4 2 4" xfId="37754" xr:uid="{1A36C34A-936C-42B5-9B27-C555A61512A1}"/>
    <cellStyle name="Normal 4 3 3 4 4 3" xfId="31146" xr:uid="{00000000-0005-0000-0000-000043210000}"/>
    <cellStyle name="Normal 4 3 3 4 4 3 2" xfId="37757" xr:uid="{0989E9B0-C715-4744-8EFB-7B0C62954BA1}"/>
    <cellStyle name="Normal 4 3 3 4 4 4" xfId="31147" xr:uid="{00000000-0005-0000-0000-000044210000}"/>
    <cellStyle name="Normal 4 3 3 4 4 4 2" xfId="37758" xr:uid="{D0520B4F-4C6B-425F-B76E-7BD0C681009F}"/>
    <cellStyle name="Normal 4 3 3 4 4 5" xfId="31148" xr:uid="{00000000-0005-0000-0000-000045210000}"/>
    <cellStyle name="Normal 4 3 3 4 4 5 2" xfId="37759" xr:uid="{2F77FDB3-7C30-4CC9-A450-317F9740DF90}"/>
    <cellStyle name="Normal 4 3 3 4 4 6" xfId="37753" xr:uid="{4406F3AF-DD11-48FB-B66B-19460A9D963C}"/>
    <cellStyle name="Normal 4 3 3 4 5" xfId="31149" xr:uid="{00000000-0005-0000-0000-000046210000}"/>
    <cellStyle name="Normal 4 3 3 4 5 2" xfId="31150" xr:uid="{00000000-0005-0000-0000-000047210000}"/>
    <cellStyle name="Normal 4 3 3 4 5 2 2" xfId="31151" xr:uid="{00000000-0005-0000-0000-000048210000}"/>
    <cellStyle name="Normal 4 3 3 4 5 2 2 2" xfId="37762" xr:uid="{8D7B790A-4BA0-4549-BE70-AD3277C05F04}"/>
    <cellStyle name="Normal 4 3 3 4 5 2 3" xfId="31152" xr:uid="{00000000-0005-0000-0000-000049210000}"/>
    <cellStyle name="Normal 4 3 3 4 5 2 3 2" xfId="37763" xr:uid="{A4F1C110-5E11-4882-BA98-8A6CDF86CB67}"/>
    <cellStyle name="Normal 4 3 3 4 5 2 4" xfId="37761" xr:uid="{2231475D-AF92-4FE2-836C-A2510B950EF6}"/>
    <cellStyle name="Normal 4 3 3 4 5 3" xfId="31153" xr:uid="{00000000-0005-0000-0000-00004A210000}"/>
    <cellStyle name="Normal 4 3 3 4 5 3 2" xfId="37764" xr:uid="{C1503DA1-1682-43B4-A10D-BB90C54D7AC6}"/>
    <cellStyle name="Normal 4 3 3 4 5 4" xfId="31154" xr:uid="{00000000-0005-0000-0000-00004B210000}"/>
    <cellStyle name="Normal 4 3 3 4 5 4 2" xfId="37765" xr:uid="{5913BE76-D783-4F45-98B1-8414F87CEB66}"/>
    <cellStyle name="Normal 4 3 3 4 5 5" xfId="31155" xr:uid="{00000000-0005-0000-0000-00004C210000}"/>
    <cellStyle name="Normal 4 3 3 4 5 5 2" xfId="37766" xr:uid="{54F0EBDE-150A-4F1F-A308-08905E629027}"/>
    <cellStyle name="Normal 4 3 3 4 5 6" xfId="37760" xr:uid="{AD82B9F5-6978-4330-91FB-F77D3607BE0D}"/>
    <cellStyle name="Normal 4 3 3 4 6" xfId="31156" xr:uid="{00000000-0005-0000-0000-00004D210000}"/>
    <cellStyle name="Normal 4 3 3 4 6 2" xfId="31157" xr:uid="{00000000-0005-0000-0000-00004E210000}"/>
    <cellStyle name="Normal 4 3 3 4 6 2 2" xfId="37768" xr:uid="{FA7EC19A-B86D-42F6-9E82-919D8A686EA6}"/>
    <cellStyle name="Normal 4 3 3 4 6 3" xfId="31158" xr:uid="{00000000-0005-0000-0000-00004F210000}"/>
    <cellStyle name="Normal 4 3 3 4 6 3 2" xfId="37769" xr:uid="{06C07E3D-CB47-4444-BCEC-B0F52D8F6D69}"/>
    <cellStyle name="Normal 4 3 3 4 6 4" xfId="37767" xr:uid="{30C912F6-8196-4358-B20F-C6DFCDCBB896}"/>
    <cellStyle name="Normal 4 3 3 4 7" xfId="31159" xr:uid="{00000000-0005-0000-0000-000050210000}"/>
    <cellStyle name="Normal 4 3 3 4 7 2" xfId="37770" xr:uid="{31A9DFAF-9EE6-41AE-8B74-2ACF734672EB}"/>
    <cellStyle name="Normal 4 3 3 4 8" xfId="31160" xr:uid="{00000000-0005-0000-0000-000051210000}"/>
    <cellStyle name="Normal 4 3 3 4 8 2" xfId="37771" xr:uid="{34F74BC6-3E5D-4917-9C60-AB5B9EFA1467}"/>
    <cellStyle name="Normal 4 3 3 4 9" xfId="31161" xr:uid="{00000000-0005-0000-0000-000052210000}"/>
    <cellStyle name="Normal 4 3 3 4 9 2" xfId="37772" xr:uid="{97EC05D8-FA43-4219-978E-AB539EFB5414}"/>
    <cellStyle name="Normal 4 3 3 5" xfId="31162" xr:uid="{00000000-0005-0000-0000-000053210000}"/>
    <cellStyle name="Normal 4 3 3 5 10" xfId="37773" xr:uid="{155FC41C-5C23-4CA5-B77E-36E384B9AB68}"/>
    <cellStyle name="Normal 4 3 3 5 2" xfId="31163" xr:uid="{00000000-0005-0000-0000-000054210000}"/>
    <cellStyle name="Normal 4 3 3 5 2 2" xfId="31164" xr:uid="{00000000-0005-0000-0000-000055210000}"/>
    <cellStyle name="Normal 4 3 3 5 2 2 2" xfId="31165" xr:uid="{00000000-0005-0000-0000-000056210000}"/>
    <cellStyle name="Normal 4 3 3 5 2 2 2 2" xfId="31166" xr:uid="{00000000-0005-0000-0000-000057210000}"/>
    <cellStyle name="Normal 4 3 3 5 2 2 2 2 2" xfId="31167" xr:uid="{00000000-0005-0000-0000-000058210000}"/>
    <cellStyle name="Normal 4 3 3 5 2 2 2 2 2 2" xfId="37778" xr:uid="{65E1EB85-D1DE-4485-ABEB-996C7AEC74FB}"/>
    <cellStyle name="Normal 4 3 3 5 2 2 2 2 3" xfId="31168" xr:uid="{00000000-0005-0000-0000-000059210000}"/>
    <cellStyle name="Normal 4 3 3 5 2 2 2 2 3 2" xfId="37779" xr:uid="{F21311EA-8064-463A-898C-8D4A6F218118}"/>
    <cellStyle name="Normal 4 3 3 5 2 2 2 2 4" xfId="37777" xr:uid="{5D26F8D7-7D80-4607-B61F-D662915BFD7A}"/>
    <cellStyle name="Normal 4 3 3 5 2 2 2 3" xfId="31169" xr:uid="{00000000-0005-0000-0000-00005A210000}"/>
    <cellStyle name="Normal 4 3 3 5 2 2 2 3 2" xfId="37780" xr:uid="{2889AE4A-0375-4D53-94C4-6DFF2922E7C9}"/>
    <cellStyle name="Normal 4 3 3 5 2 2 2 4" xfId="31170" xr:uid="{00000000-0005-0000-0000-00005B210000}"/>
    <cellStyle name="Normal 4 3 3 5 2 2 2 4 2" xfId="37781" xr:uid="{B6122D33-22E4-4B5E-A1E4-7EA99D39A754}"/>
    <cellStyle name="Normal 4 3 3 5 2 2 2 5" xfId="31171" xr:uid="{00000000-0005-0000-0000-00005C210000}"/>
    <cellStyle name="Normal 4 3 3 5 2 2 2 5 2" xfId="37782" xr:uid="{7A68AE6F-1223-4BA9-A83B-EA3D41FD6F55}"/>
    <cellStyle name="Normal 4 3 3 5 2 2 2 6" xfId="37776" xr:uid="{BC93A5CA-8C5F-4A86-9DF0-B2968E360534}"/>
    <cellStyle name="Normal 4 3 3 5 2 2 3" xfId="31172" xr:uid="{00000000-0005-0000-0000-00005D210000}"/>
    <cellStyle name="Normal 4 3 3 5 2 2 3 2" xfId="31173" xr:uid="{00000000-0005-0000-0000-00005E210000}"/>
    <cellStyle name="Normal 4 3 3 5 2 2 3 2 2" xfId="31174" xr:uid="{00000000-0005-0000-0000-00005F210000}"/>
    <cellStyle name="Normal 4 3 3 5 2 2 3 2 2 2" xfId="37785" xr:uid="{379E345C-1AFC-4DF2-AA33-7737C725002E}"/>
    <cellStyle name="Normal 4 3 3 5 2 2 3 2 3" xfId="31175" xr:uid="{00000000-0005-0000-0000-000060210000}"/>
    <cellStyle name="Normal 4 3 3 5 2 2 3 2 3 2" xfId="37786" xr:uid="{FBED0540-CA4B-4CDD-B957-DE45F6452226}"/>
    <cellStyle name="Normal 4 3 3 5 2 2 3 2 4" xfId="37784" xr:uid="{919C2B0F-0842-4895-8085-773664B326D3}"/>
    <cellStyle name="Normal 4 3 3 5 2 2 3 3" xfId="31176" xr:uid="{00000000-0005-0000-0000-000061210000}"/>
    <cellStyle name="Normal 4 3 3 5 2 2 3 3 2" xfId="37787" xr:uid="{76D63A48-CDD7-4194-A17A-971B8BEDEEEF}"/>
    <cellStyle name="Normal 4 3 3 5 2 2 3 4" xfId="31177" xr:uid="{00000000-0005-0000-0000-000062210000}"/>
    <cellStyle name="Normal 4 3 3 5 2 2 3 4 2" xfId="37788" xr:uid="{0B115962-64E2-46C7-81C9-A4D1CE49AA49}"/>
    <cellStyle name="Normal 4 3 3 5 2 2 3 5" xfId="31178" xr:uid="{00000000-0005-0000-0000-000063210000}"/>
    <cellStyle name="Normal 4 3 3 5 2 2 3 5 2" xfId="37789" xr:uid="{FBBD6F4E-7558-42F9-BEC7-14794341B89C}"/>
    <cellStyle name="Normal 4 3 3 5 2 2 3 6" xfId="37783" xr:uid="{3FB1F3A3-8EE0-4B86-9D17-75D40DD41FB4}"/>
    <cellStyle name="Normal 4 3 3 5 2 2 4" xfId="31179" xr:uid="{00000000-0005-0000-0000-000064210000}"/>
    <cellStyle name="Normal 4 3 3 5 2 2 4 2" xfId="31180" xr:uid="{00000000-0005-0000-0000-000065210000}"/>
    <cellStyle name="Normal 4 3 3 5 2 2 4 2 2" xfId="37791" xr:uid="{C936702B-E6E3-475C-944F-E8F3FA5CA3D4}"/>
    <cellStyle name="Normal 4 3 3 5 2 2 4 3" xfId="31181" xr:uid="{00000000-0005-0000-0000-000066210000}"/>
    <cellStyle name="Normal 4 3 3 5 2 2 4 3 2" xfId="37792" xr:uid="{1B759EA7-8D10-4DB5-91D2-C49E5FD882E6}"/>
    <cellStyle name="Normal 4 3 3 5 2 2 4 4" xfId="37790" xr:uid="{BF3D79A2-5714-41B7-B56B-73C1091A99C9}"/>
    <cellStyle name="Normal 4 3 3 5 2 2 5" xfId="31182" xr:uid="{00000000-0005-0000-0000-000067210000}"/>
    <cellStyle name="Normal 4 3 3 5 2 2 5 2" xfId="37793" xr:uid="{FBBCFF43-8E77-4373-AC55-31DC7FAC06D3}"/>
    <cellStyle name="Normal 4 3 3 5 2 2 6" xfId="31183" xr:uid="{00000000-0005-0000-0000-000068210000}"/>
    <cellStyle name="Normal 4 3 3 5 2 2 6 2" xfId="37794" xr:uid="{24ABB7B5-510F-4AF4-A2EB-5137FBF4C4D0}"/>
    <cellStyle name="Normal 4 3 3 5 2 2 7" xfId="31184" xr:uid="{00000000-0005-0000-0000-000069210000}"/>
    <cellStyle name="Normal 4 3 3 5 2 2 7 2" xfId="37795" xr:uid="{48EB62A4-B1D4-42AA-B3C5-2A77D8CEDC03}"/>
    <cellStyle name="Normal 4 3 3 5 2 2 8" xfId="37775" xr:uid="{62CAF5E8-F0A6-41B7-B139-71B8E976D4C2}"/>
    <cellStyle name="Normal 4 3 3 5 2 3" xfId="31185" xr:uid="{00000000-0005-0000-0000-00006A210000}"/>
    <cellStyle name="Normal 4 3 3 5 2 3 2" xfId="31186" xr:uid="{00000000-0005-0000-0000-00006B210000}"/>
    <cellStyle name="Normal 4 3 3 5 2 3 2 2" xfId="31187" xr:uid="{00000000-0005-0000-0000-00006C210000}"/>
    <cellStyle name="Normal 4 3 3 5 2 3 2 2 2" xfId="37798" xr:uid="{F7F23EAD-CDA9-4E87-88D6-FB06EB8742EA}"/>
    <cellStyle name="Normal 4 3 3 5 2 3 2 3" xfId="31188" xr:uid="{00000000-0005-0000-0000-00006D210000}"/>
    <cellStyle name="Normal 4 3 3 5 2 3 2 3 2" xfId="37799" xr:uid="{AF4B207C-26FD-4980-8674-C3DDFEE2DB54}"/>
    <cellStyle name="Normal 4 3 3 5 2 3 2 4" xfId="37797" xr:uid="{748016D2-FA07-4BDD-8964-341335817810}"/>
    <cellStyle name="Normal 4 3 3 5 2 3 3" xfId="31189" xr:uid="{00000000-0005-0000-0000-00006E210000}"/>
    <cellStyle name="Normal 4 3 3 5 2 3 3 2" xfId="37800" xr:uid="{CFFE0740-0D41-4535-B38D-E9613C5F9BE2}"/>
    <cellStyle name="Normal 4 3 3 5 2 3 4" xfId="31190" xr:uid="{00000000-0005-0000-0000-00006F210000}"/>
    <cellStyle name="Normal 4 3 3 5 2 3 4 2" xfId="37801" xr:uid="{9FFB2B88-0E51-4627-ACCA-235AD5DDBA93}"/>
    <cellStyle name="Normal 4 3 3 5 2 3 5" xfId="31191" xr:uid="{00000000-0005-0000-0000-000070210000}"/>
    <cellStyle name="Normal 4 3 3 5 2 3 5 2" xfId="37802" xr:uid="{31C04FBC-FABA-4B72-91DC-48127321E174}"/>
    <cellStyle name="Normal 4 3 3 5 2 3 6" xfId="37796" xr:uid="{0E43754F-827D-4E02-9E82-4ACB22F9FD26}"/>
    <cellStyle name="Normal 4 3 3 5 2 4" xfId="31192" xr:uid="{00000000-0005-0000-0000-000071210000}"/>
    <cellStyle name="Normal 4 3 3 5 2 4 2" xfId="31193" xr:uid="{00000000-0005-0000-0000-000072210000}"/>
    <cellStyle name="Normal 4 3 3 5 2 4 2 2" xfId="31194" xr:uid="{00000000-0005-0000-0000-000073210000}"/>
    <cellStyle name="Normal 4 3 3 5 2 4 2 2 2" xfId="37805" xr:uid="{0CAA7B83-F3E9-4BBC-ADB4-0073B4AF896F}"/>
    <cellStyle name="Normal 4 3 3 5 2 4 2 3" xfId="31195" xr:uid="{00000000-0005-0000-0000-000074210000}"/>
    <cellStyle name="Normal 4 3 3 5 2 4 2 3 2" xfId="37806" xr:uid="{F39E1D43-7ED9-408D-B42C-3F2D18E27C06}"/>
    <cellStyle name="Normal 4 3 3 5 2 4 2 4" xfId="37804" xr:uid="{181EA6DA-F434-44F8-8F3E-C449CE8A755D}"/>
    <cellStyle name="Normal 4 3 3 5 2 4 3" xfId="31196" xr:uid="{00000000-0005-0000-0000-000075210000}"/>
    <cellStyle name="Normal 4 3 3 5 2 4 3 2" xfId="37807" xr:uid="{9F359F01-6DFC-4F4A-A776-7B227BCA4C71}"/>
    <cellStyle name="Normal 4 3 3 5 2 4 4" xfId="31197" xr:uid="{00000000-0005-0000-0000-000076210000}"/>
    <cellStyle name="Normal 4 3 3 5 2 4 4 2" xfId="37808" xr:uid="{F850D940-7A05-495C-BFA3-A1D300C618CC}"/>
    <cellStyle name="Normal 4 3 3 5 2 4 5" xfId="31198" xr:uid="{00000000-0005-0000-0000-000077210000}"/>
    <cellStyle name="Normal 4 3 3 5 2 4 5 2" xfId="37809" xr:uid="{794BF81D-425E-451B-A071-A6AEF9D8DB60}"/>
    <cellStyle name="Normal 4 3 3 5 2 4 6" xfId="37803" xr:uid="{6D3C7124-67EA-4612-8839-8E15D51A3CB1}"/>
    <cellStyle name="Normal 4 3 3 5 2 5" xfId="31199" xr:uid="{00000000-0005-0000-0000-000078210000}"/>
    <cellStyle name="Normal 4 3 3 5 2 5 2" xfId="31200" xr:uid="{00000000-0005-0000-0000-000079210000}"/>
    <cellStyle name="Normal 4 3 3 5 2 5 2 2" xfId="37811" xr:uid="{F5F21033-1DCE-4A12-94B0-727A71015BC2}"/>
    <cellStyle name="Normal 4 3 3 5 2 5 3" xfId="31201" xr:uid="{00000000-0005-0000-0000-00007A210000}"/>
    <cellStyle name="Normal 4 3 3 5 2 5 3 2" xfId="37812" xr:uid="{EB6EC819-A5DE-4F9B-B5BA-63AE5A78BD21}"/>
    <cellStyle name="Normal 4 3 3 5 2 5 4" xfId="37810" xr:uid="{AFF9BA25-5DED-4F2C-A79E-9429E24EBDB1}"/>
    <cellStyle name="Normal 4 3 3 5 2 6" xfId="31202" xr:uid="{00000000-0005-0000-0000-00007B210000}"/>
    <cellStyle name="Normal 4 3 3 5 2 6 2" xfId="37813" xr:uid="{27D6E704-81B7-4A85-9EDF-3A9061453A58}"/>
    <cellStyle name="Normal 4 3 3 5 2 7" xfId="31203" xr:uid="{00000000-0005-0000-0000-00007C210000}"/>
    <cellStyle name="Normal 4 3 3 5 2 7 2" xfId="37814" xr:uid="{96AD84BE-6F97-498F-99A2-A412A39E9F1C}"/>
    <cellStyle name="Normal 4 3 3 5 2 8" xfId="31204" xr:uid="{00000000-0005-0000-0000-00007D210000}"/>
    <cellStyle name="Normal 4 3 3 5 2 8 2" xfId="37815" xr:uid="{30B65311-6716-465A-A54D-6ABE42B56114}"/>
    <cellStyle name="Normal 4 3 3 5 2 9" xfId="37774" xr:uid="{57B006D0-9E8D-4B54-91D6-6E5FA15C78EC}"/>
    <cellStyle name="Normal 4 3 3 5 3" xfId="31205" xr:uid="{00000000-0005-0000-0000-00007E210000}"/>
    <cellStyle name="Normal 4 3 3 5 3 2" xfId="31206" xr:uid="{00000000-0005-0000-0000-00007F210000}"/>
    <cellStyle name="Normal 4 3 3 5 3 2 2" xfId="31207" xr:uid="{00000000-0005-0000-0000-000080210000}"/>
    <cellStyle name="Normal 4 3 3 5 3 2 2 2" xfId="31208" xr:uid="{00000000-0005-0000-0000-000081210000}"/>
    <cellStyle name="Normal 4 3 3 5 3 2 2 2 2" xfId="37819" xr:uid="{81776A5B-F242-45A5-A023-7B0468ED6F26}"/>
    <cellStyle name="Normal 4 3 3 5 3 2 2 3" xfId="31209" xr:uid="{00000000-0005-0000-0000-000082210000}"/>
    <cellStyle name="Normal 4 3 3 5 3 2 2 3 2" xfId="37820" xr:uid="{8C5C7C7F-026D-4F74-9FFA-223464EF8F03}"/>
    <cellStyle name="Normal 4 3 3 5 3 2 2 4" xfId="37818" xr:uid="{DF9833F4-61A6-46EB-9E9F-8CDEA9A498DB}"/>
    <cellStyle name="Normal 4 3 3 5 3 2 3" xfId="31210" xr:uid="{00000000-0005-0000-0000-000083210000}"/>
    <cellStyle name="Normal 4 3 3 5 3 2 3 2" xfId="37821" xr:uid="{6337CC66-4267-4787-B0F5-433ADE365DEB}"/>
    <cellStyle name="Normal 4 3 3 5 3 2 4" xfId="31211" xr:uid="{00000000-0005-0000-0000-000084210000}"/>
    <cellStyle name="Normal 4 3 3 5 3 2 4 2" xfId="37822" xr:uid="{FBE1EC86-BBAC-40AF-8F3A-6112AB0B4FC2}"/>
    <cellStyle name="Normal 4 3 3 5 3 2 5" xfId="31212" xr:uid="{00000000-0005-0000-0000-000085210000}"/>
    <cellStyle name="Normal 4 3 3 5 3 2 5 2" xfId="37823" xr:uid="{C5FF01F4-B5CC-41F0-9541-CCE6D2E31CD8}"/>
    <cellStyle name="Normal 4 3 3 5 3 2 6" xfId="37817" xr:uid="{81DC38F3-97F4-4482-8DCF-EBAA65609389}"/>
    <cellStyle name="Normal 4 3 3 5 3 3" xfId="31213" xr:uid="{00000000-0005-0000-0000-000086210000}"/>
    <cellStyle name="Normal 4 3 3 5 3 3 2" xfId="31214" xr:uid="{00000000-0005-0000-0000-000087210000}"/>
    <cellStyle name="Normal 4 3 3 5 3 3 2 2" xfId="31215" xr:uid="{00000000-0005-0000-0000-000088210000}"/>
    <cellStyle name="Normal 4 3 3 5 3 3 2 2 2" xfId="37826" xr:uid="{C4F8CCF2-B242-43C3-9F33-4B4820137166}"/>
    <cellStyle name="Normal 4 3 3 5 3 3 2 3" xfId="31216" xr:uid="{00000000-0005-0000-0000-000089210000}"/>
    <cellStyle name="Normal 4 3 3 5 3 3 2 3 2" xfId="37827" xr:uid="{12CA8543-8DE7-480D-A8CD-4B350842907B}"/>
    <cellStyle name="Normal 4 3 3 5 3 3 2 4" xfId="37825" xr:uid="{C002B629-274D-4DE9-98A9-A82B090B3475}"/>
    <cellStyle name="Normal 4 3 3 5 3 3 3" xfId="31217" xr:uid="{00000000-0005-0000-0000-00008A210000}"/>
    <cellStyle name="Normal 4 3 3 5 3 3 3 2" xfId="37828" xr:uid="{BC79294F-F66B-4038-89FB-166A1519F2E4}"/>
    <cellStyle name="Normal 4 3 3 5 3 3 4" xfId="31218" xr:uid="{00000000-0005-0000-0000-00008B210000}"/>
    <cellStyle name="Normal 4 3 3 5 3 3 4 2" xfId="37829" xr:uid="{84C256C3-64AD-4CC7-BE9B-ED5861DD6007}"/>
    <cellStyle name="Normal 4 3 3 5 3 3 5" xfId="31219" xr:uid="{00000000-0005-0000-0000-00008C210000}"/>
    <cellStyle name="Normal 4 3 3 5 3 3 5 2" xfId="37830" xr:uid="{C155D1DD-55B4-4385-B911-18A3F5D92D0F}"/>
    <cellStyle name="Normal 4 3 3 5 3 3 6" xfId="37824" xr:uid="{3B656AE0-570F-47B1-9B2B-445EA70F1ACF}"/>
    <cellStyle name="Normal 4 3 3 5 3 4" xfId="31220" xr:uid="{00000000-0005-0000-0000-00008D210000}"/>
    <cellStyle name="Normal 4 3 3 5 3 4 2" xfId="31221" xr:uid="{00000000-0005-0000-0000-00008E210000}"/>
    <cellStyle name="Normal 4 3 3 5 3 4 2 2" xfId="37832" xr:uid="{F8ED9894-361D-4B97-B6E5-B8D4093C843B}"/>
    <cellStyle name="Normal 4 3 3 5 3 4 3" xfId="31222" xr:uid="{00000000-0005-0000-0000-00008F210000}"/>
    <cellStyle name="Normal 4 3 3 5 3 4 3 2" xfId="37833" xr:uid="{33F2F604-60A8-4696-BAB7-DB0BED0B804D}"/>
    <cellStyle name="Normal 4 3 3 5 3 4 4" xfId="37831" xr:uid="{08A6C0BC-5900-47D9-9965-1FD28E865A60}"/>
    <cellStyle name="Normal 4 3 3 5 3 5" xfId="31223" xr:uid="{00000000-0005-0000-0000-000090210000}"/>
    <cellStyle name="Normal 4 3 3 5 3 5 2" xfId="37834" xr:uid="{6DD10202-331D-4253-ADF7-6A9171BDA43E}"/>
    <cellStyle name="Normal 4 3 3 5 3 6" xfId="31224" xr:uid="{00000000-0005-0000-0000-000091210000}"/>
    <cellStyle name="Normal 4 3 3 5 3 6 2" xfId="37835" xr:uid="{5EEDFFD8-E859-4DA1-ACEE-45B4734D327F}"/>
    <cellStyle name="Normal 4 3 3 5 3 7" xfId="31225" xr:uid="{00000000-0005-0000-0000-000092210000}"/>
    <cellStyle name="Normal 4 3 3 5 3 7 2" xfId="37836" xr:uid="{3666BBFD-FF72-49FE-942A-F624E864F80B}"/>
    <cellStyle name="Normal 4 3 3 5 3 8" xfId="37816" xr:uid="{E48DBC94-2EEE-4924-984C-EDF0515F4F90}"/>
    <cellStyle name="Normal 4 3 3 5 4" xfId="31226" xr:uid="{00000000-0005-0000-0000-000093210000}"/>
    <cellStyle name="Normal 4 3 3 5 4 2" xfId="31227" xr:uid="{00000000-0005-0000-0000-000094210000}"/>
    <cellStyle name="Normal 4 3 3 5 4 2 2" xfId="31228" xr:uid="{00000000-0005-0000-0000-000095210000}"/>
    <cellStyle name="Normal 4 3 3 5 4 2 2 2" xfId="37839" xr:uid="{77358D71-5DDD-42C4-A6D1-37818641BA63}"/>
    <cellStyle name="Normal 4 3 3 5 4 2 3" xfId="31229" xr:uid="{00000000-0005-0000-0000-000096210000}"/>
    <cellStyle name="Normal 4 3 3 5 4 2 3 2" xfId="37840" xr:uid="{8468C03B-C2E0-454D-9151-8E691FCD5AF4}"/>
    <cellStyle name="Normal 4 3 3 5 4 2 4" xfId="37838" xr:uid="{7214B986-A922-41DD-8003-9E470A1CF0A5}"/>
    <cellStyle name="Normal 4 3 3 5 4 3" xfId="31230" xr:uid="{00000000-0005-0000-0000-000097210000}"/>
    <cellStyle name="Normal 4 3 3 5 4 3 2" xfId="37841" xr:uid="{9B77AADE-E742-43AC-8A99-C0B4A3666A32}"/>
    <cellStyle name="Normal 4 3 3 5 4 4" xfId="31231" xr:uid="{00000000-0005-0000-0000-000098210000}"/>
    <cellStyle name="Normal 4 3 3 5 4 4 2" xfId="37842" xr:uid="{E0F54500-ED03-4E23-BD2C-4FC597AFE7DB}"/>
    <cellStyle name="Normal 4 3 3 5 4 5" xfId="31232" xr:uid="{00000000-0005-0000-0000-000099210000}"/>
    <cellStyle name="Normal 4 3 3 5 4 5 2" xfId="37843" xr:uid="{19B2C1C5-ACA0-4F46-B666-A3236E15B585}"/>
    <cellStyle name="Normal 4 3 3 5 4 6" xfId="37837" xr:uid="{0A9AE1F6-A98D-4FCA-AA50-A0C0EE3E0C79}"/>
    <cellStyle name="Normal 4 3 3 5 5" xfId="31233" xr:uid="{00000000-0005-0000-0000-00009A210000}"/>
    <cellStyle name="Normal 4 3 3 5 5 2" xfId="31234" xr:uid="{00000000-0005-0000-0000-00009B210000}"/>
    <cellStyle name="Normal 4 3 3 5 5 2 2" xfId="31235" xr:uid="{00000000-0005-0000-0000-00009C210000}"/>
    <cellStyle name="Normal 4 3 3 5 5 2 2 2" xfId="37846" xr:uid="{355F475F-64D1-4DF7-86A0-D66BE4FC5448}"/>
    <cellStyle name="Normal 4 3 3 5 5 2 3" xfId="31236" xr:uid="{00000000-0005-0000-0000-00009D210000}"/>
    <cellStyle name="Normal 4 3 3 5 5 2 3 2" xfId="37847" xr:uid="{AB2DFCD6-564A-427B-9100-F854DFE3D812}"/>
    <cellStyle name="Normal 4 3 3 5 5 2 4" xfId="37845" xr:uid="{A266D164-F274-4868-8F3E-49B248873DC7}"/>
    <cellStyle name="Normal 4 3 3 5 5 3" xfId="31237" xr:uid="{00000000-0005-0000-0000-00009E210000}"/>
    <cellStyle name="Normal 4 3 3 5 5 3 2" xfId="37848" xr:uid="{D792024B-BC09-4718-84D2-A61BE21066A7}"/>
    <cellStyle name="Normal 4 3 3 5 5 4" xfId="31238" xr:uid="{00000000-0005-0000-0000-00009F210000}"/>
    <cellStyle name="Normal 4 3 3 5 5 4 2" xfId="37849" xr:uid="{D5692289-A319-4225-A1FD-2CF9F74A2B37}"/>
    <cellStyle name="Normal 4 3 3 5 5 5" xfId="31239" xr:uid="{00000000-0005-0000-0000-0000A0210000}"/>
    <cellStyle name="Normal 4 3 3 5 5 5 2" xfId="37850" xr:uid="{7129F9C3-94ED-4C61-AAAE-D1122A9EA139}"/>
    <cellStyle name="Normal 4 3 3 5 5 6" xfId="37844" xr:uid="{E7114F2F-23B3-451D-9D01-39AA42DA836F}"/>
    <cellStyle name="Normal 4 3 3 5 6" xfId="31240" xr:uid="{00000000-0005-0000-0000-0000A1210000}"/>
    <cellStyle name="Normal 4 3 3 5 6 2" xfId="31241" xr:uid="{00000000-0005-0000-0000-0000A2210000}"/>
    <cellStyle name="Normal 4 3 3 5 6 2 2" xfId="37852" xr:uid="{9FF3082E-E304-49CE-9079-06234FFB4207}"/>
    <cellStyle name="Normal 4 3 3 5 6 3" xfId="31242" xr:uid="{00000000-0005-0000-0000-0000A3210000}"/>
    <cellStyle name="Normal 4 3 3 5 6 3 2" xfId="37853" xr:uid="{12BAE51F-F00D-4742-858D-F250DD0E4908}"/>
    <cellStyle name="Normal 4 3 3 5 6 4" xfId="37851" xr:uid="{4ECD6D94-392E-45DC-BCB0-9FB556D2C03D}"/>
    <cellStyle name="Normal 4 3 3 5 7" xfId="31243" xr:uid="{00000000-0005-0000-0000-0000A4210000}"/>
    <cellStyle name="Normal 4 3 3 5 7 2" xfId="37854" xr:uid="{01ACDA8E-675B-4E87-9E6C-E83CE4FB9C32}"/>
    <cellStyle name="Normal 4 3 3 5 8" xfId="31244" xr:uid="{00000000-0005-0000-0000-0000A5210000}"/>
    <cellStyle name="Normal 4 3 3 5 8 2" xfId="37855" xr:uid="{C7CDB51F-4943-47FE-B587-2FFDF3BDFDD1}"/>
    <cellStyle name="Normal 4 3 3 5 9" xfId="31245" xr:uid="{00000000-0005-0000-0000-0000A6210000}"/>
    <cellStyle name="Normal 4 3 3 5 9 2" xfId="37856" xr:uid="{669B0D1C-3E7E-431A-84DA-9AFDE0E32C97}"/>
    <cellStyle name="Normal 4 3 3 6" xfId="31246" xr:uid="{00000000-0005-0000-0000-0000A7210000}"/>
    <cellStyle name="Normal 4 3 3 6 2" xfId="31247" xr:uid="{00000000-0005-0000-0000-0000A8210000}"/>
    <cellStyle name="Normal 4 3 3 6 2 2" xfId="31248" xr:uid="{00000000-0005-0000-0000-0000A9210000}"/>
    <cellStyle name="Normal 4 3 3 6 2 2 2" xfId="31249" xr:uid="{00000000-0005-0000-0000-0000AA210000}"/>
    <cellStyle name="Normal 4 3 3 6 2 2 2 2" xfId="31250" xr:uid="{00000000-0005-0000-0000-0000AB210000}"/>
    <cellStyle name="Normal 4 3 3 6 2 2 2 2 2" xfId="37861" xr:uid="{B0988EB3-C92F-47A8-B112-46A97905EE93}"/>
    <cellStyle name="Normal 4 3 3 6 2 2 2 3" xfId="31251" xr:uid="{00000000-0005-0000-0000-0000AC210000}"/>
    <cellStyle name="Normal 4 3 3 6 2 2 2 3 2" xfId="37862" xr:uid="{48B6A836-7ECB-48C9-943E-E47CA0021AB7}"/>
    <cellStyle name="Normal 4 3 3 6 2 2 2 4" xfId="37860" xr:uid="{F8A7CF0E-A5DA-4E54-BF3E-E12D0275CF72}"/>
    <cellStyle name="Normal 4 3 3 6 2 2 3" xfId="31252" xr:uid="{00000000-0005-0000-0000-0000AD210000}"/>
    <cellStyle name="Normal 4 3 3 6 2 2 3 2" xfId="37863" xr:uid="{4931A07C-5DC4-40F2-80E6-61F7B65A342A}"/>
    <cellStyle name="Normal 4 3 3 6 2 2 4" xfId="31253" xr:uid="{00000000-0005-0000-0000-0000AE210000}"/>
    <cellStyle name="Normal 4 3 3 6 2 2 4 2" xfId="37864" xr:uid="{D79931C8-D427-4ABE-B6FA-AFC6C32CA99D}"/>
    <cellStyle name="Normal 4 3 3 6 2 2 5" xfId="31254" xr:uid="{00000000-0005-0000-0000-0000AF210000}"/>
    <cellStyle name="Normal 4 3 3 6 2 2 5 2" xfId="37865" xr:uid="{54A01B70-72B2-4957-AFD5-702A8290D2F6}"/>
    <cellStyle name="Normal 4 3 3 6 2 2 6" xfId="37859" xr:uid="{BBAAAF22-9E13-460A-B0A1-E529F921E0B2}"/>
    <cellStyle name="Normal 4 3 3 6 2 3" xfId="31255" xr:uid="{00000000-0005-0000-0000-0000B0210000}"/>
    <cellStyle name="Normal 4 3 3 6 2 3 2" xfId="31256" xr:uid="{00000000-0005-0000-0000-0000B1210000}"/>
    <cellStyle name="Normal 4 3 3 6 2 3 2 2" xfId="31257" xr:uid="{00000000-0005-0000-0000-0000B2210000}"/>
    <cellStyle name="Normal 4 3 3 6 2 3 2 2 2" xfId="37868" xr:uid="{A81D88FA-E7A1-4FFD-AD44-473FA00023CE}"/>
    <cellStyle name="Normal 4 3 3 6 2 3 2 3" xfId="31258" xr:uid="{00000000-0005-0000-0000-0000B3210000}"/>
    <cellStyle name="Normal 4 3 3 6 2 3 2 3 2" xfId="37869" xr:uid="{2EC1EECB-FECA-4AD6-8226-01E28F5E7280}"/>
    <cellStyle name="Normal 4 3 3 6 2 3 2 4" xfId="37867" xr:uid="{3B3D9665-3976-4E5F-8D37-B10F841B63F8}"/>
    <cellStyle name="Normal 4 3 3 6 2 3 3" xfId="31259" xr:uid="{00000000-0005-0000-0000-0000B4210000}"/>
    <cellStyle name="Normal 4 3 3 6 2 3 3 2" xfId="37870" xr:uid="{2C9FEBE2-61A7-4185-B044-6B99CDB01F22}"/>
    <cellStyle name="Normal 4 3 3 6 2 3 4" xfId="31260" xr:uid="{00000000-0005-0000-0000-0000B5210000}"/>
    <cellStyle name="Normal 4 3 3 6 2 3 4 2" xfId="37871" xr:uid="{9DFED1AE-12F6-408E-895F-0C3AB0B324DD}"/>
    <cellStyle name="Normal 4 3 3 6 2 3 5" xfId="31261" xr:uid="{00000000-0005-0000-0000-0000B6210000}"/>
    <cellStyle name="Normal 4 3 3 6 2 3 5 2" xfId="37872" xr:uid="{B4D41C35-5ED0-4EFF-997F-097926D68384}"/>
    <cellStyle name="Normal 4 3 3 6 2 3 6" xfId="37866" xr:uid="{D8B45C5E-4424-4A62-868B-ACBAE58AFB85}"/>
    <cellStyle name="Normal 4 3 3 6 2 4" xfId="31262" xr:uid="{00000000-0005-0000-0000-0000B7210000}"/>
    <cellStyle name="Normal 4 3 3 6 2 4 2" xfId="31263" xr:uid="{00000000-0005-0000-0000-0000B8210000}"/>
    <cellStyle name="Normal 4 3 3 6 2 4 2 2" xfId="37874" xr:uid="{472871C0-2F6D-46B5-AD5A-FA44B44AB943}"/>
    <cellStyle name="Normal 4 3 3 6 2 4 3" xfId="31264" xr:uid="{00000000-0005-0000-0000-0000B9210000}"/>
    <cellStyle name="Normal 4 3 3 6 2 4 3 2" xfId="37875" xr:uid="{B2767F06-BB09-4A2C-85C8-7F5537B3D1E5}"/>
    <cellStyle name="Normal 4 3 3 6 2 4 4" xfId="37873" xr:uid="{94A8370E-460B-4F6F-9918-D9EBE58541B6}"/>
    <cellStyle name="Normal 4 3 3 6 2 5" xfId="31265" xr:uid="{00000000-0005-0000-0000-0000BA210000}"/>
    <cellStyle name="Normal 4 3 3 6 2 5 2" xfId="37876" xr:uid="{34A17A73-B0FA-4280-87DC-D595BF6F36D6}"/>
    <cellStyle name="Normal 4 3 3 6 2 6" xfId="31266" xr:uid="{00000000-0005-0000-0000-0000BB210000}"/>
    <cellStyle name="Normal 4 3 3 6 2 6 2" xfId="37877" xr:uid="{CCB155F7-CFED-49C1-ACF6-84F55BED0E41}"/>
    <cellStyle name="Normal 4 3 3 6 2 7" xfId="31267" xr:uid="{00000000-0005-0000-0000-0000BC210000}"/>
    <cellStyle name="Normal 4 3 3 6 2 7 2" xfId="37878" xr:uid="{25052605-E0B5-4A61-B020-DAF51A087D59}"/>
    <cellStyle name="Normal 4 3 3 6 2 8" xfId="37858" xr:uid="{DDECF9BA-0246-4FCF-8AE9-2E528EADA272}"/>
    <cellStyle name="Normal 4 3 3 6 3" xfId="31268" xr:uid="{00000000-0005-0000-0000-0000BD210000}"/>
    <cellStyle name="Normal 4 3 3 6 3 2" xfId="31269" xr:uid="{00000000-0005-0000-0000-0000BE210000}"/>
    <cellStyle name="Normal 4 3 3 6 3 2 2" xfId="31270" xr:uid="{00000000-0005-0000-0000-0000BF210000}"/>
    <cellStyle name="Normal 4 3 3 6 3 2 2 2" xfId="37881" xr:uid="{3852CADA-6D4D-4200-A25C-2EF948ED2D75}"/>
    <cellStyle name="Normal 4 3 3 6 3 2 3" xfId="31271" xr:uid="{00000000-0005-0000-0000-0000C0210000}"/>
    <cellStyle name="Normal 4 3 3 6 3 2 3 2" xfId="37882" xr:uid="{78EB69D7-6F5E-4455-81A6-6A07A23FAB42}"/>
    <cellStyle name="Normal 4 3 3 6 3 2 4" xfId="37880" xr:uid="{11513B27-0C59-475E-A9B0-584BC02041AD}"/>
    <cellStyle name="Normal 4 3 3 6 3 3" xfId="31272" xr:uid="{00000000-0005-0000-0000-0000C1210000}"/>
    <cellStyle name="Normal 4 3 3 6 3 3 2" xfId="37883" xr:uid="{78C4378E-A296-48BD-A633-BE3D0073B232}"/>
    <cellStyle name="Normal 4 3 3 6 3 4" xfId="31273" xr:uid="{00000000-0005-0000-0000-0000C2210000}"/>
    <cellStyle name="Normal 4 3 3 6 3 4 2" xfId="37884" xr:uid="{EAD36BB7-F651-4E9F-A2FF-D5ACABA0D97E}"/>
    <cellStyle name="Normal 4 3 3 6 3 5" xfId="31274" xr:uid="{00000000-0005-0000-0000-0000C3210000}"/>
    <cellStyle name="Normal 4 3 3 6 3 5 2" xfId="37885" xr:uid="{FF11F7C6-885B-45E3-9117-2DF59C004395}"/>
    <cellStyle name="Normal 4 3 3 6 3 6" xfId="37879" xr:uid="{E168F3C9-C345-49C6-949C-835864CBB096}"/>
    <cellStyle name="Normal 4 3 3 6 4" xfId="31275" xr:uid="{00000000-0005-0000-0000-0000C4210000}"/>
    <cellStyle name="Normal 4 3 3 6 4 2" xfId="31276" xr:uid="{00000000-0005-0000-0000-0000C5210000}"/>
    <cellStyle name="Normal 4 3 3 6 4 2 2" xfId="31277" xr:uid="{00000000-0005-0000-0000-0000C6210000}"/>
    <cellStyle name="Normal 4 3 3 6 4 2 2 2" xfId="37888" xr:uid="{6365BF41-8E51-4DAA-ABDB-46C4B7F7FBD2}"/>
    <cellStyle name="Normal 4 3 3 6 4 2 3" xfId="31278" xr:uid="{00000000-0005-0000-0000-0000C7210000}"/>
    <cellStyle name="Normal 4 3 3 6 4 2 3 2" xfId="37889" xr:uid="{81AD239E-1FB0-4924-8693-6486C0AD1092}"/>
    <cellStyle name="Normal 4 3 3 6 4 2 4" xfId="37887" xr:uid="{155D800D-2FFF-4D85-8434-93799A6B3755}"/>
    <cellStyle name="Normal 4 3 3 6 4 3" xfId="31279" xr:uid="{00000000-0005-0000-0000-0000C8210000}"/>
    <cellStyle name="Normal 4 3 3 6 4 3 2" xfId="37890" xr:uid="{44105430-02BA-4C6E-BC33-BEB1DCEF92CA}"/>
    <cellStyle name="Normal 4 3 3 6 4 4" xfId="31280" xr:uid="{00000000-0005-0000-0000-0000C9210000}"/>
    <cellStyle name="Normal 4 3 3 6 4 4 2" xfId="37891" xr:uid="{5CCA8861-2961-468D-A77E-4B0215FE70BA}"/>
    <cellStyle name="Normal 4 3 3 6 4 5" xfId="31281" xr:uid="{00000000-0005-0000-0000-0000CA210000}"/>
    <cellStyle name="Normal 4 3 3 6 4 5 2" xfId="37892" xr:uid="{7EA2F1DD-448E-41F7-B496-9C25D751CA17}"/>
    <cellStyle name="Normal 4 3 3 6 4 6" xfId="37886" xr:uid="{D3DD1BB3-0F56-4CA3-A68B-95C290C331C0}"/>
    <cellStyle name="Normal 4 3 3 6 5" xfId="31282" xr:uid="{00000000-0005-0000-0000-0000CB210000}"/>
    <cellStyle name="Normal 4 3 3 6 5 2" xfId="31283" xr:uid="{00000000-0005-0000-0000-0000CC210000}"/>
    <cellStyle name="Normal 4 3 3 6 5 2 2" xfId="37894" xr:uid="{A9258F47-796C-416F-8A5A-E95096EC11F3}"/>
    <cellStyle name="Normal 4 3 3 6 5 3" xfId="31284" xr:uid="{00000000-0005-0000-0000-0000CD210000}"/>
    <cellStyle name="Normal 4 3 3 6 5 3 2" xfId="37895" xr:uid="{0F23AB8A-19DA-40BE-B2A0-2D73DD405A1C}"/>
    <cellStyle name="Normal 4 3 3 6 5 4" xfId="37893" xr:uid="{DB942CE7-5BF6-4885-8C18-E959A3752F25}"/>
    <cellStyle name="Normal 4 3 3 6 6" xfId="31285" xr:uid="{00000000-0005-0000-0000-0000CE210000}"/>
    <cellStyle name="Normal 4 3 3 6 6 2" xfId="37896" xr:uid="{9FA94255-360A-4874-97DD-C4833EED27D5}"/>
    <cellStyle name="Normal 4 3 3 6 7" xfId="31286" xr:uid="{00000000-0005-0000-0000-0000CF210000}"/>
    <cellStyle name="Normal 4 3 3 6 7 2" xfId="37897" xr:uid="{C6F33D54-8C60-43D2-BB56-F132B34B697A}"/>
    <cellStyle name="Normal 4 3 3 6 8" xfId="31287" xr:uid="{00000000-0005-0000-0000-0000D0210000}"/>
    <cellStyle name="Normal 4 3 3 6 8 2" xfId="37898" xr:uid="{62469CF8-E606-46BC-A6DE-1B4B246FF1C4}"/>
    <cellStyle name="Normal 4 3 3 6 9" xfId="37857" xr:uid="{A83A89B1-CD54-4AAA-9A86-1F28D0494C98}"/>
    <cellStyle name="Normal 4 3 3 7" xfId="31288" xr:uid="{00000000-0005-0000-0000-0000D1210000}"/>
    <cellStyle name="Normal 4 3 3 7 2" xfId="31289" xr:uid="{00000000-0005-0000-0000-0000D2210000}"/>
    <cellStyle name="Normal 4 3 3 7 2 2" xfId="31290" xr:uid="{00000000-0005-0000-0000-0000D3210000}"/>
    <cellStyle name="Normal 4 3 3 7 2 2 2" xfId="31291" xr:uid="{00000000-0005-0000-0000-0000D4210000}"/>
    <cellStyle name="Normal 4 3 3 7 2 2 2 2" xfId="37902" xr:uid="{57435FAE-7FAD-4061-8D0D-17DF804A0E25}"/>
    <cellStyle name="Normal 4 3 3 7 2 2 3" xfId="31292" xr:uid="{00000000-0005-0000-0000-0000D5210000}"/>
    <cellStyle name="Normal 4 3 3 7 2 2 3 2" xfId="37903" xr:uid="{572B2153-3D0A-4C4B-90D8-75941D9D9F39}"/>
    <cellStyle name="Normal 4 3 3 7 2 2 4" xfId="37901" xr:uid="{DAA98FEB-DF53-4A4F-8C1E-7875CBE265D0}"/>
    <cellStyle name="Normal 4 3 3 7 2 3" xfId="31293" xr:uid="{00000000-0005-0000-0000-0000D6210000}"/>
    <cellStyle name="Normal 4 3 3 7 2 3 2" xfId="37904" xr:uid="{C4F94CFA-B512-401D-B36A-8B6AB69CDFA8}"/>
    <cellStyle name="Normal 4 3 3 7 2 4" xfId="31294" xr:uid="{00000000-0005-0000-0000-0000D7210000}"/>
    <cellStyle name="Normal 4 3 3 7 2 4 2" xfId="37905" xr:uid="{D799F74F-8A18-4E50-BC50-9790A55434A1}"/>
    <cellStyle name="Normal 4 3 3 7 2 5" xfId="31295" xr:uid="{00000000-0005-0000-0000-0000D8210000}"/>
    <cellStyle name="Normal 4 3 3 7 2 5 2" xfId="37906" xr:uid="{55C94783-5C64-4F3B-92B0-503D4ACDBB1F}"/>
    <cellStyle name="Normal 4 3 3 7 2 6" xfId="37900" xr:uid="{5E3A92E6-8051-42A7-B364-227252C65A6A}"/>
    <cellStyle name="Normal 4 3 3 7 3" xfId="31296" xr:uid="{00000000-0005-0000-0000-0000D9210000}"/>
    <cellStyle name="Normal 4 3 3 7 3 2" xfId="31297" xr:uid="{00000000-0005-0000-0000-0000DA210000}"/>
    <cellStyle name="Normal 4 3 3 7 3 2 2" xfId="31298" xr:uid="{00000000-0005-0000-0000-0000DB210000}"/>
    <cellStyle name="Normal 4 3 3 7 3 2 2 2" xfId="37909" xr:uid="{23F5AF59-6073-4E1B-AEF9-D6E651CF8594}"/>
    <cellStyle name="Normal 4 3 3 7 3 2 3" xfId="31299" xr:uid="{00000000-0005-0000-0000-0000DC210000}"/>
    <cellStyle name="Normal 4 3 3 7 3 2 3 2" xfId="37910" xr:uid="{CBB97068-6CF0-44ED-8739-D945458A7029}"/>
    <cellStyle name="Normal 4 3 3 7 3 2 4" xfId="37908" xr:uid="{3898DAF4-FA86-4D7C-BB83-F8CD4653433E}"/>
    <cellStyle name="Normal 4 3 3 7 3 3" xfId="31300" xr:uid="{00000000-0005-0000-0000-0000DD210000}"/>
    <cellStyle name="Normal 4 3 3 7 3 3 2" xfId="37911" xr:uid="{318F68E9-1C9B-41DA-AC04-0E376AE1AFB5}"/>
    <cellStyle name="Normal 4 3 3 7 3 4" xfId="31301" xr:uid="{00000000-0005-0000-0000-0000DE210000}"/>
    <cellStyle name="Normal 4 3 3 7 3 4 2" xfId="37912" xr:uid="{C10DC82A-052E-4E3D-B09C-8996199DB026}"/>
    <cellStyle name="Normal 4 3 3 7 3 5" xfId="31302" xr:uid="{00000000-0005-0000-0000-0000DF210000}"/>
    <cellStyle name="Normal 4 3 3 7 3 5 2" xfId="37913" xr:uid="{9500B587-7041-4B42-A8AF-07BE22B190DF}"/>
    <cellStyle name="Normal 4 3 3 7 3 6" xfId="37907" xr:uid="{D31A1E43-B1D2-4A12-B021-22349C3D46E8}"/>
    <cellStyle name="Normal 4 3 3 7 4" xfId="31303" xr:uid="{00000000-0005-0000-0000-0000E0210000}"/>
    <cellStyle name="Normal 4 3 3 7 4 2" xfId="31304" xr:uid="{00000000-0005-0000-0000-0000E1210000}"/>
    <cellStyle name="Normal 4 3 3 7 4 2 2" xfId="37915" xr:uid="{98912488-E0D6-4083-9A20-277C293B61D1}"/>
    <cellStyle name="Normal 4 3 3 7 4 3" xfId="31305" xr:uid="{00000000-0005-0000-0000-0000E2210000}"/>
    <cellStyle name="Normal 4 3 3 7 4 3 2" xfId="37916" xr:uid="{8AC51B76-922E-46A7-97D8-A08D619F76FD}"/>
    <cellStyle name="Normal 4 3 3 7 4 4" xfId="37914" xr:uid="{A2C26298-7210-4AE3-9308-4848D6990F54}"/>
    <cellStyle name="Normal 4 3 3 7 5" xfId="31306" xr:uid="{00000000-0005-0000-0000-0000E3210000}"/>
    <cellStyle name="Normal 4 3 3 7 5 2" xfId="37917" xr:uid="{5AB7CD22-DFAF-47E5-AF31-DE455971D741}"/>
    <cellStyle name="Normal 4 3 3 7 6" xfId="31307" xr:uid="{00000000-0005-0000-0000-0000E4210000}"/>
    <cellStyle name="Normal 4 3 3 7 6 2" xfId="37918" xr:uid="{5EB7E667-01E9-487B-9D16-7496E971F1F1}"/>
    <cellStyle name="Normal 4 3 3 7 7" xfId="31308" xr:uid="{00000000-0005-0000-0000-0000E5210000}"/>
    <cellStyle name="Normal 4 3 3 7 7 2" xfId="37919" xr:uid="{BF2E55B9-AD8E-4E09-967F-CDF82F9B6112}"/>
    <cellStyle name="Normal 4 3 3 7 8" xfId="37899" xr:uid="{1CAC3AA0-467C-4D79-82BC-4327E51DD7A3}"/>
    <cellStyle name="Normal 4 3 3 8" xfId="31309" xr:uid="{00000000-0005-0000-0000-0000E6210000}"/>
    <cellStyle name="Normal 4 3 3 8 2" xfId="31310" xr:uid="{00000000-0005-0000-0000-0000E7210000}"/>
    <cellStyle name="Normal 4 3 3 8 2 2" xfId="31311" xr:uid="{00000000-0005-0000-0000-0000E8210000}"/>
    <cellStyle name="Normal 4 3 3 8 2 2 2" xfId="31312" xr:uid="{00000000-0005-0000-0000-0000E9210000}"/>
    <cellStyle name="Normal 4 3 3 8 2 2 2 2" xfId="37923" xr:uid="{016890CA-449A-42CC-B2E4-538E823E6182}"/>
    <cellStyle name="Normal 4 3 3 8 2 2 3" xfId="31313" xr:uid="{00000000-0005-0000-0000-0000EA210000}"/>
    <cellStyle name="Normal 4 3 3 8 2 2 3 2" xfId="37924" xr:uid="{1A387E57-2E3D-4DB1-A67C-80E723B5273C}"/>
    <cellStyle name="Normal 4 3 3 8 2 2 4" xfId="37922" xr:uid="{CBB1309E-B3CD-4088-89A4-210AE7F433A2}"/>
    <cellStyle name="Normal 4 3 3 8 2 3" xfId="31314" xr:uid="{00000000-0005-0000-0000-0000EB210000}"/>
    <cellStyle name="Normal 4 3 3 8 2 3 2" xfId="37925" xr:uid="{4CAD5253-5B51-42C9-9200-085ED9745B01}"/>
    <cellStyle name="Normal 4 3 3 8 2 4" xfId="31315" xr:uid="{00000000-0005-0000-0000-0000EC210000}"/>
    <cellStyle name="Normal 4 3 3 8 2 4 2" xfId="37926" xr:uid="{0FA1A4AE-D672-41A7-9CE1-735C1D6C25CF}"/>
    <cellStyle name="Normal 4 3 3 8 2 5" xfId="31316" xr:uid="{00000000-0005-0000-0000-0000ED210000}"/>
    <cellStyle name="Normal 4 3 3 8 2 5 2" xfId="37927" xr:uid="{4C157624-3878-4F71-A00A-3E901DF17827}"/>
    <cellStyle name="Normal 4 3 3 8 2 6" xfId="37921" xr:uid="{BE135AB0-33ED-4978-9F78-B35F253AB63C}"/>
    <cellStyle name="Normal 4 3 3 8 3" xfId="31317" xr:uid="{00000000-0005-0000-0000-0000EE210000}"/>
    <cellStyle name="Normal 4 3 3 8 3 2" xfId="31318" xr:uid="{00000000-0005-0000-0000-0000EF210000}"/>
    <cellStyle name="Normal 4 3 3 8 3 2 2" xfId="31319" xr:uid="{00000000-0005-0000-0000-0000F0210000}"/>
    <cellStyle name="Normal 4 3 3 8 3 2 2 2" xfId="37930" xr:uid="{8257569E-22BA-4022-9BA5-3756094DB708}"/>
    <cellStyle name="Normal 4 3 3 8 3 2 3" xfId="31320" xr:uid="{00000000-0005-0000-0000-0000F1210000}"/>
    <cellStyle name="Normal 4 3 3 8 3 2 3 2" xfId="37931" xr:uid="{E0A2F7DE-D6BC-43F5-BBFF-CC48A3EFCDC2}"/>
    <cellStyle name="Normal 4 3 3 8 3 2 4" xfId="37929" xr:uid="{150FAC51-F875-4ACB-8B8B-11308561D327}"/>
    <cellStyle name="Normal 4 3 3 8 3 3" xfId="31321" xr:uid="{00000000-0005-0000-0000-0000F2210000}"/>
    <cellStyle name="Normal 4 3 3 8 3 3 2" xfId="37932" xr:uid="{720A5145-A237-4AE8-B2A2-16C65FD68EC4}"/>
    <cellStyle name="Normal 4 3 3 8 3 4" xfId="31322" xr:uid="{00000000-0005-0000-0000-0000F3210000}"/>
    <cellStyle name="Normal 4 3 3 8 3 4 2" xfId="37933" xr:uid="{7C926715-540B-4A87-9241-8B0CB1A9B537}"/>
    <cellStyle name="Normal 4 3 3 8 3 5" xfId="31323" xr:uid="{00000000-0005-0000-0000-0000F4210000}"/>
    <cellStyle name="Normal 4 3 3 8 3 5 2" xfId="37934" xr:uid="{93E3A0ED-35AF-48B9-8B84-D068477D5A3E}"/>
    <cellStyle name="Normal 4 3 3 8 3 6" xfId="37928" xr:uid="{EA4D5D20-B08E-4B06-B0B9-0D805E50A2A5}"/>
    <cellStyle name="Normal 4 3 3 8 4" xfId="31324" xr:uid="{00000000-0005-0000-0000-0000F5210000}"/>
    <cellStyle name="Normal 4 3 3 8 4 2" xfId="31325" xr:uid="{00000000-0005-0000-0000-0000F6210000}"/>
    <cellStyle name="Normal 4 3 3 8 4 2 2" xfId="37936" xr:uid="{5126262B-F4B0-4F3C-9BB2-BC13AD944616}"/>
    <cellStyle name="Normal 4 3 3 8 4 3" xfId="31326" xr:uid="{00000000-0005-0000-0000-0000F7210000}"/>
    <cellStyle name="Normal 4 3 3 8 4 3 2" xfId="37937" xr:uid="{847EB1CF-11A9-480A-94E1-8F0703DE4964}"/>
    <cellStyle name="Normal 4 3 3 8 4 4" xfId="37935" xr:uid="{FC72EC54-C670-4814-BED9-8E893DCDA2AE}"/>
    <cellStyle name="Normal 4 3 3 8 5" xfId="31327" xr:uid="{00000000-0005-0000-0000-0000F8210000}"/>
    <cellStyle name="Normal 4 3 3 8 5 2" xfId="37938" xr:uid="{BDA056C2-A745-4917-A0C4-54A9C8A15C61}"/>
    <cellStyle name="Normal 4 3 3 8 6" xfId="31328" xr:uid="{00000000-0005-0000-0000-0000F9210000}"/>
    <cellStyle name="Normal 4 3 3 8 6 2" xfId="37939" xr:uid="{3AB60C66-9F83-426C-884A-2E7BEDDF9023}"/>
    <cellStyle name="Normal 4 3 3 8 7" xfId="31329" xr:uid="{00000000-0005-0000-0000-0000FA210000}"/>
    <cellStyle name="Normal 4 3 3 8 7 2" xfId="37940" xr:uid="{F6858670-3239-4254-B317-A10B450D6262}"/>
    <cellStyle name="Normal 4 3 3 8 8" xfId="37920" xr:uid="{BD8895FC-8049-4D1C-A107-0E1AF4FACC41}"/>
    <cellStyle name="Normal 4 3 3 9" xfId="31330" xr:uid="{00000000-0005-0000-0000-0000FB210000}"/>
    <cellStyle name="Normal 4 3 3 9 2" xfId="31331" xr:uid="{00000000-0005-0000-0000-0000FC210000}"/>
    <cellStyle name="Normal 4 3 3 9 2 2" xfId="31332" xr:uid="{00000000-0005-0000-0000-0000FD210000}"/>
    <cellStyle name="Normal 4 3 3 9 2 2 2" xfId="37943" xr:uid="{B1247CA0-B055-4508-A9BA-12C8F8D192E0}"/>
    <cellStyle name="Normal 4 3 3 9 2 3" xfId="31333" xr:uid="{00000000-0005-0000-0000-0000FE210000}"/>
    <cellStyle name="Normal 4 3 3 9 2 3 2" xfId="37944" xr:uid="{78C358BF-F50D-4BD7-8E80-502DBEF41D25}"/>
    <cellStyle name="Normal 4 3 3 9 2 4" xfId="37942" xr:uid="{4F0CA41D-9D4D-4B3E-A025-723AD4932E6B}"/>
    <cellStyle name="Normal 4 3 3 9 3" xfId="31334" xr:uid="{00000000-0005-0000-0000-0000FF210000}"/>
    <cellStyle name="Normal 4 3 3 9 3 2" xfId="37945" xr:uid="{90BD28AA-6B11-4B46-A9FE-1DBF502C1529}"/>
    <cellStyle name="Normal 4 3 3 9 4" xfId="31335" xr:uid="{00000000-0005-0000-0000-000000220000}"/>
    <cellStyle name="Normal 4 3 3 9 4 2" xfId="37946" xr:uid="{0A6A90A2-5CF9-41A9-AA8C-F8A7E19B07B0}"/>
    <cellStyle name="Normal 4 3 3 9 5" xfId="31336" xr:uid="{00000000-0005-0000-0000-000001220000}"/>
    <cellStyle name="Normal 4 3 3 9 5 2" xfId="37947" xr:uid="{AE060FAC-838A-4614-A9E9-81591A7375CE}"/>
    <cellStyle name="Normal 4 3 3 9 6" xfId="37941" xr:uid="{E96907CB-79E4-4C7B-85B7-29614F5E2864}"/>
    <cellStyle name="Normal 4 3 4" xfId="5169" xr:uid="{00000000-0005-0000-0000-000002220000}"/>
    <cellStyle name="Normal 4 3 4 10" xfId="31338" xr:uid="{00000000-0005-0000-0000-000003220000}"/>
    <cellStyle name="Normal 4 3 4 10 2" xfId="37949" xr:uid="{112DAC5A-E58C-4ADB-B966-307757FDC724}"/>
    <cellStyle name="Normal 4 3 4 11" xfId="31339" xr:uid="{00000000-0005-0000-0000-000004220000}"/>
    <cellStyle name="Normal 4 3 4 11 2" xfId="37950" xr:uid="{88389417-B074-40D8-91F2-9785E8D077DE}"/>
    <cellStyle name="Normal 4 3 4 12" xfId="31340" xr:uid="{00000000-0005-0000-0000-000005220000}"/>
    <cellStyle name="Normal 4 3 4 12 2" xfId="37951" xr:uid="{0A60D517-CCC8-41F8-A7E4-9530A59CAF7A}"/>
    <cellStyle name="Normal 4 3 4 13" xfId="31337" xr:uid="{00000000-0005-0000-0000-000006220000}"/>
    <cellStyle name="Normal 4 3 4 14" xfId="37948" xr:uid="{B9733FE4-4DFB-4B26-8B9E-E02CBD6E8996}"/>
    <cellStyle name="Normal 4 3 4 2" xfId="31341" xr:uid="{00000000-0005-0000-0000-000007220000}"/>
    <cellStyle name="Normal 4 3 4 2 10" xfId="37952" xr:uid="{426118BB-A750-4CC9-BDD0-0D84A75AB687}"/>
    <cellStyle name="Normal 4 3 4 2 2" xfId="31342" xr:uid="{00000000-0005-0000-0000-000008220000}"/>
    <cellStyle name="Normal 4 3 4 2 2 2" xfId="31343" xr:uid="{00000000-0005-0000-0000-000009220000}"/>
    <cellStyle name="Normal 4 3 4 2 2 2 2" xfId="31344" xr:uid="{00000000-0005-0000-0000-00000A220000}"/>
    <cellStyle name="Normal 4 3 4 2 2 2 2 2" xfId="31345" xr:uid="{00000000-0005-0000-0000-00000B220000}"/>
    <cellStyle name="Normal 4 3 4 2 2 2 2 2 2" xfId="31346" xr:uid="{00000000-0005-0000-0000-00000C220000}"/>
    <cellStyle name="Normal 4 3 4 2 2 2 2 2 2 2" xfId="37957" xr:uid="{9CC65751-802E-4910-9855-1E1C43848061}"/>
    <cellStyle name="Normal 4 3 4 2 2 2 2 2 3" xfId="31347" xr:uid="{00000000-0005-0000-0000-00000D220000}"/>
    <cellStyle name="Normal 4 3 4 2 2 2 2 2 3 2" xfId="37958" xr:uid="{CB715C9E-1E99-412E-BD9A-E14891835CF2}"/>
    <cellStyle name="Normal 4 3 4 2 2 2 2 2 4" xfId="37956" xr:uid="{D12B3427-9C8D-433F-A13C-8E4FBE26A17D}"/>
    <cellStyle name="Normal 4 3 4 2 2 2 2 3" xfId="31348" xr:uid="{00000000-0005-0000-0000-00000E220000}"/>
    <cellStyle name="Normal 4 3 4 2 2 2 2 3 2" xfId="37959" xr:uid="{75E75706-39B6-4F8F-A756-FB3E8EB0B68C}"/>
    <cellStyle name="Normal 4 3 4 2 2 2 2 4" xfId="31349" xr:uid="{00000000-0005-0000-0000-00000F220000}"/>
    <cellStyle name="Normal 4 3 4 2 2 2 2 4 2" xfId="37960" xr:uid="{EE3686DE-363D-488C-9113-0C898BA68B51}"/>
    <cellStyle name="Normal 4 3 4 2 2 2 2 5" xfId="31350" xr:uid="{00000000-0005-0000-0000-000010220000}"/>
    <cellStyle name="Normal 4 3 4 2 2 2 2 5 2" xfId="37961" xr:uid="{E2DE8081-BED5-40C8-B5E4-D3721610FF48}"/>
    <cellStyle name="Normal 4 3 4 2 2 2 2 6" xfId="37955" xr:uid="{E6C6EA9B-AB7F-41C6-963C-9A8BF6D29F67}"/>
    <cellStyle name="Normal 4 3 4 2 2 2 3" xfId="31351" xr:uid="{00000000-0005-0000-0000-000011220000}"/>
    <cellStyle name="Normal 4 3 4 2 2 2 3 2" xfId="31352" xr:uid="{00000000-0005-0000-0000-000012220000}"/>
    <cellStyle name="Normal 4 3 4 2 2 2 3 2 2" xfId="31353" xr:uid="{00000000-0005-0000-0000-000013220000}"/>
    <cellStyle name="Normal 4 3 4 2 2 2 3 2 2 2" xfId="37964" xr:uid="{A0A2DFA0-027B-46D8-8B44-E5497DD2B066}"/>
    <cellStyle name="Normal 4 3 4 2 2 2 3 2 3" xfId="31354" xr:uid="{00000000-0005-0000-0000-000014220000}"/>
    <cellStyle name="Normal 4 3 4 2 2 2 3 2 3 2" xfId="37965" xr:uid="{8F711F4E-C2E5-4897-A454-91031939860B}"/>
    <cellStyle name="Normal 4 3 4 2 2 2 3 2 4" xfId="37963" xr:uid="{31720F32-34B3-4F6F-BD63-C3B4B52F24BA}"/>
    <cellStyle name="Normal 4 3 4 2 2 2 3 3" xfId="31355" xr:uid="{00000000-0005-0000-0000-000015220000}"/>
    <cellStyle name="Normal 4 3 4 2 2 2 3 3 2" xfId="37966" xr:uid="{81D76F7F-CD48-4077-9AB1-CD78900CF6AB}"/>
    <cellStyle name="Normal 4 3 4 2 2 2 3 4" xfId="31356" xr:uid="{00000000-0005-0000-0000-000016220000}"/>
    <cellStyle name="Normal 4 3 4 2 2 2 3 4 2" xfId="37967" xr:uid="{BD3F3D17-1569-4C86-8992-6EC3E3C37429}"/>
    <cellStyle name="Normal 4 3 4 2 2 2 3 5" xfId="31357" xr:uid="{00000000-0005-0000-0000-000017220000}"/>
    <cellStyle name="Normal 4 3 4 2 2 2 3 5 2" xfId="37968" xr:uid="{41D31E56-1487-4FE3-B273-97003FB5D78C}"/>
    <cellStyle name="Normal 4 3 4 2 2 2 3 6" xfId="37962" xr:uid="{D03D9584-09BC-4C2A-8662-DBB24A705641}"/>
    <cellStyle name="Normal 4 3 4 2 2 2 4" xfId="31358" xr:uid="{00000000-0005-0000-0000-000018220000}"/>
    <cellStyle name="Normal 4 3 4 2 2 2 4 2" xfId="31359" xr:uid="{00000000-0005-0000-0000-000019220000}"/>
    <cellStyle name="Normal 4 3 4 2 2 2 4 2 2" xfId="37970" xr:uid="{B81B0752-C44B-4E21-9ED4-E6216B45F4AB}"/>
    <cellStyle name="Normal 4 3 4 2 2 2 4 3" xfId="31360" xr:uid="{00000000-0005-0000-0000-00001A220000}"/>
    <cellStyle name="Normal 4 3 4 2 2 2 4 3 2" xfId="37971" xr:uid="{111CF548-F1BF-405B-8376-BDCEDD6BEE24}"/>
    <cellStyle name="Normal 4 3 4 2 2 2 4 4" xfId="37969" xr:uid="{FE18A530-FD2A-4941-8FFD-F77401FCEE5C}"/>
    <cellStyle name="Normal 4 3 4 2 2 2 5" xfId="31361" xr:uid="{00000000-0005-0000-0000-00001B220000}"/>
    <cellStyle name="Normal 4 3 4 2 2 2 5 2" xfId="37972" xr:uid="{BE5D361E-94D8-46C0-B332-6F6C94BAD5D7}"/>
    <cellStyle name="Normal 4 3 4 2 2 2 6" xfId="31362" xr:uid="{00000000-0005-0000-0000-00001C220000}"/>
    <cellStyle name="Normal 4 3 4 2 2 2 6 2" xfId="37973" xr:uid="{09135D72-EB7F-498F-8E12-6BEC22438107}"/>
    <cellStyle name="Normal 4 3 4 2 2 2 7" xfId="31363" xr:uid="{00000000-0005-0000-0000-00001D220000}"/>
    <cellStyle name="Normal 4 3 4 2 2 2 7 2" xfId="37974" xr:uid="{74A41972-8D16-455A-A290-BE864496E5D0}"/>
    <cellStyle name="Normal 4 3 4 2 2 2 8" xfId="37954" xr:uid="{B35F5F23-3D6A-4C21-BED5-8B4445B71A7E}"/>
    <cellStyle name="Normal 4 3 4 2 2 3" xfId="31364" xr:uid="{00000000-0005-0000-0000-00001E220000}"/>
    <cellStyle name="Normal 4 3 4 2 2 3 2" xfId="31365" xr:uid="{00000000-0005-0000-0000-00001F220000}"/>
    <cellStyle name="Normal 4 3 4 2 2 3 2 2" xfId="31366" xr:uid="{00000000-0005-0000-0000-000020220000}"/>
    <cellStyle name="Normal 4 3 4 2 2 3 2 2 2" xfId="37977" xr:uid="{B56AD961-696E-4738-A369-D6DBF87A1308}"/>
    <cellStyle name="Normal 4 3 4 2 2 3 2 3" xfId="31367" xr:uid="{00000000-0005-0000-0000-000021220000}"/>
    <cellStyle name="Normal 4 3 4 2 2 3 2 3 2" xfId="37978" xr:uid="{6756375C-40FA-42D6-B01F-CDEE72A38ED7}"/>
    <cellStyle name="Normal 4 3 4 2 2 3 2 4" xfId="37976" xr:uid="{3328E56E-9683-4444-8A4E-E9CC38C0AD7E}"/>
    <cellStyle name="Normal 4 3 4 2 2 3 3" xfId="31368" xr:uid="{00000000-0005-0000-0000-000022220000}"/>
    <cellStyle name="Normal 4 3 4 2 2 3 3 2" xfId="37979" xr:uid="{1EA56C7C-1D96-42F5-9EE3-F23A0B16F0D9}"/>
    <cellStyle name="Normal 4 3 4 2 2 3 4" xfId="31369" xr:uid="{00000000-0005-0000-0000-000023220000}"/>
    <cellStyle name="Normal 4 3 4 2 2 3 4 2" xfId="37980" xr:uid="{15BCD2F7-A5A3-4FFD-A964-0BE37B5E7F08}"/>
    <cellStyle name="Normal 4 3 4 2 2 3 5" xfId="31370" xr:uid="{00000000-0005-0000-0000-000024220000}"/>
    <cellStyle name="Normal 4 3 4 2 2 3 5 2" xfId="37981" xr:uid="{00A64ED4-FAF3-48A7-BEED-DC7A02CB5A73}"/>
    <cellStyle name="Normal 4 3 4 2 2 3 6" xfId="37975" xr:uid="{0529338B-736F-4749-B603-BC36ADFA3BEE}"/>
    <cellStyle name="Normal 4 3 4 2 2 4" xfId="31371" xr:uid="{00000000-0005-0000-0000-000025220000}"/>
    <cellStyle name="Normal 4 3 4 2 2 4 2" xfId="31372" xr:uid="{00000000-0005-0000-0000-000026220000}"/>
    <cellStyle name="Normal 4 3 4 2 2 4 2 2" xfId="31373" xr:uid="{00000000-0005-0000-0000-000027220000}"/>
    <cellStyle name="Normal 4 3 4 2 2 4 2 2 2" xfId="37984" xr:uid="{40A29679-7158-419D-8D55-DAFA4F1745B9}"/>
    <cellStyle name="Normal 4 3 4 2 2 4 2 3" xfId="31374" xr:uid="{00000000-0005-0000-0000-000028220000}"/>
    <cellStyle name="Normal 4 3 4 2 2 4 2 3 2" xfId="37985" xr:uid="{DFEDBAC4-7068-47AA-9E1B-B9A5F65C4C30}"/>
    <cellStyle name="Normal 4 3 4 2 2 4 2 4" xfId="37983" xr:uid="{A96D1C9F-7376-4D3F-9255-58095D5F401B}"/>
    <cellStyle name="Normal 4 3 4 2 2 4 3" xfId="31375" xr:uid="{00000000-0005-0000-0000-000029220000}"/>
    <cellStyle name="Normal 4 3 4 2 2 4 3 2" xfId="37986" xr:uid="{8A42A616-E0D9-406C-A8D9-F95E83B447E8}"/>
    <cellStyle name="Normal 4 3 4 2 2 4 4" xfId="31376" xr:uid="{00000000-0005-0000-0000-00002A220000}"/>
    <cellStyle name="Normal 4 3 4 2 2 4 4 2" xfId="37987" xr:uid="{9DF15DE5-B5FA-4FCD-AC87-C0D3EFAF69BF}"/>
    <cellStyle name="Normal 4 3 4 2 2 4 5" xfId="31377" xr:uid="{00000000-0005-0000-0000-00002B220000}"/>
    <cellStyle name="Normal 4 3 4 2 2 4 5 2" xfId="37988" xr:uid="{19BD4BD9-7887-4337-B25B-0B9ADCF8D0B8}"/>
    <cellStyle name="Normal 4 3 4 2 2 4 6" xfId="37982" xr:uid="{1A6F5322-AD3E-468B-AF2F-520C562918C2}"/>
    <cellStyle name="Normal 4 3 4 2 2 5" xfId="31378" xr:uid="{00000000-0005-0000-0000-00002C220000}"/>
    <cellStyle name="Normal 4 3 4 2 2 5 2" xfId="31379" xr:uid="{00000000-0005-0000-0000-00002D220000}"/>
    <cellStyle name="Normal 4 3 4 2 2 5 2 2" xfId="37990" xr:uid="{51A8A279-7C7A-4305-B2DD-E274D4499F8B}"/>
    <cellStyle name="Normal 4 3 4 2 2 5 3" xfId="31380" xr:uid="{00000000-0005-0000-0000-00002E220000}"/>
    <cellStyle name="Normal 4 3 4 2 2 5 3 2" xfId="37991" xr:uid="{AC357E75-FED8-44AC-90AF-1055B6DA92E3}"/>
    <cellStyle name="Normal 4 3 4 2 2 5 4" xfId="37989" xr:uid="{721A9FF7-6132-4965-9747-DB11CA762840}"/>
    <cellStyle name="Normal 4 3 4 2 2 6" xfId="31381" xr:uid="{00000000-0005-0000-0000-00002F220000}"/>
    <cellStyle name="Normal 4 3 4 2 2 6 2" xfId="37992" xr:uid="{C062BD27-F329-4B24-AF24-BF074A3F005F}"/>
    <cellStyle name="Normal 4 3 4 2 2 7" xfId="31382" xr:uid="{00000000-0005-0000-0000-000030220000}"/>
    <cellStyle name="Normal 4 3 4 2 2 7 2" xfId="37993" xr:uid="{3A799E5D-39A1-499B-B62A-9BE690A1802F}"/>
    <cellStyle name="Normal 4 3 4 2 2 8" xfId="31383" xr:uid="{00000000-0005-0000-0000-000031220000}"/>
    <cellStyle name="Normal 4 3 4 2 2 8 2" xfId="37994" xr:uid="{151CD8D2-A663-4688-849A-6FC2FAB808C4}"/>
    <cellStyle name="Normal 4 3 4 2 2 9" xfId="37953" xr:uid="{E7670081-D531-4EDE-8303-5C716AA58D9E}"/>
    <cellStyle name="Normal 4 3 4 2 3" xfId="31384" xr:uid="{00000000-0005-0000-0000-000032220000}"/>
    <cellStyle name="Normal 4 3 4 2 3 2" xfId="31385" xr:uid="{00000000-0005-0000-0000-000033220000}"/>
    <cellStyle name="Normal 4 3 4 2 3 2 2" xfId="31386" xr:uid="{00000000-0005-0000-0000-000034220000}"/>
    <cellStyle name="Normal 4 3 4 2 3 2 2 2" xfId="31387" xr:uid="{00000000-0005-0000-0000-000035220000}"/>
    <cellStyle name="Normal 4 3 4 2 3 2 2 2 2" xfId="37998" xr:uid="{B1477BC0-C307-4B7C-837B-86C76B739559}"/>
    <cellStyle name="Normal 4 3 4 2 3 2 2 3" xfId="31388" xr:uid="{00000000-0005-0000-0000-000036220000}"/>
    <cellStyle name="Normal 4 3 4 2 3 2 2 3 2" xfId="37999" xr:uid="{5A53BD6A-D10B-46BF-8F92-7308C730738F}"/>
    <cellStyle name="Normal 4 3 4 2 3 2 2 4" xfId="37997" xr:uid="{1CA55276-5A0C-4F96-BE94-C64CEB1AD258}"/>
    <cellStyle name="Normal 4 3 4 2 3 2 3" xfId="31389" xr:uid="{00000000-0005-0000-0000-000037220000}"/>
    <cellStyle name="Normal 4 3 4 2 3 2 3 2" xfId="38000" xr:uid="{8CECD15B-0BF1-4DD7-ADCD-A881A44A4AF9}"/>
    <cellStyle name="Normal 4 3 4 2 3 2 4" xfId="31390" xr:uid="{00000000-0005-0000-0000-000038220000}"/>
    <cellStyle name="Normal 4 3 4 2 3 2 4 2" xfId="38001" xr:uid="{54D80C80-1154-43BA-9245-149B51FA96BC}"/>
    <cellStyle name="Normal 4 3 4 2 3 2 5" xfId="31391" xr:uid="{00000000-0005-0000-0000-000039220000}"/>
    <cellStyle name="Normal 4 3 4 2 3 2 5 2" xfId="38002" xr:uid="{4D293C51-BE90-4153-9E11-E10D7EAD9DEC}"/>
    <cellStyle name="Normal 4 3 4 2 3 2 6" xfId="37996" xr:uid="{79E385EF-FA95-4848-B027-0440068A0D29}"/>
    <cellStyle name="Normal 4 3 4 2 3 3" xfId="31392" xr:uid="{00000000-0005-0000-0000-00003A220000}"/>
    <cellStyle name="Normal 4 3 4 2 3 3 2" xfId="31393" xr:uid="{00000000-0005-0000-0000-00003B220000}"/>
    <cellStyle name="Normal 4 3 4 2 3 3 2 2" xfId="31394" xr:uid="{00000000-0005-0000-0000-00003C220000}"/>
    <cellStyle name="Normal 4 3 4 2 3 3 2 2 2" xfId="38005" xr:uid="{A1AD4D3C-F044-4DCD-95F3-32992D148121}"/>
    <cellStyle name="Normal 4 3 4 2 3 3 2 3" xfId="31395" xr:uid="{00000000-0005-0000-0000-00003D220000}"/>
    <cellStyle name="Normal 4 3 4 2 3 3 2 3 2" xfId="38006" xr:uid="{60B7ABFA-0386-4970-9740-1FAF526F62F5}"/>
    <cellStyle name="Normal 4 3 4 2 3 3 2 4" xfId="38004" xr:uid="{25E2FE92-CA61-4354-BAEA-6403F490FE86}"/>
    <cellStyle name="Normal 4 3 4 2 3 3 3" xfId="31396" xr:uid="{00000000-0005-0000-0000-00003E220000}"/>
    <cellStyle name="Normal 4 3 4 2 3 3 3 2" xfId="38007" xr:uid="{1D7B94B3-209D-4AE4-B615-AC52ED23A214}"/>
    <cellStyle name="Normal 4 3 4 2 3 3 4" xfId="31397" xr:uid="{00000000-0005-0000-0000-00003F220000}"/>
    <cellStyle name="Normal 4 3 4 2 3 3 4 2" xfId="38008" xr:uid="{8B8D31FC-182E-4EEE-9B73-AB0BD7B3BA33}"/>
    <cellStyle name="Normal 4 3 4 2 3 3 5" xfId="31398" xr:uid="{00000000-0005-0000-0000-000040220000}"/>
    <cellStyle name="Normal 4 3 4 2 3 3 5 2" xfId="38009" xr:uid="{A1C8B34F-5CAE-45B7-AF8B-564D6FF82780}"/>
    <cellStyle name="Normal 4 3 4 2 3 3 6" xfId="38003" xr:uid="{EA880E82-FD39-48C1-BA37-1471FBED1BC3}"/>
    <cellStyle name="Normal 4 3 4 2 3 4" xfId="31399" xr:uid="{00000000-0005-0000-0000-000041220000}"/>
    <cellStyle name="Normal 4 3 4 2 3 4 2" xfId="31400" xr:uid="{00000000-0005-0000-0000-000042220000}"/>
    <cellStyle name="Normal 4 3 4 2 3 4 2 2" xfId="38011" xr:uid="{91F1A883-A131-4D99-B3F8-A2458477289B}"/>
    <cellStyle name="Normal 4 3 4 2 3 4 3" xfId="31401" xr:uid="{00000000-0005-0000-0000-000043220000}"/>
    <cellStyle name="Normal 4 3 4 2 3 4 3 2" xfId="38012" xr:uid="{20CD6EE4-E62D-43D4-91C1-C3E6F139FD49}"/>
    <cellStyle name="Normal 4 3 4 2 3 4 4" xfId="38010" xr:uid="{5EFA8F1B-58BC-4FDF-8F7C-F349237F31D8}"/>
    <cellStyle name="Normal 4 3 4 2 3 5" xfId="31402" xr:uid="{00000000-0005-0000-0000-000044220000}"/>
    <cellStyle name="Normal 4 3 4 2 3 5 2" xfId="38013" xr:uid="{A753B8A4-F7A0-43A1-9ED9-EB798966906D}"/>
    <cellStyle name="Normal 4 3 4 2 3 6" xfId="31403" xr:uid="{00000000-0005-0000-0000-000045220000}"/>
    <cellStyle name="Normal 4 3 4 2 3 6 2" xfId="38014" xr:uid="{4FF321B9-339F-4892-9008-AC562AC4D3F9}"/>
    <cellStyle name="Normal 4 3 4 2 3 7" xfId="31404" xr:uid="{00000000-0005-0000-0000-000046220000}"/>
    <cellStyle name="Normal 4 3 4 2 3 7 2" xfId="38015" xr:uid="{76B87BCB-3DA6-46B1-8008-B2F2F0C07C52}"/>
    <cellStyle name="Normal 4 3 4 2 3 8" xfId="37995" xr:uid="{D47D0709-8552-4CC5-9217-4CC0F3880CF0}"/>
    <cellStyle name="Normal 4 3 4 2 4" xfId="31405" xr:uid="{00000000-0005-0000-0000-000047220000}"/>
    <cellStyle name="Normal 4 3 4 2 4 2" xfId="31406" xr:uid="{00000000-0005-0000-0000-000048220000}"/>
    <cellStyle name="Normal 4 3 4 2 4 2 2" xfId="31407" xr:uid="{00000000-0005-0000-0000-000049220000}"/>
    <cellStyle name="Normal 4 3 4 2 4 2 2 2" xfId="38018" xr:uid="{AF4E0FDF-AF8F-4129-A1F7-BD61787CC125}"/>
    <cellStyle name="Normal 4 3 4 2 4 2 3" xfId="31408" xr:uid="{00000000-0005-0000-0000-00004A220000}"/>
    <cellStyle name="Normal 4 3 4 2 4 2 3 2" xfId="38019" xr:uid="{8B8C3A95-8B69-4B8E-8905-2745E705393D}"/>
    <cellStyle name="Normal 4 3 4 2 4 2 4" xfId="38017" xr:uid="{745B4E16-4423-4087-B366-909C6D9E7502}"/>
    <cellStyle name="Normal 4 3 4 2 4 3" xfId="31409" xr:uid="{00000000-0005-0000-0000-00004B220000}"/>
    <cellStyle name="Normal 4 3 4 2 4 3 2" xfId="38020" xr:uid="{767F14E5-4900-42DB-A935-5345C2CF3C2C}"/>
    <cellStyle name="Normal 4 3 4 2 4 4" xfId="31410" xr:uid="{00000000-0005-0000-0000-00004C220000}"/>
    <cellStyle name="Normal 4 3 4 2 4 4 2" xfId="38021" xr:uid="{6EA17FC6-A25E-4600-B431-18A3F23463CF}"/>
    <cellStyle name="Normal 4 3 4 2 4 5" xfId="31411" xr:uid="{00000000-0005-0000-0000-00004D220000}"/>
    <cellStyle name="Normal 4 3 4 2 4 5 2" xfId="38022" xr:uid="{A17C2863-B401-4327-B42F-3AC0BAD6470C}"/>
    <cellStyle name="Normal 4 3 4 2 4 6" xfId="38016" xr:uid="{C78C7263-3BB3-4830-BD1F-9D2B004BB669}"/>
    <cellStyle name="Normal 4 3 4 2 5" xfId="31412" xr:uid="{00000000-0005-0000-0000-00004E220000}"/>
    <cellStyle name="Normal 4 3 4 2 5 2" xfId="31413" xr:uid="{00000000-0005-0000-0000-00004F220000}"/>
    <cellStyle name="Normal 4 3 4 2 5 2 2" xfId="31414" xr:uid="{00000000-0005-0000-0000-000050220000}"/>
    <cellStyle name="Normal 4 3 4 2 5 2 2 2" xfId="38025" xr:uid="{AE3C949D-4939-427D-B833-BD0701597A68}"/>
    <cellStyle name="Normal 4 3 4 2 5 2 3" xfId="31415" xr:uid="{00000000-0005-0000-0000-000051220000}"/>
    <cellStyle name="Normal 4 3 4 2 5 2 3 2" xfId="38026" xr:uid="{EBEA4118-9AD8-4A2A-A41A-1CA471D49926}"/>
    <cellStyle name="Normal 4 3 4 2 5 2 4" xfId="38024" xr:uid="{34F29770-26BE-4213-9817-7BCF41B57E4D}"/>
    <cellStyle name="Normal 4 3 4 2 5 3" xfId="31416" xr:uid="{00000000-0005-0000-0000-000052220000}"/>
    <cellStyle name="Normal 4 3 4 2 5 3 2" xfId="38027" xr:uid="{528F341D-3F96-49CD-AE69-A1F1DBDBB795}"/>
    <cellStyle name="Normal 4 3 4 2 5 4" xfId="31417" xr:uid="{00000000-0005-0000-0000-000053220000}"/>
    <cellStyle name="Normal 4 3 4 2 5 4 2" xfId="38028" xr:uid="{ABC8E21D-E256-4FAE-98EB-323EC3D2B89A}"/>
    <cellStyle name="Normal 4 3 4 2 5 5" xfId="31418" xr:uid="{00000000-0005-0000-0000-000054220000}"/>
    <cellStyle name="Normal 4 3 4 2 5 5 2" xfId="38029" xr:uid="{63642AD4-DEBB-4CC1-BDC8-7EB29E1F1EE5}"/>
    <cellStyle name="Normal 4 3 4 2 5 6" xfId="38023" xr:uid="{BB4BA197-2E82-463A-853E-B38E68F0A14F}"/>
    <cellStyle name="Normal 4 3 4 2 6" xfId="31419" xr:uid="{00000000-0005-0000-0000-000055220000}"/>
    <cellStyle name="Normal 4 3 4 2 6 2" xfId="31420" xr:uid="{00000000-0005-0000-0000-000056220000}"/>
    <cellStyle name="Normal 4 3 4 2 6 2 2" xfId="38031" xr:uid="{E6629748-AADD-42BA-9936-8209C3E7A260}"/>
    <cellStyle name="Normal 4 3 4 2 6 3" xfId="31421" xr:uid="{00000000-0005-0000-0000-000057220000}"/>
    <cellStyle name="Normal 4 3 4 2 6 3 2" xfId="38032" xr:uid="{CAE4573C-060B-439F-9E0B-31AC0FA6F5D2}"/>
    <cellStyle name="Normal 4 3 4 2 6 4" xfId="38030" xr:uid="{E8AB1351-3655-4AE6-9BBF-8A25C8A5388C}"/>
    <cellStyle name="Normal 4 3 4 2 7" xfId="31422" xr:uid="{00000000-0005-0000-0000-000058220000}"/>
    <cellStyle name="Normal 4 3 4 2 7 2" xfId="38033" xr:uid="{7B6FC065-CAD3-48AA-A0A7-5D1BE7938FEB}"/>
    <cellStyle name="Normal 4 3 4 2 8" xfId="31423" xr:uid="{00000000-0005-0000-0000-000059220000}"/>
    <cellStyle name="Normal 4 3 4 2 8 2" xfId="38034" xr:uid="{72AF37B4-C11C-411B-855E-8F6AD49357C4}"/>
    <cellStyle name="Normal 4 3 4 2 9" xfId="31424" xr:uid="{00000000-0005-0000-0000-00005A220000}"/>
    <cellStyle name="Normal 4 3 4 2 9 2" xfId="38035" xr:uid="{C32F2E34-BCFA-4E29-8B96-DCA3600F5121}"/>
    <cellStyle name="Normal 4 3 4 3" xfId="31425" xr:uid="{00000000-0005-0000-0000-00005B220000}"/>
    <cellStyle name="Normal 4 3 4 3 10" xfId="38036" xr:uid="{BC1EC9D4-425C-49A4-B6EE-F8B29F646F9D}"/>
    <cellStyle name="Normal 4 3 4 3 2" xfId="31426" xr:uid="{00000000-0005-0000-0000-00005C220000}"/>
    <cellStyle name="Normal 4 3 4 3 2 2" xfId="31427" xr:uid="{00000000-0005-0000-0000-00005D220000}"/>
    <cellStyle name="Normal 4 3 4 3 2 2 2" xfId="31428" xr:uid="{00000000-0005-0000-0000-00005E220000}"/>
    <cellStyle name="Normal 4 3 4 3 2 2 2 2" xfId="31429" xr:uid="{00000000-0005-0000-0000-00005F220000}"/>
    <cellStyle name="Normal 4 3 4 3 2 2 2 2 2" xfId="31430" xr:uid="{00000000-0005-0000-0000-000060220000}"/>
    <cellStyle name="Normal 4 3 4 3 2 2 2 2 2 2" xfId="38041" xr:uid="{09EE07A9-0A68-4E87-8E2D-C1127430E35D}"/>
    <cellStyle name="Normal 4 3 4 3 2 2 2 2 3" xfId="31431" xr:uid="{00000000-0005-0000-0000-000061220000}"/>
    <cellStyle name="Normal 4 3 4 3 2 2 2 2 3 2" xfId="38042" xr:uid="{C93F5D5B-1F78-4CE1-95DA-D656E5621071}"/>
    <cellStyle name="Normal 4 3 4 3 2 2 2 2 4" xfId="38040" xr:uid="{74922C8E-E52B-46CB-97DD-C2AA99940417}"/>
    <cellStyle name="Normal 4 3 4 3 2 2 2 3" xfId="31432" xr:uid="{00000000-0005-0000-0000-000062220000}"/>
    <cellStyle name="Normal 4 3 4 3 2 2 2 3 2" xfId="38043" xr:uid="{FB31F53B-ED8D-44EC-BA0F-DB61FF9776BE}"/>
    <cellStyle name="Normal 4 3 4 3 2 2 2 4" xfId="31433" xr:uid="{00000000-0005-0000-0000-000063220000}"/>
    <cellStyle name="Normal 4 3 4 3 2 2 2 4 2" xfId="38044" xr:uid="{6F1FE046-3500-4510-AFC1-65F289777ED5}"/>
    <cellStyle name="Normal 4 3 4 3 2 2 2 5" xfId="31434" xr:uid="{00000000-0005-0000-0000-000064220000}"/>
    <cellStyle name="Normal 4 3 4 3 2 2 2 5 2" xfId="38045" xr:uid="{9B63C55C-FAB5-4B59-94D3-3A5FA4CEBF99}"/>
    <cellStyle name="Normal 4 3 4 3 2 2 2 6" xfId="38039" xr:uid="{1078D714-0D54-4559-BBDF-020CEF5B6369}"/>
    <cellStyle name="Normal 4 3 4 3 2 2 3" xfId="31435" xr:uid="{00000000-0005-0000-0000-000065220000}"/>
    <cellStyle name="Normal 4 3 4 3 2 2 3 2" xfId="31436" xr:uid="{00000000-0005-0000-0000-000066220000}"/>
    <cellStyle name="Normal 4 3 4 3 2 2 3 2 2" xfId="31437" xr:uid="{00000000-0005-0000-0000-000067220000}"/>
    <cellStyle name="Normal 4 3 4 3 2 2 3 2 2 2" xfId="38048" xr:uid="{1163ECFD-97C3-4DDF-9EC2-27C4B0E068A0}"/>
    <cellStyle name="Normal 4 3 4 3 2 2 3 2 3" xfId="31438" xr:uid="{00000000-0005-0000-0000-000068220000}"/>
    <cellStyle name="Normal 4 3 4 3 2 2 3 2 3 2" xfId="38049" xr:uid="{6DDE0846-FDE1-4A97-ACEC-EF04ADFA1334}"/>
    <cellStyle name="Normal 4 3 4 3 2 2 3 2 4" xfId="38047" xr:uid="{4AA12056-46AF-47E1-822A-01FA5CD3EBB8}"/>
    <cellStyle name="Normal 4 3 4 3 2 2 3 3" xfId="31439" xr:uid="{00000000-0005-0000-0000-000069220000}"/>
    <cellStyle name="Normal 4 3 4 3 2 2 3 3 2" xfId="38050" xr:uid="{F0891A1B-026A-4AAD-B9AA-6BEA30ED585C}"/>
    <cellStyle name="Normal 4 3 4 3 2 2 3 4" xfId="31440" xr:uid="{00000000-0005-0000-0000-00006A220000}"/>
    <cellStyle name="Normal 4 3 4 3 2 2 3 4 2" xfId="38051" xr:uid="{601193B1-74C8-4AE8-8533-FD01913DC101}"/>
    <cellStyle name="Normal 4 3 4 3 2 2 3 5" xfId="31441" xr:uid="{00000000-0005-0000-0000-00006B220000}"/>
    <cellStyle name="Normal 4 3 4 3 2 2 3 5 2" xfId="38052" xr:uid="{C52BFF96-0847-4323-AC46-05BD5BCB9FC8}"/>
    <cellStyle name="Normal 4 3 4 3 2 2 3 6" xfId="38046" xr:uid="{AD67176B-5715-4EA4-882C-4FCCB96A0352}"/>
    <cellStyle name="Normal 4 3 4 3 2 2 4" xfId="31442" xr:uid="{00000000-0005-0000-0000-00006C220000}"/>
    <cellStyle name="Normal 4 3 4 3 2 2 4 2" xfId="31443" xr:uid="{00000000-0005-0000-0000-00006D220000}"/>
    <cellStyle name="Normal 4 3 4 3 2 2 4 2 2" xfId="38054" xr:uid="{7D677BE0-86CE-47E9-93A9-4D204BCF21D0}"/>
    <cellStyle name="Normal 4 3 4 3 2 2 4 3" xfId="31444" xr:uid="{00000000-0005-0000-0000-00006E220000}"/>
    <cellStyle name="Normal 4 3 4 3 2 2 4 3 2" xfId="38055" xr:uid="{1A78E87C-D1FF-4D29-A171-B0179E05CCD6}"/>
    <cellStyle name="Normal 4 3 4 3 2 2 4 4" xfId="38053" xr:uid="{21840EE9-2EA6-4BA8-9321-6206E167D105}"/>
    <cellStyle name="Normal 4 3 4 3 2 2 5" xfId="31445" xr:uid="{00000000-0005-0000-0000-00006F220000}"/>
    <cellStyle name="Normal 4 3 4 3 2 2 5 2" xfId="38056" xr:uid="{1AAFB71D-F9BE-4B1F-86BB-7B5267BFC3E0}"/>
    <cellStyle name="Normal 4 3 4 3 2 2 6" xfId="31446" xr:uid="{00000000-0005-0000-0000-000070220000}"/>
    <cellStyle name="Normal 4 3 4 3 2 2 6 2" xfId="38057" xr:uid="{CC6D5AA5-85ED-47DD-8405-1C0252CCC1EE}"/>
    <cellStyle name="Normal 4 3 4 3 2 2 7" xfId="31447" xr:uid="{00000000-0005-0000-0000-000071220000}"/>
    <cellStyle name="Normal 4 3 4 3 2 2 7 2" xfId="38058" xr:uid="{E04F5067-BB69-4647-8CF5-1B24A78DDC99}"/>
    <cellStyle name="Normal 4 3 4 3 2 2 8" xfId="38038" xr:uid="{F681CBBD-A5F5-48E7-B32A-DF395F6D3EA9}"/>
    <cellStyle name="Normal 4 3 4 3 2 3" xfId="31448" xr:uid="{00000000-0005-0000-0000-000072220000}"/>
    <cellStyle name="Normal 4 3 4 3 2 3 2" xfId="31449" xr:uid="{00000000-0005-0000-0000-000073220000}"/>
    <cellStyle name="Normal 4 3 4 3 2 3 2 2" xfId="31450" xr:uid="{00000000-0005-0000-0000-000074220000}"/>
    <cellStyle name="Normal 4 3 4 3 2 3 2 2 2" xfId="38061" xr:uid="{190F690D-6574-4F37-B16A-A7BDA16684DC}"/>
    <cellStyle name="Normal 4 3 4 3 2 3 2 3" xfId="31451" xr:uid="{00000000-0005-0000-0000-000075220000}"/>
    <cellStyle name="Normal 4 3 4 3 2 3 2 3 2" xfId="38062" xr:uid="{B766858E-702A-4922-9254-AE0178B8EC5B}"/>
    <cellStyle name="Normal 4 3 4 3 2 3 2 4" xfId="38060" xr:uid="{ADDF0FAF-3F47-4176-8132-50C5F4283B22}"/>
    <cellStyle name="Normal 4 3 4 3 2 3 3" xfId="31452" xr:uid="{00000000-0005-0000-0000-000076220000}"/>
    <cellStyle name="Normal 4 3 4 3 2 3 3 2" xfId="38063" xr:uid="{0D744BA1-9869-481B-9765-C1B6757577A7}"/>
    <cellStyle name="Normal 4 3 4 3 2 3 4" xfId="31453" xr:uid="{00000000-0005-0000-0000-000077220000}"/>
    <cellStyle name="Normal 4 3 4 3 2 3 4 2" xfId="38064" xr:uid="{C75D25DA-2E38-4A43-8824-331C92C7E7E5}"/>
    <cellStyle name="Normal 4 3 4 3 2 3 5" xfId="31454" xr:uid="{00000000-0005-0000-0000-000078220000}"/>
    <cellStyle name="Normal 4 3 4 3 2 3 5 2" xfId="38065" xr:uid="{9CA90BCB-D312-485A-9757-CD7F6DB8FCBA}"/>
    <cellStyle name="Normal 4 3 4 3 2 3 6" xfId="38059" xr:uid="{0BE280B6-AC1F-4365-857D-2067A6C04CF2}"/>
    <cellStyle name="Normal 4 3 4 3 2 4" xfId="31455" xr:uid="{00000000-0005-0000-0000-000079220000}"/>
    <cellStyle name="Normal 4 3 4 3 2 4 2" xfId="31456" xr:uid="{00000000-0005-0000-0000-00007A220000}"/>
    <cellStyle name="Normal 4 3 4 3 2 4 2 2" xfId="31457" xr:uid="{00000000-0005-0000-0000-00007B220000}"/>
    <cellStyle name="Normal 4 3 4 3 2 4 2 2 2" xfId="38068" xr:uid="{2C679A54-6DDC-4785-838D-B4EDAD5919F9}"/>
    <cellStyle name="Normal 4 3 4 3 2 4 2 3" xfId="31458" xr:uid="{00000000-0005-0000-0000-00007C220000}"/>
    <cellStyle name="Normal 4 3 4 3 2 4 2 3 2" xfId="38069" xr:uid="{7F86F935-7473-45EB-89F1-B1937898726D}"/>
    <cellStyle name="Normal 4 3 4 3 2 4 2 4" xfId="38067" xr:uid="{5DCEB435-5054-4B48-8584-0F02CECE7030}"/>
    <cellStyle name="Normal 4 3 4 3 2 4 3" xfId="31459" xr:uid="{00000000-0005-0000-0000-00007D220000}"/>
    <cellStyle name="Normal 4 3 4 3 2 4 3 2" xfId="38070" xr:uid="{5BEA192A-15D1-4C46-A031-8E393FF69593}"/>
    <cellStyle name="Normal 4 3 4 3 2 4 4" xfId="31460" xr:uid="{00000000-0005-0000-0000-00007E220000}"/>
    <cellStyle name="Normal 4 3 4 3 2 4 4 2" xfId="38071" xr:uid="{97E7DC00-4B84-4F36-ADDA-8F8420BFA1D4}"/>
    <cellStyle name="Normal 4 3 4 3 2 4 5" xfId="31461" xr:uid="{00000000-0005-0000-0000-00007F220000}"/>
    <cellStyle name="Normal 4 3 4 3 2 4 5 2" xfId="38072" xr:uid="{E06CD28C-2216-417E-BE25-09D715E644AF}"/>
    <cellStyle name="Normal 4 3 4 3 2 4 6" xfId="38066" xr:uid="{ED3C1BAF-8CDA-43B6-B8C9-3789F2DEDDED}"/>
    <cellStyle name="Normal 4 3 4 3 2 5" xfId="31462" xr:uid="{00000000-0005-0000-0000-000080220000}"/>
    <cellStyle name="Normal 4 3 4 3 2 5 2" xfId="31463" xr:uid="{00000000-0005-0000-0000-000081220000}"/>
    <cellStyle name="Normal 4 3 4 3 2 5 2 2" xfId="38074" xr:uid="{D5ACCFDE-B654-48FC-BD85-C50E0C48E620}"/>
    <cellStyle name="Normal 4 3 4 3 2 5 3" xfId="31464" xr:uid="{00000000-0005-0000-0000-000082220000}"/>
    <cellStyle name="Normal 4 3 4 3 2 5 3 2" xfId="38075" xr:uid="{CD7E6076-1862-4AA3-8941-10D5D273BA4F}"/>
    <cellStyle name="Normal 4 3 4 3 2 5 4" xfId="38073" xr:uid="{563F0FD2-ECBC-42E6-B60F-F95DA1640F92}"/>
    <cellStyle name="Normal 4 3 4 3 2 6" xfId="31465" xr:uid="{00000000-0005-0000-0000-000083220000}"/>
    <cellStyle name="Normal 4 3 4 3 2 6 2" xfId="38076" xr:uid="{9DFFA237-DFD6-4C01-AB54-E05425B1B43A}"/>
    <cellStyle name="Normal 4 3 4 3 2 7" xfId="31466" xr:uid="{00000000-0005-0000-0000-000084220000}"/>
    <cellStyle name="Normal 4 3 4 3 2 7 2" xfId="38077" xr:uid="{3F958135-117B-40AF-830C-0113B034D58A}"/>
    <cellStyle name="Normal 4 3 4 3 2 8" xfId="31467" xr:uid="{00000000-0005-0000-0000-000085220000}"/>
    <cellStyle name="Normal 4 3 4 3 2 8 2" xfId="38078" xr:uid="{7161DA19-06B6-4520-9793-1545FD88AC64}"/>
    <cellStyle name="Normal 4 3 4 3 2 9" xfId="38037" xr:uid="{3EA9FDF0-5E0F-4F4B-BAF1-C029131FBA6C}"/>
    <cellStyle name="Normal 4 3 4 3 3" xfId="31468" xr:uid="{00000000-0005-0000-0000-000086220000}"/>
    <cellStyle name="Normal 4 3 4 3 3 2" xfId="31469" xr:uid="{00000000-0005-0000-0000-000087220000}"/>
    <cellStyle name="Normal 4 3 4 3 3 2 2" xfId="31470" xr:uid="{00000000-0005-0000-0000-000088220000}"/>
    <cellStyle name="Normal 4 3 4 3 3 2 2 2" xfId="31471" xr:uid="{00000000-0005-0000-0000-000089220000}"/>
    <cellStyle name="Normal 4 3 4 3 3 2 2 2 2" xfId="38082" xr:uid="{91160653-9E83-43BF-9122-493D02BD9040}"/>
    <cellStyle name="Normal 4 3 4 3 3 2 2 3" xfId="31472" xr:uid="{00000000-0005-0000-0000-00008A220000}"/>
    <cellStyle name="Normal 4 3 4 3 3 2 2 3 2" xfId="38083" xr:uid="{BE7B1CAE-C81A-4372-BBC6-0A9160B221B1}"/>
    <cellStyle name="Normal 4 3 4 3 3 2 2 4" xfId="38081" xr:uid="{478151BB-6142-4059-86A1-3131B4D3DA97}"/>
    <cellStyle name="Normal 4 3 4 3 3 2 3" xfId="31473" xr:uid="{00000000-0005-0000-0000-00008B220000}"/>
    <cellStyle name="Normal 4 3 4 3 3 2 3 2" xfId="38084" xr:uid="{8CACF112-68D7-4A6D-A641-2B236F9A302D}"/>
    <cellStyle name="Normal 4 3 4 3 3 2 4" xfId="31474" xr:uid="{00000000-0005-0000-0000-00008C220000}"/>
    <cellStyle name="Normal 4 3 4 3 3 2 4 2" xfId="38085" xr:uid="{57EAED33-D76D-477C-856F-AA1CFACB2520}"/>
    <cellStyle name="Normal 4 3 4 3 3 2 5" xfId="31475" xr:uid="{00000000-0005-0000-0000-00008D220000}"/>
    <cellStyle name="Normal 4 3 4 3 3 2 5 2" xfId="38086" xr:uid="{34B2CD34-8BD2-404D-AAD2-9CAE0341A575}"/>
    <cellStyle name="Normal 4 3 4 3 3 2 6" xfId="38080" xr:uid="{B0A09636-5414-4EED-A9EF-7F8EA700C850}"/>
    <cellStyle name="Normal 4 3 4 3 3 3" xfId="31476" xr:uid="{00000000-0005-0000-0000-00008E220000}"/>
    <cellStyle name="Normal 4 3 4 3 3 3 2" xfId="31477" xr:uid="{00000000-0005-0000-0000-00008F220000}"/>
    <cellStyle name="Normal 4 3 4 3 3 3 2 2" xfId="31478" xr:uid="{00000000-0005-0000-0000-000090220000}"/>
    <cellStyle name="Normal 4 3 4 3 3 3 2 2 2" xfId="38089" xr:uid="{0C6A1C49-6B44-4D5B-939E-119EFFD54398}"/>
    <cellStyle name="Normal 4 3 4 3 3 3 2 3" xfId="31479" xr:uid="{00000000-0005-0000-0000-000091220000}"/>
    <cellStyle name="Normal 4 3 4 3 3 3 2 3 2" xfId="38090" xr:uid="{0E7B9C1A-C5BB-434F-B96E-0FF4E7C4CF8B}"/>
    <cellStyle name="Normal 4 3 4 3 3 3 2 4" xfId="38088" xr:uid="{231A7F83-9E2B-4642-B1D5-ECECC3B501A4}"/>
    <cellStyle name="Normal 4 3 4 3 3 3 3" xfId="31480" xr:uid="{00000000-0005-0000-0000-000092220000}"/>
    <cellStyle name="Normal 4 3 4 3 3 3 3 2" xfId="38091" xr:uid="{1BE23832-68AC-43D0-8B06-C9D8B0B12D17}"/>
    <cellStyle name="Normal 4 3 4 3 3 3 4" xfId="31481" xr:uid="{00000000-0005-0000-0000-000093220000}"/>
    <cellStyle name="Normal 4 3 4 3 3 3 4 2" xfId="38092" xr:uid="{70809C00-C1F5-46A5-89AC-F2852DB0385E}"/>
    <cellStyle name="Normal 4 3 4 3 3 3 5" xfId="31482" xr:uid="{00000000-0005-0000-0000-000094220000}"/>
    <cellStyle name="Normal 4 3 4 3 3 3 5 2" xfId="38093" xr:uid="{6ECFFD84-EB0E-41F8-B8B6-3D807A54B698}"/>
    <cellStyle name="Normal 4 3 4 3 3 3 6" xfId="38087" xr:uid="{AB79CFAB-BEC1-493F-8B5F-F9F4B7DDFF34}"/>
    <cellStyle name="Normal 4 3 4 3 3 4" xfId="31483" xr:uid="{00000000-0005-0000-0000-000095220000}"/>
    <cellStyle name="Normal 4 3 4 3 3 4 2" xfId="31484" xr:uid="{00000000-0005-0000-0000-000096220000}"/>
    <cellStyle name="Normal 4 3 4 3 3 4 2 2" xfId="38095" xr:uid="{DA4B5982-CA1D-4A61-BC4D-A9C02EFA9C89}"/>
    <cellStyle name="Normal 4 3 4 3 3 4 3" xfId="31485" xr:uid="{00000000-0005-0000-0000-000097220000}"/>
    <cellStyle name="Normal 4 3 4 3 3 4 3 2" xfId="38096" xr:uid="{196BD1F0-F078-4792-A4FE-D952AD0787DB}"/>
    <cellStyle name="Normal 4 3 4 3 3 4 4" xfId="38094" xr:uid="{02F7A149-F803-4BA3-9546-C93F49FE7F4B}"/>
    <cellStyle name="Normal 4 3 4 3 3 5" xfId="31486" xr:uid="{00000000-0005-0000-0000-000098220000}"/>
    <cellStyle name="Normal 4 3 4 3 3 5 2" xfId="38097" xr:uid="{713D2507-A66D-49BF-8E0E-7C78B198141E}"/>
    <cellStyle name="Normal 4 3 4 3 3 6" xfId="31487" xr:uid="{00000000-0005-0000-0000-000099220000}"/>
    <cellStyle name="Normal 4 3 4 3 3 6 2" xfId="38098" xr:uid="{B869C7A2-A595-4EB9-8975-058ADB27CE37}"/>
    <cellStyle name="Normal 4 3 4 3 3 7" xfId="31488" xr:uid="{00000000-0005-0000-0000-00009A220000}"/>
    <cellStyle name="Normal 4 3 4 3 3 7 2" xfId="38099" xr:uid="{B3EE5A45-6586-4206-8744-552D44586D6D}"/>
    <cellStyle name="Normal 4 3 4 3 3 8" xfId="38079" xr:uid="{46602918-729C-4BDE-A4BE-591B81E34954}"/>
    <cellStyle name="Normal 4 3 4 3 4" xfId="31489" xr:uid="{00000000-0005-0000-0000-00009B220000}"/>
    <cellStyle name="Normal 4 3 4 3 4 2" xfId="31490" xr:uid="{00000000-0005-0000-0000-00009C220000}"/>
    <cellStyle name="Normal 4 3 4 3 4 2 2" xfId="31491" xr:uid="{00000000-0005-0000-0000-00009D220000}"/>
    <cellStyle name="Normal 4 3 4 3 4 2 2 2" xfId="38102" xr:uid="{4E645F4C-27C7-4746-B0D2-19C34D1C52F1}"/>
    <cellStyle name="Normal 4 3 4 3 4 2 3" xfId="31492" xr:uid="{00000000-0005-0000-0000-00009E220000}"/>
    <cellStyle name="Normal 4 3 4 3 4 2 3 2" xfId="38103" xr:uid="{BBA26AB2-499E-437F-8216-B1B6817D04DA}"/>
    <cellStyle name="Normal 4 3 4 3 4 2 4" xfId="38101" xr:uid="{A8B95008-551D-479C-A7E3-76805053BFBA}"/>
    <cellStyle name="Normal 4 3 4 3 4 3" xfId="31493" xr:uid="{00000000-0005-0000-0000-00009F220000}"/>
    <cellStyle name="Normal 4 3 4 3 4 3 2" xfId="38104" xr:uid="{9CE7032D-6357-4237-99EA-D4F84DD79FCA}"/>
    <cellStyle name="Normal 4 3 4 3 4 4" xfId="31494" xr:uid="{00000000-0005-0000-0000-0000A0220000}"/>
    <cellStyle name="Normal 4 3 4 3 4 4 2" xfId="38105" xr:uid="{B6392481-5B17-4D97-BBF8-3D2B4F84A22F}"/>
    <cellStyle name="Normal 4 3 4 3 4 5" xfId="31495" xr:uid="{00000000-0005-0000-0000-0000A1220000}"/>
    <cellStyle name="Normal 4 3 4 3 4 5 2" xfId="38106" xr:uid="{BD1BECC6-F605-4D04-80AD-5367E815CDC6}"/>
    <cellStyle name="Normal 4 3 4 3 4 6" xfId="38100" xr:uid="{005CC5AE-24D0-4611-848B-8DBA7A6DA155}"/>
    <cellStyle name="Normal 4 3 4 3 5" xfId="31496" xr:uid="{00000000-0005-0000-0000-0000A2220000}"/>
    <cellStyle name="Normal 4 3 4 3 5 2" xfId="31497" xr:uid="{00000000-0005-0000-0000-0000A3220000}"/>
    <cellStyle name="Normal 4 3 4 3 5 2 2" xfId="31498" xr:uid="{00000000-0005-0000-0000-0000A4220000}"/>
    <cellStyle name="Normal 4 3 4 3 5 2 2 2" xfId="38109" xr:uid="{37673EE9-4AF5-4F8B-A8CB-FECE70D0E029}"/>
    <cellStyle name="Normal 4 3 4 3 5 2 3" xfId="31499" xr:uid="{00000000-0005-0000-0000-0000A5220000}"/>
    <cellStyle name="Normal 4 3 4 3 5 2 3 2" xfId="38110" xr:uid="{C7CFD043-4C62-4A7C-AC25-57AEBEE1701E}"/>
    <cellStyle name="Normal 4 3 4 3 5 2 4" xfId="38108" xr:uid="{C782A257-1D09-4575-824B-1D5E166EF363}"/>
    <cellStyle name="Normal 4 3 4 3 5 3" xfId="31500" xr:uid="{00000000-0005-0000-0000-0000A6220000}"/>
    <cellStyle name="Normal 4 3 4 3 5 3 2" xfId="38111" xr:uid="{C5F1A79C-0D9D-4FFD-96EC-1A401A9B24F9}"/>
    <cellStyle name="Normal 4 3 4 3 5 4" xfId="31501" xr:uid="{00000000-0005-0000-0000-0000A7220000}"/>
    <cellStyle name="Normal 4 3 4 3 5 4 2" xfId="38112" xr:uid="{4CFFC92A-5A4C-484A-9FDB-5D5F88EE66D3}"/>
    <cellStyle name="Normal 4 3 4 3 5 5" xfId="31502" xr:uid="{00000000-0005-0000-0000-0000A8220000}"/>
    <cellStyle name="Normal 4 3 4 3 5 5 2" xfId="38113" xr:uid="{FD7D6ABE-FC02-4EB1-8F37-CE945D2873E4}"/>
    <cellStyle name="Normal 4 3 4 3 5 6" xfId="38107" xr:uid="{49DD3B14-B1A2-4898-B93E-411DD7F0F989}"/>
    <cellStyle name="Normal 4 3 4 3 6" xfId="31503" xr:uid="{00000000-0005-0000-0000-0000A9220000}"/>
    <cellStyle name="Normal 4 3 4 3 6 2" xfId="31504" xr:uid="{00000000-0005-0000-0000-0000AA220000}"/>
    <cellStyle name="Normal 4 3 4 3 6 2 2" xfId="38115" xr:uid="{BD33DC47-76F7-422C-9946-0E0D9038564A}"/>
    <cellStyle name="Normal 4 3 4 3 6 3" xfId="31505" xr:uid="{00000000-0005-0000-0000-0000AB220000}"/>
    <cellStyle name="Normal 4 3 4 3 6 3 2" xfId="38116" xr:uid="{B5D9F55F-D51D-4D69-9153-4DD2A255643E}"/>
    <cellStyle name="Normal 4 3 4 3 6 4" xfId="38114" xr:uid="{27682B56-3BCB-4405-8C37-DCCA9C6168DF}"/>
    <cellStyle name="Normal 4 3 4 3 7" xfId="31506" xr:uid="{00000000-0005-0000-0000-0000AC220000}"/>
    <cellStyle name="Normal 4 3 4 3 7 2" xfId="38117" xr:uid="{E3590EED-2632-4700-B0A8-16C4E5FAF514}"/>
    <cellStyle name="Normal 4 3 4 3 8" xfId="31507" xr:uid="{00000000-0005-0000-0000-0000AD220000}"/>
    <cellStyle name="Normal 4 3 4 3 8 2" xfId="38118" xr:uid="{A2E801C9-B554-4961-B143-065AB8AB8F52}"/>
    <cellStyle name="Normal 4 3 4 3 9" xfId="31508" xr:uid="{00000000-0005-0000-0000-0000AE220000}"/>
    <cellStyle name="Normal 4 3 4 3 9 2" xfId="38119" xr:uid="{2C80D1B7-496C-4C4E-B59A-302C4590C37F}"/>
    <cellStyle name="Normal 4 3 4 4" xfId="31509" xr:uid="{00000000-0005-0000-0000-0000AF220000}"/>
    <cellStyle name="Normal 4 3 4 4 10" xfId="38120" xr:uid="{648309CB-6ADA-46A5-8445-F13040F2F9D1}"/>
    <cellStyle name="Normal 4 3 4 4 2" xfId="31510" xr:uid="{00000000-0005-0000-0000-0000B0220000}"/>
    <cellStyle name="Normal 4 3 4 4 2 2" xfId="31511" xr:uid="{00000000-0005-0000-0000-0000B1220000}"/>
    <cellStyle name="Normal 4 3 4 4 2 2 2" xfId="31512" xr:uid="{00000000-0005-0000-0000-0000B2220000}"/>
    <cellStyle name="Normal 4 3 4 4 2 2 2 2" xfId="31513" xr:uid="{00000000-0005-0000-0000-0000B3220000}"/>
    <cellStyle name="Normal 4 3 4 4 2 2 2 2 2" xfId="31514" xr:uid="{00000000-0005-0000-0000-0000B4220000}"/>
    <cellStyle name="Normal 4 3 4 4 2 2 2 2 2 2" xfId="38125" xr:uid="{815094A6-C0A2-44A1-A61E-401E14ADFAA2}"/>
    <cellStyle name="Normal 4 3 4 4 2 2 2 2 3" xfId="31515" xr:uid="{00000000-0005-0000-0000-0000B5220000}"/>
    <cellStyle name="Normal 4 3 4 4 2 2 2 2 3 2" xfId="38126" xr:uid="{4313FEAF-73BE-4FA6-AC96-3AAE785C48BE}"/>
    <cellStyle name="Normal 4 3 4 4 2 2 2 2 4" xfId="38124" xr:uid="{AE0AB1E2-701B-4E05-A8E3-E4DBB0203320}"/>
    <cellStyle name="Normal 4 3 4 4 2 2 2 3" xfId="31516" xr:uid="{00000000-0005-0000-0000-0000B6220000}"/>
    <cellStyle name="Normal 4 3 4 4 2 2 2 3 2" xfId="38127" xr:uid="{9DBA448F-CF19-49ED-9F74-E2CF7A7AFCAC}"/>
    <cellStyle name="Normal 4 3 4 4 2 2 2 4" xfId="31517" xr:uid="{00000000-0005-0000-0000-0000B7220000}"/>
    <cellStyle name="Normal 4 3 4 4 2 2 2 4 2" xfId="38128" xr:uid="{C4554C30-9CC3-4190-84CD-9686B16EEAF1}"/>
    <cellStyle name="Normal 4 3 4 4 2 2 2 5" xfId="31518" xr:uid="{00000000-0005-0000-0000-0000B8220000}"/>
    <cellStyle name="Normal 4 3 4 4 2 2 2 5 2" xfId="38129" xr:uid="{15E2C77B-1B5F-4DF3-B14C-03985C8E4FE1}"/>
    <cellStyle name="Normal 4 3 4 4 2 2 2 6" xfId="38123" xr:uid="{9A444B54-DB6A-4043-817A-7018E57EB6FD}"/>
    <cellStyle name="Normal 4 3 4 4 2 2 3" xfId="31519" xr:uid="{00000000-0005-0000-0000-0000B9220000}"/>
    <cellStyle name="Normal 4 3 4 4 2 2 3 2" xfId="31520" xr:uid="{00000000-0005-0000-0000-0000BA220000}"/>
    <cellStyle name="Normal 4 3 4 4 2 2 3 2 2" xfId="31521" xr:uid="{00000000-0005-0000-0000-0000BB220000}"/>
    <cellStyle name="Normal 4 3 4 4 2 2 3 2 2 2" xfId="38132" xr:uid="{9426DA25-2021-45F8-B32A-4DE9DDDCBBB3}"/>
    <cellStyle name="Normal 4 3 4 4 2 2 3 2 3" xfId="31522" xr:uid="{00000000-0005-0000-0000-0000BC220000}"/>
    <cellStyle name="Normal 4 3 4 4 2 2 3 2 3 2" xfId="38133" xr:uid="{F9AAFE59-74BA-4101-BB61-9F1888A7BA51}"/>
    <cellStyle name="Normal 4 3 4 4 2 2 3 2 4" xfId="38131" xr:uid="{5C1C46A7-FCEB-4E98-BA3B-F5D37A433413}"/>
    <cellStyle name="Normal 4 3 4 4 2 2 3 3" xfId="31523" xr:uid="{00000000-0005-0000-0000-0000BD220000}"/>
    <cellStyle name="Normal 4 3 4 4 2 2 3 3 2" xfId="38134" xr:uid="{AE58E078-B4E3-4B97-8598-1A968ABFFB76}"/>
    <cellStyle name="Normal 4 3 4 4 2 2 3 4" xfId="31524" xr:uid="{00000000-0005-0000-0000-0000BE220000}"/>
    <cellStyle name="Normal 4 3 4 4 2 2 3 4 2" xfId="38135" xr:uid="{A9CB73F6-DD1F-4F03-B57B-A80A44589713}"/>
    <cellStyle name="Normal 4 3 4 4 2 2 3 5" xfId="31525" xr:uid="{00000000-0005-0000-0000-0000BF220000}"/>
    <cellStyle name="Normal 4 3 4 4 2 2 3 5 2" xfId="38136" xr:uid="{0E210FE7-C2BA-4482-BAA4-4BF17A580DBD}"/>
    <cellStyle name="Normal 4 3 4 4 2 2 3 6" xfId="38130" xr:uid="{BF9A0BD3-0DA5-44C8-9DE4-DE87E222C316}"/>
    <cellStyle name="Normal 4 3 4 4 2 2 4" xfId="31526" xr:uid="{00000000-0005-0000-0000-0000C0220000}"/>
    <cellStyle name="Normal 4 3 4 4 2 2 4 2" xfId="31527" xr:uid="{00000000-0005-0000-0000-0000C1220000}"/>
    <cellStyle name="Normal 4 3 4 4 2 2 4 2 2" xfId="38138" xr:uid="{94F5DAD2-22F7-4BD6-9843-A907945DFA39}"/>
    <cellStyle name="Normal 4 3 4 4 2 2 4 3" xfId="31528" xr:uid="{00000000-0005-0000-0000-0000C2220000}"/>
    <cellStyle name="Normal 4 3 4 4 2 2 4 3 2" xfId="38139" xr:uid="{19A896BE-6B7D-448D-8FB2-739C957DC9BA}"/>
    <cellStyle name="Normal 4 3 4 4 2 2 4 4" xfId="38137" xr:uid="{8CE2C5AC-7EC6-4E52-8A17-5E0C34B37239}"/>
    <cellStyle name="Normal 4 3 4 4 2 2 5" xfId="31529" xr:uid="{00000000-0005-0000-0000-0000C3220000}"/>
    <cellStyle name="Normal 4 3 4 4 2 2 5 2" xfId="38140" xr:uid="{712D4910-8401-4515-917E-B9F8A4268754}"/>
    <cellStyle name="Normal 4 3 4 4 2 2 6" xfId="31530" xr:uid="{00000000-0005-0000-0000-0000C4220000}"/>
    <cellStyle name="Normal 4 3 4 4 2 2 6 2" xfId="38141" xr:uid="{B926A624-BACF-47E6-BBB5-847F07DA5A0C}"/>
    <cellStyle name="Normal 4 3 4 4 2 2 7" xfId="31531" xr:uid="{00000000-0005-0000-0000-0000C5220000}"/>
    <cellStyle name="Normal 4 3 4 4 2 2 7 2" xfId="38142" xr:uid="{80755B3C-C601-404F-AF32-3ABC081F0F99}"/>
    <cellStyle name="Normal 4 3 4 4 2 2 8" xfId="38122" xr:uid="{004C664F-B5A3-4433-B260-4F0B40AFA137}"/>
    <cellStyle name="Normal 4 3 4 4 2 3" xfId="31532" xr:uid="{00000000-0005-0000-0000-0000C6220000}"/>
    <cellStyle name="Normal 4 3 4 4 2 3 2" xfId="31533" xr:uid="{00000000-0005-0000-0000-0000C7220000}"/>
    <cellStyle name="Normal 4 3 4 4 2 3 2 2" xfId="31534" xr:uid="{00000000-0005-0000-0000-0000C8220000}"/>
    <cellStyle name="Normal 4 3 4 4 2 3 2 2 2" xfId="38145" xr:uid="{C57A17D9-FE4A-47EB-8DAA-F1044982E40C}"/>
    <cellStyle name="Normal 4 3 4 4 2 3 2 3" xfId="31535" xr:uid="{00000000-0005-0000-0000-0000C9220000}"/>
    <cellStyle name="Normal 4 3 4 4 2 3 2 3 2" xfId="38146" xr:uid="{765C644E-968B-486B-A397-B67E2CB7028B}"/>
    <cellStyle name="Normal 4 3 4 4 2 3 2 4" xfId="38144" xr:uid="{1D5853CF-CE74-4AB7-B197-C796CB7381D7}"/>
    <cellStyle name="Normal 4 3 4 4 2 3 3" xfId="31536" xr:uid="{00000000-0005-0000-0000-0000CA220000}"/>
    <cellStyle name="Normal 4 3 4 4 2 3 3 2" xfId="38147" xr:uid="{7D02852C-1F93-435B-8BB0-48C765C66C27}"/>
    <cellStyle name="Normal 4 3 4 4 2 3 4" xfId="31537" xr:uid="{00000000-0005-0000-0000-0000CB220000}"/>
    <cellStyle name="Normal 4 3 4 4 2 3 4 2" xfId="38148" xr:uid="{DCEEB639-4F60-4A7F-9B5A-9E56D4D382D2}"/>
    <cellStyle name="Normal 4 3 4 4 2 3 5" xfId="31538" xr:uid="{00000000-0005-0000-0000-0000CC220000}"/>
    <cellStyle name="Normal 4 3 4 4 2 3 5 2" xfId="38149" xr:uid="{1EDCF6EF-24C2-48F0-8529-3B0F10AA1D21}"/>
    <cellStyle name="Normal 4 3 4 4 2 3 6" xfId="38143" xr:uid="{A0AB07E6-4E1C-42C7-889D-230B6DCE7316}"/>
    <cellStyle name="Normal 4 3 4 4 2 4" xfId="31539" xr:uid="{00000000-0005-0000-0000-0000CD220000}"/>
    <cellStyle name="Normal 4 3 4 4 2 4 2" xfId="31540" xr:uid="{00000000-0005-0000-0000-0000CE220000}"/>
    <cellStyle name="Normal 4 3 4 4 2 4 2 2" xfId="31541" xr:uid="{00000000-0005-0000-0000-0000CF220000}"/>
    <cellStyle name="Normal 4 3 4 4 2 4 2 2 2" xfId="38152" xr:uid="{A7611F0E-79B1-408A-8977-DC66613EA3D9}"/>
    <cellStyle name="Normal 4 3 4 4 2 4 2 3" xfId="31542" xr:uid="{00000000-0005-0000-0000-0000D0220000}"/>
    <cellStyle name="Normal 4 3 4 4 2 4 2 3 2" xfId="38153" xr:uid="{BE375F5F-4E22-4DC8-BC87-6717BC7CE3F8}"/>
    <cellStyle name="Normal 4 3 4 4 2 4 2 4" xfId="38151" xr:uid="{4060D239-9E47-47F1-B2CF-E5319B18039E}"/>
    <cellStyle name="Normal 4 3 4 4 2 4 3" xfId="31543" xr:uid="{00000000-0005-0000-0000-0000D1220000}"/>
    <cellStyle name="Normal 4 3 4 4 2 4 3 2" xfId="38154" xr:uid="{3FCD81A7-B578-43CD-9D37-07965271008C}"/>
    <cellStyle name="Normal 4 3 4 4 2 4 4" xfId="31544" xr:uid="{00000000-0005-0000-0000-0000D2220000}"/>
    <cellStyle name="Normal 4 3 4 4 2 4 4 2" xfId="38155" xr:uid="{214E1922-81B9-402C-B2EC-57E4B4BCD8C1}"/>
    <cellStyle name="Normal 4 3 4 4 2 4 5" xfId="31545" xr:uid="{00000000-0005-0000-0000-0000D3220000}"/>
    <cellStyle name="Normal 4 3 4 4 2 4 5 2" xfId="38156" xr:uid="{7DBFA00F-46EB-49A2-934B-E0842D375F1D}"/>
    <cellStyle name="Normal 4 3 4 4 2 4 6" xfId="38150" xr:uid="{A0D89C37-DD74-42FE-9B43-DF052C32E799}"/>
    <cellStyle name="Normal 4 3 4 4 2 5" xfId="31546" xr:uid="{00000000-0005-0000-0000-0000D4220000}"/>
    <cellStyle name="Normal 4 3 4 4 2 5 2" xfId="31547" xr:uid="{00000000-0005-0000-0000-0000D5220000}"/>
    <cellStyle name="Normal 4 3 4 4 2 5 2 2" xfId="38158" xr:uid="{D2EFCC3B-9157-4E07-BDCF-5EDE7709C8A4}"/>
    <cellStyle name="Normal 4 3 4 4 2 5 3" xfId="31548" xr:uid="{00000000-0005-0000-0000-0000D6220000}"/>
    <cellStyle name="Normal 4 3 4 4 2 5 3 2" xfId="38159" xr:uid="{89198076-1BF0-4F28-91CE-1EB9F0045E67}"/>
    <cellStyle name="Normal 4 3 4 4 2 5 4" xfId="38157" xr:uid="{EFDBCC9C-A8FE-4827-A96C-62DAE42C9A54}"/>
    <cellStyle name="Normal 4 3 4 4 2 6" xfId="31549" xr:uid="{00000000-0005-0000-0000-0000D7220000}"/>
    <cellStyle name="Normal 4 3 4 4 2 6 2" xfId="38160" xr:uid="{699E1851-DB04-4018-859A-3A2925DE5CAA}"/>
    <cellStyle name="Normal 4 3 4 4 2 7" xfId="31550" xr:uid="{00000000-0005-0000-0000-0000D8220000}"/>
    <cellStyle name="Normal 4 3 4 4 2 7 2" xfId="38161" xr:uid="{8E2AEDBB-E52D-4DC9-84E5-566C927F7C0D}"/>
    <cellStyle name="Normal 4 3 4 4 2 8" xfId="31551" xr:uid="{00000000-0005-0000-0000-0000D9220000}"/>
    <cellStyle name="Normal 4 3 4 4 2 8 2" xfId="38162" xr:uid="{92F1F25F-314E-476B-A33E-0D189BE6005B}"/>
    <cellStyle name="Normal 4 3 4 4 2 9" xfId="38121" xr:uid="{ADFDDA95-8F81-4E8E-B43A-AE96E344AE4D}"/>
    <cellStyle name="Normal 4 3 4 4 3" xfId="31552" xr:uid="{00000000-0005-0000-0000-0000DA220000}"/>
    <cellStyle name="Normal 4 3 4 4 3 2" xfId="31553" xr:uid="{00000000-0005-0000-0000-0000DB220000}"/>
    <cellStyle name="Normal 4 3 4 4 3 2 2" xfId="31554" xr:uid="{00000000-0005-0000-0000-0000DC220000}"/>
    <cellStyle name="Normal 4 3 4 4 3 2 2 2" xfId="31555" xr:uid="{00000000-0005-0000-0000-0000DD220000}"/>
    <cellStyle name="Normal 4 3 4 4 3 2 2 2 2" xfId="38166" xr:uid="{F11921DD-D4E8-419B-82D4-A3A8A351DBE1}"/>
    <cellStyle name="Normal 4 3 4 4 3 2 2 3" xfId="31556" xr:uid="{00000000-0005-0000-0000-0000DE220000}"/>
    <cellStyle name="Normal 4 3 4 4 3 2 2 3 2" xfId="38167" xr:uid="{059847E2-E611-47BB-9491-1BE1CA2D5FFF}"/>
    <cellStyle name="Normal 4 3 4 4 3 2 2 4" xfId="38165" xr:uid="{79D8611F-02EC-4796-B814-F2C658C6683C}"/>
    <cellStyle name="Normal 4 3 4 4 3 2 3" xfId="31557" xr:uid="{00000000-0005-0000-0000-0000DF220000}"/>
    <cellStyle name="Normal 4 3 4 4 3 2 3 2" xfId="38168" xr:uid="{E5946A7D-7DDE-4F09-9669-9BF99F898C4A}"/>
    <cellStyle name="Normal 4 3 4 4 3 2 4" xfId="31558" xr:uid="{00000000-0005-0000-0000-0000E0220000}"/>
    <cellStyle name="Normal 4 3 4 4 3 2 4 2" xfId="38169" xr:uid="{0006534A-E468-43A0-BC5F-E79E4248F5D2}"/>
    <cellStyle name="Normal 4 3 4 4 3 2 5" xfId="31559" xr:uid="{00000000-0005-0000-0000-0000E1220000}"/>
    <cellStyle name="Normal 4 3 4 4 3 2 5 2" xfId="38170" xr:uid="{C19A7E2B-553F-4F63-A1E8-B15FE0B02A2A}"/>
    <cellStyle name="Normal 4 3 4 4 3 2 6" xfId="38164" xr:uid="{57AC691F-80FD-4033-8CA3-034FCD0977E6}"/>
    <cellStyle name="Normal 4 3 4 4 3 3" xfId="31560" xr:uid="{00000000-0005-0000-0000-0000E2220000}"/>
    <cellStyle name="Normal 4 3 4 4 3 3 2" xfId="31561" xr:uid="{00000000-0005-0000-0000-0000E3220000}"/>
    <cellStyle name="Normal 4 3 4 4 3 3 2 2" xfId="31562" xr:uid="{00000000-0005-0000-0000-0000E4220000}"/>
    <cellStyle name="Normal 4 3 4 4 3 3 2 2 2" xfId="38173" xr:uid="{B944C841-95D3-41DE-965A-185D0CC70D78}"/>
    <cellStyle name="Normal 4 3 4 4 3 3 2 3" xfId="31563" xr:uid="{00000000-0005-0000-0000-0000E5220000}"/>
    <cellStyle name="Normal 4 3 4 4 3 3 2 3 2" xfId="38174" xr:uid="{11FCE449-642B-4B93-8092-FED678F424E6}"/>
    <cellStyle name="Normal 4 3 4 4 3 3 2 4" xfId="38172" xr:uid="{26B6770C-0F11-48CE-8D6D-5B8F4D9B8723}"/>
    <cellStyle name="Normal 4 3 4 4 3 3 3" xfId="31564" xr:uid="{00000000-0005-0000-0000-0000E6220000}"/>
    <cellStyle name="Normal 4 3 4 4 3 3 3 2" xfId="38175" xr:uid="{3A502D97-2E75-431E-8473-D15B4CEE7F7E}"/>
    <cellStyle name="Normal 4 3 4 4 3 3 4" xfId="31565" xr:uid="{00000000-0005-0000-0000-0000E7220000}"/>
    <cellStyle name="Normal 4 3 4 4 3 3 4 2" xfId="38176" xr:uid="{E79B201C-C0BC-4656-A82B-22442F529D1D}"/>
    <cellStyle name="Normal 4 3 4 4 3 3 5" xfId="31566" xr:uid="{00000000-0005-0000-0000-0000E8220000}"/>
    <cellStyle name="Normal 4 3 4 4 3 3 5 2" xfId="38177" xr:uid="{E154785D-5777-4FD7-88AF-F4483ABE0214}"/>
    <cellStyle name="Normal 4 3 4 4 3 3 6" xfId="38171" xr:uid="{0C47E00B-FD73-4068-8E9D-DB8F809BFDCE}"/>
    <cellStyle name="Normal 4 3 4 4 3 4" xfId="31567" xr:uid="{00000000-0005-0000-0000-0000E9220000}"/>
    <cellStyle name="Normal 4 3 4 4 3 4 2" xfId="31568" xr:uid="{00000000-0005-0000-0000-0000EA220000}"/>
    <cellStyle name="Normal 4 3 4 4 3 4 2 2" xfId="38179" xr:uid="{7DE141D1-2888-4E35-AC52-4B46F4838D43}"/>
    <cellStyle name="Normal 4 3 4 4 3 4 3" xfId="31569" xr:uid="{00000000-0005-0000-0000-0000EB220000}"/>
    <cellStyle name="Normal 4 3 4 4 3 4 3 2" xfId="38180" xr:uid="{B6A7C3FD-48CB-4543-B860-F5E1790188DA}"/>
    <cellStyle name="Normal 4 3 4 4 3 4 4" xfId="38178" xr:uid="{0C0866A2-CAA2-45AC-A25C-782C2F3ABD05}"/>
    <cellStyle name="Normal 4 3 4 4 3 5" xfId="31570" xr:uid="{00000000-0005-0000-0000-0000EC220000}"/>
    <cellStyle name="Normal 4 3 4 4 3 5 2" xfId="38181" xr:uid="{D1DE06F9-F19F-4ADA-B13C-5D51138061FE}"/>
    <cellStyle name="Normal 4 3 4 4 3 6" xfId="31571" xr:uid="{00000000-0005-0000-0000-0000ED220000}"/>
    <cellStyle name="Normal 4 3 4 4 3 6 2" xfId="38182" xr:uid="{516B9E72-9A81-4F59-8666-F18FA42E14CD}"/>
    <cellStyle name="Normal 4 3 4 4 3 7" xfId="31572" xr:uid="{00000000-0005-0000-0000-0000EE220000}"/>
    <cellStyle name="Normal 4 3 4 4 3 7 2" xfId="38183" xr:uid="{FC74789C-C443-4503-87F1-85CD81047667}"/>
    <cellStyle name="Normal 4 3 4 4 3 8" xfId="38163" xr:uid="{3942F573-CFF3-4929-AB12-2FCE71EF20B3}"/>
    <cellStyle name="Normal 4 3 4 4 4" xfId="31573" xr:uid="{00000000-0005-0000-0000-0000EF220000}"/>
    <cellStyle name="Normal 4 3 4 4 4 2" xfId="31574" xr:uid="{00000000-0005-0000-0000-0000F0220000}"/>
    <cellStyle name="Normal 4 3 4 4 4 2 2" xfId="31575" xr:uid="{00000000-0005-0000-0000-0000F1220000}"/>
    <cellStyle name="Normal 4 3 4 4 4 2 2 2" xfId="38186" xr:uid="{337A4971-8EA3-4E8C-AA29-0324FA6D6F9D}"/>
    <cellStyle name="Normal 4 3 4 4 4 2 3" xfId="31576" xr:uid="{00000000-0005-0000-0000-0000F2220000}"/>
    <cellStyle name="Normal 4 3 4 4 4 2 3 2" xfId="38187" xr:uid="{806C19E7-A232-443C-A8E9-7BC79D9829AE}"/>
    <cellStyle name="Normal 4 3 4 4 4 2 4" xfId="38185" xr:uid="{72779454-90DB-4F2E-ABF2-E18E7C8A86C2}"/>
    <cellStyle name="Normal 4 3 4 4 4 3" xfId="31577" xr:uid="{00000000-0005-0000-0000-0000F3220000}"/>
    <cellStyle name="Normal 4 3 4 4 4 3 2" xfId="38188" xr:uid="{4AE602E3-A639-4F2C-B04A-EA956C32D4AA}"/>
    <cellStyle name="Normal 4 3 4 4 4 4" xfId="31578" xr:uid="{00000000-0005-0000-0000-0000F4220000}"/>
    <cellStyle name="Normal 4 3 4 4 4 4 2" xfId="38189" xr:uid="{65C5347D-A02B-4A68-972F-3DA80AA033E6}"/>
    <cellStyle name="Normal 4 3 4 4 4 5" xfId="31579" xr:uid="{00000000-0005-0000-0000-0000F5220000}"/>
    <cellStyle name="Normal 4 3 4 4 4 5 2" xfId="38190" xr:uid="{6D5B17FD-B9EC-493A-B8F7-97FF6D198AFF}"/>
    <cellStyle name="Normal 4 3 4 4 4 6" xfId="38184" xr:uid="{68A4FEDE-AD83-4029-A338-DBA3AB874D25}"/>
    <cellStyle name="Normal 4 3 4 4 5" xfId="31580" xr:uid="{00000000-0005-0000-0000-0000F6220000}"/>
    <cellStyle name="Normal 4 3 4 4 5 2" xfId="31581" xr:uid="{00000000-0005-0000-0000-0000F7220000}"/>
    <cellStyle name="Normal 4 3 4 4 5 2 2" xfId="31582" xr:uid="{00000000-0005-0000-0000-0000F8220000}"/>
    <cellStyle name="Normal 4 3 4 4 5 2 2 2" xfId="38193" xr:uid="{93EE0D8F-1D62-447B-BF65-F556F17EDCBB}"/>
    <cellStyle name="Normal 4 3 4 4 5 2 3" xfId="31583" xr:uid="{00000000-0005-0000-0000-0000F9220000}"/>
    <cellStyle name="Normal 4 3 4 4 5 2 3 2" xfId="38194" xr:uid="{FB9AAC5E-420C-431A-85ED-827679E61335}"/>
    <cellStyle name="Normal 4 3 4 4 5 2 4" xfId="38192" xr:uid="{2F4BCB6F-A058-4454-9868-605A0ADDCD79}"/>
    <cellStyle name="Normal 4 3 4 4 5 3" xfId="31584" xr:uid="{00000000-0005-0000-0000-0000FA220000}"/>
    <cellStyle name="Normal 4 3 4 4 5 3 2" xfId="38195" xr:uid="{49527F39-5897-4F4B-964C-F643C2A72F75}"/>
    <cellStyle name="Normal 4 3 4 4 5 4" xfId="31585" xr:uid="{00000000-0005-0000-0000-0000FB220000}"/>
    <cellStyle name="Normal 4 3 4 4 5 4 2" xfId="38196" xr:uid="{8ACFA17D-F289-4B01-8A77-C8C9F5C36601}"/>
    <cellStyle name="Normal 4 3 4 4 5 5" xfId="31586" xr:uid="{00000000-0005-0000-0000-0000FC220000}"/>
    <cellStyle name="Normal 4 3 4 4 5 5 2" xfId="38197" xr:uid="{BB1375BD-19C5-4794-B2E2-8DAAD1D5F8EE}"/>
    <cellStyle name="Normal 4 3 4 4 5 6" xfId="38191" xr:uid="{AA6B9715-F964-4453-8874-0CA6E16A74B5}"/>
    <cellStyle name="Normal 4 3 4 4 6" xfId="31587" xr:uid="{00000000-0005-0000-0000-0000FD220000}"/>
    <cellStyle name="Normal 4 3 4 4 6 2" xfId="31588" xr:uid="{00000000-0005-0000-0000-0000FE220000}"/>
    <cellStyle name="Normal 4 3 4 4 6 2 2" xfId="38199" xr:uid="{68204BD5-43AE-4D6D-9509-8AA0D1E7C2B1}"/>
    <cellStyle name="Normal 4 3 4 4 6 3" xfId="31589" xr:uid="{00000000-0005-0000-0000-0000FF220000}"/>
    <cellStyle name="Normal 4 3 4 4 6 3 2" xfId="38200" xr:uid="{F9F80ED0-ED7B-451C-A4F2-DAB3DFC8D0B6}"/>
    <cellStyle name="Normal 4 3 4 4 6 4" xfId="38198" xr:uid="{D6F82F17-E45F-432F-AC30-03F7C6724D91}"/>
    <cellStyle name="Normal 4 3 4 4 7" xfId="31590" xr:uid="{00000000-0005-0000-0000-000000230000}"/>
    <cellStyle name="Normal 4 3 4 4 7 2" xfId="38201" xr:uid="{5379CF02-B256-4C8E-BA9C-A99CC3E4A050}"/>
    <cellStyle name="Normal 4 3 4 4 8" xfId="31591" xr:uid="{00000000-0005-0000-0000-000001230000}"/>
    <cellStyle name="Normal 4 3 4 4 8 2" xfId="38202" xr:uid="{FAEE8C81-0E50-45F1-934E-78991018CA2A}"/>
    <cellStyle name="Normal 4 3 4 4 9" xfId="31592" xr:uid="{00000000-0005-0000-0000-000002230000}"/>
    <cellStyle name="Normal 4 3 4 4 9 2" xfId="38203" xr:uid="{2F8D2FD8-BF26-4B8B-9D93-A8C23E7CD28F}"/>
    <cellStyle name="Normal 4 3 4 5" xfId="31593" xr:uid="{00000000-0005-0000-0000-000003230000}"/>
    <cellStyle name="Normal 4 3 4 5 2" xfId="31594" xr:uid="{00000000-0005-0000-0000-000004230000}"/>
    <cellStyle name="Normal 4 3 4 5 2 2" xfId="31595" xr:uid="{00000000-0005-0000-0000-000005230000}"/>
    <cellStyle name="Normal 4 3 4 5 2 2 2" xfId="31596" xr:uid="{00000000-0005-0000-0000-000006230000}"/>
    <cellStyle name="Normal 4 3 4 5 2 2 2 2" xfId="31597" xr:uid="{00000000-0005-0000-0000-000007230000}"/>
    <cellStyle name="Normal 4 3 4 5 2 2 2 2 2" xfId="38208" xr:uid="{E5C89922-C648-4C69-9A33-1CE773B2E1FD}"/>
    <cellStyle name="Normal 4 3 4 5 2 2 2 3" xfId="31598" xr:uid="{00000000-0005-0000-0000-000008230000}"/>
    <cellStyle name="Normal 4 3 4 5 2 2 2 3 2" xfId="38209" xr:uid="{5F1A69DE-B18F-463E-A533-04FB3244F4E5}"/>
    <cellStyle name="Normal 4 3 4 5 2 2 2 4" xfId="38207" xr:uid="{08DE3B59-01B8-4674-BD95-DDAD8F73C954}"/>
    <cellStyle name="Normal 4 3 4 5 2 2 3" xfId="31599" xr:uid="{00000000-0005-0000-0000-000009230000}"/>
    <cellStyle name="Normal 4 3 4 5 2 2 3 2" xfId="38210" xr:uid="{65C79AB3-3397-4989-B3BF-F1A1F8A5CC0F}"/>
    <cellStyle name="Normal 4 3 4 5 2 2 4" xfId="31600" xr:uid="{00000000-0005-0000-0000-00000A230000}"/>
    <cellStyle name="Normal 4 3 4 5 2 2 4 2" xfId="38211" xr:uid="{965C5B2A-9E80-47D1-9458-3B1B37087BCE}"/>
    <cellStyle name="Normal 4 3 4 5 2 2 5" xfId="31601" xr:uid="{00000000-0005-0000-0000-00000B230000}"/>
    <cellStyle name="Normal 4 3 4 5 2 2 5 2" xfId="38212" xr:uid="{430C4ABC-E772-4FDA-9493-A95FA4F0D08A}"/>
    <cellStyle name="Normal 4 3 4 5 2 2 6" xfId="38206" xr:uid="{B5642249-276B-4C76-9257-B6E78C6C03B7}"/>
    <cellStyle name="Normal 4 3 4 5 2 3" xfId="31602" xr:uid="{00000000-0005-0000-0000-00000C230000}"/>
    <cellStyle name="Normal 4 3 4 5 2 3 2" xfId="31603" xr:uid="{00000000-0005-0000-0000-00000D230000}"/>
    <cellStyle name="Normal 4 3 4 5 2 3 2 2" xfId="31604" xr:uid="{00000000-0005-0000-0000-00000E230000}"/>
    <cellStyle name="Normal 4 3 4 5 2 3 2 2 2" xfId="38215" xr:uid="{068ABC11-431E-4223-835F-2979E2BBE182}"/>
    <cellStyle name="Normal 4 3 4 5 2 3 2 3" xfId="31605" xr:uid="{00000000-0005-0000-0000-00000F230000}"/>
    <cellStyle name="Normal 4 3 4 5 2 3 2 3 2" xfId="38216" xr:uid="{BFFAC0A7-8FDA-4382-BEAA-BC8D16D107CA}"/>
    <cellStyle name="Normal 4 3 4 5 2 3 2 4" xfId="38214" xr:uid="{FA1FF03A-C566-431B-B7EA-C4ACDF4FA67B}"/>
    <cellStyle name="Normal 4 3 4 5 2 3 3" xfId="31606" xr:uid="{00000000-0005-0000-0000-000010230000}"/>
    <cellStyle name="Normal 4 3 4 5 2 3 3 2" xfId="38217" xr:uid="{6FEEB742-8195-41B4-AEC7-6353B4515389}"/>
    <cellStyle name="Normal 4 3 4 5 2 3 4" xfId="31607" xr:uid="{00000000-0005-0000-0000-000011230000}"/>
    <cellStyle name="Normal 4 3 4 5 2 3 4 2" xfId="38218" xr:uid="{D5E6C538-B696-45F0-9295-C9E84846C66F}"/>
    <cellStyle name="Normal 4 3 4 5 2 3 5" xfId="31608" xr:uid="{00000000-0005-0000-0000-000012230000}"/>
    <cellStyle name="Normal 4 3 4 5 2 3 5 2" xfId="38219" xr:uid="{A732460A-E07F-4485-A7DD-B9AC638FF831}"/>
    <cellStyle name="Normal 4 3 4 5 2 3 6" xfId="38213" xr:uid="{6ABCCC02-7DA9-4E77-A250-16DAB3FD5D2B}"/>
    <cellStyle name="Normal 4 3 4 5 2 4" xfId="31609" xr:uid="{00000000-0005-0000-0000-000013230000}"/>
    <cellStyle name="Normal 4 3 4 5 2 4 2" xfId="31610" xr:uid="{00000000-0005-0000-0000-000014230000}"/>
    <cellStyle name="Normal 4 3 4 5 2 4 2 2" xfId="38221" xr:uid="{C3A2A1A3-2828-4434-9643-ED566E8EE323}"/>
    <cellStyle name="Normal 4 3 4 5 2 4 3" xfId="31611" xr:uid="{00000000-0005-0000-0000-000015230000}"/>
    <cellStyle name="Normal 4 3 4 5 2 4 3 2" xfId="38222" xr:uid="{F14BCC2E-3CC6-45CD-BA9D-BE84AEDA9233}"/>
    <cellStyle name="Normal 4 3 4 5 2 4 4" xfId="38220" xr:uid="{B95BC9E6-8B32-4579-A679-12BFC1A85AEB}"/>
    <cellStyle name="Normal 4 3 4 5 2 5" xfId="31612" xr:uid="{00000000-0005-0000-0000-000016230000}"/>
    <cellStyle name="Normal 4 3 4 5 2 5 2" xfId="38223" xr:uid="{6B064FAB-0D62-41E8-B4D0-B1D0633D8803}"/>
    <cellStyle name="Normal 4 3 4 5 2 6" xfId="31613" xr:uid="{00000000-0005-0000-0000-000017230000}"/>
    <cellStyle name="Normal 4 3 4 5 2 6 2" xfId="38224" xr:uid="{5A1D5BA2-9331-42D4-B454-354993EF5C62}"/>
    <cellStyle name="Normal 4 3 4 5 2 7" xfId="31614" xr:uid="{00000000-0005-0000-0000-000018230000}"/>
    <cellStyle name="Normal 4 3 4 5 2 7 2" xfId="38225" xr:uid="{517B06D4-58A5-4574-AA5E-18441C2310B5}"/>
    <cellStyle name="Normal 4 3 4 5 2 8" xfId="38205" xr:uid="{6D3F4B1C-1F6B-4D43-A486-05BE45C1E42D}"/>
    <cellStyle name="Normal 4 3 4 5 3" xfId="31615" xr:uid="{00000000-0005-0000-0000-000019230000}"/>
    <cellStyle name="Normal 4 3 4 5 3 2" xfId="31616" xr:uid="{00000000-0005-0000-0000-00001A230000}"/>
    <cellStyle name="Normal 4 3 4 5 3 2 2" xfId="31617" xr:uid="{00000000-0005-0000-0000-00001B230000}"/>
    <cellStyle name="Normal 4 3 4 5 3 2 2 2" xfId="38228" xr:uid="{12BD32DF-D043-4A51-9EAB-FEB0C55DB0B1}"/>
    <cellStyle name="Normal 4 3 4 5 3 2 3" xfId="31618" xr:uid="{00000000-0005-0000-0000-00001C230000}"/>
    <cellStyle name="Normal 4 3 4 5 3 2 3 2" xfId="38229" xr:uid="{47FFF42E-31FA-48F1-9C86-A68D5D9DCCD3}"/>
    <cellStyle name="Normal 4 3 4 5 3 2 4" xfId="38227" xr:uid="{2ED663AD-A650-4DCD-8D47-DF8CBA8315CC}"/>
    <cellStyle name="Normal 4 3 4 5 3 3" xfId="31619" xr:uid="{00000000-0005-0000-0000-00001D230000}"/>
    <cellStyle name="Normal 4 3 4 5 3 3 2" xfId="38230" xr:uid="{F7A0E3A8-BE49-4BC5-AF08-EDB8069A428E}"/>
    <cellStyle name="Normal 4 3 4 5 3 4" xfId="31620" xr:uid="{00000000-0005-0000-0000-00001E230000}"/>
    <cellStyle name="Normal 4 3 4 5 3 4 2" xfId="38231" xr:uid="{C29F1018-EFAF-4423-A287-5C7010C647E6}"/>
    <cellStyle name="Normal 4 3 4 5 3 5" xfId="31621" xr:uid="{00000000-0005-0000-0000-00001F230000}"/>
    <cellStyle name="Normal 4 3 4 5 3 5 2" xfId="38232" xr:uid="{CA1C2123-9F2F-4BFD-98D4-864100CE2255}"/>
    <cellStyle name="Normal 4 3 4 5 3 6" xfId="38226" xr:uid="{894492BE-AE91-4E46-BBD2-49D76E183B01}"/>
    <cellStyle name="Normal 4 3 4 5 4" xfId="31622" xr:uid="{00000000-0005-0000-0000-000020230000}"/>
    <cellStyle name="Normal 4 3 4 5 4 2" xfId="31623" xr:uid="{00000000-0005-0000-0000-000021230000}"/>
    <cellStyle name="Normal 4 3 4 5 4 2 2" xfId="31624" xr:uid="{00000000-0005-0000-0000-000022230000}"/>
    <cellStyle name="Normal 4 3 4 5 4 2 2 2" xfId="38235" xr:uid="{4EDA52A2-53D3-4F66-8DB8-A46832C6305C}"/>
    <cellStyle name="Normal 4 3 4 5 4 2 3" xfId="31625" xr:uid="{00000000-0005-0000-0000-000023230000}"/>
    <cellStyle name="Normal 4 3 4 5 4 2 3 2" xfId="38236" xr:uid="{FE7FC52E-1328-422D-BC81-33A8A5DF498C}"/>
    <cellStyle name="Normal 4 3 4 5 4 2 4" xfId="38234" xr:uid="{32289E64-DC73-4E64-801B-F6F7E6D94775}"/>
    <cellStyle name="Normal 4 3 4 5 4 3" xfId="31626" xr:uid="{00000000-0005-0000-0000-000024230000}"/>
    <cellStyle name="Normal 4 3 4 5 4 3 2" xfId="38237" xr:uid="{F956C112-5C41-4107-AD4E-1EBA199DB9FA}"/>
    <cellStyle name="Normal 4 3 4 5 4 4" xfId="31627" xr:uid="{00000000-0005-0000-0000-000025230000}"/>
    <cellStyle name="Normal 4 3 4 5 4 4 2" xfId="38238" xr:uid="{9DC1B32B-2D35-4B6C-890A-421277C2C641}"/>
    <cellStyle name="Normal 4 3 4 5 4 5" xfId="31628" xr:uid="{00000000-0005-0000-0000-000026230000}"/>
    <cellStyle name="Normal 4 3 4 5 4 5 2" xfId="38239" xr:uid="{5A1F98BE-9C43-49E5-9A4B-EAEE2EA60EA8}"/>
    <cellStyle name="Normal 4 3 4 5 4 6" xfId="38233" xr:uid="{8DE1C62D-21BF-4FC4-B424-103863EFD07B}"/>
    <cellStyle name="Normal 4 3 4 5 5" xfId="31629" xr:uid="{00000000-0005-0000-0000-000027230000}"/>
    <cellStyle name="Normal 4 3 4 5 5 2" xfId="31630" xr:uid="{00000000-0005-0000-0000-000028230000}"/>
    <cellStyle name="Normal 4 3 4 5 5 2 2" xfId="38241" xr:uid="{61F9F656-CCB6-47EF-B460-851CA2537E23}"/>
    <cellStyle name="Normal 4 3 4 5 5 3" xfId="31631" xr:uid="{00000000-0005-0000-0000-000029230000}"/>
    <cellStyle name="Normal 4 3 4 5 5 3 2" xfId="38242" xr:uid="{713542F0-2374-49BE-B15A-42426D545B5F}"/>
    <cellStyle name="Normal 4 3 4 5 5 4" xfId="38240" xr:uid="{857A8A8C-1A0D-49F3-B606-C41C73CABBB2}"/>
    <cellStyle name="Normal 4 3 4 5 6" xfId="31632" xr:uid="{00000000-0005-0000-0000-00002A230000}"/>
    <cellStyle name="Normal 4 3 4 5 6 2" xfId="38243" xr:uid="{F225FAFA-379D-4D40-B708-25A07BC92C24}"/>
    <cellStyle name="Normal 4 3 4 5 7" xfId="31633" xr:uid="{00000000-0005-0000-0000-00002B230000}"/>
    <cellStyle name="Normal 4 3 4 5 7 2" xfId="38244" xr:uid="{76EE1CA4-D370-4E27-8F96-CFB1040DD511}"/>
    <cellStyle name="Normal 4 3 4 5 8" xfId="31634" xr:uid="{00000000-0005-0000-0000-00002C230000}"/>
    <cellStyle name="Normal 4 3 4 5 8 2" xfId="38245" xr:uid="{B818E6CE-11B1-4B33-A3DC-4D7F86B9D661}"/>
    <cellStyle name="Normal 4 3 4 5 9" xfId="38204" xr:uid="{CF09C978-188C-4008-B1AA-C9CB330603FB}"/>
    <cellStyle name="Normal 4 3 4 6" xfId="31635" xr:uid="{00000000-0005-0000-0000-00002D230000}"/>
    <cellStyle name="Normal 4 3 4 6 2" xfId="31636" xr:uid="{00000000-0005-0000-0000-00002E230000}"/>
    <cellStyle name="Normal 4 3 4 6 2 2" xfId="31637" xr:uid="{00000000-0005-0000-0000-00002F230000}"/>
    <cellStyle name="Normal 4 3 4 6 2 2 2" xfId="31638" xr:uid="{00000000-0005-0000-0000-000030230000}"/>
    <cellStyle name="Normal 4 3 4 6 2 2 2 2" xfId="38249" xr:uid="{1694733F-5AB0-4AA4-9FF2-83990F492A4B}"/>
    <cellStyle name="Normal 4 3 4 6 2 2 3" xfId="31639" xr:uid="{00000000-0005-0000-0000-000031230000}"/>
    <cellStyle name="Normal 4 3 4 6 2 2 3 2" xfId="38250" xr:uid="{577DC4F2-FBF4-4808-A34C-A0F3CDC4A858}"/>
    <cellStyle name="Normal 4 3 4 6 2 2 4" xfId="38248" xr:uid="{A8AEAF2A-DB82-402D-B1D2-C501F5723FE0}"/>
    <cellStyle name="Normal 4 3 4 6 2 3" xfId="31640" xr:uid="{00000000-0005-0000-0000-000032230000}"/>
    <cellStyle name="Normal 4 3 4 6 2 3 2" xfId="38251" xr:uid="{F54EA49B-8DA2-458B-A683-477A3E0C189D}"/>
    <cellStyle name="Normal 4 3 4 6 2 4" xfId="31641" xr:uid="{00000000-0005-0000-0000-000033230000}"/>
    <cellStyle name="Normal 4 3 4 6 2 4 2" xfId="38252" xr:uid="{FA439D3D-2F82-4D53-930A-C09E22F1F05D}"/>
    <cellStyle name="Normal 4 3 4 6 2 5" xfId="31642" xr:uid="{00000000-0005-0000-0000-000034230000}"/>
    <cellStyle name="Normal 4 3 4 6 2 5 2" xfId="38253" xr:uid="{A6E62FD2-2C2F-46E3-9CC1-8D0EE210AAB4}"/>
    <cellStyle name="Normal 4 3 4 6 2 6" xfId="38247" xr:uid="{C91EF2B2-0F73-44D7-85A7-DF9A31EDF9EE}"/>
    <cellStyle name="Normal 4 3 4 6 3" xfId="31643" xr:uid="{00000000-0005-0000-0000-000035230000}"/>
    <cellStyle name="Normal 4 3 4 6 3 2" xfId="31644" xr:uid="{00000000-0005-0000-0000-000036230000}"/>
    <cellStyle name="Normal 4 3 4 6 3 2 2" xfId="31645" xr:uid="{00000000-0005-0000-0000-000037230000}"/>
    <cellStyle name="Normal 4 3 4 6 3 2 2 2" xfId="38256" xr:uid="{C01146D4-7030-4066-A9BD-81DDE924B8EE}"/>
    <cellStyle name="Normal 4 3 4 6 3 2 3" xfId="31646" xr:uid="{00000000-0005-0000-0000-000038230000}"/>
    <cellStyle name="Normal 4 3 4 6 3 2 3 2" xfId="38257" xr:uid="{9EA13475-9CD1-4B51-9F27-3BD505B43460}"/>
    <cellStyle name="Normal 4 3 4 6 3 2 4" xfId="38255" xr:uid="{0C7B4EF5-5245-4635-8239-BAEE9A4636EB}"/>
    <cellStyle name="Normal 4 3 4 6 3 3" xfId="31647" xr:uid="{00000000-0005-0000-0000-000039230000}"/>
    <cellStyle name="Normal 4 3 4 6 3 3 2" xfId="38258" xr:uid="{33EA74EF-FE8D-48E7-864E-939920F344DA}"/>
    <cellStyle name="Normal 4 3 4 6 3 4" xfId="31648" xr:uid="{00000000-0005-0000-0000-00003A230000}"/>
    <cellStyle name="Normal 4 3 4 6 3 4 2" xfId="38259" xr:uid="{728E3728-2E36-4BC4-BB45-F5E51AB0247C}"/>
    <cellStyle name="Normal 4 3 4 6 3 5" xfId="31649" xr:uid="{00000000-0005-0000-0000-00003B230000}"/>
    <cellStyle name="Normal 4 3 4 6 3 5 2" xfId="38260" xr:uid="{48E5A60F-4CD1-4251-8880-7F6181A01528}"/>
    <cellStyle name="Normal 4 3 4 6 3 6" xfId="38254" xr:uid="{EEA9707D-9E01-4532-87D7-9E66ABCD738B}"/>
    <cellStyle name="Normal 4 3 4 6 4" xfId="31650" xr:uid="{00000000-0005-0000-0000-00003C230000}"/>
    <cellStyle name="Normal 4 3 4 6 4 2" xfId="31651" xr:uid="{00000000-0005-0000-0000-00003D230000}"/>
    <cellStyle name="Normal 4 3 4 6 4 2 2" xfId="38262" xr:uid="{E9B75AFD-E872-4945-B564-2E3A8A0D8EF3}"/>
    <cellStyle name="Normal 4 3 4 6 4 3" xfId="31652" xr:uid="{00000000-0005-0000-0000-00003E230000}"/>
    <cellStyle name="Normal 4 3 4 6 4 3 2" xfId="38263" xr:uid="{8FFA0666-3338-4465-BA74-60BF59184E2A}"/>
    <cellStyle name="Normal 4 3 4 6 4 4" xfId="38261" xr:uid="{134CC952-D7FC-4B8C-B4F2-60704AA1E0CC}"/>
    <cellStyle name="Normal 4 3 4 6 5" xfId="31653" xr:uid="{00000000-0005-0000-0000-00003F230000}"/>
    <cellStyle name="Normal 4 3 4 6 5 2" xfId="38264" xr:uid="{23A92DA5-A680-40C6-A62B-1880A96E8B12}"/>
    <cellStyle name="Normal 4 3 4 6 6" xfId="31654" xr:uid="{00000000-0005-0000-0000-000040230000}"/>
    <cellStyle name="Normal 4 3 4 6 6 2" xfId="38265" xr:uid="{35773DBF-B681-4362-89A8-DE360299F92E}"/>
    <cellStyle name="Normal 4 3 4 6 7" xfId="31655" xr:uid="{00000000-0005-0000-0000-000041230000}"/>
    <cellStyle name="Normal 4 3 4 6 7 2" xfId="38266" xr:uid="{C557FFDC-B905-44F3-AF85-A7B87064203D}"/>
    <cellStyle name="Normal 4 3 4 6 8" xfId="38246" xr:uid="{3E0A1F13-D206-4A38-BBDD-FAA5D8E53535}"/>
    <cellStyle name="Normal 4 3 4 7" xfId="31656" xr:uid="{00000000-0005-0000-0000-000042230000}"/>
    <cellStyle name="Normal 4 3 4 7 2" xfId="31657" xr:uid="{00000000-0005-0000-0000-000043230000}"/>
    <cellStyle name="Normal 4 3 4 7 2 2" xfId="31658" xr:uid="{00000000-0005-0000-0000-000044230000}"/>
    <cellStyle name="Normal 4 3 4 7 2 2 2" xfId="38269" xr:uid="{F71FA621-2732-485E-8360-00083A8ED924}"/>
    <cellStyle name="Normal 4 3 4 7 2 3" xfId="31659" xr:uid="{00000000-0005-0000-0000-000045230000}"/>
    <cellStyle name="Normal 4 3 4 7 2 3 2" xfId="38270" xr:uid="{690A573A-3C50-4E10-BEBC-1629E4DF9C3B}"/>
    <cellStyle name="Normal 4 3 4 7 2 4" xfId="38268" xr:uid="{CB2C68FF-17C2-4D14-8DB5-3526C4791CD9}"/>
    <cellStyle name="Normal 4 3 4 7 3" xfId="31660" xr:uid="{00000000-0005-0000-0000-000046230000}"/>
    <cellStyle name="Normal 4 3 4 7 3 2" xfId="38271" xr:uid="{3AA05078-2469-4727-BA30-4634688FBE6B}"/>
    <cellStyle name="Normal 4 3 4 7 4" xfId="31661" xr:uid="{00000000-0005-0000-0000-000047230000}"/>
    <cellStyle name="Normal 4 3 4 7 4 2" xfId="38272" xr:uid="{F64C08EA-E5BE-461A-AACB-6BED15DEF89C}"/>
    <cellStyle name="Normal 4 3 4 7 5" xfId="31662" xr:uid="{00000000-0005-0000-0000-000048230000}"/>
    <cellStyle name="Normal 4 3 4 7 5 2" xfId="38273" xr:uid="{3B2A2046-CC68-4872-A1D5-CDA9B608F127}"/>
    <cellStyle name="Normal 4 3 4 7 6" xfId="38267" xr:uid="{0150C552-5CEA-4BAC-8C06-2BA0758DE6AD}"/>
    <cellStyle name="Normal 4 3 4 8" xfId="31663" xr:uid="{00000000-0005-0000-0000-000049230000}"/>
    <cellStyle name="Normal 4 3 4 8 2" xfId="31664" xr:uid="{00000000-0005-0000-0000-00004A230000}"/>
    <cellStyle name="Normal 4 3 4 8 2 2" xfId="31665" xr:uid="{00000000-0005-0000-0000-00004B230000}"/>
    <cellStyle name="Normal 4 3 4 8 2 2 2" xfId="38276" xr:uid="{5C830470-9248-4927-A3A6-996C17CE1F42}"/>
    <cellStyle name="Normal 4 3 4 8 2 3" xfId="31666" xr:uid="{00000000-0005-0000-0000-00004C230000}"/>
    <cellStyle name="Normal 4 3 4 8 2 3 2" xfId="38277" xr:uid="{A4EEE88B-5583-4206-A4C9-3B3DD9D81B6A}"/>
    <cellStyle name="Normal 4 3 4 8 2 4" xfId="38275" xr:uid="{45449EC3-5ABB-48CC-B816-BAA2ACDEEEFC}"/>
    <cellStyle name="Normal 4 3 4 8 3" xfId="31667" xr:uid="{00000000-0005-0000-0000-00004D230000}"/>
    <cellStyle name="Normal 4 3 4 8 3 2" xfId="38278" xr:uid="{9E589E64-99E4-4121-83ED-E8773EAAFDF1}"/>
    <cellStyle name="Normal 4 3 4 8 4" xfId="31668" xr:uid="{00000000-0005-0000-0000-00004E230000}"/>
    <cellStyle name="Normal 4 3 4 8 4 2" xfId="38279" xr:uid="{E4B4A2B3-4841-42A5-98FB-4F4D275A454A}"/>
    <cellStyle name="Normal 4 3 4 8 5" xfId="31669" xr:uid="{00000000-0005-0000-0000-00004F230000}"/>
    <cellStyle name="Normal 4 3 4 8 5 2" xfId="38280" xr:uid="{9D271859-002D-4E61-BA93-44963C3CBFC9}"/>
    <cellStyle name="Normal 4 3 4 8 6" xfId="38274" xr:uid="{7450BA02-7EBC-4661-9127-E094D43A99B7}"/>
    <cellStyle name="Normal 4 3 4 9" xfId="31670" xr:uid="{00000000-0005-0000-0000-000050230000}"/>
    <cellStyle name="Normal 4 3 4 9 2" xfId="31671" xr:uid="{00000000-0005-0000-0000-000051230000}"/>
    <cellStyle name="Normal 4 3 4 9 2 2" xfId="38282" xr:uid="{98A8EEC6-75D7-4142-9280-462C42B828CA}"/>
    <cellStyle name="Normal 4 3 4 9 3" xfId="31672" xr:uid="{00000000-0005-0000-0000-000052230000}"/>
    <cellStyle name="Normal 4 3 4 9 3 2" xfId="38283" xr:uid="{2A7413D6-9E4E-4D50-A81C-95045B16FE8D}"/>
    <cellStyle name="Normal 4 3 4 9 4" xfId="38281" xr:uid="{3E2F58DF-669A-4353-A62A-E42364B8579A}"/>
    <cellStyle name="Normal 4 3 5" xfId="31673" xr:uid="{00000000-0005-0000-0000-000053230000}"/>
    <cellStyle name="Normal 4 3 5 10" xfId="38284" xr:uid="{96190E95-3D02-42F6-94FB-7F02D219C007}"/>
    <cellStyle name="Normal 4 3 5 2" xfId="31674" xr:uid="{00000000-0005-0000-0000-000054230000}"/>
    <cellStyle name="Normal 4 3 5 2 2" xfId="31675" xr:uid="{00000000-0005-0000-0000-000055230000}"/>
    <cellStyle name="Normal 4 3 5 2 2 2" xfId="31676" xr:uid="{00000000-0005-0000-0000-000056230000}"/>
    <cellStyle name="Normal 4 3 5 2 2 2 2" xfId="31677" xr:uid="{00000000-0005-0000-0000-000057230000}"/>
    <cellStyle name="Normal 4 3 5 2 2 2 2 2" xfId="31678" xr:uid="{00000000-0005-0000-0000-000058230000}"/>
    <cellStyle name="Normal 4 3 5 2 2 2 2 2 2" xfId="38289" xr:uid="{E65198C2-4DD2-4771-9DC9-16D0C9E93C6C}"/>
    <cellStyle name="Normal 4 3 5 2 2 2 2 3" xfId="31679" xr:uid="{00000000-0005-0000-0000-000059230000}"/>
    <cellStyle name="Normal 4 3 5 2 2 2 2 3 2" xfId="38290" xr:uid="{2FB9EB8A-A08E-4709-96C2-372A6FFBAC20}"/>
    <cellStyle name="Normal 4 3 5 2 2 2 2 4" xfId="38288" xr:uid="{B218FBF4-7387-4494-A97E-98E6F1C9EC38}"/>
    <cellStyle name="Normal 4 3 5 2 2 2 3" xfId="31680" xr:uid="{00000000-0005-0000-0000-00005A230000}"/>
    <cellStyle name="Normal 4 3 5 2 2 2 3 2" xfId="38291" xr:uid="{88F75BED-BA8F-4BD2-B938-A4F306AFBA23}"/>
    <cellStyle name="Normal 4 3 5 2 2 2 4" xfId="31681" xr:uid="{00000000-0005-0000-0000-00005B230000}"/>
    <cellStyle name="Normal 4 3 5 2 2 2 4 2" xfId="38292" xr:uid="{F4AB905B-A782-496C-BC90-B45277A42404}"/>
    <cellStyle name="Normal 4 3 5 2 2 2 5" xfId="31682" xr:uid="{00000000-0005-0000-0000-00005C230000}"/>
    <cellStyle name="Normal 4 3 5 2 2 2 5 2" xfId="38293" xr:uid="{2E08D4A3-1980-46E7-984F-A0C17B7A386A}"/>
    <cellStyle name="Normal 4 3 5 2 2 2 6" xfId="38287" xr:uid="{4F1A2FD4-AD9E-4D1B-9806-70E63A3C09F5}"/>
    <cellStyle name="Normal 4 3 5 2 2 3" xfId="31683" xr:uid="{00000000-0005-0000-0000-00005D230000}"/>
    <cellStyle name="Normal 4 3 5 2 2 3 2" xfId="31684" xr:uid="{00000000-0005-0000-0000-00005E230000}"/>
    <cellStyle name="Normal 4 3 5 2 2 3 2 2" xfId="31685" xr:uid="{00000000-0005-0000-0000-00005F230000}"/>
    <cellStyle name="Normal 4 3 5 2 2 3 2 2 2" xfId="38296" xr:uid="{22E4A7A8-9F3C-4B22-AEA2-EBDD3BA92A27}"/>
    <cellStyle name="Normal 4 3 5 2 2 3 2 3" xfId="31686" xr:uid="{00000000-0005-0000-0000-000060230000}"/>
    <cellStyle name="Normal 4 3 5 2 2 3 2 3 2" xfId="38297" xr:uid="{931627E6-38CE-460E-B6F2-E8FA299A1177}"/>
    <cellStyle name="Normal 4 3 5 2 2 3 2 4" xfId="38295" xr:uid="{FA4AAF90-38BC-4264-B0B0-D4E45BB700DE}"/>
    <cellStyle name="Normal 4 3 5 2 2 3 3" xfId="31687" xr:uid="{00000000-0005-0000-0000-000061230000}"/>
    <cellStyle name="Normal 4 3 5 2 2 3 3 2" xfId="38298" xr:uid="{35A36A65-5565-4F24-8755-DB93E93160E3}"/>
    <cellStyle name="Normal 4 3 5 2 2 3 4" xfId="31688" xr:uid="{00000000-0005-0000-0000-000062230000}"/>
    <cellStyle name="Normal 4 3 5 2 2 3 4 2" xfId="38299" xr:uid="{F28FAE2F-1F59-4EC2-854E-FCEFAD869C03}"/>
    <cellStyle name="Normal 4 3 5 2 2 3 5" xfId="31689" xr:uid="{00000000-0005-0000-0000-000063230000}"/>
    <cellStyle name="Normal 4 3 5 2 2 3 5 2" xfId="38300" xr:uid="{6452D87F-5DCF-4DEF-BC9B-BFBD4FAE56E2}"/>
    <cellStyle name="Normal 4 3 5 2 2 3 6" xfId="38294" xr:uid="{B9DE770A-6591-4E86-A1E6-5826C35761CA}"/>
    <cellStyle name="Normal 4 3 5 2 2 4" xfId="31690" xr:uid="{00000000-0005-0000-0000-000064230000}"/>
    <cellStyle name="Normal 4 3 5 2 2 4 2" xfId="31691" xr:uid="{00000000-0005-0000-0000-000065230000}"/>
    <cellStyle name="Normal 4 3 5 2 2 4 2 2" xfId="38302" xr:uid="{C9C9FF3F-08F6-4818-B4C7-03D33E68C875}"/>
    <cellStyle name="Normal 4 3 5 2 2 4 3" xfId="31692" xr:uid="{00000000-0005-0000-0000-000066230000}"/>
    <cellStyle name="Normal 4 3 5 2 2 4 3 2" xfId="38303" xr:uid="{4F343812-7869-4C25-A949-ED9963E890B2}"/>
    <cellStyle name="Normal 4 3 5 2 2 4 4" xfId="38301" xr:uid="{3D41409A-A5FD-4522-A253-3C188D6EDF1D}"/>
    <cellStyle name="Normal 4 3 5 2 2 5" xfId="31693" xr:uid="{00000000-0005-0000-0000-000067230000}"/>
    <cellStyle name="Normal 4 3 5 2 2 5 2" xfId="38304" xr:uid="{2B53ECFF-DDB7-4F42-BCCD-45DB2CF00726}"/>
    <cellStyle name="Normal 4 3 5 2 2 6" xfId="31694" xr:uid="{00000000-0005-0000-0000-000068230000}"/>
    <cellStyle name="Normal 4 3 5 2 2 6 2" xfId="38305" xr:uid="{5B60B7E2-6455-47D4-993C-BA340A9477B5}"/>
    <cellStyle name="Normal 4 3 5 2 2 7" xfId="31695" xr:uid="{00000000-0005-0000-0000-000069230000}"/>
    <cellStyle name="Normal 4 3 5 2 2 7 2" xfId="38306" xr:uid="{19CEAF7A-512F-43B2-9B79-44BEF4507FD8}"/>
    <cellStyle name="Normal 4 3 5 2 2 8" xfId="38286" xr:uid="{B0B3F05A-FB42-4DE4-A692-DCB4EC029271}"/>
    <cellStyle name="Normal 4 3 5 2 3" xfId="31696" xr:uid="{00000000-0005-0000-0000-00006A230000}"/>
    <cellStyle name="Normal 4 3 5 2 3 2" xfId="31697" xr:uid="{00000000-0005-0000-0000-00006B230000}"/>
    <cellStyle name="Normal 4 3 5 2 3 2 2" xfId="31698" xr:uid="{00000000-0005-0000-0000-00006C230000}"/>
    <cellStyle name="Normal 4 3 5 2 3 2 2 2" xfId="38309" xr:uid="{6DCB00FB-48D4-4A36-A589-BCC23F51E972}"/>
    <cellStyle name="Normal 4 3 5 2 3 2 3" xfId="31699" xr:uid="{00000000-0005-0000-0000-00006D230000}"/>
    <cellStyle name="Normal 4 3 5 2 3 2 3 2" xfId="38310" xr:uid="{593986E8-F8FF-4EE1-820F-6E983088732C}"/>
    <cellStyle name="Normal 4 3 5 2 3 2 4" xfId="38308" xr:uid="{B7B0148E-C463-4BA7-9FC0-96503742612F}"/>
    <cellStyle name="Normal 4 3 5 2 3 3" xfId="31700" xr:uid="{00000000-0005-0000-0000-00006E230000}"/>
    <cellStyle name="Normal 4 3 5 2 3 3 2" xfId="38311" xr:uid="{ED178C52-C99D-4F4A-8499-6340E15CF79B}"/>
    <cellStyle name="Normal 4 3 5 2 3 4" xfId="31701" xr:uid="{00000000-0005-0000-0000-00006F230000}"/>
    <cellStyle name="Normal 4 3 5 2 3 4 2" xfId="38312" xr:uid="{303FB2DC-8AFC-4336-86DA-F5B4D750C04C}"/>
    <cellStyle name="Normal 4 3 5 2 3 5" xfId="31702" xr:uid="{00000000-0005-0000-0000-000070230000}"/>
    <cellStyle name="Normal 4 3 5 2 3 5 2" xfId="38313" xr:uid="{B9213946-D86A-4B61-A2FB-EEE3210BA402}"/>
    <cellStyle name="Normal 4 3 5 2 3 6" xfId="38307" xr:uid="{84A971AC-8A27-4B98-BDAD-4E237E26C37B}"/>
    <cellStyle name="Normal 4 3 5 2 4" xfId="31703" xr:uid="{00000000-0005-0000-0000-000071230000}"/>
    <cellStyle name="Normal 4 3 5 2 4 2" xfId="31704" xr:uid="{00000000-0005-0000-0000-000072230000}"/>
    <cellStyle name="Normal 4 3 5 2 4 2 2" xfId="31705" xr:uid="{00000000-0005-0000-0000-000073230000}"/>
    <cellStyle name="Normal 4 3 5 2 4 2 2 2" xfId="38316" xr:uid="{AEF3681E-C9E5-45C0-B4E4-527DD0D779D7}"/>
    <cellStyle name="Normal 4 3 5 2 4 2 3" xfId="31706" xr:uid="{00000000-0005-0000-0000-000074230000}"/>
    <cellStyle name="Normal 4 3 5 2 4 2 3 2" xfId="38317" xr:uid="{8622D02A-7F57-4689-9D51-FC2D2A471876}"/>
    <cellStyle name="Normal 4 3 5 2 4 2 4" xfId="38315" xr:uid="{9F4D5725-54A0-4755-8D3B-4B71F465A6FB}"/>
    <cellStyle name="Normal 4 3 5 2 4 3" xfId="31707" xr:uid="{00000000-0005-0000-0000-000075230000}"/>
    <cellStyle name="Normal 4 3 5 2 4 3 2" xfId="38318" xr:uid="{3A64AACB-B4BC-4CE7-AFE0-2F4EBDA79276}"/>
    <cellStyle name="Normal 4 3 5 2 4 4" xfId="31708" xr:uid="{00000000-0005-0000-0000-000076230000}"/>
    <cellStyle name="Normal 4 3 5 2 4 4 2" xfId="38319" xr:uid="{6EA3886B-9CF2-4238-A753-D8662D5F4FB1}"/>
    <cellStyle name="Normal 4 3 5 2 4 5" xfId="31709" xr:uid="{00000000-0005-0000-0000-000077230000}"/>
    <cellStyle name="Normal 4 3 5 2 4 5 2" xfId="38320" xr:uid="{66621357-406C-471D-A4AC-77E2119F2EF1}"/>
    <cellStyle name="Normal 4 3 5 2 4 6" xfId="38314" xr:uid="{45E89D07-F9A1-4BC3-A23D-BC6F46DCBBFF}"/>
    <cellStyle name="Normal 4 3 5 2 5" xfId="31710" xr:uid="{00000000-0005-0000-0000-000078230000}"/>
    <cellStyle name="Normal 4 3 5 2 5 2" xfId="31711" xr:uid="{00000000-0005-0000-0000-000079230000}"/>
    <cellStyle name="Normal 4 3 5 2 5 2 2" xfId="38322" xr:uid="{3D12F7C6-7955-49F8-BF79-EA98764E84E9}"/>
    <cellStyle name="Normal 4 3 5 2 5 3" xfId="31712" xr:uid="{00000000-0005-0000-0000-00007A230000}"/>
    <cellStyle name="Normal 4 3 5 2 5 3 2" xfId="38323" xr:uid="{99B23814-8830-41A4-B637-3D1462B1F7F6}"/>
    <cellStyle name="Normal 4 3 5 2 5 4" xfId="38321" xr:uid="{AE4C8EA7-ACEC-423F-AD5A-38287C316AF3}"/>
    <cellStyle name="Normal 4 3 5 2 6" xfId="31713" xr:uid="{00000000-0005-0000-0000-00007B230000}"/>
    <cellStyle name="Normal 4 3 5 2 6 2" xfId="38324" xr:uid="{2EE0E2B2-A06F-4077-BF92-3C75BA558583}"/>
    <cellStyle name="Normal 4 3 5 2 7" xfId="31714" xr:uid="{00000000-0005-0000-0000-00007C230000}"/>
    <cellStyle name="Normal 4 3 5 2 7 2" xfId="38325" xr:uid="{1914B947-B2D2-4131-BE5F-F9F7977EE005}"/>
    <cellStyle name="Normal 4 3 5 2 8" xfId="31715" xr:uid="{00000000-0005-0000-0000-00007D230000}"/>
    <cellStyle name="Normal 4 3 5 2 8 2" xfId="38326" xr:uid="{967A47BB-2F02-4DA8-8681-C5D6165C8C68}"/>
    <cellStyle name="Normal 4 3 5 2 9" xfId="38285" xr:uid="{C6A7642A-D997-406F-9044-AA06378F80D4}"/>
    <cellStyle name="Normal 4 3 5 3" xfId="31716" xr:uid="{00000000-0005-0000-0000-00007E230000}"/>
    <cellStyle name="Normal 4 3 5 3 2" xfId="31717" xr:uid="{00000000-0005-0000-0000-00007F230000}"/>
    <cellStyle name="Normal 4 3 5 3 2 2" xfId="31718" xr:uid="{00000000-0005-0000-0000-000080230000}"/>
    <cellStyle name="Normal 4 3 5 3 2 2 2" xfId="31719" xr:uid="{00000000-0005-0000-0000-000081230000}"/>
    <cellStyle name="Normal 4 3 5 3 2 2 2 2" xfId="38330" xr:uid="{197E43F1-D0ED-49BA-AFE3-C34CFF0BCD48}"/>
    <cellStyle name="Normal 4 3 5 3 2 2 3" xfId="31720" xr:uid="{00000000-0005-0000-0000-000082230000}"/>
    <cellStyle name="Normal 4 3 5 3 2 2 3 2" xfId="38331" xr:uid="{5E8C2031-E558-40D1-9D24-86E063C3C2BE}"/>
    <cellStyle name="Normal 4 3 5 3 2 2 4" xfId="38329" xr:uid="{87FA8F0D-7CA2-4BC5-86C1-51F99F849827}"/>
    <cellStyle name="Normal 4 3 5 3 2 3" xfId="31721" xr:uid="{00000000-0005-0000-0000-000083230000}"/>
    <cellStyle name="Normal 4 3 5 3 2 3 2" xfId="38332" xr:uid="{43C63FBD-4759-460D-9443-2FE73B11345F}"/>
    <cellStyle name="Normal 4 3 5 3 2 4" xfId="31722" xr:uid="{00000000-0005-0000-0000-000084230000}"/>
    <cellStyle name="Normal 4 3 5 3 2 4 2" xfId="38333" xr:uid="{40468BE5-3C56-42DE-A588-CA1493A53007}"/>
    <cellStyle name="Normal 4 3 5 3 2 5" xfId="31723" xr:uid="{00000000-0005-0000-0000-000085230000}"/>
    <cellStyle name="Normal 4 3 5 3 2 5 2" xfId="38334" xr:uid="{10451F59-A55D-418D-8E03-BBC575D4844C}"/>
    <cellStyle name="Normal 4 3 5 3 2 6" xfId="38328" xr:uid="{3D11C85E-0220-4320-9D0C-8208DC5A2943}"/>
    <cellStyle name="Normal 4 3 5 3 3" xfId="31724" xr:uid="{00000000-0005-0000-0000-000086230000}"/>
    <cellStyle name="Normal 4 3 5 3 3 2" xfId="31725" xr:uid="{00000000-0005-0000-0000-000087230000}"/>
    <cellStyle name="Normal 4 3 5 3 3 2 2" xfId="31726" xr:uid="{00000000-0005-0000-0000-000088230000}"/>
    <cellStyle name="Normal 4 3 5 3 3 2 2 2" xfId="38337" xr:uid="{C372755C-DB68-47B8-8D13-92BAFC594BFE}"/>
    <cellStyle name="Normal 4 3 5 3 3 2 3" xfId="31727" xr:uid="{00000000-0005-0000-0000-000089230000}"/>
    <cellStyle name="Normal 4 3 5 3 3 2 3 2" xfId="38338" xr:uid="{D7622A7A-2179-420A-ADEB-D3B58579C6B4}"/>
    <cellStyle name="Normal 4 3 5 3 3 2 4" xfId="38336" xr:uid="{12A8B60F-EC09-4E45-900E-7E96F27AEC84}"/>
    <cellStyle name="Normal 4 3 5 3 3 3" xfId="31728" xr:uid="{00000000-0005-0000-0000-00008A230000}"/>
    <cellStyle name="Normal 4 3 5 3 3 3 2" xfId="38339" xr:uid="{39453615-15BA-4B79-B399-9D3DD45329D3}"/>
    <cellStyle name="Normal 4 3 5 3 3 4" xfId="31729" xr:uid="{00000000-0005-0000-0000-00008B230000}"/>
    <cellStyle name="Normal 4 3 5 3 3 4 2" xfId="38340" xr:uid="{5BBB4D3E-D9AD-4D39-B160-31CAE54BF2B7}"/>
    <cellStyle name="Normal 4 3 5 3 3 5" xfId="31730" xr:uid="{00000000-0005-0000-0000-00008C230000}"/>
    <cellStyle name="Normal 4 3 5 3 3 5 2" xfId="38341" xr:uid="{7BA1DC49-1CD1-4AA6-B120-796275D76675}"/>
    <cellStyle name="Normal 4 3 5 3 3 6" xfId="38335" xr:uid="{7588422F-5735-4BD3-977B-9509B5F6BDB5}"/>
    <cellStyle name="Normal 4 3 5 3 4" xfId="31731" xr:uid="{00000000-0005-0000-0000-00008D230000}"/>
    <cellStyle name="Normal 4 3 5 3 4 2" xfId="31732" xr:uid="{00000000-0005-0000-0000-00008E230000}"/>
    <cellStyle name="Normal 4 3 5 3 4 2 2" xfId="38343" xr:uid="{C90CE5F1-A1B6-4976-B1F3-79FBF7A9C508}"/>
    <cellStyle name="Normal 4 3 5 3 4 3" xfId="31733" xr:uid="{00000000-0005-0000-0000-00008F230000}"/>
    <cellStyle name="Normal 4 3 5 3 4 3 2" xfId="38344" xr:uid="{34EF8BE4-CD64-416D-96EF-89F01030E318}"/>
    <cellStyle name="Normal 4 3 5 3 4 4" xfId="38342" xr:uid="{B3268FE0-7CF6-459A-A038-5DA3FEE2482B}"/>
    <cellStyle name="Normal 4 3 5 3 5" xfId="31734" xr:uid="{00000000-0005-0000-0000-000090230000}"/>
    <cellStyle name="Normal 4 3 5 3 5 2" xfId="38345" xr:uid="{E06C8361-35E7-4D1F-BF3D-3DDB39386F62}"/>
    <cellStyle name="Normal 4 3 5 3 6" xfId="31735" xr:uid="{00000000-0005-0000-0000-000091230000}"/>
    <cellStyle name="Normal 4 3 5 3 6 2" xfId="38346" xr:uid="{718CE7D2-0C5D-46E6-9157-213948692E68}"/>
    <cellStyle name="Normal 4 3 5 3 7" xfId="31736" xr:uid="{00000000-0005-0000-0000-000092230000}"/>
    <cellStyle name="Normal 4 3 5 3 7 2" xfId="38347" xr:uid="{F248B760-B1DE-4692-A49A-42A4F80FCB22}"/>
    <cellStyle name="Normal 4 3 5 3 8" xfId="38327" xr:uid="{93930172-6DDF-477E-B7A2-20CCBD711A61}"/>
    <cellStyle name="Normal 4 3 5 4" xfId="31737" xr:uid="{00000000-0005-0000-0000-000093230000}"/>
    <cellStyle name="Normal 4 3 5 4 2" xfId="31738" xr:uid="{00000000-0005-0000-0000-000094230000}"/>
    <cellStyle name="Normal 4 3 5 4 2 2" xfId="31739" xr:uid="{00000000-0005-0000-0000-000095230000}"/>
    <cellStyle name="Normal 4 3 5 4 2 2 2" xfId="38350" xr:uid="{F41ADBF6-3466-490B-BD03-37A8FBB04CB8}"/>
    <cellStyle name="Normal 4 3 5 4 2 3" xfId="31740" xr:uid="{00000000-0005-0000-0000-000096230000}"/>
    <cellStyle name="Normal 4 3 5 4 2 3 2" xfId="38351" xr:uid="{A94D40B5-E932-45C0-B279-8617DF03B5A5}"/>
    <cellStyle name="Normal 4 3 5 4 2 4" xfId="38349" xr:uid="{93B237B2-0A42-449C-A393-F21B72854266}"/>
    <cellStyle name="Normal 4 3 5 4 3" xfId="31741" xr:uid="{00000000-0005-0000-0000-000097230000}"/>
    <cellStyle name="Normal 4 3 5 4 3 2" xfId="38352" xr:uid="{A86F660E-EAA3-4430-8644-30525737DA08}"/>
    <cellStyle name="Normal 4 3 5 4 4" xfId="31742" xr:uid="{00000000-0005-0000-0000-000098230000}"/>
    <cellStyle name="Normal 4 3 5 4 4 2" xfId="38353" xr:uid="{BF5689C4-30EB-47AF-9EA4-82F7602A417C}"/>
    <cellStyle name="Normal 4 3 5 4 5" xfId="31743" xr:uid="{00000000-0005-0000-0000-000099230000}"/>
    <cellStyle name="Normal 4 3 5 4 5 2" xfId="38354" xr:uid="{A3B4F218-1EDD-4C2F-98A3-CC94DA34F024}"/>
    <cellStyle name="Normal 4 3 5 4 6" xfId="38348" xr:uid="{6A28054C-DCDF-49F3-8C85-A461354046A4}"/>
    <cellStyle name="Normal 4 3 5 5" xfId="31744" xr:uid="{00000000-0005-0000-0000-00009A230000}"/>
    <cellStyle name="Normal 4 3 5 5 2" xfId="31745" xr:uid="{00000000-0005-0000-0000-00009B230000}"/>
    <cellStyle name="Normal 4 3 5 5 2 2" xfId="31746" xr:uid="{00000000-0005-0000-0000-00009C230000}"/>
    <cellStyle name="Normal 4 3 5 5 2 2 2" xfId="38357" xr:uid="{AEC30676-24E1-4545-9A77-129BDD9C5454}"/>
    <cellStyle name="Normal 4 3 5 5 2 3" xfId="31747" xr:uid="{00000000-0005-0000-0000-00009D230000}"/>
    <cellStyle name="Normal 4 3 5 5 2 3 2" xfId="38358" xr:uid="{E7B7A743-5AD5-4D7E-9549-0160001E1D18}"/>
    <cellStyle name="Normal 4 3 5 5 2 4" xfId="38356" xr:uid="{DE5340A1-1D8A-4D77-A53A-A13DAC25C40F}"/>
    <cellStyle name="Normal 4 3 5 5 3" xfId="31748" xr:uid="{00000000-0005-0000-0000-00009E230000}"/>
    <cellStyle name="Normal 4 3 5 5 3 2" xfId="38359" xr:uid="{0DF112CA-1D21-4EA4-82DE-DF273DC20997}"/>
    <cellStyle name="Normal 4 3 5 5 4" xfId="31749" xr:uid="{00000000-0005-0000-0000-00009F230000}"/>
    <cellStyle name="Normal 4 3 5 5 4 2" xfId="38360" xr:uid="{9B479AFA-4E6A-440C-9AFC-7ABBFF5F2296}"/>
    <cellStyle name="Normal 4 3 5 5 5" xfId="31750" xr:uid="{00000000-0005-0000-0000-0000A0230000}"/>
    <cellStyle name="Normal 4 3 5 5 5 2" xfId="38361" xr:uid="{F7131449-BDFA-42AD-B626-E1D47AA56E7F}"/>
    <cellStyle name="Normal 4 3 5 5 6" xfId="38355" xr:uid="{F5E62BDA-069A-41C2-9A36-E723A07D4E6D}"/>
    <cellStyle name="Normal 4 3 5 6" xfId="31751" xr:uid="{00000000-0005-0000-0000-0000A1230000}"/>
    <cellStyle name="Normal 4 3 5 6 2" xfId="31752" xr:uid="{00000000-0005-0000-0000-0000A2230000}"/>
    <cellStyle name="Normal 4 3 5 6 2 2" xfId="38363" xr:uid="{F0D7E9E3-2127-4C7D-8C6A-C05A80C01869}"/>
    <cellStyle name="Normal 4 3 5 6 3" xfId="31753" xr:uid="{00000000-0005-0000-0000-0000A3230000}"/>
    <cellStyle name="Normal 4 3 5 6 3 2" xfId="38364" xr:uid="{683DC9A2-4387-47A5-BAF0-DD97421B1399}"/>
    <cellStyle name="Normal 4 3 5 6 4" xfId="38362" xr:uid="{D9083B47-1E35-4001-9FB7-5F10C349444B}"/>
    <cellStyle name="Normal 4 3 5 7" xfId="31754" xr:uid="{00000000-0005-0000-0000-0000A4230000}"/>
    <cellStyle name="Normal 4 3 5 7 2" xfId="38365" xr:uid="{D1346769-0414-4A68-B1D5-E838E5EE0AF8}"/>
    <cellStyle name="Normal 4 3 5 8" xfId="31755" xr:uid="{00000000-0005-0000-0000-0000A5230000}"/>
    <cellStyle name="Normal 4 3 5 8 2" xfId="38366" xr:uid="{8F827BFC-02D1-4715-9922-32ED03346999}"/>
    <cellStyle name="Normal 4 3 5 9" xfId="31756" xr:uid="{00000000-0005-0000-0000-0000A6230000}"/>
    <cellStyle name="Normal 4 3 5 9 2" xfId="38367" xr:uid="{7A9E6F62-249D-447C-A8C9-B8875B253ECC}"/>
    <cellStyle name="Normal 4 3 6" xfId="31757" xr:uid="{00000000-0005-0000-0000-0000A7230000}"/>
    <cellStyle name="Normal 4 3 6 10" xfId="38368" xr:uid="{6F32220F-9228-4BC9-9046-9C5A37E93D76}"/>
    <cellStyle name="Normal 4 3 6 2" xfId="31758" xr:uid="{00000000-0005-0000-0000-0000A8230000}"/>
    <cellStyle name="Normal 4 3 6 2 2" xfId="31759" xr:uid="{00000000-0005-0000-0000-0000A9230000}"/>
    <cellStyle name="Normal 4 3 6 2 2 2" xfId="31760" xr:uid="{00000000-0005-0000-0000-0000AA230000}"/>
    <cellStyle name="Normal 4 3 6 2 2 2 2" xfId="31761" xr:uid="{00000000-0005-0000-0000-0000AB230000}"/>
    <cellStyle name="Normal 4 3 6 2 2 2 2 2" xfId="31762" xr:uid="{00000000-0005-0000-0000-0000AC230000}"/>
    <cellStyle name="Normal 4 3 6 2 2 2 2 2 2" xfId="38373" xr:uid="{B2FBD98A-39E5-4D70-91BA-DB8EF2165050}"/>
    <cellStyle name="Normal 4 3 6 2 2 2 2 3" xfId="31763" xr:uid="{00000000-0005-0000-0000-0000AD230000}"/>
    <cellStyle name="Normal 4 3 6 2 2 2 2 3 2" xfId="38374" xr:uid="{D89D3376-82B5-4353-A37A-48AB60B2F214}"/>
    <cellStyle name="Normal 4 3 6 2 2 2 2 4" xfId="38372" xr:uid="{24E8510C-A2BB-4819-873C-AF2FF8737253}"/>
    <cellStyle name="Normal 4 3 6 2 2 2 3" xfId="31764" xr:uid="{00000000-0005-0000-0000-0000AE230000}"/>
    <cellStyle name="Normal 4 3 6 2 2 2 3 2" xfId="38375" xr:uid="{6B908361-ACA4-4D4A-88E4-9FEDC7624C04}"/>
    <cellStyle name="Normal 4 3 6 2 2 2 4" xfId="31765" xr:uid="{00000000-0005-0000-0000-0000AF230000}"/>
    <cellStyle name="Normal 4 3 6 2 2 2 4 2" xfId="38376" xr:uid="{D4E21691-6F93-46EA-A1F9-44E34DFC26C8}"/>
    <cellStyle name="Normal 4 3 6 2 2 2 5" xfId="31766" xr:uid="{00000000-0005-0000-0000-0000B0230000}"/>
    <cellStyle name="Normal 4 3 6 2 2 2 5 2" xfId="38377" xr:uid="{E21AFA30-2A10-4521-9E5A-83DE6CE89906}"/>
    <cellStyle name="Normal 4 3 6 2 2 2 6" xfId="38371" xr:uid="{D2079BA5-EB46-4223-BE94-01EEA4476FF7}"/>
    <cellStyle name="Normal 4 3 6 2 2 3" xfId="31767" xr:uid="{00000000-0005-0000-0000-0000B1230000}"/>
    <cellStyle name="Normal 4 3 6 2 2 3 2" xfId="31768" xr:uid="{00000000-0005-0000-0000-0000B2230000}"/>
    <cellStyle name="Normal 4 3 6 2 2 3 2 2" xfId="31769" xr:uid="{00000000-0005-0000-0000-0000B3230000}"/>
    <cellStyle name="Normal 4 3 6 2 2 3 2 2 2" xfId="38380" xr:uid="{2E31905C-038A-43DB-9752-6E0735F9B101}"/>
    <cellStyle name="Normal 4 3 6 2 2 3 2 3" xfId="31770" xr:uid="{00000000-0005-0000-0000-0000B4230000}"/>
    <cellStyle name="Normal 4 3 6 2 2 3 2 3 2" xfId="38381" xr:uid="{895C15EC-6929-45CF-955E-13C339B21B5E}"/>
    <cellStyle name="Normal 4 3 6 2 2 3 2 4" xfId="38379" xr:uid="{1EB97D5A-E4E1-4064-B36F-C7A96783A8F3}"/>
    <cellStyle name="Normal 4 3 6 2 2 3 3" xfId="31771" xr:uid="{00000000-0005-0000-0000-0000B5230000}"/>
    <cellStyle name="Normal 4 3 6 2 2 3 3 2" xfId="38382" xr:uid="{6CEFEBE5-5E17-4530-B43F-AF53C1307BF1}"/>
    <cellStyle name="Normal 4 3 6 2 2 3 4" xfId="31772" xr:uid="{00000000-0005-0000-0000-0000B6230000}"/>
    <cellStyle name="Normal 4 3 6 2 2 3 4 2" xfId="38383" xr:uid="{BF32E25C-888C-4FAF-8870-B2848F6FC548}"/>
    <cellStyle name="Normal 4 3 6 2 2 3 5" xfId="31773" xr:uid="{00000000-0005-0000-0000-0000B7230000}"/>
    <cellStyle name="Normal 4 3 6 2 2 3 5 2" xfId="38384" xr:uid="{FF8520AF-CBAF-443D-B5A1-23BF518DF828}"/>
    <cellStyle name="Normal 4 3 6 2 2 3 6" xfId="38378" xr:uid="{C2702DB6-7A26-4E2B-8B4D-D76E27241836}"/>
    <cellStyle name="Normal 4 3 6 2 2 4" xfId="31774" xr:uid="{00000000-0005-0000-0000-0000B8230000}"/>
    <cellStyle name="Normal 4 3 6 2 2 4 2" xfId="31775" xr:uid="{00000000-0005-0000-0000-0000B9230000}"/>
    <cellStyle name="Normal 4 3 6 2 2 4 2 2" xfId="38386" xr:uid="{A7147451-E238-415E-B767-6C69A7A055E4}"/>
    <cellStyle name="Normal 4 3 6 2 2 4 3" xfId="31776" xr:uid="{00000000-0005-0000-0000-0000BA230000}"/>
    <cellStyle name="Normal 4 3 6 2 2 4 3 2" xfId="38387" xr:uid="{7AD07B11-55F1-406E-95CF-A406F5E8D7EA}"/>
    <cellStyle name="Normal 4 3 6 2 2 4 4" xfId="38385" xr:uid="{5268C4CD-95CC-4483-A0BA-DC579BEA3795}"/>
    <cellStyle name="Normal 4 3 6 2 2 5" xfId="31777" xr:uid="{00000000-0005-0000-0000-0000BB230000}"/>
    <cellStyle name="Normal 4 3 6 2 2 5 2" xfId="38388" xr:uid="{6B9D0004-3BFB-4C61-8218-4452ABA18977}"/>
    <cellStyle name="Normal 4 3 6 2 2 6" xfId="31778" xr:uid="{00000000-0005-0000-0000-0000BC230000}"/>
    <cellStyle name="Normal 4 3 6 2 2 6 2" xfId="38389" xr:uid="{A24A6013-448A-4ED6-A925-F92FE49D8B48}"/>
    <cellStyle name="Normal 4 3 6 2 2 7" xfId="31779" xr:uid="{00000000-0005-0000-0000-0000BD230000}"/>
    <cellStyle name="Normal 4 3 6 2 2 7 2" xfId="38390" xr:uid="{7BBB04AB-2B04-4ABF-BD39-8D4D8396CCD9}"/>
    <cellStyle name="Normal 4 3 6 2 2 8" xfId="38370" xr:uid="{6657A18A-EE33-4568-9B2B-4F705B3BD68E}"/>
    <cellStyle name="Normal 4 3 6 2 3" xfId="31780" xr:uid="{00000000-0005-0000-0000-0000BE230000}"/>
    <cellStyle name="Normal 4 3 6 2 3 2" xfId="31781" xr:uid="{00000000-0005-0000-0000-0000BF230000}"/>
    <cellStyle name="Normal 4 3 6 2 3 2 2" xfId="31782" xr:uid="{00000000-0005-0000-0000-0000C0230000}"/>
    <cellStyle name="Normal 4 3 6 2 3 2 2 2" xfId="38393" xr:uid="{0349C1D6-8C74-444B-BD52-A6ED2C0ED3D7}"/>
    <cellStyle name="Normal 4 3 6 2 3 2 3" xfId="31783" xr:uid="{00000000-0005-0000-0000-0000C1230000}"/>
    <cellStyle name="Normal 4 3 6 2 3 2 3 2" xfId="38394" xr:uid="{1A08A531-A6A9-41F3-8DA5-DEF4B450D511}"/>
    <cellStyle name="Normal 4 3 6 2 3 2 4" xfId="38392" xr:uid="{EFF692C8-D1EB-468A-842D-3F7DE072CDDF}"/>
    <cellStyle name="Normal 4 3 6 2 3 3" xfId="31784" xr:uid="{00000000-0005-0000-0000-0000C2230000}"/>
    <cellStyle name="Normal 4 3 6 2 3 3 2" xfId="38395" xr:uid="{C2ACDCB9-3CED-42D8-8CD3-A756314DA1FE}"/>
    <cellStyle name="Normal 4 3 6 2 3 4" xfId="31785" xr:uid="{00000000-0005-0000-0000-0000C3230000}"/>
    <cellStyle name="Normal 4 3 6 2 3 4 2" xfId="38396" xr:uid="{AD302B21-2FF3-46A1-9D12-18D8CB9700D0}"/>
    <cellStyle name="Normal 4 3 6 2 3 5" xfId="31786" xr:uid="{00000000-0005-0000-0000-0000C4230000}"/>
    <cellStyle name="Normal 4 3 6 2 3 5 2" xfId="38397" xr:uid="{B4B98D40-9C91-42BC-8D3E-B5857C3024D1}"/>
    <cellStyle name="Normal 4 3 6 2 3 6" xfId="38391" xr:uid="{771DB539-6CA5-4815-AA8E-D98FCFCF99FA}"/>
    <cellStyle name="Normal 4 3 6 2 4" xfId="31787" xr:uid="{00000000-0005-0000-0000-0000C5230000}"/>
    <cellStyle name="Normal 4 3 6 2 4 2" xfId="31788" xr:uid="{00000000-0005-0000-0000-0000C6230000}"/>
    <cellStyle name="Normal 4 3 6 2 4 2 2" xfId="31789" xr:uid="{00000000-0005-0000-0000-0000C7230000}"/>
    <cellStyle name="Normal 4 3 6 2 4 2 2 2" xfId="38400" xr:uid="{52B8E5AA-20B2-4AFF-ACDC-64047649237F}"/>
    <cellStyle name="Normal 4 3 6 2 4 2 3" xfId="31790" xr:uid="{00000000-0005-0000-0000-0000C8230000}"/>
    <cellStyle name="Normal 4 3 6 2 4 2 3 2" xfId="38401" xr:uid="{C3897AD0-F87A-4DEC-8212-CCC8BD37D639}"/>
    <cellStyle name="Normal 4 3 6 2 4 2 4" xfId="38399" xr:uid="{92CEB5FE-C708-4427-BF21-38A2194DC450}"/>
    <cellStyle name="Normal 4 3 6 2 4 3" xfId="31791" xr:uid="{00000000-0005-0000-0000-0000C9230000}"/>
    <cellStyle name="Normal 4 3 6 2 4 3 2" xfId="38402" xr:uid="{F522DC58-35B5-4F8D-BB33-C7B66CBD99EF}"/>
    <cellStyle name="Normal 4 3 6 2 4 4" xfId="31792" xr:uid="{00000000-0005-0000-0000-0000CA230000}"/>
    <cellStyle name="Normal 4 3 6 2 4 4 2" xfId="38403" xr:uid="{908D3934-73F1-4A00-A433-151FCC9A3B2E}"/>
    <cellStyle name="Normal 4 3 6 2 4 5" xfId="31793" xr:uid="{00000000-0005-0000-0000-0000CB230000}"/>
    <cellStyle name="Normal 4 3 6 2 4 5 2" xfId="38404" xr:uid="{75964566-159F-41B0-9372-D8F440472D00}"/>
    <cellStyle name="Normal 4 3 6 2 4 6" xfId="38398" xr:uid="{D7455B06-A534-47E6-86C0-B9EC52F3CFF5}"/>
    <cellStyle name="Normal 4 3 6 2 5" xfId="31794" xr:uid="{00000000-0005-0000-0000-0000CC230000}"/>
    <cellStyle name="Normal 4 3 6 2 5 2" xfId="31795" xr:uid="{00000000-0005-0000-0000-0000CD230000}"/>
    <cellStyle name="Normal 4 3 6 2 5 2 2" xfId="38406" xr:uid="{DBEFD3E9-5198-431E-AAAC-BB2A81BB0B25}"/>
    <cellStyle name="Normal 4 3 6 2 5 3" xfId="31796" xr:uid="{00000000-0005-0000-0000-0000CE230000}"/>
    <cellStyle name="Normal 4 3 6 2 5 3 2" xfId="38407" xr:uid="{79EA494F-AEE6-4003-AEE8-54E70675B4BD}"/>
    <cellStyle name="Normal 4 3 6 2 5 4" xfId="38405" xr:uid="{A952CB05-9D1E-4082-B52B-7915E2B2B502}"/>
    <cellStyle name="Normal 4 3 6 2 6" xfId="31797" xr:uid="{00000000-0005-0000-0000-0000CF230000}"/>
    <cellStyle name="Normal 4 3 6 2 6 2" xfId="38408" xr:uid="{872926CF-3C74-4796-A16C-FEB864B380C7}"/>
    <cellStyle name="Normal 4 3 6 2 7" xfId="31798" xr:uid="{00000000-0005-0000-0000-0000D0230000}"/>
    <cellStyle name="Normal 4 3 6 2 7 2" xfId="38409" xr:uid="{E590BC1E-B7B5-43FF-ADA5-C56AD2180F10}"/>
    <cellStyle name="Normal 4 3 6 2 8" xfId="31799" xr:uid="{00000000-0005-0000-0000-0000D1230000}"/>
    <cellStyle name="Normal 4 3 6 2 8 2" xfId="38410" xr:uid="{D5B6282F-EB83-4EEB-8FA2-EF06AB68CE29}"/>
    <cellStyle name="Normal 4 3 6 2 9" xfId="38369" xr:uid="{76E3DCF3-6A29-484E-9DB6-891154DF81D0}"/>
    <cellStyle name="Normal 4 3 6 3" xfId="31800" xr:uid="{00000000-0005-0000-0000-0000D2230000}"/>
    <cellStyle name="Normal 4 3 6 3 2" xfId="31801" xr:uid="{00000000-0005-0000-0000-0000D3230000}"/>
    <cellStyle name="Normal 4 3 6 3 2 2" xfId="31802" xr:uid="{00000000-0005-0000-0000-0000D4230000}"/>
    <cellStyle name="Normal 4 3 6 3 2 2 2" xfId="31803" xr:uid="{00000000-0005-0000-0000-0000D5230000}"/>
    <cellStyle name="Normal 4 3 6 3 2 2 2 2" xfId="38414" xr:uid="{7D427A80-C6F8-45C2-8703-5A91E4D6E4EB}"/>
    <cellStyle name="Normal 4 3 6 3 2 2 3" xfId="31804" xr:uid="{00000000-0005-0000-0000-0000D6230000}"/>
    <cellStyle name="Normal 4 3 6 3 2 2 3 2" xfId="38415" xr:uid="{4AB2657A-DC12-4157-9E46-DA76C123DD6B}"/>
    <cellStyle name="Normal 4 3 6 3 2 2 4" xfId="38413" xr:uid="{CDB6765A-4317-4EAA-8753-327861B783CB}"/>
    <cellStyle name="Normal 4 3 6 3 2 3" xfId="31805" xr:uid="{00000000-0005-0000-0000-0000D7230000}"/>
    <cellStyle name="Normal 4 3 6 3 2 3 2" xfId="38416" xr:uid="{066867F3-3BD2-4F80-9843-669933F6CCD8}"/>
    <cellStyle name="Normal 4 3 6 3 2 4" xfId="31806" xr:uid="{00000000-0005-0000-0000-0000D8230000}"/>
    <cellStyle name="Normal 4 3 6 3 2 4 2" xfId="38417" xr:uid="{9D2CB43F-625A-4CCE-8A9B-641825678A83}"/>
    <cellStyle name="Normal 4 3 6 3 2 5" xfId="31807" xr:uid="{00000000-0005-0000-0000-0000D9230000}"/>
    <cellStyle name="Normal 4 3 6 3 2 5 2" xfId="38418" xr:uid="{DDCB3B08-75C9-4177-A4A4-FFC3C6E88386}"/>
    <cellStyle name="Normal 4 3 6 3 2 6" xfId="38412" xr:uid="{2B18B4F4-E755-4C13-9F6A-999067AD613E}"/>
    <cellStyle name="Normal 4 3 6 3 3" xfId="31808" xr:uid="{00000000-0005-0000-0000-0000DA230000}"/>
    <cellStyle name="Normal 4 3 6 3 3 2" xfId="31809" xr:uid="{00000000-0005-0000-0000-0000DB230000}"/>
    <cellStyle name="Normal 4 3 6 3 3 2 2" xfId="31810" xr:uid="{00000000-0005-0000-0000-0000DC230000}"/>
    <cellStyle name="Normal 4 3 6 3 3 2 2 2" xfId="38421" xr:uid="{C09CFFE1-C7E5-4911-B0B8-C7435A7A26C1}"/>
    <cellStyle name="Normal 4 3 6 3 3 2 3" xfId="31811" xr:uid="{00000000-0005-0000-0000-0000DD230000}"/>
    <cellStyle name="Normal 4 3 6 3 3 2 3 2" xfId="38422" xr:uid="{BAA8C7EF-3D6E-4BEF-A981-5623698439CA}"/>
    <cellStyle name="Normal 4 3 6 3 3 2 4" xfId="38420" xr:uid="{BF49BD4E-6451-44E4-A2B1-A4C8DC8E797B}"/>
    <cellStyle name="Normal 4 3 6 3 3 3" xfId="31812" xr:uid="{00000000-0005-0000-0000-0000DE230000}"/>
    <cellStyle name="Normal 4 3 6 3 3 3 2" xfId="38423" xr:uid="{309F22EA-4A82-4285-AF83-4471BE08E92F}"/>
    <cellStyle name="Normal 4 3 6 3 3 4" xfId="31813" xr:uid="{00000000-0005-0000-0000-0000DF230000}"/>
    <cellStyle name="Normal 4 3 6 3 3 4 2" xfId="38424" xr:uid="{BADF6941-FDE1-4339-BF29-7A485CD3186F}"/>
    <cellStyle name="Normal 4 3 6 3 3 5" xfId="31814" xr:uid="{00000000-0005-0000-0000-0000E0230000}"/>
    <cellStyle name="Normal 4 3 6 3 3 5 2" xfId="38425" xr:uid="{B509344E-9A0D-4160-BE1B-0C9FE53098AF}"/>
    <cellStyle name="Normal 4 3 6 3 3 6" xfId="38419" xr:uid="{C1B298F3-F8B1-42B9-9021-0C2C88DEAC94}"/>
    <cellStyle name="Normal 4 3 6 3 4" xfId="31815" xr:uid="{00000000-0005-0000-0000-0000E1230000}"/>
    <cellStyle name="Normal 4 3 6 3 4 2" xfId="31816" xr:uid="{00000000-0005-0000-0000-0000E2230000}"/>
    <cellStyle name="Normal 4 3 6 3 4 2 2" xfId="38427" xr:uid="{4160880D-562F-4897-A40A-6907E8B8E7CC}"/>
    <cellStyle name="Normal 4 3 6 3 4 3" xfId="31817" xr:uid="{00000000-0005-0000-0000-0000E3230000}"/>
    <cellStyle name="Normal 4 3 6 3 4 3 2" xfId="38428" xr:uid="{44A8F64E-9804-4410-8AED-9EBECE8E67CC}"/>
    <cellStyle name="Normal 4 3 6 3 4 4" xfId="38426" xr:uid="{50AC241C-6C15-4DF0-A153-73252180911E}"/>
    <cellStyle name="Normal 4 3 6 3 5" xfId="31818" xr:uid="{00000000-0005-0000-0000-0000E4230000}"/>
    <cellStyle name="Normal 4 3 6 3 5 2" xfId="38429" xr:uid="{4AF2BCB3-A229-4C71-ADB5-202171BE0C52}"/>
    <cellStyle name="Normal 4 3 6 3 6" xfId="31819" xr:uid="{00000000-0005-0000-0000-0000E5230000}"/>
    <cellStyle name="Normal 4 3 6 3 6 2" xfId="38430" xr:uid="{CB2892CE-EB46-44D2-B5AB-6B98EFCC3805}"/>
    <cellStyle name="Normal 4 3 6 3 7" xfId="31820" xr:uid="{00000000-0005-0000-0000-0000E6230000}"/>
    <cellStyle name="Normal 4 3 6 3 7 2" xfId="38431" xr:uid="{ECB68739-7ABA-4E45-92B5-DFF08229107E}"/>
    <cellStyle name="Normal 4 3 6 3 8" xfId="38411" xr:uid="{A099BF71-35CD-4B3E-8547-9A2E93CF0C46}"/>
    <cellStyle name="Normal 4 3 6 4" xfId="31821" xr:uid="{00000000-0005-0000-0000-0000E7230000}"/>
    <cellStyle name="Normal 4 3 6 4 2" xfId="31822" xr:uid="{00000000-0005-0000-0000-0000E8230000}"/>
    <cellStyle name="Normal 4 3 6 4 2 2" xfId="31823" xr:uid="{00000000-0005-0000-0000-0000E9230000}"/>
    <cellStyle name="Normal 4 3 6 4 2 2 2" xfId="38434" xr:uid="{CC4E69D3-8097-4651-95FC-DE48FDFDF735}"/>
    <cellStyle name="Normal 4 3 6 4 2 3" xfId="31824" xr:uid="{00000000-0005-0000-0000-0000EA230000}"/>
    <cellStyle name="Normal 4 3 6 4 2 3 2" xfId="38435" xr:uid="{35800D17-6E65-41C1-AE0C-07353A03D208}"/>
    <cellStyle name="Normal 4 3 6 4 2 4" xfId="38433" xr:uid="{B28FA194-EE58-4D48-A77F-9DEE1DDB8703}"/>
    <cellStyle name="Normal 4 3 6 4 3" xfId="31825" xr:uid="{00000000-0005-0000-0000-0000EB230000}"/>
    <cellStyle name="Normal 4 3 6 4 3 2" xfId="38436" xr:uid="{92CA7937-FB01-4631-82BF-29A202402004}"/>
    <cellStyle name="Normal 4 3 6 4 4" xfId="31826" xr:uid="{00000000-0005-0000-0000-0000EC230000}"/>
    <cellStyle name="Normal 4 3 6 4 4 2" xfId="38437" xr:uid="{5E2C2DF1-1E9E-4580-B701-A1255CE573F2}"/>
    <cellStyle name="Normal 4 3 6 4 5" xfId="31827" xr:uid="{00000000-0005-0000-0000-0000ED230000}"/>
    <cellStyle name="Normal 4 3 6 4 5 2" xfId="38438" xr:uid="{60C5ABF6-A852-409B-AA05-21824C288C23}"/>
    <cellStyle name="Normal 4 3 6 4 6" xfId="38432" xr:uid="{EB178156-4F66-4924-9C88-689EE6A069A2}"/>
    <cellStyle name="Normal 4 3 6 5" xfId="31828" xr:uid="{00000000-0005-0000-0000-0000EE230000}"/>
    <cellStyle name="Normal 4 3 6 5 2" xfId="31829" xr:uid="{00000000-0005-0000-0000-0000EF230000}"/>
    <cellStyle name="Normal 4 3 6 5 2 2" xfId="31830" xr:uid="{00000000-0005-0000-0000-0000F0230000}"/>
    <cellStyle name="Normal 4 3 6 5 2 2 2" xfId="38441" xr:uid="{DCC98DCE-4044-41B2-98E9-40591995C490}"/>
    <cellStyle name="Normal 4 3 6 5 2 3" xfId="31831" xr:uid="{00000000-0005-0000-0000-0000F1230000}"/>
    <cellStyle name="Normal 4 3 6 5 2 3 2" xfId="38442" xr:uid="{08197FBD-6690-43BE-9683-30549B2F9752}"/>
    <cellStyle name="Normal 4 3 6 5 2 4" xfId="38440" xr:uid="{3E885E7F-E1C0-4BEC-A95E-9D0F48504B44}"/>
    <cellStyle name="Normal 4 3 6 5 3" xfId="31832" xr:uid="{00000000-0005-0000-0000-0000F2230000}"/>
    <cellStyle name="Normal 4 3 6 5 3 2" xfId="38443" xr:uid="{A5D0716F-345B-4DAB-8421-435684DD5A97}"/>
    <cellStyle name="Normal 4 3 6 5 4" xfId="31833" xr:uid="{00000000-0005-0000-0000-0000F3230000}"/>
    <cellStyle name="Normal 4 3 6 5 4 2" xfId="38444" xr:uid="{A9404D1E-A687-4AB0-8BB8-5A0EDFA41218}"/>
    <cellStyle name="Normal 4 3 6 5 5" xfId="31834" xr:uid="{00000000-0005-0000-0000-0000F4230000}"/>
    <cellStyle name="Normal 4 3 6 5 5 2" xfId="38445" xr:uid="{DA309CBD-1207-4C68-8F76-8E3B53B2E665}"/>
    <cellStyle name="Normal 4 3 6 5 6" xfId="38439" xr:uid="{1F9E1D5A-6D3C-4874-8DAD-95888D2F2EBC}"/>
    <cellStyle name="Normal 4 3 6 6" xfId="31835" xr:uid="{00000000-0005-0000-0000-0000F5230000}"/>
    <cellStyle name="Normal 4 3 6 6 2" xfId="31836" xr:uid="{00000000-0005-0000-0000-0000F6230000}"/>
    <cellStyle name="Normal 4 3 6 6 2 2" xfId="38447" xr:uid="{22FC3733-FEAE-4B25-BE52-0D9760FD29B8}"/>
    <cellStyle name="Normal 4 3 6 6 3" xfId="31837" xr:uid="{00000000-0005-0000-0000-0000F7230000}"/>
    <cellStyle name="Normal 4 3 6 6 3 2" xfId="38448" xr:uid="{07FCADA4-AC3B-4772-B5FD-49A4660A6461}"/>
    <cellStyle name="Normal 4 3 6 6 4" xfId="38446" xr:uid="{2DF15B1F-D0F4-4A26-AC31-F13B2F77A663}"/>
    <cellStyle name="Normal 4 3 6 7" xfId="31838" xr:uid="{00000000-0005-0000-0000-0000F8230000}"/>
    <cellStyle name="Normal 4 3 6 7 2" xfId="38449" xr:uid="{5A87C48D-64DA-4DD1-B74D-873DAAF7DDFD}"/>
    <cellStyle name="Normal 4 3 6 8" xfId="31839" xr:uid="{00000000-0005-0000-0000-0000F9230000}"/>
    <cellStyle name="Normal 4 3 6 8 2" xfId="38450" xr:uid="{342C5E10-97AE-4800-83F9-BD573D928CF8}"/>
    <cellStyle name="Normal 4 3 6 9" xfId="31840" xr:uid="{00000000-0005-0000-0000-0000FA230000}"/>
    <cellStyle name="Normal 4 3 6 9 2" xfId="38451" xr:uid="{52ABF66D-C1A1-4612-982F-F49057BD1CD3}"/>
    <cellStyle name="Normal 4 3 7" xfId="31841" xr:uid="{00000000-0005-0000-0000-0000FB230000}"/>
    <cellStyle name="Normal 4 3 7 10" xfId="38452" xr:uid="{BB905522-FCD1-4A62-9FE0-3E252DBB2E82}"/>
    <cellStyle name="Normal 4 3 7 2" xfId="31842" xr:uid="{00000000-0005-0000-0000-0000FC230000}"/>
    <cellStyle name="Normal 4 3 7 2 2" xfId="31843" xr:uid="{00000000-0005-0000-0000-0000FD230000}"/>
    <cellStyle name="Normal 4 3 7 2 2 2" xfId="31844" xr:uid="{00000000-0005-0000-0000-0000FE230000}"/>
    <cellStyle name="Normal 4 3 7 2 2 2 2" xfId="31845" xr:uid="{00000000-0005-0000-0000-0000FF230000}"/>
    <cellStyle name="Normal 4 3 7 2 2 2 2 2" xfId="31846" xr:uid="{00000000-0005-0000-0000-000000240000}"/>
    <cellStyle name="Normal 4 3 7 2 2 2 2 2 2" xfId="38457" xr:uid="{FA45FFFC-9855-4E1E-8251-7568955C87C8}"/>
    <cellStyle name="Normal 4 3 7 2 2 2 2 3" xfId="31847" xr:uid="{00000000-0005-0000-0000-000001240000}"/>
    <cellStyle name="Normal 4 3 7 2 2 2 2 3 2" xfId="38458" xr:uid="{F1D545B1-DD74-4327-BAB0-BB9FF31401B6}"/>
    <cellStyle name="Normal 4 3 7 2 2 2 2 4" xfId="38456" xr:uid="{0175FAEC-42D3-4375-A123-69D0EAE1FBF0}"/>
    <cellStyle name="Normal 4 3 7 2 2 2 3" xfId="31848" xr:uid="{00000000-0005-0000-0000-000002240000}"/>
    <cellStyle name="Normal 4 3 7 2 2 2 3 2" xfId="38459" xr:uid="{BA3C5EEC-0543-43CF-B769-CA6563634252}"/>
    <cellStyle name="Normal 4 3 7 2 2 2 4" xfId="31849" xr:uid="{00000000-0005-0000-0000-000003240000}"/>
    <cellStyle name="Normal 4 3 7 2 2 2 4 2" xfId="38460" xr:uid="{EB3520FE-25CC-463C-AC12-AC498AE31DD7}"/>
    <cellStyle name="Normal 4 3 7 2 2 2 5" xfId="31850" xr:uid="{00000000-0005-0000-0000-000004240000}"/>
    <cellStyle name="Normal 4 3 7 2 2 2 5 2" xfId="38461" xr:uid="{E6D05388-B3F9-43C5-B5BB-3FF42175BDAA}"/>
    <cellStyle name="Normal 4 3 7 2 2 2 6" xfId="38455" xr:uid="{2D9FEA31-0AC5-48D4-BC1E-2A44A95220E0}"/>
    <cellStyle name="Normal 4 3 7 2 2 3" xfId="31851" xr:uid="{00000000-0005-0000-0000-000005240000}"/>
    <cellStyle name="Normal 4 3 7 2 2 3 2" xfId="31852" xr:uid="{00000000-0005-0000-0000-000006240000}"/>
    <cellStyle name="Normal 4 3 7 2 2 3 2 2" xfId="31853" xr:uid="{00000000-0005-0000-0000-000007240000}"/>
    <cellStyle name="Normal 4 3 7 2 2 3 2 2 2" xfId="38464" xr:uid="{02FB6733-A984-479C-875C-8D605321EC86}"/>
    <cellStyle name="Normal 4 3 7 2 2 3 2 3" xfId="31854" xr:uid="{00000000-0005-0000-0000-000008240000}"/>
    <cellStyle name="Normal 4 3 7 2 2 3 2 3 2" xfId="38465" xr:uid="{998E7D61-8BE1-4296-931F-5134EDC7FCCE}"/>
    <cellStyle name="Normal 4 3 7 2 2 3 2 4" xfId="38463" xr:uid="{5668D924-3A13-41BB-B822-255E2346AB0C}"/>
    <cellStyle name="Normal 4 3 7 2 2 3 3" xfId="31855" xr:uid="{00000000-0005-0000-0000-000009240000}"/>
    <cellStyle name="Normal 4 3 7 2 2 3 3 2" xfId="38466" xr:uid="{AC2F58FA-E396-48A9-95BD-2BFFE53EC6CF}"/>
    <cellStyle name="Normal 4 3 7 2 2 3 4" xfId="31856" xr:uid="{00000000-0005-0000-0000-00000A240000}"/>
    <cellStyle name="Normal 4 3 7 2 2 3 4 2" xfId="38467" xr:uid="{07B86940-E8FF-4A7E-902F-10A24C9B12B1}"/>
    <cellStyle name="Normal 4 3 7 2 2 3 5" xfId="31857" xr:uid="{00000000-0005-0000-0000-00000B240000}"/>
    <cellStyle name="Normal 4 3 7 2 2 3 5 2" xfId="38468" xr:uid="{BB85B13B-53F7-4180-A764-CBB005743426}"/>
    <cellStyle name="Normal 4 3 7 2 2 3 6" xfId="38462" xr:uid="{EC6CD3D8-E773-4DBD-BB4F-F43F84D85DC2}"/>
    <cellStyle name="Normal 4 3 7 2 2 4" xfId="31858" xr:uid="{00000000-0005-0000-0000-00000C240000}"/>
    <cellStyle name="Normal 4 3 7 2 2 4 2" xfId="31859" xr:uid="{00000000-0005-0000-0000-00000D240000}"/>
    <cellStyle name="Normal 4 3 7 2 2 4 2 2" xfId="38470" xr:uid="{D7C91124-C4E1-4DFE-BBFA-E0BFEB94B5E1}"/>
    <cellStyle name="Normal 4 3 7 2 2 4 3" xfId="31860" xr:uid="{00000000-0005-0000-0000-00000E240000}"/>
    <cellStyle name="Normal 4 3 7 2 2 4 3 2" xfId="38471" xr:uid="{11A4FC7F-425D-445F-A1B7-55DE7C78F01F}"/>
    <cellStyle name="Normal 4 3 7 2 2 4 4" xfId="38469" xr:uid="{37087DBD-993E-413A-AC94-C4EFEDDF9173}"/>
    <cellStyle name="Normal 4 3 7 2 2 5" xfId="31861" xr:uid="{00000000-0005-0000-0000-00000F240000}"/>
    <cellStyle name="Normal 4 3 7 2 2 5 2" xfId="38472" xr:uid="{30973BEB-271A-42FE-9106-93A8DB6919B0}"/>
    <cellStyle name="Normal 4 3 7 2 2 6" xfId="31862" xr:uid="{00000000-0005-0000-0000-000010240000}"/>
    <cellStyle name="Normal 4 3 7 2 2 6 2" xfId="38473" xr:uid="{E40EBDBF-7605-4F79-B7DC-A617A75B73F2}"/>
    <cellStyle name="Normal 4 3 7 2 2 7" xfId="31863" xr:uid="{00000000-0005-0000-0000-000011240000}"/>
    <cellStyle name="Normal 4 3 7 2 2 7 2" xfId="38474" xr:uid="{0B2E5FAF-BCEE-4837-A35A-597E4A516BC6}"/>
    <cellStyle name="Normal 4 3 7 2 2 8" xfId="38454" xr:uid="{F3A9FAD5-2F0C-4782-8506-B11184E1C8DF}"/>
    <cellStyle name="Normal 4 3 7 2 3" xfId="31864" xr:uid="{00000000-0005-0000-0000-000012240000}"/>
    <cellStyle name="Normal 4 3 7 2 3 2" xfId="31865" xr:uid="{00000000-0005-0000-0000-000013240000}"/>
    <cellStyle name="Normal 4 3 7 2 3 2 2" xfId="31866" xr:uid="{00000000-0005-0000-0000-000014240000}"/>
    <cellStyle name="Normal 4 3 7 2 3 2 2 2" xfId="38477" xr:uid="{F8CDD7A5-22A1-4067-8A24-6093D1DB53A2}"/>
    <cellStyle name="Normal 4 3 7 2 3 2 3" xfId="31867" xr:uid="{00000000-0005-0000-0000-000015240000}"/>
    <cellStyle name="Normal 4 3 7 2 3 2 3 2" xfId="38478" xr:uid="{15AC5237-8FF8-417F-AAFB-E05B3B77DACE}"/>
    <cellStyle name="Normal 4 3 7 2 3 2 4" xfId="38476" xr:uid="{2C24B8B8-3DB8-48E3-B4A9-02B265AE4483}"/>
    <cellStyle name="Normal 4 3 7 2 3 3" xfId="31868" xr:uid="{00000000-0005-0000-0000-000016240000}"/>
    <cellStyle name="Normal 4 3 7 2 3 3 2" xfId="38479" xr:uid="{08584F9D-6633-491E-A742-4A355636E86B}"/>
    <cellStyle name="Normal 4 3 7 2 3 4" xfId="31869" xr:uid="{00000000-0005-0000-0000-000017240000}"/>
    <cellStyle name="Normal 4 3 7 2 3 4 2" xfId="38480" xr:uid="{A85A23F0-9350-49B3-A27C-990D2BF1D1AB}"/>
    <cellStyle name="Normal 4 3 7 2 3 5" xfId="31870" xr:uid="{00000000-0005-0000-0000-000018240000}"/>
    <cellStyle name="Normal 4 3 7 2 3 5 2" xfId="38481" xr:uid="{5E1BFB54-98DD-42FC-8C59-9346FB62AA58}"/>
    <cellStyle name="Normal 4 3 7 2 3 6" xfId="38475" xr:uid="{EE76379D-3290-4080-81BB-A7E70AD23232}"/>
    <cellStyle name="Normal 4 3 7 2 4" xfId="31871" xr:uid="{00000000-0005-0000-0000-000019240000}"/>
    <cellStyle name="Normal 4 3 7 2 4 2" xfId="31872" xr:uid="{00000000-0005-0000-0000-00001A240000}"/>
    <cellStyle name="Normal 4 3 7 2 4 2 2" xfId="31873" xr:uid="{00000000-0005-0000-0000-00001B240000}"/>
    <cellStyle name="Normal 4 3 7 2 4 2 2 2" xfId="38484" xr:uid="{E8FA9DDD-64BA-4767-B49F-7B05FB03D36E}"/>
    <cellStyle name="Normal 4 3 7 2 4 2 3" xfId="31874" xr:uid="{00000000-0005-0000-0000-00001C240000}"/>
    <cellStyle name="Normal 4 3 7 2 4 2 3 2" xfId="38485" xr:uid="{9E74C9DC-D05D-43DE-A669-D08878434364}"/>
    <cellStyle name="Normal 4 3 7 2 4 2 4" xfId="38483" xr:uid="{B43F8DCB-A835-4315-B085-E4C2D9F2BF84}"/>
    <cellStyle name="Normal 4 3 7 2 4 3" xfId="31875" xr:uid="{00000000-0005-0000-0000-00001D240000}"/>
    <cellStyle name="Normal 4 3 7 2 4 3 2" xfId="38486" xr:uid="{FB2C60C6-34A9-4F1E-85B3-83DF0098FF45}"/>
    <cellStyle name="Normal 4 3 7 2 4 4" xfId="31876" xr:uid="{00000000-0005-0000-0000-00001E240000}"/>
    <cellStyle name="Normal 4 3 7 2 4 4 2" xfId="38487" xr:uid="{9CC8F5E4-8339-4314-9432-6BD270F47108}"/>
    <cellStyle name="Normal 4 3 7 2 4 5" xfId="31877" xr:uid="{00000000-0005-0000-0000-00001F240000}"/>
    <cellStyle name="Normal 4 3 7 2 4 5 2" xfId="38488" xr:uid="{75FA2309-AD97-47B4-AFFA-D9FD4A438803}"/>
    <cellStyle name="Normal 4 3 7 2 4 6" xfId="38482" xr:uid="{A541944F-AF18-4CDA-9585-78C2C3792FBF}"/>
    <cellStyle name="Normal 4 3 7 2 5" xfId="31878" xr:uid="{00000000-0005-0000-0000-000020240000}"/>
    <cellStyle name="Normal 4 3 7 2 5 2" xfId="31879" xr:uid="{00000000-0005-0000-0000-000021240000}"/>
    <cellStyle name="Normal 4 3 7 2 5 2 2" xfId="38490" xr:uid="{CDC84668-D757-42FF-974A-F6FD578B1D68}"/>
    <cellStyle name="Normal 4 3 7 2 5 3" xfId="31880" xr:uid="{00000000-0005-0000-0000-000022240000}"/>
    <cellStyle name="Normal 4 3 7 2 5 3 2" xfId="38491" xr:uid="{01AFF464-502A-4A22-97DE-EF4496CD6C39}"/>
    <cellStyle name="Normal 4 3 7 2 5 4" xfId="38489" xr:uid="{19C3F670-9EFE-4094-B6E7-E9365100445B}"/>
    <cellStyle name="Normal 4 3 7 2 6" xfId="31881" xr:uid="{00000000-0005-0000-0000-000023240000}"/>
    <cellStyle name="Normal 4 3 7 2 6 2" xfId="38492" xr:uid="{05909E7E-22D0-4A7C-9E53-683406B40D6A}"/>
    <cellStyle name="Normal 4 3 7 2 7" xfId="31882" xr:uid="{00000000-0005-0000-0000-000024240000}"/>
    <cellStyle name="Normal 4 3 7 2 7 2" xfId="38493" xr:uid="{F0B01C54-BEE3-49A9-8B29-3F7482481A30}"/>
    <cellStyle name="Normal 4 3 7 2 8" xfId="31883" xr:uid="{00000000-0005-0000-0000-000025240000}"/>
    <cellStyle name="Normal 4 3 7 2 8 2" xfId="38494" xr:uid="{CF20371A-70DD-4364-8734-8DA72E00BE57}"/>
    <cellStyle name="Normal 4 3 7 2 9" xfId="38453" xr:uid="{561B6CC7-57ED-4408-9B9E-2B85C7BC4791}"/>
    <cellStyle name="Normal 4 3 7 3" xfId="31884" xr:uid="{00000000-0005-0000-0000-000026240000}"/>
    <cellStyle name="Normal 4 3 7 3 2" xfId="31885" xr:uid="{00000000-0005-0000-0000-000027240000}"/>
    <cellStyle name="Normal 4 3 7 3 2 2" xfId="31886" xr:uid="{00000000-0005-0000-0000-000028240000}"/>
    <cellStyle name="Normal 4 3 7 3 2 2 2" xfId="31887" xr:uid="{00000000-0005-0000-0000-000029240000}"/>
    <cellStyle name="Normal 4 3 7 3 2 2 2 2" xfId="38498" xr:uid="{0D2A51C8-6E88-468C-9910-B52D1133893C}"/>
    <cellStyle name="Normal 4 3 7 3 2 2 3" xfId="31888" xr:uid="{00000000-0005-0000-0000-00002A240000}"/>
    <cellStyle name="Normal 4 3 7 3 2 2 3 2" xfId="38499" xr:uid="{ED43D5CF-6E11-4F2A-8659-058599A43C4A}"/>
    <cellStyle name="Normal 4 3 7 3 2 2 4" xfId="38497" xr:uid="{C5305326-9762-462F-8754-5202827E0C8A}"/>
    <cellStyle name="Normal 4 3 7 3 2 3" xfId="31889" xr:uid="{00000000-0005-0000-0000-00002B240000}"/>
    <cellStyle name="Normal 4 3 7 3 2 3 2" xfId="38500" xr:uid="{D623C700-77AF-45A9-B1F1-3CE46FEC1B0A}"/>
    <cellStyle name="Normal 4 3 7 3 2 4" xfId="31890" xr:uid="{00000000-0005-0000-0000-00002C240000}"/>
    <cellStyle name="Normal 4 3 7 3 2 4 2" xfId="38501" xr:uid="{8E5DB4C8-9426-4D60-99B3-4E061E49BC7D}"/>
    <cellStyle name="Normal 4 3 7 3 2 5" xfId="31891" xr:uid="{00000000-0005-0000-0000-00002D240000}"/>
    <cellStyle name="Normal 4 3 7 3 2 5 2" xfId="38502" xr:uid="{B4CA8796-E9B9-45C9-8A96-75CD4C494637}"/>
    <cellStyle name="Normal 4 3 7 3 2 6" xfId="38496" xr:uid="{F14EE7DC-3937-4DDE-A92F-4EF5AD0B7AC7}"/>
    <cellStyle name="Normal 4 3 7 3 3" xfId="31892" xr:uid="{00000000-0005-0000-0000-00002E240000}"/>
    <cellStyle name="Normal 4 3 7 3 3 2" xfId="31893" xr:uid="{00000000-0005-0000-0000-00002F240000}"/>
    <cellStyle name="Normal 4 3 7 3 3 2 2" xfId="31894" xr:uid="{00000000-0005-0000-0000-000030240000}"/>
    <cellStyle name="Normal 4 3 7 3 3 2 2 2" xfId="38505" xr:uid="{9155C200-8ABF-4DCE-9801-CE3D7E90A1F5}"/>
    <cellStyle name="Normal 4 3 7 3 3 2 3" xfId="31895" xr:uid="{00000000-0005-0000-0000-000031240000}"/>
    <cellStyle name="Normal 4 3 7 3 3 2 3 2" xfId="38506" xr:uid="{FCF34DE3-163B-440C-9ECD-6BBDF830AB23}"/>
    <cellStyle name="Normal 4 3 7 3 3 2 4" xfId="38504" xr:uid="{C8325125-470F-4E3A-BDFB-81777DAC3B49}"/>
    <cellStyle name="Normal 4 3 7 3 3 3" xfId="31896" xr:uid="{00000000-0005-0000-0000-000032240000}"/>
    <cellStyle name="Normal 4 3 7 3 3 3 2" xfId="38507" xr:uid="{5FF86DAE-675E-4520-BFA1-2E8676434C29}"/>
    <cellStyle name="Normal 4 3 7 3 3 4" xfId="31897" xr:uid="{00000000-0005-0000-0000-000033240000}"/>
    <cellStyle name="Normal 4 3 7 3 3 4 2" xfId="38508" xr:uid="{24436C4A-0BB7-4575-AC22-C8B01C81B011}"/>
    <cellStyle name="Normal 4 3 7 3 3 5" xfId="31898" xr:uid="{00000000-0005-0000-0000-000034240000}"/>
    <cellStyle name="Normal 4 3 7 3 3 5 2" xfId="38509" xr:uid="{E4ACF719-1926-40C4-AE08-6EE761C8A84E}"/>
    <cellStyle name="Normal 4 3 7 3 3 6" xfId="38503" xr:uid="{887E3B8E-BFCF-4752-B7D0-BDF5B1C56BF8}"/>
    <cellStyle name="Normal 4 3 7 3 4" xfId="31899" xr:uid="{00000000-0005-0000-0000-000035240000}"/>
    <cellStyle name="Normal 4 3 7 3 4 2" xfId="31900" xr:uid="{00000000-0005-0000-0000-000036240000}"/>
    <cellStyle name="Normal 4 3 7 3 4 2 2" xfId="38511" xr:uid="{ED751DB0-82A9-44A5-B8C4-D8BFD6507F06}"/>
    <cellStyle name="Normal 4 3 7 3 4 3" xfId="31901" xr:uid="{00000000-0005-0000-0000-000037240000}"/>
    <cellStyle name="Normal 4 3 7 3 4 3 2" xfId="38512" xr:uid="{B80AA141-6237-4B10-B846-5336B90476D7}"/>
    <cellStyle name="Normal 4 3 7 3 4 4" xfId="38510" xr:uid="{AD61DEC7-D6B7-434F-8F31-51FEBBC7BB19}"/>
    <cellStyle name="Normal 4 3 7 3 5" xfId="31902" xr:uid="{00000000-0005-0000-0000-000038240000}"/>
    <cellStyle name="Normal 4 3 7 3 5 2" xfId="38513" xr:uid="{89F42342-23F3-4F40-AFBE-8971F4F35F4F}"/>
    <cellStyle name="Normal 4 3 7 3 6" xfId="31903" xr:uid="{00000000-0005-0000-0000-000039240000}"/>
    <cellStyle name="Normal 4 3 7 3 6 2" xfId="38514" xr:uid="{271C7B06-306C-49C9-815A-B39C0737F778}"/>
    <cellStyle name="Normal 4 3 7 3 7" xfId="31904" xr:uid="{00000000-0005-0000-0000-00003A240000}"/>
    <cellStyle name="Normal 4 3 7 3 7 2" xfId="38515" xr:uid="{70665688-CC1B-45B0-8328-CF3DBC08DC61}"/>
    <cellStyle name="Normal 4 3 7 3 8" xfId="38495" xr:uid="{017D248D-D4F8-48E0-A50C-7E7A9246F1D2}"/>
    <cellStyle name="Normal 4 3 7 4" xfId="31905" xr:uid="{00000000-0005-0000-0000-00003B240000}"/>
    <cellStyle name="Normal 4 3 7 4 2" xfId="31906" xr:uid="{00000000-0005-0000-0000-00003C240000}"/>
    <cellStyle name="Normal 4 3 7 4 2 2" xfId="31907" xr:uid="{00000000-0005-0000-0000-00003D240000}"/>
    <cellStyle name="Normal 4 3 7 4 2 2 2" xfId="38518" xr:uid="{52EB71C0-96DE-49AB-BAAC-E1F0F3DE14C2}"/>
    <cellStyle name="Normal 4 3 7 4 2 3" xfId="31908" xr:uid="{00000000-0005-0000-0000-00003E240000}"/>
    <cellStyle name="Normal 4 3 7 4 2 3 2" xfId="38519" xr:uid="{3CAD1B06-3C59-405E-9628-29ADA85CAA6A}"/>
    <cellStyle name="Normal 4 3 7 4 2 4" xfId="38517" xr:uid="{3B70ADF5-2011-4D33-9677-F4A48A3BE85E}"/>
    <cellStyle name="Normal 4 3 7 4 3" xfId="31909" xr:uid="{00000000-0005-0000-0000-00003F240000}"/>
    <cellStyle name="Normal 4 3 7 4 3 2" xfId="38520" xr:uid="{B6AA91BD-9FF3-4CC7-AA59-0210F2AC9438}"/>
    <cellStyle name="Normal 4 3 7 4 4" xfId="31910" xr:uid="{00000000-0005-0000-0000-000040240000}"/>
    <cellStyle name="Normal 4 3 7 4 4 2" xfId="38521" xr:uid="{EB99311F-41CC-48CA-9668-158858CC1579}"/>
    <cellStyle name="Normal 4 3 7 4 5" xfId="31911" xr:uid="{00000000-0005-0000-0000-000041240000}"/>
    <cellStyle name="Normal 4 3 7 4 5 2" xfId="38522" xr:uid="{16AA6148-8BC9-439A-8A4B-D9D5541F1131}"/>
    <cellStyle name="Normal 4 3 7 4 6" xfId="38516" xr:uid="{FAE1F2A6-9787-4DA2-BA41-C5BC99E71A4A}"/>
    <cellStyle name="Normal 4 3 7 5" xfId="31912" xr:uid="{00000000-0005-0000-0000-000042240000}"/>
    <cellStyle name="Normal 4 3 7 5 2" xfId="31913" xr:uid="{00000000-0005-0000-0000-000043240000}"/>
    <cellStyle name="Normal 4 3 7 5 2 2" xfId="31914" xr:uid="{00000000-0005-0000-0000-000044240000}"/>
    <cellStyle name="Normal 4 3 7 5 2 2 2" xfId="38525" xr:uid="{964443D1-0B1A-471A-ADF0-926858A87B03}"/>
    <cellStyle name="Normal 4 3 7 5 2 3" xfId="31915" xr:uid="{00000000-0005-0000-0000-000045240000}"/>
    <cellStyle name="Normal 4 3 7 5 2 3 2" xfId="38526" xr:uid="{F3A5A02C-6B21-4524-ABBC-4632F5449880}"/>
    <cellStyle name="Normal 4 3 7 5 2 4" xfId="38524" xr:uid="{09C55E1A-7BD4-4D58-AB86-65D1E42E7625}"/>
    <cellStyle name="Normal 4 3 7 5 3" xfId="31916" xr:uid="{00000000-0005-0000-0000-000046240000}"/>
    <cellStyle name="Normal 4 3 7 5 3 2" xfId="38527" xr:uid="{9E47013E-D3B2-41DA-B20A-D0DA704330B6}"/>
    <cellStyle name="Normal 4 3 7 5 4" xfId="31917" xr:uid="{00000000-0005-0000-0000-000047240000}"/>
    <cellStyle name="Normal 4 3 7 5 4 2" xfId="38528" xr:uid="{3FDE4CB9-477D-4C1B-AC36-227B8765FAFB}"/>
    <cellStyle name="Normal 4 3 7 5 5" xfId="31918" xr:uid="{00000000-0005-0000-0000-000048240000}"/>
    <cellStyle name="Normal 4 3 7 5 5 2" xfId="38529" xr:uid="{9AE3687C-02B6-45E2-9B65-D06E16095A52}"/>
    <cellStyle name="Normal 4 3 7 5 6" xfId="38523" xr:uid="{C75ABFB0-FB39-48E8-A947-6E8DCE008070}"/>
    <cellStyle name="Normal 4 3 7 6" xfId="31919" xr:uid="{00000000-0005-0000-0000-000049240000}"/>
    <cellStyle name="Normal 4 3 7 6 2" xfId="31920" xr:uid="{00000000-0005-0000-0000-00004A240000}"/>
    <cellStyle name="Normal 4 3 7 6 2 2" xfId="38531" xr:uid="{A03A31F3-665B-42E1-86E0-231CB12957F9}"/>
    <cellStyle name="Normal 4 3 7 6 3" xfId="31921" xr:uid="{00000000-0005-0000-0000-00004B240000}"/>
    <cellStyle name="Normal 4 3 7 6 3 2" xfId="38532" xr:uid="{C36ED20F-4083-4F56-93BB-18C7660E6B4E}"/>
    <cellStyle name="Normal 4 3 7 6 4" xfId="38530" xr:uid="{AC3C8393-FD90-49EC-AA0C-B256174D9761}"/>
    <cellStyle name="Normal 4 3 7 7" xfId="31922" xr:uid="{00000000-0005-0000-0000-00004C240000}"/>
    <cellStyle name="Normal 4 3 7 7 2" xfId="38533" xr:uid="{9C9C0C2E-7A59-4E19-9422-DF2431BBF952}"/>
    <cellStyle name="Normal 4 3 7 8" xfId="31923" xr:uid="{00000000-0005-0000-0000-00004D240000}"/>
    <cellStyle name="Normal 4 3 7 8 2" xfId="38534" xr:uid="{178C60E7-DCB4-4E2A-BD4A-684A60424F17}"/>
    <cellStyle name="Normal 4 3 7 9" xfId="31924" xr:uid="{00000000-0005-0000-0000-00004E240000}"/>
    <cellStyle name="Normal 4 3 7 9 2" xfId="38535" xr:uid="{57B62A64-D17B-44D0-AB94-BB9DAD1B381E}"/>
    <cellStyle name="Normal 4 3 8" xfId="31925" xr:uid="{00000000-0005-0000-0000-00004F240000}"/>
    <cellStyle name="Normal 4 3 8 2" xfId="31926" xr:uid="{00000000-0005-0000-0000-000050240000}"/>
    <cellStyle name="Normal 4 3 8 2 2" xfId="31927" xr:uid="{00000000-0005-0000-0000-000051240000}"/>
    <cellStyle name="Normal 4 3 8 2 2 2" xfId="31928" xr:uid="{00000000-0005-0000-0000-000052240000}"/>
    <cellStyle name="Normal 4 3 8 2 2 2 2" xfId="31929" xr:uid="{00000000-0005-0000-0000-000053240000}"/>
    <cellStyle name="Normal 4 3 8 2 2 2 2 2" xfId="38540" xr:uid="{33828CFC-AC28-496C-8068-55C649383CAA}"/>
    <cellStyle name="Normal 4 3 8 2 2 2 3" xfId="31930" xr:uid="{00000000-0005-0000-0000-000054240000}"/>
    <cellStyle name="Normal 4 3 8 2 2 2 3 2" xfId="38541" xr:uid="{5368346F-F677-4691-A9A7-90CC5A2343E0}"/>
    <cellStyle name="Normal 4 3 8 2 2 2 4" xfId="38539" xr:uid="{4039FEA3-B02B-46DC-841F-DC946307ECA2}"/>
    <cellStyle name="Normal 4 3 8 2 2 3" xfId="31931" xr:uid="{00000000-0005-0000-0000-000055240000}"/>
    <cellStyle name="Normal 4 3 8 2 2 3 2" xfId="38542" xr:uid="{8A1A62BE-686C-4475-AF16-8D117FF397E6}"/>
    <cellStyle name="Normal 4 3 8 2 2 4" xfId="31932" xr:uid="{00000000-0005-0000-0000-000056240000}"/>
    <cellStyle name="Normal 4 3 8 2 2 4 2" xfId="38543" xr:uid="{D31B230F-4B2E-495E-B0DE-FD95735D015E}"/>
    <cellStyle name="Normal 4 3 8 2 2 5" xfId="31933" xr:uid="{00000000-0005-0000-0000-000057240000}"/>
    <cellStyle name="Normal 4 3 8 2 2 5 2" xfId="38544" xr:uid="{6E076E3F-64E1-405F-9B76-69F8B463FE9F}"/>
    <cellStyle name="Normal 4 3 8 2 2 6" xfId="38538" xr:uid="{36AFDD7E-47B3-4CE6-8A4A-D1BAA036E46E}"/>
    <cellStyle name="Normal 4 3 8 2 3" xfId="31934" xr:uid="{00000000-0005-0000-0000-000058240000}"/>
    <cellStyle name="Normal 4 3 8 2 3 2" xfId="31935" xr:uid="{00000000-0005-0000-0000-000059240000}"/>
    <cellStyle name="Normal 4 3 8 2 3 2 2" xfId="31936" xr:uid="{00000000-0005-0000-0000-00005A240000}"/>
    <cellStyle name="Normal 4 3 8 2 3 2 2 2" xfId="38547" xr:uid="{F912A6C0-A141-45F4-BC29-0CF0D2AC4BA8}"/>
    <cellStyle name="Normal 4 3 8 2 3 2 3" xfId="31937" xr:uid="{00000000-0005-0000-0000-00005B240000}"/>
    <cellStyle name="Normal 4 3 8 2 3 2 3 2" xfId="38548" xr:uid="{6054A70E-F827-4583-A73F-DA9466626A78}"/>
    <cellStyle name="Normal 4 3 8 2 3 2 4" xfId="38546" xr:uid="{02E748DE-988E-4FB2-81D6-AAA00EE0810F}"/>
    <cellStyle name="Normal 4 3 8 2 3 3" xfId="31938" xr:uid="{00000000-0005-0000-0000-00005C240000}"/>
    <cellStyle name="Normal 4 3 8 2 3 3 2" xfId="38549" xr:uid="{837C0C22-E366-4E8C-8D47-5525E8345512}"/>
    <cellStyle name="Normal 4 3 8 2 3 4" xfId="31939" xr:uid="{00000000-0005-0000-0000-00005D240000}"/>
    <cellStyle name="Normal 4 3 8 2 3 4 2" xfId="38550" xr:uid="{EC14BBB3-1342-46B8-9605-E2F84FAF756F}"/>
    <cellStyle name="Normal 4 3 8 2 3 5" xfId="31940" xr:uid="{00000000-0005-0000-0000-00005E240000}"/>
    <cellStyle name="Normal 4 3 8 2 3 5 2" xfId="38551" xr:uid="{EFAE80A6-0D1A-4502-A160-887F6F135529}"/>
    <cellStyle name="Normal 4 3 8 2 3 6" xfId="38545" xr:uid="{A2BBFD85-74B1-4C22-9B83-024CD90C424F}"/>
    <cellStyle name="Normal 4 3 8 2 4" xfId="31941" xr:uid="{00000000-0005-0000-0000-00005F240000}"/>
    <cellStyle name="Normal 4 3 8 2 4 2" xfId="31942" xr:uid="{00000000-0005-0000-0000-000060240000}"/>
    <cellStyle name="Normal 4 3 8 2 4 2 2" xfId="38553" xr:uid="{24A36B7A-D5FE-4967-90C9-EEA227361C7F}"/>
    <cellStyle name="Normal 4 3 8 2 4 3" xfId="31943" xr:uid="{00000000-0005-0000-0000-000061240000}"/>
    <cellStyle name="Normal 4 3 8 2 4 3 2" xfId="38554" xr:uid="{1F5A4645-EC56-487C-8C9F-D06EB5C1F7A5}"/>
    <cellStyle name="Normal 4 3 8 2 4 4" xfId="38552" xr:uid="{0A40605F-6062-4830-A754-DF9E3BE4DD9B}"/>
    <cellStyle name="Normal 4 3 8 2 5" xfId="31944" xr:uid="{00000000-0005-0000-0000-000062240000}"/>
    <cellStyle name="Normal 4 3 8 2 5 2" xfId="38555" xr:uid="{C7CCD656-5818-4D35-BED3-B9BA8D724DCD}"/>
    <cellStyle name="Normal 4 3 8 2 6" xfId="31945" xr:uid="{00000000-0005-0000-0000-000063240000}"/>
    <cellStyle name="Normal 4 3 8 2 6 2" xfId="38556" xr:uid="{3AD824A5-3636-434C-9DE1-E607FD107E68}"/>
    <cellStyle name="Normal 4 3 8 2 7" xfId="31946" xr:uid="{00000000-0005-0000-0000-000064240000}"/>
    <cellStyle name="Normal 4 3 8 2 7 2" xfId="38557" xr:uid="{584BF03E-335C-4576-A903-B84CF3A26BBE}"/>
    <cellStyle name="Normal 4 3 8 2 8" xfId="38537" xr:uid="{9D1F2DCC-13FC-41E6-97DF-3156B6E9E5DB}"/>
    <cellStyle name="Normal 4 3 8 3" xfId="31947" xr:uid="{00000000-0005-0000-0000-000065240000}"/>
    <cellStyle name="Normal 4 3 8 3 2" xfId="31948" xr:uid="{00000000-0005-0000-0000-000066240000}"/>
    <cellStyle name="Normal 4 3 8 3 2 2" xfId="31949" xr:uid="{00000000-0005-0000-0000-000067240000}"/>
    <cellStyle name="Normal 4 3 8 3 2 2 2" xfId="38560" xr:uid="{2A6ADDA0-AF42-4D2D-A168-A829FDD59ECC}"/>
    <cellStyle name="Normal 4 3 8 3 2 3" xfId="31950" xr:uid="{00000000-0005-0000-0000-000068240000}"/>
    <cellStyle name="Normal 4 3 8 3 2 3 2" xfId="38561" xr:uid="{C07A1B66-F7D0-4D8F-879B-1CCC010A0A20}"/>
    <cellStyle name="Normal 4 3 8 3 2 4" xfId="38559" xr:uid="{8ED217E8-4212-4127-95E2-44E502F04A9F}"/>
    <cellStyle name="Normal 4 3 8 3 3" xfId="31951" xr:uid="{00000000-0005-0000-0000-000069240000}"/>
    <cellStyle name="Normal 4 3 8 3 3 2" xfId="38562" xr:uid="{128899AD-315F-4368-AA4B-8D7765A376C6}"/>
    <cellStyle name="Normal 4 3 8 3 4" xfId="31952" xr:uid="{00000000-0005-0000-0000-00006A240000}"/>
    <cellStyle name="Normal 4 3 8 3 4 2" xfId="38563" xr:uid="{4E738F05-BB6A-449D-84E5-F05C280EB4DC}"/>
    <cellStyle name="Normal 4 3 8 3 5" xfId="31953" xr:uid="{00000000-0005-0000-0000-00006B240000}"/>
    <cellStyle name="Normal 4 3 8 3 5 2" xfId="38564" xr:uid="{F468FC90-C341-422B-83CB-5541CFCF4DBD}"/>
    <cellStyle name="Normal 4 3 8 3 6" xfId="38558" xr:uid="{ACE96B97-0F65-423E-A0BA-EE48C73E5208}"/>
    <cellStyle name="Normal 4 3 8 4" xfId="31954" xr:uid="{00000000-0005-0000-0000-00006C240000}"/>
    <cellStyle name="Normal 4 3 8 4 2" xfId="31955" xr:uid="{00000000-0005-0000-0000-00006D240000}"/>
    <cellStyle name="Normal 4 3 8 4 2 2" xfId="31956" xr:uid="{00000000-0005-0000-0000-00006E240000}"/>
    <cellStyle name="Normal 4 3 8 4 2 2 2" xfId="38567" xr:uid="{0681D1ED-786D-4F8D-B4E5-9CD7A6824AF4}"/>
    <cellStyle name="Normal 4 3 8 4 2 3" xfId="31957" xr:uid="{00000000-0005-0000-0000-00006F240000}"/>
    <cellStyle name="Normal 4 3 8 4 2 3 2" xfId="38568" xr:uid="{51C511D3-9841-4553-921A-BFA53039B392}"/>
    <cellStyle name="Normal 4 3 8 4 2 4" xfId="38566" xr:uid="{3B7928B9-C101-4F0D-9B12-2BE6CBB34F72}"/>
    <cellStyle name="Normal 4 3 8 4 3" xfId="31958" xr:uid="{00000000-0005-0000-0000-000070240000}"/>
    <cellStyle name="Normal 4 3 8 4 3 2" xfId="38569" xr:uid="{152819D5-84AB-4EAC-A5F2-B55E806ECD25}"/>
    <cellStyle name="Normal 4 3 8 4 4" xfId="31959" xr:uid="{00000000-0005-0000-0000-000071240000}"/>
    <cellStyle name="Normal 4 3 8 4 4 2" xfId="38570" xr:uid="{AA91AACF-4141-4BF2-96E7-BC67039C2AEB}"/>
    <cellStyle name="Normal 4 3 8 4 5" xfId="31960" xr:uid="{00000000-0005-0000-0000-000072240000}"/>
    <cellStyle name="Normal 4 3 8 4 5 2" xfId="38571" xr:uid="{B48B4DF9-E547-4DFD-A7C4-E31E131DCD93}"/>
    <cellStyle name="Normal 4 3 8 4 6" xfId="38565" xr:uid="{91355B66-3D14-4972-8B00-461B59A23B32}"/>
    <cellStyle name="Normal 4 3 8 5" xfId="31961" xr:uid="{00000000-0005-0000-0000-000073240000}"/>
    <cellStyle name="Normal 4 3 8 5 2" xfId="31962" xr:uid="{00000000-0005-0000-0000-000074240000}"/>
    <cellStyle name="Normal 4 3 8 5 2 2" xfId="38573" xr:uid="{723DAFA8-333F-4C00-BE14-408B72F86A67}"/>
    <cellStyle name="Normal 4 3 8 5 3" xfId="31963" xr:uid="{00000000-0005-0000-0000-000075240000}"/>
    <cellStyle name="Normal 4 3 8 5 3 2" xfId="38574" xr:uid="{8C8D2CC0-E939-41BD-9E40-12B1E4CCC03A}"/>
    <cellStyle name="Normal 4 3 8 5 4" xfId="38572" xr:uid="{B3956006-6708-4BB9-ABA4-4F078FF2E0B5}"/>
    <cellStyle name="Normal 4 3 8 6" xfId="31964" xr:uid="{00000000-0005-0000-0000-000076240000}"/>
    <cellStyle name="Normal 4 3 8 6 2" xfId="38575" xr:uid="{8B2DB19D-BE02-4A46-94CF-A7736703B0EE}"/>
    <cellStyle name="Normal 4 3 8 7" xfId="31965" xr:uid="{00000000-0005-0000-0000-000077240000}"/>
    <cellStyle name="Normal 4 3 8 7 2" xfId="38576" xr:uid="{C6AB5B9B-0F50-4420-B4A0-5BFAF54046B3}"/>
    <cellStyle name="Normal 4 3 8 8" xfId="31966" xr:uid="{00000000-0005-0000-0000-000078240000}"/>
    <cellStyle name="Normal 4 3 8 8 2" xfId="38577" xr:uid="{848434E6-7165-443D-8F45-37729FE32915}"/>
    <cellStyle name="Normal 4 3 8 9" xfId="38536" xr:uid="{93E1A3D9-0C58-4412-A6EB-FCA8AEF88CC7}"/>
    <cellStyle name="Normal 4 3 9" xfId="31967" xr:uid="{00000000-0005-0000-0000-000079240000}"/>
    <cellStyle name="Normal 4 3 9 2" xfId="31968" xr:uid="{00000000-0005-0000-0000-00007A240000}"/>
    <cellStyle name="Normal 4 3 9 2 2" xfId="31969" xr:uid="{00000000-0005-0000-0000-00007B240000}"/>
    <cellStyle name="Normal 4 3 9 2 2 2" xfId="31970" xr:uid="{00000000-0005-0000-0000-00007C240000}"/>
    <cellStyle name="Normal 4 3 9 2 2 2 2" xfId="38581" xr:uid="{34F81B23-D0F0-47C9-91DB-58A5FDE5729D}"/>
    <cellStyle name="Normal 4 3 9 2 2 3" xfId="31971" xr:uid="{00000000-0005-0000-0000-00007D240000}"/>
    <cellStyle name="Normal 4 3 9 2 2 3 2" xfId="38582" xr:uid="{D3F64E0C-BED4-42FD-B0B7-1AB23188F70A}"/>
    <cellStyle name="Normal 4 3 9 2 2 4" xfId="38580" xr:uid="{8D126D0C-9713-4E10-BD2F-D9CBAA12A8E6}"/>
    <cellStyle name="Normal 4 3 9 2 3" xfId="31972" xr:uid="{00000000-0005-0000-0000-00007E240000}"/>
    <cellStyle name="Normal 4 3 9 2 3 2" xfId="38583" xr:uid="{4990EA6E-C29A-4B2A-BF71-D8A6AE67F94C}"/>
    <cellStyle name="Normal 4 3 9 2 4" xfId="31973" xr:uid="{00000000-0005-0000-0000-00007F240000}"/>
    <cellStyle name="Normal 4 3 9 2 4 2" xfId="38584" xr:uid="{A06E9F8C-4CD7-4416-8FC8-81CE1B7C2749}"/>
    <cellStyle name="Normal 4 3 9 2 5" xfId="31974" xr:uid="{00000000-0005-0000-0000-000080240000}"/>
    <cellStyle name="Normal 4 3 9 2 5 2" xfId="38585" xr:uid="{0A6F253A-871C-4D18-A6D6-B9EBFCF8BBC9}"/>
    <cellStyle name="Normal 4 3 9 2 6" xfId="38579" xr:uid="{2E6CDD73-3DCF-4358-BD6D-BD0E2AA0EA24}"/>
    <cellStyle name="Normal 4 3 9 3" xfId="31975" xr:uid="{00000000-0005-0000-0000-000081240000}"/>
    <cellStyle name="Normal 4 3 9 3 2" xfId="31976" xr:uid="{00000000-0005-0000-0000-000082240000}"/>
    <cellStyle name="Normal 4 3 9 3 2 2" xfId="31977" xr:uid="{00000000-0005-0000-0000-000083240000}"/>
    <cellStyle name="Normal 4 3 9 3 2 2 2" xfId="38588" xr:uid="{ABB46103-9167-4C26-86CF-022917E96FFB}"/>
    <cellStyle name="Normal 4 3 9 3 2 3" xfId="31978" xr:uid="{00000000-0005-0000-0000-000084240000}"/>
    <cellStyle name="Normal 4 3 9 3 2 3 2" xfId="38589" xr:uid="{A65D7D6E-BF80-4E89-9C56-70FD4E3CC485}"/>
    <cellStyle name="Normal 4 3 9 3 2 4" xfId="38587" xr:uid="{D8C98041-CF94-4146-A31B-84C4057B670D}"/>
    <cellStyle name="Normal 4 3 9 3 3" xfId="31979" xr:uid="{00000000-0005-0000-0000-000085240000}"/>
    <cellStyle name="Normal 4 3 9 3 3 2" xfId="38590" xr:uid="{6873F641-40EB-4A13-8084-D2D5580EBCC6}"/>
    <cellStyle name="Normal 4 3 9 3 4" xfId="31980" xr:uid="{00000000-0005-0000-0000-000086240000}"/>
    <cellStyle name="Normal 4 3 9 3 4 2" xfId="38591" xr:uid="{1810EE2B-0881-47C6-BAF7-732A5D40226B}"/>
    <cellStyle name="Normal 4 3 9 3 5" xfId="31981" xr:uid="{00000000-0005-0000-0000-000087240000}"/>
    <cellStyle name="Normal 4 3 9 3 5 2" xfId="38592" xr:uid="{CCBFE0A0-1945-4364-A911-89D423680DC8}"/>
    <cellStyle name="Normal 4 3 9 3 6" xfId="38586" xr:uid="{0B1C0A1F-E744-4323-8D3F-916E298E1952}"/>
    <cellStyle name="Normal 4 3 9 4" xfId="31982" xr:uid="{00000000-0005-0000-0000-000088240000}"/>
    <cellStyle name="Normal 4 3 9 4 2" xfId="31983" xr:uid="{00000000-0005-0000-0000-000089240000}"/>
    <cellStyle name="Normal 4 3 9 4 2 2" xfId="38594" xr:uid="{CA84E227-F5E1-4BC6-83C9-1921F66BD8D1}"/>
    <cellStyle name="Normal 4 3 9 4 3" xfId="31984" xr:uid="{00000000-0005-0000-0000-00008A240000}"/>
    <cellStyle name="Normal 4 3 9 4 3 2" xfId="38595" xr:uid="{F4335EC0-4171-4C90-B3DA-ABDCD2A4AB13}"/>
    <cellStyle name="Normal 4 3 9 4 4" xfId="38593" xr:uid="{162AE57E-1E38-4539-8648-DE62BAABD80C}"/>
    <cellStyle name="Normal 4 3 9 5" xfId="31985" xr:uid="{00000000-0005-0000-0000-00008B240000}"/>
    <cellStyle name="Normal 4 3 9 5 2" xfId="38596" xr:uid="{A5CF365E-9175-4FB5-8FE7-AEB10FE57FD7}"/>
    <cellStyle name="Normal 4 3 9 6" xfId="31986" xr:uid="{00000000-0005-0000-0000-00008C240000}"/>
    <cellStyle name="Normal 4 3 9 6 2" xfId="38597" xr:uid="{F8BEBCEC-EDD2-4346-8739-A88C9B86A5E2}"/>
    <cellStyle name="Normal 4 3 9 7" xfId="31987" xr:uid="{00000000-0005-0000-0000-00008D240000}"/>
    <cellStyle name="Normal 4 3 9 7 2" xfId="38598" xr:uid="{37937511-EB04-4740-ACE5-E5718A7A8280}"/>
    <cellStyle name="Normal 4 3 9 8" xfId="38578" xr:uid="{A58D5CD7-79FA-4826-B4FE-6D08CABEFE87}"/>
    <cellStyle name="Normal 4 4" xfId="807" xr:uid="{00000000-0005-0000-0000-00008E240000}"/>
    <cellStyle name="Normal 4 4 10" xfId="31988" xr:uid="{00000000-0005-0000-0000-00008F240000}"/>
    <cellStyle name="Normal 4 4 10 2" xfId="31989" xr:uid="{00000000-0005-0000-0000-000090240000}"/>
    <cellStyle name="Normal 4 4 10 2 2" xfId="31990" xr:uid="{00000000-0005-0000-0000-000091240000}"/>
    <cellStyle name="Normal 4 4 10 2 2 2" xfId="38601" xr:uid="{21E6801E-47B3-472F-BBD8-6396ABC8D1B0}"/>
    <cellStyle name="Normal 4 4 10 2 3" xfId="31991" xr:uid="{00000000-0005-0000-0000-000092240000}"/>
    <cellStyle name="Normal 4 4 10 2 3 2" xfId="38602" xr:uid="{98F8CE0C-C20F-4D13-8756-FE1960DE0501}"/>
    <cellStyle name="Normal 4 4 10 2 4" xfId="38600" xr:uid="{8E485AB1-E7AC-49EC-8BE8-9C5D11634BAA}"/>
    <cellStyle name="Normal 4 4 10 3" xfId="31992" xr:uid="{00000000-0005-0000-0000-000093240000}"/>
    <cellStyle name="Normal 4 4 10 3 2" xfId="38603" xr:uid="{60A79A0A-407A-48D2-AA36-93D7F722FE03}"/>
    <cellStyle name="Normal 4 4 10 4" xfId="31993" xr:uid="{00000000-0005-0000-0000-000094240000}"/>
    <cellStyle name="Normal 4 4 10 4 2" xfId="38604" xr:uid="{538F96F6-C764-420C-A589-93F35DC272A7}"/>
    <cellStyle name="Normal 4 4 10 5" xfId="31994" xr:uid="{00000000-0005-0000-0000-000095240000}"/>
    <cellStyle name="Normal 4 4 10 5 2" xfId="38605" xr:uid="{7DE6EA03-A5B2-4790-A335-1F92F4821635}"/>
    <cellStyle name="Normal 4 4 10 6" xfId="38599" xr:uid="{CFAEADAC-6C0B-43F4-941C-6A33EAE804B7}"/>
    <cellStyle name="Normal 4 4 11" xfId="31995" xr:uid="{00000000-0005-0000-0000-000096240000}"/>
    <cellStyle name="Normal 4 4 11 2" xfId="31996" xr:uid="{00000000-0005-0000-0000-000097240000}"/>
    <cellStyle name="Normal 4 4 11 2 2" xfId="38607" xr:uid="{AED90DFE-1C0D-4F11-92E9-53AAFD726393}"/>
    <cellStyle name="Normal 4 4 11 3" xfId="31997" xr:uid="{00000000-0005-0000-0000-000098240000}"/>
    <cellStyle name="Normal 4 4 11 3 2" xfId="38608" xr:uid="{3337D730-8685-40FD-A336-0A4051731553}"/>
    <cellStyle name="Normal 4 4 11 4" xfId="38606" xr:uid="{A2ECE06C-146C-4436-BE7C-A36FF6B1F12F}"/>
    <cellStyle name="Normal 4 4 12" xfId="31998" xr:uid="{00000000-0005-0000-0000-000099240000}"/>
    <cellStyle name="Normal 4 4 12 2" xfId="38609" xr:uid="{64B39D60-3310-4AE3-AD0E-110A7CB3D514}"/>
    <cellStyle name="Normal 4 4 13" xfId="31999" xr:uid="{00000000-0005-0000-0000-00009A240000}"/>
    <cellStyle name="Normal 4 4 13 2" xfId="38610" xr:uid="{19E72B3A-F37E-47AB-BF53-F94481B6EE11}"/>
    <cellStyle name="Normal 4 4 14" xfId="32000" xr:uid="{00000000-0005-0000-0000-00009B240000}"/>
    <cellStyle name="Normal 4 4 14 2" xfId="38611" xr:uid="{51A9B117-69FA-4D41-87CF-0EC3979874AE}"/>
    <cellStyle name="Normal 4 4 15" xfId="26231" xr:uid="{00000000-0005-0000-0000-00009C240000}"/>
    <cellStyle name="Normal 4 4 16" xfId="26095" xr:uid="{00000000-0005-0000-0000-00009D240000}"/>
    <cellStyle name="Normal 4 4 2" xfId="7651" xr:uid="{00000000-0005-0000-0000-00009E240000}"/>
    <cellStyle name="Normal 4 4 2 10" xfId="32002" xr:uid="{00000000-0005-0000-0000-00009F240000}"/>
    <cellStyle name="Normal 4 4 2 10 2" xfId="32003" xr:uid="{00000000-0005-0000-0000-0000A0240000}"/>
    <cellStyle name="Normal 4 4 2 10 2 2" xfId="38614" xr:uid="{85AD0455-A9BF-406C-AA9D-E267AFFAEBA3}"/>
    <cellStyle name="Normal 4 4 2 10 3" xfId="32004" xr:uid="{00000000-0005-0000-0000-0000A1240000}"/>
    <cellStyle name="Normal 4 4 2 10 3 2" xfId="38615" xr:uid="{79A5D582-709D-4472-A4DD-8F4EEDB419F3}"/>
    <cellStyle name="Normal 4 4 2 10 4" xfId="38613" xr:uid="{1893F88E-1CCE-49BD-9D78-EBD503B1D61F}"/>
    <cellStyle name="Normal 4 4 2 11" xfId="32005" xr:uid="{00000000-0005-0000-0000-0000A2240000}"/>
    <cellStyle name="Normal 4 4 2 11 2" xfId="38616" xr:uid="{7F07DD32-7900-4563-ABF4-C78940EA9B3C}"/>
    <cellStyle name="Normal 4 4 2 12" xfId="32006" xr:uid="{00000000-0005-0000-0000-0000A3240000}"/>
    <cellStyle name="Normal 4 4 2 12 2" xfId="38617" xr:uid="{70E82732-1CE3-411C-8EE8-A07CCEFBE5EB}"/>
    <cellStyle name="Normal 4 4 2 13" xfId="32007" xr:uid="{00000000-0005-0000-0000-0000A4240000}"/>
    <cellStyle name="Normal 4 4 2 13 2" xfId="38618" xr:uid="{751A5F0E-64E2-4B61-8BD4-9F07C28E42F3}"/>
    <cellStyle name="Normal 4 4 2 14" xfId="32001" xr:uid="{00000000-0005-0000-0000-0000A5240000}"/>
    <cellStyle name="Normal 4 4 2 15" xfId="38612" xr:uid="{FCD81F6A-0611-445A-BD3B-D00274F3C929}"/>
    <cellStyle name="Normal 4 4 2 2" xfId="32008" xr:uid="{00000000-0005-0000-0000-0000A6240000}"/>
    <cellStyle name="Normal 4 4 2 2 10" xfId="38619" xr:uid="{000AFBE5-618B-419D-9F25-2A609FAD8D2A}"/>
    <cellStyle name="Normal 4 4 2 2 2" xfId="32009" xr:uid="{00000000-0005-0000-0000-0000A7240000}"/>
    <cellStyle name="Normal 4 4 2 2 2 2" xfId="32010" xr:uid="{00000000-0005-0000-0000-0000A8240000}"/>
    <cellStyle name="Normal 4 4 2 2 2 2 2" xfId="32011" xr:uid="{00000000-0005-0000-0000-0000A9240000}"/>
    <cellStyle name="Normal 4 4 2 2 2 2 2 2" xfId="32012" xr:uid="{00000000-0005-0000-0000-0000AA240000}"/>
    <cellStyle name="Normal 4 4 2 2 2 2 2 2 2" xfId="32013" xr:uid="{00000000-0005-0000-0000-0000AB240000}"/>
    <cellStyle name="Normal 4 4 2 2 2 2 2 2 2 2" xfId="38624" xr:uid="{05F2F506-9AD7-4884-8B5B-4CDACCAA0FD1}"/>
    <cellStyle name="Normal 4 4 2 2 2 2 2 2 3" xfId="32014" xr:uid="{00000000-0005-0000-0000-0000AC240000}"/>
    <cellStyle name="Normal 4 4 2 2 2 2 2 2 3 2" xfId="38625" xr:uid="{9F19E9D3-DE86-427D-BCFD-ECF87A255F58}"/>
    <cellStyle name="Normal 4 4 2 2 2 2 2 2 4" xfId="38623" xr:uid="{A6A33818-A3DA-4255-88C9-9A8E3CFBB5C2}"/>
    <cellStyle name="Normal 4 4 2 2 2 2 2 3" xfId="32015" xr:uid="{00000000-0005-0000-0000-0000AD240000}"/>
    <cellStyle name="Normal 4 4 2 2 2 2 2 3 2" xfId="38626" xr:uid="{6014E5B5-053C-477B-9AE0-E239CB3D05D1}"/>
    <cellStyle name="Normal 4 4 2 2 2 2 2 4" xfId="32016" xr:uid="{00000000-0005-0000-0000-0000AE240000}"/>
    <cellStyle name="Normal 4 4 2 2 2 2 2 4 2" xfId="38627" xr:uid="{2C82F805-5FCB-4628-AC3B-BEBD9418D903}"/>
    <cellStyle name="Normal 4 4 2 2 2 2 2 5" xfId="32017" xr:uid="{00000000-0005-0000-0000-0000AF240000}"/>
    <cellStyle name="Normal 4 4 2 2 2 2 2 5 2" xfId="38628" xr:uid="{68909396-CAF8-42FB-AAA8-6AFA23FFDA60}"/>
    <cellStyle name="Normal 4 4 2 2 2 2 2 6" xfId="38622" xr:uid="{E5900E40-76B4-48CD-94A7-908C80589B22}"/>
    <cellStyle name="Normal 4 4 2 2 2 2 3" xfId="32018" xr:uid="{00000000-0005-0000-0000-0000B0240000}"/>
    <cellStyle name="Normal 4 4 2 2 2 2 3 2" xfId="32019" xr:uid="{00000000-0005-0000-0000-0000B1240000}"/>
    <cellStyle name="Normal 4 4 2 2 2 2 3 2 2" xfId="32020" xr:uid="{00000000-0005-0000-0000-0000B2240000}"/>
    <cellStyle name="Normal 4 4 2 2 2 2 3 2 2 2" xfId="38631" xr:uid="{1626A7D4-1EB9-46B4-811B-D2D477ACBABD}"/>
    <cellStyle name="Normal 4 4 2 2 2 2 3 2 3" xfId="32021" xr:uid="{00000000-0005-0000-0000-0000B3240000}"/>
    <cellStyle name="Normal 4 4 2 2 2 2 3 2 3 2" xfId="38632" xr:uid="{670E1989-8F88-4BF9-B081-B662D4D0494E}"/>
    <cellStyle name="Normal 4 4 2 2 2 2 3 2 4" xfId="38630" xr:uid="{113A15BB-3E41-4903-9520-ADD746F4EF39}"/>
    <cellStyle name="Normal 4 4 2 2 2 2 3 3" xfId="32022" xr:uid="{00000000-0005-0000-0000-0000B4240000}"/>
    <cellStyle name="Normal 4 4 2 2 2 2 3 3 2" xfId="38633" xr:uid="{FC7994D6-9F28-4EB4-ADE2-4475D7D1593A}"/>
    <cellStyle name="Normal 4 4 2 2 2 2 3 4" xfId="32023" xr:uid="{00000000-0005-0000-0000-0000B5240000}"/>
    <cellStyle name="Normal 4 4 2 2 2 2 3 4 2" xfId="38634" xr:uid="{623E5454-49EE-4E79-B998-FC7AF90B30AE}"/>
    <cellStyle name="Normal 4 4 2 2 2 2 3 5" xfId="32024" xr:uid="{00000000-0005-0000-0000-0000B6240000}"/>
    <cellStyle name="Normal 4 4 2 2 2 2 3 5 2" xfId="38635" xr:uid="{B9E83045-2D5F-4083-9DD3-A8037E91EE41}"/>
    <cellStyle name="Normal 4 4 2 2 2 2 3 6" xfId="38629" xr:uid="{D52066BA-AA97-4F12-A89E-D274E1D63DFE}"/>
    <cellStyle name="Normal 4 4 2 2 2 2 4" xfId="32025" xr:uid="{00000000-0005-0000-0000-0000B7240000}"/>
    <cellStyle name="Normal 4 4 2 2 2 2 4 2" xfId="32026" xr:uid="{00000000-0005-0000-0000-0000B8240000}"/>
    <cellStyle name="Normal 4 4 2 2 2 2 4 2 2" xfId="38637" xr:uid="{EA41F965-22A0-493C-8909-6F00BFBEEE46}"/>
    <cellStyle name="Normal 4 4 2 2 2 2 4 3" xfId="32027" xr:uid="{00000000-0005-0000-0000-0000B9240000}"/>
    <cellStyle name="Normal 4 4 2 2 2 2 4 3 2" xfId="38638" xr:uid="{54C647AA-2529-4482-8205-BE7B330F1010}"/>
    <cellStyle name="Normal 4 4 2 2 2 2 4 4" xfId="38636" xr:uid="{1B34947D-6289-45BC-8F5F-2A4D2914CE52}"/>
    <cellStyle name="Normal 4 4 2 2 2 2 5" xfId="32028" xr:uid="{00000000-0005-0000-0000-0000BA240000}"/>
    <cellStyle name="Normal 4 4 2 2 2 2 5 2" xfId="38639" xr:uid="{69182BA6-4E70-48A1-9874-068B3D06AA74}"/>
    <cellStyle name="Normal 4 4 2 2 2 2 6" xfId="32029" xr:uid="{00000000-0005-0000-0000-0000BB240000}"/>
    <cellStyle name="Normal 4 4 2 2 2 2 6 2" xfId="38640" xr:uid="{107612F4-1773-4DB9-ABFD-6B9EC3242196}"/>
    <cellStyle name="Normal 4 4 2 2 2 2 7" xfId="32030" xr:uid="{00000000-0005-0000-0000-0000BC240000}"/>
    <cellStyle name="Normal 4 4 2 2 2 2 7 2" xfId="38641" xr:uid="{AED4A1FE-10DE-4CFA-8465-44AAE99F5C85}"/>
    <cellStyle name="Normal 4 4 2 2 2 2 8" xfId="38621" xr:uid="{72507BA2-D5D8-4704-AEE0-8B38A2FBAC6F}"/>
    <cellStyle name="Normal 4 4 2 2 2 3" xfId="32031" xr:uid="{00000000-0005-0000-0000-0000BD240000}"/>
    <cellStyle name="Normal 4 4 2 2 2 3 2" xfId="32032" xr:uid="{00000000-0005-0000-0000-0000BE240000}"/>
    <cellStyle name="Normal 4 4 2 2 2 3 2 2" xfId="32033" xr:uid="{00000000-0005-0000-0000-0000BF240000}"/>
    <cellStyle name="Normal 4 4 2 2 2 3 2 2 2" xfId="38644" xr:uid="{798D157A-9DCE-4B09-A947-EED2A848F576}"/>
    <cellStyle name="Normal 4 4 2 2 2 3 2 3" xfId="32034" xr:uid="{00000000-0005-0000-0000-0000C0240000}"/>
    <cellStyle name="Normal 4 4 2 2 2 3 2 3 2" xfId="38645" xr:uid="{58A7A055-8C19-41AF-AB6C-BE7B28F0017A}"/>
    <cellStyle name="Normal 4 4 2 2 2 3 2 4" xfId="38643" xr:uid="{20DA4628-BCDB-4B60-AF52-AA66C72DFFD0}"/>
    <cellStyle name="Normal 4 4 2 2 2 3 3" xfId="32035" xr:uid="{00000000-0005-0000-0000-0000C1240000}"/>
    <cellStyle name="Normal 4 4 2 2 2 3 3 2" xfId="38646" xr:uid="{D97E3F45-EB1B-4A96-B8A9-3B44A1F3A522}"/>
    <cellStyle name="Normal 4 4 2 2 2 3 4" xfId="32036" xr:uid="{00000000-0005-0000-0000-0000C2240000}"/>
    <cellStyle name="Normal 4 4 2 2 2 3 4 2" xfId="38647" xr:uid="{B2B1E3A4-C762-4D06-A8A1-7249E875818A}"/>
    <cellStyle name="Normal 4 4 2 2 2 3 5" xfId="32037" xr:uid="{00000000-0005-0000-0000-0000C3240000}"/>
    <cellStyle name="Normal 4 4 2 2 2 3 5 2" xfId="38648" xr:uid="{3AE607D6-47E7-4201-80BE-247F13329765}"/>
    <cellStyle name="Normal 4 4 2 2 2 3 6" xfId="38642" xr:uid="{3B664C90-3E64-4724-BBB9-35C3DBEE5B1F}"/>
    <cellStyle name="Normal 4 4 2 2 2 4" xfId="32038" xr:uid="{00000000-0005-0000-0000-0000C4240000}"/>
    <cellStyle name="Normal 4 4 2 2 2 4 2" xfId="32039" xr:uid="{00000000-0005-0000-0000-0000C5240000}"/>
    <cellStyle name="Normal 4 4 2 2 2 4 2 2" xfId="32040" xr:uid="{00000000-0005-0000-0000-0000C6240000}"/>
    <cellStyle name="Normal 4 4 2 2 2 4 2 2 2" xfId="38651" xr:uid="{D95CD661-D8C8-4FC9-B53A-740A36E393AC}"/>
    <cellStyle name="Normal 4 4 2 2 2 4 2 3" xfId="32041" xr:uid="{00000000-0005-0000-0000-0000C7240000}"/>
    <cellStyle name="Normal 4 4 2 2 2 4 2 3 2" xfId="38652" xr:uid="{2558886D-86A4-47C4-A25A-DFEF1DF22D0E}"/>
    <cellStyle name="Normal 4 4 2 2 2 4 2 4" xfId="38650" xr:uid="{F424CFA8-9541-47A3-B9B5-6D3867EC04CB}"/>
    <cellStyle name="Normal 4 4 2 2 2 4 3" xfId="32042" xr:uid="{00000000-0005-0000-0000-0000C8240000}"/>
    <cellStyle name="Normal 4 4 2 2 2 4 3 2" xfId="38653" xr:uid="{980EDCB0-9FF2-44B1-8679-3713BF965FEF}"/>
    <cellStyle name="Normal 4 4 2 2 2 4 4" xfId="32043" xr:uid="{00000000-0005-0000-0000-0000C9240000}"/>
    <cellStyle name="Normal 4 4 2 2 2 4 4 2" xfId="38654" xr:uid="{4357C641-2849-4150-B536-0713F304A30E}"/>
    <cellStyle name="Normal 4 4 2 2 2 4 5" xfId="32044" xr:uid="{00000000-0005-0000-0000-0000CA240000}"/>
    <cellStyle name="Normal 4 4 2 2 2 4 5 2" xfId="38655" xr:uid="{3C6A3979-BD1D-4DEE-8186-6DB4CF9EC003}"/>
    <cellStyle name="Normal 4 4 2 2 2 4 6" xfId="38649" xr:uid="{8C0C7464-F14F-4891-83F4-9FB0A21D9C45}"/>
    <cellStyle name="Normal 4 4 2 2 2 5" xfId="32045" xr:uid="{00000000-0005-0000-0000-0000CB240000}"/>
    <cellStyle name="Normal 4 4 2 2 2 5 2" xfId="32046" xr:uid="{00000000-0005-0000-0000-0000CC240000}"/>
    <cellStyle name="Normal 4 4 2 2 2 5 2 2" xfId="38657" xr:uid="{6FE69B2F-289A-4C6D-BDF8-FEABE84596A2}"/>
    <cellStyle name="Normal 4 4 2 2 2 5 3" xfId="32047" xr:uid="{00000000-0005-0000-0000-0000CD240000}"/>
    <cellStyle name="Normal 4 4 2 2 2 5 3 2" xfId="38658" xr:uid="{B2EB1786-16EA-4AA2-B215-99076E208C84}"/>
    <cellStyle name="Normal 4 4 2 2 2 5 4" xfId="38656" xr:uid="{301EC89D-D94A-4BF6-8072-6E30CB31F761}"/>
    <cellStyle name="Normal 4 4 2 2 2 6" xfId="32048" xr:uid="{00000000-0005-0000-0000-0000CE240000}"/>
    <cellStyle name="Normal 4 4 2 2 2 6 2" xfId="38659" xr:uid="{6F5D58A7-FEE3-4963-8F65-30A34539818D}"/>
    <cellStyle name="Normal 4 4 2 2 2 7" xfId="32049" xr:uid="{00000000-0005-0000-0000-0000CF240000}"/>
    <cellStyle name="Normal 4 4 2 2 2 7 2" xfId="38660" xr:uid="{EEFB86F7-BC6A-4773-A723-D921CB8BF1E5}"/>
    <cellStyle name="Normal 4 4 2 2 2 8" xfId="32050" xr:uid="{00000000-0005-0000-0000-0000D0240000}"/>
    <cellStyle name="Normal 4 4 2 2 2 8 2" xfId="38661" xr:uid="{95261E95-82B5-4C3F-9035-4CD1BE4FB463}"/>
    <cellStyle name="Normal 4 4 2 2 2 9" xfId="38620" xr:uid="{7839F61B-1FF4-43DE-A40F-461BC10FE904}"/>
    <cellStyle name="Normal 4 4 2 2 3" xfId="32051" xr:uid="{00000000-0005-0000-0000-0000D1240000}"/>
    <cellStyle name="Normal 4 4 2 2 3 2" xfId="32052" xr:uid="{00000000-0005-0000-0000-0000D2240000}"/>
    <cellStyle name="Normal 4 4 2 2 3 2 2" xfId="32053" xr:uid="{00000000-0005-0000-0000-0000D3240000}"/>
    <cellStyle name="Normal 4 4 2 2 3 2 2 2" xfId="32054" xr:uid="{00000000-0005-0000-0000-0000D4240000}"/>
    <cellStyle name="Normal 4 4 2 2 3 2 2 2 2" xfId="38665" xr:uid="{7167CAEA-E175-42E1-9437-341E436AB33A}"/>
    <cellStyle name="Normal 4 4 2 2 3 2 2 3" xfId="32055" xr:uid="{00000000-0005-0000-0000-0000D5240000}"/>
    <cellStyle name="Normal 4 4 2 2 3 2 2 3 2" xfId="38666" xr:uid="{4A4BAA06-A517-4F4E-ADE7-7B1679EA377B}"/>
    <cellStyle name="Normal 4 4 2 2 3 2 2 4" xfId="38664" xr:uid="{7A5ED471-B740-4F9D-924B-26F2F72B352F}"/>
    <cellStyle name="Normal 4 4 2 2 3 2 3" xfId="32056" xr:uid="{00000000-0005-0000-0000-0000D6240000}"/>
    <cellStyle name="Normal 4 4 2 2 3 2 3 2" xfId="38667" xr:uid="{F1287010-7DA7-481F-B839-04EACD2ED9CC}"/>
    <cellStyle name="Normal 4 4 2 2 3 2 4" xfId="32057" xr:uid="{00000000-0005-0000-0000-0000D7240000}"/>
    <cellStyle name="Normal 4 4 2 2 3 2 4 2" xfId="38668" xr:uid="{5480FF24-3179-4877-8A09-EE7FE8B66E1C}"/>
    <cellStyle name="Normal 4 4 2 2 3 2 5" xfId="32058" xr:uid="{00000000-0005-0000-0000-0000D8240000}"/>
    <cellStyle name="Normal 4 4 2 2 3 2 5 2" xfId="38669" xr:uid="{2F5BC734-81B4-4293-BA47-D9ECB16DD4AF}"/>
    <cellStyle name="Normal 4 4 2 2 3 2 6" xfId="38663" xr:uid="{75A25E59-EC31-479E-B15A-E6DDF672C9D0}"/>
    <cellStyle name="Normal 4 4 2 2 3 3" xfId="32059" xr:uid="{00000000-0005-0000-0000-0000D9240000}"/>
    <cellStyle name="Normal 4 4 2 2 3 3 2" xfId="32060" xr:uid="{00000000-0005-0000-0000-0000DA240000}"/>
    <cellStyle name="Normal 4 4 2 2 3 3 2 2" xfId="32061" xr:uid="{00000000-0005-0000-0000-0000DB240000}"/>
    <cellStyle name="Normal 4 4 2 2 3 3 2 2 2" xfId="38672" xr:uid="{94935546-F2A8-42FD-BE0D-2EE6E7F46A4C}"/>
    <cellStyle name="Normal 4 4 2 2 3 3 2 3" xfId="32062" xr:uid="{00000000-0005-0000-0000-0000DC240000}"/>
    <cellStyle name="Normal 4 4 2 2 3 3 2 3 2" xfId="38673" xr:uid="{E2A53044-732D-4FF3-A68A-08511FAFEF11}"/>
    <cellStyle name="Normal 4 4 2 2 3 3 2 4" xfId="38671" xr:uid="{476227D3-7A5A-4D3F-88DE-C27D6837CAFA}"/>
    <cellStyle name="Normal 4 4 2 2 3 3 3" xfId="32063" xr:uid="{00000000-0005-0000-0000-0000DD240000}"/>
    <cellStyle name="Normal 4 4 2 2 3 3 3 2" xfId="38674" xr:uid="{723AEB12-72D2-4E74-BF67-CFB29FD8CA26}"/>
    <cellStyle name="Normal 4 4 2 2 3 3 4" xfId="32064" xr:uid="{00000000-0005-0000-0000-0000DE240000}"/>
    <cellStyle name="Normal 4 4 2 2 3 3 4 2" xfId="38675" xr:uid="{05847595-4DF1-4C31-BAD0-AFB1EF7B5326}"/>
    <cellStyle name="Normal 4 4 2 2 3 3 5" xfId="32065" xr:uid="{00000000-0005-0000-0000-0000DF240000}"/>
    <cellStyle name="Normal 4 4 2 2 3 3 5 2" xfId="38676" xr:uid="{ACE314A6-6381-4A4E-8C9D-8D3B9F937910}"/>
    <cellStyle name="Normal 4 4 2 2 3 3 6" xfId="38670" xr:uid="{5D7C21F1-3358-4E55-B0EB-9F032EEE1BDA}"/>
    <cellStyle name="Normal 4 4 2 2 3 4" xfId="32066" xr:uid="{00000000-0005-0000-0000-0000E0240000}"/>
    <cellStyle name="Normal 4 4 2 2 3 4 2" xfId="32067" xr:uid="{00000000-0005-0000-0000-0000E1240000}"/>
    <cellStyle name="Normal 4 4 2 2 3 4 2 2" xfId="38678" xr:uid="{75E237AC-95D0-461F-8193-C5525E576FAE}"/>
    <cellStyle name="Normal 4 4 2 2 3 4 3" xfId="32068" xr:uid="{00000000-0005-0000-0000-0000E2240000}"/>
    <cellStyle name="Normal 4 4 2 2 3 4 3 2" xfId="38679" xr:uid="{F15F8060-D360-4D82-A8D9-F648E755AD27}"/>
    <cellStyle name="Normal 4 4 2 2 3 4 4" xfId="38677" xr:uid="{63080EE2-850B-4F9F-B1A9-6B2D61D8BA7C}"/>
    <cellStyle name="Normal 4 4 2 2 3 5" xfId="32069" xr:uid="{00000000-0005-0000-0000-0000E3240000}"/>
    <cellStyle name="Normal 4 4 2 2 3 5 2" xfId="38680" xr:uid="{1E7246F3-E885-4E2D-851E-2DEB059DBDE3}"/>
    <cellStyle name="Normal 4 4 2 2 3 6" xfId="32070" xr:uid="{00000000-0005-0000-0000-0000E4240000}"/>
    <cellStyle name="Normal 4 4 2 2 3 6 2" xfId="38681" xr:uid="{8F99B6EA-18D2-4C2D-AB4F-829881AC9B99}"/>
    <cellStyle name="Normal 4 4 2 2 3 7" xfId="32071" xr:uid="{00000000-0005-0000-0000-0000E5240000}"/>
    <cellStyle name="Normal 4 4 2 2 3 7 2" xfId="38682" xr:uid="{444CF25C-EF15-4027-9162-26B627583A78}"/>
    <cellStyle name="Normal 4 4 2 2 3 8" xfId="38662" xr:uid="{0EC4B609-15B2-4702-A5D0-90034C5AE6DE}"/>
    <cellStyle name="Normal 4 4 2 2 4" xfId="32072" xr:uid="{00000000-0005-0000-0000-0000E6240000}"/>
    <cellStyle name="Normal 4 4 2 2 4 2" xfId="32073" xr:uid="{00000000-0005-0000-0000-0000E7240000}"/>
    <cellStyle name="Normal 4 4 2 2 4 2 2" xfId="32074" xr:uid="{00000000-0005-0000-0000-0000E8240000}"/>
    <cellStyle name="Normal 4 4 2 2 4 2 2 2" xfId="38685" xr:uid="{96A09E9A-9DB2-4E3F-B866-FF6ABF379900}"/>
    <cellStyle name="Normal 4 4 2 2 4 2 3" xfId="32075" xr:uid="{00000000-0005-0000-0000-0000E9240000}"/>
    <cellStyle name="Normal 4 4 2 2 4 2 3 2" xfId="38686" xr:uid="{6FBB526B-428E-42B4-A26A-5DBB4AE9E395}"/>
    <cellStyle name="Normal 4 4 2 2 4 2 4" xfId="38684" xr:uid="{F43ECB37-5C88-4542-8DFB-0023A57D80E7}"/>
    <cellStyle name="Normal 4 4 2 2 4 3" xfId="32076" xr:uid="{00000000-0005-0000-0000-0000EA240000}"/>
    <cellStyle name="Normal 4 4 2 2 4 3 2" xfId="38687" xr:uid="{16E38A87-C193-464F-83EB-5B248EF536AA}"/>
    <cellStyle name="Normal 4 4 2 2 4 4" xfId="32077" xr:uid="{00000000-0005-0000-0000-0000EB240000}"/>
    <cellStyle name="Normal 4 4 2 2 4 4 2" xfId="38688" xr:uid="{B2BB3ECE-06CD-42DF-8892-4A5B48A4968B}"/>
    <cellStyle name="Normal 4 4 2 2 4 5" xfId="32078" xr:uid="{00000000-0005-0000-0000-0000EC240000}"/>
    <cellStyle name="Normal 4 4 2 2 4 5 2" xfId="38689" xr:uid="{FEF5507F-0D9B-45E1-A12B-DA4FB64A0495}"/>
    <cellStyle name="Normal 4 4 2 2 4 6" xfId="38683" xr:uid="{71D1A02F-765F-4F3C-B306-2FDE2B40DA39}"/>
    <cellStyle name="Normal 4 4 2 2 5" xfId="32079" xr:uid="{00000000-0005-0000-0000-0000ED240000}"/>
    <cellStyle name="Normal 4 4 2 2 5 2" xfId="32080" xr:uid="{00000000-0005-0000-0000-0000EE240000}"/>
    <cellStyle name="Normal 4 4 2 2 5 2 2" xfId="32081" xr:uid="{00000000-0005-0000-0000-0000EF240000}"/>
    <cellStyle name="Normal 4 4 2 2 5 2 2 2" xfId="38692" xr:uid="{99DDD203-8E24-428B-A8F1-558E07A0308F}"/>
    <cellStyle name="Normal 4 4 2 2 5 2 3" xfId="32082" xr:uid="{00000000-0005-0000-0000-0000F0240000}"/>
    <cellStyle name="Normal 4 4 2 2 5 2 3 2" xfId="38693" xr:uid="{985C8952-04E7-43F2-B2C1-6258C989F510}"/>
    <cellStyle name="Normal 4 4 2 2 5 2 4" xfId="38691" xr:uid="{9532CA6F-65B0-4E6F-AA04-2B92DFC452BF}"/>
    <cellStyle name="Normal 4 4 2 2 5 3" xfId="32083" xr:uid="{00000000-0005-0000-0000-0000F1240000}"/>
    <cellStyle name="Normal 4 4 2 2 5 3 2" xfId="38694" xr:uid="{F1D5CAF5-04D0-443F-A37A-5414456D32F7}"/>
    <cellStyle name="Normal 4 4 2 2 5 4" xfId="32084" xr:uid="{00000000-0005-0000-0000-0000F2240000}"/>
    <cellStyle name="Normal 4 4 2 2 5 4 2" xfId="38695" xr:uid="{BE3EDD43-9ABD-4C74-A51B-346BF9DF130F}"/>
    <cellStyle name="Normal 4 4 2 2 5 5" xfId="32085" xr:uid="{00000000-0005-0000-0000-0000F3240000}"/>
    <cellStyle name="Normal 4 4 2 2 5 5 2" xfId="38696" xr:uid="{691B6A5D-8677-418B-9489-B118D34F84DB}"/>
    <cellStyle name="Normal 4 4 2 2 5 6" xfId="38690" xr:uid="{F0C1B43C-6EB4-41AE-A5DC-C02089CBC8FF}"/>
    <cellStyle name="Normal 4 4 2 2 6" xfId="32086" xr:uid="{00000000-0005-0000-0000-0000F4240000}"/>
    <cellStyle name="Normal 4 4 2 2 6 2" xfId="32087" xr:uid="{00000000-0005-0000-0000-0000F5240000}"/>
    <cellStyle name="Normal 4 4 2 2 6 2 2" xfId="38698" xr:uid="{DCFA521F-0723-42CF-8DC6-1BEDE3B21474}"/>
    <cellStyle name="Normal 4 4 2 2 6 3" xfId="32088" xr:uid="{00000000-0005-0000-0000-0000F6240000}"/>
    <cellStyle name="Normal 4 4 2 2 6 3 2" xfId="38699" xr:uid="{31EDA41A-B70D-454E-804B-7B59BD89B021}"/>
    <cellStyle name="Normal 4 4 2 2 6 4" xfId="38697" xr:uid="{A25F91AC-C581-41BB-955F-0A138A954A03}"/>
    <cellStyle name="Normal 4 4 2 2 7" xfId="32089" xr:uid="{00000000-0005-0000-0000-0000F7240000}"/>
    <cellStyle name="Normal 4 4 2 2 7 2" xfId="38700" xr:uid="{EB345367-12D8-45D9-8B98-0166A6A6F729}"/>
    <cellStyle name="Normal 4 4 2 2 8" xfId="32090" xr:uid="{00000000-0005-0000-0000-0000F8240000}"/>
    <cellStyle name="Normal 4 4 2 2 8 2" xfId="38701" xr:uid="{B6D727BA-31F4-436C-A8FE-D512E781F8D8}"/>
    <cellStyle name="Normal 4 4 2 2 9" xfId="32091" xr:uid="{00000000-0005-0000-0000-0000F9240000}"/>
    <cellStyle name="Normal 4 4 2 2 9 2" xfId="38702" xr:uid="{B96BC2B0-C379-418D-BE1B-724A729BC1D2}"/>
    <cellStyle name="Normal 4 4 2 3" xfId="32092" xr:uid="{00000000-0005-0000-0000-0000FA240000}"/>
    <cellStyle name="Normal 4 4 2 3 10" xfId="38703" xr:uid="{2B8848C8-168F-4691-9886-6F256F4F8CEF}"/>
    <cellStyle name="Normal 4 4 2 3 2" xfId="32093" xr:uid="{00000000-0005-0000-0000-0000FB240000}"/>
    <cellStyle name="Normal 4 4 2 3 2 2" xfId="32094" xr:uid="{00000000-0005-0000-0000-0000FC240000}"/>
    <cellStyle name="Normal 4 4 2 3 2 2 2" xfId="32095" xr:uid="{00000000-0005-0000-0000-0000FD240000}"/>
    <cellStyle name="Normal 4 4 2 3 2 2 2 2" xfId="32096" xr:uid="{00000000-0005-0000-0000-0000FE240000}"/>
    <cellStyle name="Normal 4 4 2 3 2 2 2 2 2" xfId="32097" xr:uid="{00000000-0005-0000-0000-0000FF240000}"/>
    <cellStyle name="Normal 4 4 2 3 2 2 2 2 2 2" xfId="38708" xr:uid="{E50A32CE-C6EE-491D-9906-E46A8AC6AD54}"/>
    <cellStyle name="Normal 4 4 2 3 2 2 2 2 3" xfId="32098" xr:uid="{00000000-0005-0000-0000-000000250000}"/>
    <cellStyle name="Normal 4 4 2 3 2 2 2 2 3 2" xfId="38709" xr:uid="{DD6AFB34-4630-43DD-BE69-8F0A289F853A}"/>
    <cellStyle name="Normal 4 4 2 3 2 2 2 2 4" xfId="38707" xr:uid="{DA0896CB-3E56-4E7A-B6B0-1580B9915B14}"/>
    <cellStyle name="Normal 4 4 2 3 2 2 2 3" xfId="32099" xr:uid="{00000000-0005-0000-0000-000001250000}"/>
    <cellStyle name="Normal 4 4 2 3 2 2 2 3 2" xfId="38710" xr:uid="{37479ED3-256E-4E13-9A6A-28621BB49BE5}"/>
    <cellStyle name="Normal 4 4 2 3 2 2 2 4" xfId="32100" xr:uid="{00000000-0005-0000-0000-000002250000}"/>
    <cellStyle name="Normal 4 4 2 3 2 2 2 4 2" xfId="38711" xr:uid="{6B6EF21A-E231-4F0C-8F02-1EC1BB31B4AB}"/>
    <cellStyle name="Normal 4 4 2 3 2 2 2 5" xfId="32101" xr:uid="{00000000-0005-0000-0000-000003250000}"/>
    <cellStyle name="Normal 4 4 2 3 2 2 2 5 2" xfId="38712" xr:uid="{39DD642E-FE31-47C1-80F5-17E5A79AA447}"/>
    <cellStyle name="Normal 4 4 2 3 2 2 2 6" xfId="38706" xr:uid="{BC607E8D-FBAF-43AB-879B-ABC2BB655551}"/>
    <cellStyle name="Normal 4 4 2 3 2 2 3" xfId="32102" xr:uid="{00000000-0005-0000-0000-000004250000}"/>
    <cellStyle name="Normal 4 4 2 3 2 2 3 2" xfId="32103" xr:uid="{00000000-0005-0000-0000-000005250000}"/>
    <cellStyle name="Normal 4 4 2 3 2 2 3 2 2" xfId="32104" xr:uid="{00000000-0005-0000-0000-000006250000}"/>
    <cellStyle name="Normal 4 4 2 3 2 2 3 2 2 2" xfId="38715" xr:uid="{4DA6D97E-E64B-4522-A278-52FC37013A7A}"/>
    <cellStyle name="Normal 4 4 2 3 2 2 3 2 3" xfId="32105" xr:uid="{00000000-0005-0000-0000-000007250000}"/>
    <cellStyle name="Normal 4 4 2 3 2 2 3 2 3 2" xfId="38716" xr:uid="{B6C6B3A9-B4B8-426A-B02E-D472DCB2B0E8}"/>
    <cellStyle name="Normal 4 4 2 3 2 2 3 2 4" xfId="38714" xr:uid="{B7A092BA-304F-42E6-B2D9-24709B4BCC58}"/>
    <cellStyle name="Normal 4 4 2 3 2 2 3 3" xfId="32106" xr:uid="{00000000-0005-0000-0000-000008250000}"/>
    <cellStyle name="Normal 4 4 2 3 2 2 3 3 2" xfId="38717" xr:uid="{E7AD73C7-6668-42EE-8643-2C949EF88CEA}"/>
    <cellStyle name="Normal 4 4 2 3 2 2 3 4" xfId="32107" xr:uid="{00000000-0005-0000-0000-000009250000}"/>
    <cellStyle name="Normal 4 4 2 3 2 2 3 4 2" xfId="38718" xr:uid="{41237A8E-03D5-422F-952E-CEDCDD2F5ECA}"/>
    <cellStyle name="Normal 4 4 2 3 2 2 3 5" xfId="32108" xr:uid="{00000000-0005-0000-0000-00000A250000}"/>
    <cellStyle name="Normal 4 4 2 3 2 2 3 5 2" xfId="38719" xr:uid="{1B324D5F-3987-4E96-BAA4-1CB1623ECB61}"/>
    <cellStyle name="Normal 4 4 2 3 2 2 3 6" xfId="38713" xr:uid="{E6F73161-A841-4CBF-956F-DE97DA236B59}"/>
    <cellStyle name="Normal 4 4 2 3 2 2 4" xfId="32109" xr:uid="{00000000-0005-0000-0000-00000B250000}"/>
    <cellStyle name="Normal 4 4 2 3 2 2 4 2" xfId="32110" xr:uid="{00000000-0005-0000-0000-00000C250000}"/>
    <cellStyle name="Normal 4 4 2 3 2 2 4 2 2" xfId="38721" xr:uid="{99DD6C95-6935-4CB0-8222-2326FDFD9B08}"/>
    <cellStyle name="Normal 4 4 2 3 2 2 4 3" xfId="32111" xr:uid="{00000000-0005-0000-0000-00000D250000}"/>
    <cellStyle name="Normal 4 4 2 3 2 2 4 3 2" xfId="38722" xr:uid="{1CB6EE4B-6124-4A3C-9771-5AAFF5467142}"/>
    <cellStyle name="Normal 4 4 2 3 2 2 4 4" xfId="38720" xr:uid="{3E34102F-F84F-429F-806D-CAFE2CF81037}"/>
    <cellStyle name="Normal 4 4 2 3 2 2 5" xfId="32112" xr:uid="{00000000-0005-0000-0000-00000E250000}"/>
    <cellStyle name="Normal 4 4 2 3 2 2 5 2" xfId="38723" xr:uid="{5FAEAEFB-213F-4B5C-864B-4E58FC8D1214}"/>
    <cellStyle name="Normal 4 4 2 3 2 2 6" xfId="32113" xr:uid="{00000000-0005-0000-0000-00000F250000}"/>
    <cellStyle name="Normal 4 4 2 3 2 2 6 2" xfId="38724" xr:uid="{F839B9B1-717E-40D3-85D0-5486A28A7F48}"/>
    <cellStyle name="Normal 4 4 2 3 2 2 7" xfId="32114" xr:uid="{00000000-0005-0000-0000-000010250000}"/>
    <cellStyle name="Normal 4 4 2 3 2 2 7 2" xfId="38725" xr:uid="{B76177DF-652C-46D6-B02F-1549DEBD2A0E}"/>
    <cellStyle name="Normal 4 4 2 3 2 2 8" xfId="38705" xr:uid="{AA5F12AD-226B-4B90-881C-9D4C6D0CDB70}"/>
    <cellStyle name="Normal 4 4 2 3 2 3" xfId="32115" xr:uid="{00000000-0005-0000-0000-000011250000}"/>
    <cellStyle name="Normal 4 4 2 3 2 3 2" xfId="32116" xr:uid="{00000000-0005-0000-0000-000012250000}"/>
    <cellStyle name="Normal 4 4 2 3 2 3 2 2" xfId="32117" xr:uid="{00000000-0005-0000-0000-000013250000}"/>
    <cellStyle name="Normal 4 4 2 3 2 3 2 2 2" xfId="38728" xr:uid="{E9D1B3CE-7FED-488A-82D6-112FC01957FD}"/>
    <cellStyle name="Normal 4 4 2 3 2 3 2 3" xfId="32118" xr:uid="{00000000-0005-0000-0000-000014250000}"/>
    <cellStyle name="Normal 4 4 2 3 2 3 2 3 2" xfId="38729" xr:uid="{351445EA-6356-4D7C-ADD5-033C1100324A}"/>
    <cellStyle name="Normal 4 4 2 3 2 3 2 4" xfId="38727" xr:uid="{DE048365-9D8E-4895-9284-512998C078CC}"/>
    <cellStyle name="Normal 4 4 2 3 2 3 3" xfId="32119" xr:uid="{00000000-0005-0000-0000-000015250000}"/>
    <cellStyle name="Normal 4 4 2 3 2 3 3 2" xfId="38730" xr:uid="{27C14A05-87FE-4DCE-864E-140396FA9C9B}"/>
    <cellStyle name="Normal 4 4 2 3 2 3 4" xfId="32120" xr:uid="{00000000-0005-0000-0000-000016250000}"/>
    <cellStyle name="Normal 4 4 2 3 2 3 4 2" xfId="38731" xr:uid="{55B21D43-3AAE-403C-BD62-903F90E7FBB3}"/>
    <cellStyle name="Normal 4 4 2 3 2 3 5" xfId="32121" xr:uid="{00000000-0005-0000-0000-000017250000}"/>
    <cellStyle name="Normal 4 4 2 3 2 3 5 2" xfId="38732" xr:uid="{B531A9E1-CF5E-4322-A25D-AB8026B7FE40}"/>
    <cellStyle name="Normal 4 4 2 3 2 3 6" xfId="38726" xr:uid="{A22BCCC4-E6ED-4092-9EE7-711F9188AEF2}"/>
    <cellStyle name="Normal 4 4 2 3 2 4" xfId="32122" xr:uid="{00000000-0005-0000-0000-000018250000}"/>
    <cellStyle name="Normal 4 4 2 3 2 4 2" xfId="32123" xr:uid="{00000000-0005-0000-0000-000019250000}"/>
    <cellStyle name="Normal 4 4 2 3 2 4 2 2" xfId="32124" xr:uid="{00000000-0005-0000-0000-00001A250000}"/>
    <cellStyle name="Normal 4 4 2 3 2 4 2 2 2" xfId="38735" xr:uid="{16A6A342-D503-4117-8A0A-5628E43C7816}"/>
    <cellStyle name="Normal 4 4 2 3 2 4 2 3" xfId="32125" xr:uid="{00000000-0005-0000-0000-00001B250000}"/>
    <cellStyle name="Normal 4 4 2 3 2 4 2 3 2" xfId="38736" xr:uid="{AB64A99F-EDBB-436D-B5FD-C16F7BF929AD}"/>
    <cellStyle name="Normal 4 4 2 3 2 4 2 4" xfId="38734" xr:uid="{D97902B5-2235-4A01-B718-FE273B116FAB}"/>
    <cellStyle name="Normal 4 4 2 3 2 4 3" xfId="32126" xr:uid="{00000000-0005-0000-0000-00001C250000}"/>
    <cellStyle name="Normal 4 4 2 3 2 4 3 2" xfId="38737" xr:uid="{0B4D43C5-1371-45EA-8269-A1CE0811386C}"/>
    <cellStyle name="Normal 4 4 2 3 2 4 4" xfId="32127" xr:uid="{00000000-0005-0000-0000-00001D250000}"/>
    <cellStyle name="Normal 4 4 2 3 2 4 4 2" xfId="38738" xr:uid="{FD17B03A-4672-416C-B8FF-CA3557E137AF}"/>
    <cellStyle name="Normal 4 4 2 3 2 4 5" xfId="32128" xr:uid="{00000000-0005-0000-0000-00001E250000}"/>
    <cellStyle name="Normal 4 4 2 3 2 4 5 2" xfId="38739" xr:uid="{61FA88A6-5D44-4F5B-A2A2-2821170653A4}"/>
    <cellStyle name="Normal 4 4 2 3 2 4 6" xfId="38733" xr:uid="{FD74BBD9-A16E-405F-88C0-86596AC6A479}"/>
    <cellStyle name="Normal 4 4 2 3 2 5" xfId="32129" xr:uid="{00000000-0005-0000-0000-00001F250000}"/>
    <cellStyle name="Normal 4 4 2 3 2 5 2" xfId="32130" xr:uid="{00000000-0005-0000-0000-000020250000}"/>
    <cellStyle name="Normal 4 4 2 3 2 5 2 2" xfId="38741" xr:uid="{2F4478CA-971F-4D70-893E-3EAD052CC7FC}"/>
    <cellStyle name="Normal 4 4 2 3 2 5 3" xfId="32131" xr:uid="{00000000-0005-0000-0000-000021250000}"/>
    <cellStyle name="Normal 4 4 2 3 2 5 3 2" xfId="38742" xr:uid="{A5B6BC03-EF39-4883-AD01-48EF6C1E7D04}"/>
    <cellStyle name="Normal 4 4 2 3 2 5 4" xfId="38740" xr:uid="{B69A1AD0-5ADC-40DF-9C5E-C2B88AB685C6}"/>
    <cellStyle name="Normal 4 4 2 3 2 6" xfId="32132" xr:uid="{00000000-0005-0000-0000-000022250000}"/>
    <cellStyle name="Normal 4 4 2 3 2 6 2" xfId="38743" xr:uid="{64D635FC-A01E-4583-9410-05C170465A58}"/>
    <cellStyle name="Normal 4 4 2 3 2 7" xfId="32133" xr:uid="{00000000-0005-0000-0000-000023250000}"/>
    <cellStyle name="Normal 4 4 2 3 2 7 2" xfId="38744" xr:uid="{6F71CBEF-0B0F-48AA-ABE3-5849AA683D01}"/>
    <cellStyle name="Normal 4 4 2 3 2 8" xfId="32134" xr:uid="{00000000-0005-0000-0000-000024250000}"/>
    <cellStyle name="Normal 4 4 2 3 2 8 2" xfId="38745" xr:uid="{7E0C0935-84E3-44BC-9143-D48EFEBE1FF9}"/>
    <cellStyle name="Normal 4 4 2 3 2 9" xfId="38704" xr:uid="{B73B2D6A-063E-4914-A886-81504AAC3C2B}"/>
    <cellStyle name="Normal 4 4 2 3 3" xfId="32135" xr:uid="{00000000-0005-0000-0000-000025250000}"/>
    <cellStyle name="Normal 4 4 2 3 3 2" xfId="32136" xr:uid="{00000000-0005-0000-0000-000026250000}"/>
    <cellStyle name="Normal 4 4 2 3 3 2 2" xfId="32137" xr:uid="{00000000-0005-0000-0000-000027250000}"/>
    <cellStyle name="Normal 4 4 2 3 3 2 2 2" xfId="32138" xr:uid="{00000000-0005-0000-0000-000028250000}"/>
    <cellStyle name="Normal 4 4 2 3 3 2 2 2 2" xfId="38749" xr:uid="{84CCA90C-3BE1-4B40-89F2-E304C4FFDBF8}"/>
    <cellStyle name="Normal 4 4 2 3 3 2 2 3" xfId="32139" xr:uid="{00000000-0005-0000-0000-000029250000}"/>
    <cellStyle name="Normal 4 4 2 3 3 2 2 3 2" xfId="38750" xr:uid="{8AE9718A-E24A-4B2D-80E1-8CA42A2577B8}"/>
    <cellStyle name="Normal 4 4 2 3 3 2 2 4" xfId="38748" xr:uid="{5F1093C5-691E-4C38-AE80-E1A83CD6FEDA}"/>
    <cellStyle name="Normal 4 4 2 3 3 2 3" xfId="32140" xr:uid="{00000000-0005-0000-0000-00002A250000}"/>
    <cellStyle name="Normal 4 4 2 3 3 2 3 2" xfId="38751" xr:uid="{49AC7E67-A498-4BAC-A56A-CEAF4A78AD10}"/>
    <cellStyle name="Normal 4 4 2 3 3 2 4" xfId="32141" xr:uid="{00000000-0005-0000-0000-00002B250000}"/>
    <cellStyle name="Normal 4 4 2 3 3 2 4 2" xfId="38752" xr:uid="{BB8F5037-06EE-4FAA-B9E9-5BB1615297CC}"/>
    <cellStyle name="Normal 4 4 2 3 3 2 5" xfId="32142" xr:uid="{00000000-0005-0000-0000-00002C250000}"/>
    <cellStyle name="Normal 4 4 2 3 3 2 5 2" xfId="38753" xr:uid="{71615951-2889-4D90-9654-14F6171D7591}"/>
    <cellStyle name="Normal 4 4 2 3 3 2 6" xfId="38747" xr:uid="{0D41C596-E649-4B4F-BFDD-F0709A2C2A70}"/>
    <cellStyle name="Normal 4 4 2 3 3 3" xfId="32143" xr:uid="{00000000-0005-0000-0000-00002D250000}"/>
    <cellStyle name="Normal 4 4 2 3 3 3 2" xfId="32144" xr:uid="{00000000-0005-0000-0000-00002E250000}"/>
    <cellStyle name="Normal 4 4 2 3 3 3 2 2" xfId="32145" xr:uid="{00000000-0005-0000-0000-00002F250000}"/>
    <cellStyle name="Normal 4 4 2 3 3 3 2 2 2" xfId="38756" xr:uid="{4283FC99-DB36-41C5-801D-252F2CD7F29D}"/>
    <cellStyle name="Normal 4 4 2 3 3 3 2 3" xfId="32146" xr:uid="{00000000-0005-0000-0000-000030250000}"/>
    <cellStyle name="Normal 4 4 2 3 3 3 2 3 2" xfId="38757" xr:uid="{C64E8EA9-404D-487E-9A53-B2F6B91F319E}"/>
    <cellStyle name="Normal 4 4 2 3 3 3 2 4" xfId="38755" xr:uid="{274DCB7D-A697-4F6F-AABE-4DBDE6CB65A8}"/>
    <cellStyle name="Normal 4 4 2 3 3 3 3" xfId="32147" xr:uid="{00000000-0005-0000-0000-000031250000}"/>
    <cellStyle name="Normal 4 4 2 3 3 3 3 2" xfId="38758" xr:uid="{27D016C3-6506-4714-B6D6-915CB59FD6B6}"/>
    <cellStyle name="Normal 4 4 2 3 3 3 4" xfId="32148" xr:uid="{00000000-0005-0000-0000-000032250000}"/>
    <cellStyle name="Normal 4 4 2 3 3 3 4 2" xfId="38759" xr:uid="{DD167FED-2883-4D9F-ADD3-E68E3BC3EA00}"/>
    <cellStyle name="Normal 4 4 2 3 3 3 5" xfId="32149" xr:uid="{00000000-0005-0000-0000-000033250000}"/>
    <cellStyle name="Normal 4 4 2 3 3 3 5 2" xfId="38760" xr:uid="{4D0126D5-260F-44A2-BCD7-A595112835DB}"/>
    <cellStyle name="Normal 4 4 2 3 3 3 6" xfId="38754" xr:uid="{2D527328-F8C3-4754-A376-F183C9504E0C}"/>
    <cellStyle name="Normal 4 4 2 3 3 4" xfId="32150" xr:uid="{00000000-0005-0000-0000-000034250000}"/>
    <cellStyle name="Normal 4 4 2 3 3 4 2" xfId="32151" xr:uid="{00000000-0005-0000-0000-000035250000}"/>
    <cellStyle name="Normal 4 4 2 3 3 4 2 2" xfId="38762" xr:uid="{0D094AE0-FCFC-455E-91D7-7D3D04C4BF16}"/>
    <cellStyle name="Normal 4 4 2 3 3 4 3" xfId="32152" xr:uid="{00000000-0005-0000-0000-000036250000}"/>
    <cellStyle name="Normal 4 4 2 3 3 4 3 2" xfId="38763" xr:uid="{83110408-8BC5-497A-9172-D8D026DE7708}"/>
    <cellStyle name="Normal 4 4 2 3 3 4 4" xfId="38761" xr:uid="{30113511-58C0-4B31-AE38-19793C11809D}"/>
    <cellStyle name="Normal 4 4 2 3 3 5" xfId="32153" xr:uid="{00000000-0005-0000-0000-000037250000}"/>
    <cellStyle name="Normal 4 4 2 3 3 5 2" xfId="38764" xr:uid="{444B37B0-D413-41A8-AB6E-B72A934B7B71}"/>
    <cellStyle name="Normal 4 4 2 3 3 6" xfId="32154" xr:uid="{00000000-0005-0000-0000-000038250000}"/>
    <cellStyle name="Normal 4 4 2 3 3 6 2" xfId="38765" xr:uid="{25AF31AF-C212-4022-9A77-1C4C8CE0348E}"/>
    <cellStyle name="Normal 4 4 2 3 3 7" xfId="32155" xr:uid="{00000000-0005-0000-0000-000039250000}"/>
    <cellStyle name="Normal 4 4 2 3 3 7 2" xfId="38766" xr:uid="{0CC3F9CB-2132-4879-B273-BC97043897D0}"/>
    <cellStyle name="Normal 4 4 2 3 3 8" xfId="38746" xr:uid="{D68A38E8-BEC2-4CB7-B89F-77B54BA418CB}"/>
    <cellStyle name="Normal 4 4 2 3 4" xfId="32156" xr:uid="{00000000-0005-0000-0000-00003A250000}"/>
    <cellStyle name="Normal 4 4 2 3 4 2" xfId="32157" xr:uid="{00000000-0005-0000-0000-00003B250000}"/>
    <cellStyle name="Normal 4 4 2 3 4 2 2" xfId="32158" xr:uid="{00000000-0005-0000-0000-00003C250000}"/>
    <cellStyle name="Normal 4 4 2 3 4 2 2 2" xfId="38769" xr:uid="{0077DCA6-B829-454C-BAC3-5270BC49E40E}"/>
    <cellStyle name="Normal 4 4 2 3 4 2 3" xfId="32159" xr:uid="{00000000-0005-0000-0000-00003D250000}"/>
    <cellStyle name="Normal 4 4 2 3 4 2 3 2" xfId="38770" xr:uid="{89626615-54FF-4F0C-A158-B31D4A0F0CB5}"/>
    <cellStyle name="Normal 4 4 2 3 4 2 4" xfId="38768" xr:uid="{A8980994-5D6C-406E-9DDF-9A9CAB0EDD32}"/>
    <cellStyle name="Normal 4 4 2 3 4 3" xfId="32160" xr:uid="{00000000-0005-0000-0000-00003E250000}"/>
    <cellStyle name="Normal 4 4 2 3 4 3 2" xfId="38771" xr:uid="{B3D87C51-B421-4947-A083-89A75146E750}"/>
    <cellStyle name="Normal 4 4 2 3 4 4" xfId="32161" xr:uid="{00000000-0005-0000-0000-00003F250000}"/>
    <cellStyle name="Normal 4 4 2 3 4 4 2" xfId="38772" xr:uid="{EA1A2269-5550-414A-88A5-8F346264047C}"/>
    <cellStyle name="Normal 4 4 2 3 4 5" xfId="32162" xr:uid="{00000000-0005-0000-0000-000040250000}"/>
    <cellStyle name="Normal 4 4 2 3 4 5 2" xfId="38773" xr:uid="{2ADB4818-1CDF-4BC8-A943-79DF7C09F375}"/>
    <cellStyle name="Normal 4 4 2 3 4 6" xfId="38767" xr:uid="{507D9E68-C109-4A3D-9A39-B6C5EEBE79F8}"/>
    <cellStyle name="Normal 4 4 2 3 5" xfId="32163" xr:uid="{00000000-0005-0000-0000-000041250000}"/>
    <cellStyle name="Normal 4 4 2 3 5 2" xfId="32164" xr:uid="{00000000-0005-0000-0000-000042250000}"/>
    <cellStyle name="Normal 4 4 2 3 5 2 2" xfId="32165" xr:uid="{00000000-0005-0000-0000-000043250000}"/>
    <cellStyle name="Normal 4 4 2 3 5 2 2 2" xfId="38776" xr:uid="{8C28F5A5-B079-43A6-B520-73518DA21AA6}"/>
    <cellStyle name="Normal 4 4 2 3 5 2 3" xfId="32166" xr:uid="{00000000-0005-0000-0000-000044250000}"/>
    <cellStyle name="Normal 4 4 2 3 5 2 3 2" xfId="38777" xr:uid="{73EAF6EA-1678-4F5C-8E68-CFD417127EE9}"/>
    <cellStyle name="Normal 4 4 2 3 5 2 4" xfId="38775" xr:uid="{790A8219-8291-4E59-8DBB-18618F4AA973}"/>
    <cellStyle name="Normal 4 4 2 3 5 3" xfId="32167" xr:uid="{00000000-0005-0000-0000-000045250000}"/>
    <cellStyle name="Normal 4 4 2 3 5 3 2" xfId="38778" xr:uid="{67B6D0CF-A638-4FFE-8B7A-84D806A34201}"/>
    <cellStyle name="Normal 4 4 2 3 5 4" xfId="32168" xr:uid="{00000000-0005-0000-0000-000046250000}"/>
    <cellStyle name="Normal 4 4 2 3 5 4 2" xfId="38779" xr:uid="{5229D678-51F6-40C8-ACD2-90AECFBFF438}"/>
    <cellStyle name="Normal 4 4 2 3 5 5" xfId="32169" xr:uid="{00000000-0005-0000-0000-000047250000}"/>
    <cellStyle name="Normal 4 4 2 3 5 5 2" xfId="38780" xr:uid="{A72042F3-D073-46A3-873B-73989F26D636}"/>
    <cellStyle name="Normal 4 4 2 3 5 6" xfId="38774" xr:uid="{DB96A658-C40C-46C9-B886-24AADA7F730F}"/>
    <cellStyle name="Normal 4 4 2 3 6" xfId="32170" xr:uid="{00000000-0005-0000-0000-000048250000}"/>
    <cellStyle name="Normal 4 4 2 3 6 2" xfId="32171" xr:uid="{00000000-0005-0000-0000-000049250000}"/>
    <cellStyle name="Normal 4 4 2 3 6 2 2" xfId="38782" xr:uid="{C1CB7EC4-CB15-4A9C-9FFD-B02CF83C4794}"/>
    <cellStyle name="Normal 4 4 2 3 6 3" xfId="32172" xr:uid="{00000000-0005-0000-0000-00004A250000}"/>
    <cellStyle name="Normal 4 4 2 3 6 3 2" xfId="38783" xr:uid="{06F6F4FB-804A-413A-94D1-A7DD6AD278DA}"/>
    <cellStyle name="Normal 4 4 2 3 6 4" xfId="38781" xr:uid="{C5D97473-1270-477B-8ACC-F4C0C193DA53}"/>
    <cellStyle name="Normal 4 4 2 3 7" xfId="32173" xr:uid="{00000000-0005-0000-0000-00004B250000}"/>
    <cellStyle name="Normal 4 4 2 3 7 2" xfId="38784" xr:uid="{1A9E8531-34D0-4F19-9D89-0E67FE0D7D95}"/>
    <cellStyle name="Normal 4 4 2 3 8" xfId="32174" xr:uid="{00000000-0005-0000-0000-00004C250000}"/>
    <cellStyle name="Normal 4 4 2 3 8 2" xfId="38785" xr:uid="{0619DB12-C23B-4730-8474-F26DAFABE164}"/>
    <cellStyle name="Normal 4 4 2 3 9" xfId="32175" xr:uid="{00000000-0005-0000-0000-00004D250000}"/>
    <cellStyle name="Normal 4 4 2 3 9 2" xfId="38786" xr:uid="{E49EC8E5-BDF0-4BB1-84A4-BBE36A954751}"/>
    <cellStyle name="Normal 4 4 2 4" xfId="32176" xr:uid="{00000000-0005-0000-0000-00004E250000}"/>
    <cellStyle name="Normal 4 4 2 4 10" xfId="38787" xr:uid="{6E80AC8E-4A3D-479C-99FB-953E53476D7F}"/>
    <cellStyle name="Normal 4 4 2 4 2" xfId="32177" xr:uid="{00000000-0005-0000-0000-00004F250000}"/>
    <cellStyle name="Normal 4 4 2 4 2 2" xfId="32178" xr:uid="{00000000-0005-0000-0000-000050250000}"/>
    <cellStyle name="Normal 4 4 2 4 2 2 2" xfId="32179" xr:uid="{00000000-0005-0000-0000-000051250000}"/>
    <cellStyle name="Normal 4 4 2 4 2 2 2 2" xfId="32180" xr:uid="{00000000-0005-0000-0000-000052250000}"/>
    <cellStyle name="Normal 4 4 2 4 2 2 2 2 2" xfId="32181" xr:uid="{00000000-0005-0000-0000-000053250000}"/>
    <cellStyle name="Normal 4 4 2 4 2 2 2 2 2 2" xfId="38792" xr:uid="{08C1F0FB-6D7C-41E8-A50D-03EB61259D12}"/>
    <cellStyle name="Normal 4 4 2 4 2 2 2 2 3" xfId="32182" xr:uid="{00000000-0005-0000-0000-000054250000}"/>
    <cellStyle name="Normal 4 4 2 4 2 2 2 2 3 2" xfId="38793" xr:uid="{E8CE79DF-34DC-40AB-B0CD-36BFFE106CAF}"/>
    <cellStyle name="Normal 4 4 2 4 2 2 2 2 4" xfId="38791" xr:uid="{9D601C40-B014-4416-BD79-8276500269DF}"/>
    <cellStyle name="Normal 4 4 2 4 2 2 2 3" xfId="32183" xr:uid="{00000000-0005-0000-0000-000055250000}"/>
    <cellStyle name="Normal 4 4 2 4 2 2 2 3 2" xfId="38794" xr:uid="{C294AE21-0895-444B-8438-E6BF14676477}"/>
    <cellStyle name="Normal 4 4 2 4 2 2 2 4" xfId="32184" xr:uid="{00000000-0005-0000-0000-000056250000}"/>
    <cellStyle name="Normal 4 4 2 4 2 2 2 4 2" xfId="38795" xr:uid="{941A2200-EE60-4429-8600-7A5A87EDD06A}"/>
    <cellStyle name="Normal 4 4 2 4 2 2 2 5" xfId="32185" xr:uid="{00000000-0005-0000-0000-000057250000}"/>
    <cellStyle name="Normal 4 4 2 4 2 2 2 5 2" xfId="38796" xr:uid="{E8709B69-7024-4E7D-B202-535ADA57F6F9}"/>
    <cellStyle name="Normal 4 4 2 4 2 2 2 6" xfId="38790" xr:uid="{91D03FCB-8E23-4032-8DB2-B51AFCA4BD9E}"/>
    <cellStyle name="Normal 4 4 2 4 2 2 3" xfId="32186" xr:uid="{00000000-0005-0000-0000-000058250000}"/>
    <cellStyle name="Normal 4 4 2 4 2 2 3 2" xfId="32187" xr:uid="{00000000-0005-0000-0000-000059250000}"/>
    <cellStyle name="Normal 4 4 2 4 2 2 3 2 2" xfId="32188" xr:uid="{00000000-0005-0000-0000-00005A250000}"/>
    <cellStyle name="Normal 4 4 2 4 2 2 3 2 2 2" xfId="38799" xr:uid="{0048459A-23ED-413A-ACFE-EFB65D66515B}"/>
    <cellStyle name="Normal 4 4 2 4 2 2 3 2 3" xfId="32189" xr:uid="{00000000-0005-0000-0000-00005B250000}"/>
    <cellStyle name="Normal 4 4 2 4 2 2 3 2 3 2" xfId="38800" xr:uid="{A42B0E0D-0BB1-4C23-8344-F693622F7EBE}"/>
    <cellStyle name="Normal 4 4 2 4 2 2 3 2 4" xfId="38798" xr:uid="{AD12F7E0-6D30-4685-9B89-9F37D5F48580}"/>
    <cellStyle name="Normal 4 4 2 4 2 2 3 3" xfId="32190" xr:uid="{00000000-0005-0000-0000-00005C250000}"/>
    <cellStyle name="Normal 4 4 2 4 2 2 3 3 2" xfId="38801" xr:uid="{447A634D-E54A-436F-85CE-8D1BA24EFAFB}"/>
    <cellStyle name="Normal 4 4 2 4 2 2 3 4" xfId="32191" xr:uid="{00000000-0005-0000-0000-00005D250000}"/>
    <cellStyle name="Normal 4 4 2 4 2 2 3 4 2" xfId="38802" xr:uid="{EA663302-24E5-40F5-8D01-E3F2A04438E5}"/>
    <cellStyle name="Normal 4 4 2 4 2 2 3 5" xfId="32192" xr:uid="{00000000-0005-0000-0000-00005E250000}"/>
    <cellStyle name="Normal 4 4 2 4 2 2 3 5 2" xfId="38803" xr:uid="{83177D55-B8F1-4747-9049-BBD134BE87F6}"/>
    <cellStyle name="Normal 4 4 2 4 2 2 3 6" xfId="38797" xr:uid="{53B23060-A47A-483D-BE56-79A169CE2B2A}"/>
    <cellStyle name="Normal 4 4 2 4 2 2 4" xfId="32193" xr:uid="{00000000-0005-0000-0000-00005F250000}"/>
    <cellStyle name="Normal 4 4 2 4 2 2 4 2" xfId="32194" xr:uid="{00000000-0005-0000-0000-000060250000}"/>
    <cellStyle name="Normal 4 4 2 4 2 2 4 2 2" xfId="38805" xr:uid="{3DB7CC21-1612-465D-9974-EB092C97B35E}"/>
    <cellStyle name="Normal 4 4 2 4 2 2 4 3" xfId="32195" xr:uid="{00000000-0005-0000-0000-000061250000}"/>
    <cellStyle name="Normal 4 4 2 4 2 2 4 3 2" xfId="38806" xr:uid="{69537BCF-BF8A-4A6E-BB87-2769EBAD19F2}"/>
    <cellStyle name="Normal 4 4 2 4 2 2 4 4" xfId="38804" xr:uid="{14C752F1-F6E7-4810-A2F4-EC9836B413D1}"/>
    <cellStyle name="Normal 4 4 2 4 2 2 5" xfId="32196" xr:uid="{00000000-0005-0000-0000-000062250000}"/>
    <cellStyle name="Normal 4 4 2 4 2 2 5 2" xfId="38807" xr:uid="{4A24C153-4590-4F9D-ABCA-A7DB547FB146}"/>
    <cellStyle name="Normal 4 4 2 4 2 2 6" xfId="32197" xr:uid="{00000000-0005-0000-0000-000063250000}"/>
    <cellStyle name="Normal 4 4 2 4 2 2 6 2" xfId="38808" xr:uid="{BAB1DC42-0256-4B4E-B7FF-34EFD4C18F26}"/>
    <cellStyle name="Normal 4 4 2 4 2 2 7" xfId="32198" xr:uid="{00000000-0005-0000-0000-000064250000}"/>
    <cellStyle name="Normal 4 4 2 4 2 2 7 2" xfId="38809" xr:uid="{B8A3DB8C-7430-41EA-9CDF-4972850CF4CC}"/>
    <cellStyle name="Normal 4 4 2 4 2 2 8" xfId="38789" xr:uid="{05E5D2E4-7B29-479B-BEDC-6A3B3BAA39F9}"/>
    <cellStyle name="Normal 4 4 2 4 2 3" xfId="32199" xr:uid="{00000000-0005-0000-0000-000065250000}"/>
    <cellStyle name="Normal 4 4 2 4 2 3 2" xfId="32200" xr:uid="{00000000-0005-0000-0000-000066250000}"/>
    <cellStyle name="Normal 4 4 2 4 2 3 2 2" xfId="32201" xr:uid="{00000000-0005-0000-0000-000067250000}"/>
    <cellStyle name="Normal 4 4 2 4 2 3 2 2 2" xfId="38812" xr:uid="{9146E731-6407-4BA3-91E7-2AFED5A2E219}"/>
    <cellStyle name="Normal 4 4 2 4 2 3 2 3" xfId="32202" xr:uid="{00000000-0005-0000-0000-000068250000}"/>
    <cellStyle name="Normal 4 4 2 4 2 3 2 3 2" xfId="38813" xr:uid="{7903656D-CE4E-49A0-B2C5-46880545D6C4}"/>
    <cellStyle name="Normal 4 4 2 4 2 3 2 4" xfId="38811" xr:uid="{FFB4F383-21FB-4071-A39A-5074875DFC49}"/>
    <cellStyle name="Normal 4 4 2 4 2 3 3" xfId="32203" xr:uid="{00000000-0005-0000-0000-000069250000}"/>
    <cellStyle name="Normal 4 4 2 4 2 3 3 2" xfId="38814" xr:uid="{2B148491-35F5-4223-98BE-60BE02D98506}"/>
    <cellStyle name="Normal 4 4 2 4 2 3 4" xfId="32204" xr:uid="{00000000-0005-0000-0000-00006A250000}"/>
    <cellStyle name="Normal 4 4 2 4 2 3 4 2" xfId="38815" xr:uid="{9BE0486A-F593-417A-B76B-D1D547524FE7}"/>
    <cellStyle name="Normal 4 4 2 4 2 3 5" xfId="32205" xr:uid="{00000000-0005-0000-0000-00006B250000}"/>
    <cellStyle name="Normal 4 4 2 4 2 3 5 2" xfId="38816" xr:uid="{44C85C3A-346E-481B-977D-A47D22C500FB}"/>
    <cellStyle name="Normal 4 4 2 4 2 3 6" xfId="38810" xr:uid="{9B940759-3448-4500-90A1-9EAD63A1DDFD}"/>
    <cellStyle name="Normal 4 4 2 4 2 4" xfId="32206" xr:uid="{00000000-0005-0000-0000-00006C250000}"/>
    <cellStyle name="Normal 4 4 2 4 2 4 2" xfId="32207" xr:uid="{00000000-0005-0000-0000-00006D250000}"/>
    <cellStyle name="Normal 4 4 2 4 2 4 2 2" xfId="32208" xr:uid="{00000000-0005-0000-0000-00006E250000}"/>
    <cellStyle name="Normal 4 4 2 4 2 4 2 2 2" xfId="38819" xr:uid="{47D47101-9E1F-4BEB-99EE-EE0006C6A005}"/>
    <cellStyle name="Normal 4 4 2 4 2 4 2 3" xfId="32209" xr:uid="{00000000-0005-0000-0000-00006F250000}"/>
    <cellStyle name="Normal 4 4 2 4 2 4 2 3 2" xfId="38820" xr:uid="{351AF9F8-BCA3-4046-A122-EF3F3ADF965D}"/>
    <cellStyle name="Normal 4 4 2 4 2 4 2 4" xfId="38818" xr:uid="{524C01EC-06B5-4544-97C6-985EA166382F}"/>
    <cellStyle name="Normal 4 4 2 4 2 4 3" xfId="32210" xr:uid="{00000000-0005-0000-0000-000070250000}"/>
    <cellStyle name="Normal 4 4 2 4 2 4 3 2" xfId="38821" xr:uid="{83070E91-0877-4467-927B-F7CC3187F246}"/>
    <cellStyle name="Normal 4 4 2 4 2 4 4" xfId="32211" xr:uid="{00000000-0005-0000-0000-000071250000}"/>
    <cellStyle name="Normal 4 4 2 4 2 4 4 2" xfId="38822" xr:uid="{FE247FD5-C85C-41A9-B807-D20073F52E1B}"/>
    <cellStyle name="Normal 4 4 2 4 2 4 5" xfId="32212" xr:uid="{00000000-0005-0000-0000-000072250000}"/>
    <cellStyle name="Normal 4 4 2 4 2 4 5 2" xfId="38823" xr:uid="{B76C63C8-D14B-47E9-8579-A3011AAB5223}"/>
    <cellStyle name="Normal 4 4 2 4 2 4 6" xfId="38817" xr:uid="{0D8531C1-3429-401F-8B86-3E9BF8CF2E2F}"/>
    <cellStyle name="Normal 4 4 2 4 2 5" xfId="32213" xr:uid="{00000000-0005-0000-0000-000073250000}"/>
    <cellStyle name="Normal 4 4 2 4 2 5 2" xfId="32214" xr:uid="{00000000-0005-0000-0000-000074250000}"/>
    <cellStyle name="Normal 4 4 2 4 2 5 2 2" xfId="38825" xr:uid="{325655F2-8D47-4831-82A1-8E8018178906}"/>
    <cellStyle name="Normal 4 4 2 4 2 5 3" xfId="32215" xr:uid="{00000000-0005-0000-0000-000075250000}"/>
    <cellStyle name="Normal 4 4 2 4 2 5 3 2" xfId="38826" xr:uid="{404D874B-D43C-42C9-893B-72C86861C106}"/>
    <cellStyle name="Normal 4 4 2 4 2 5 4" xfId="38824" xr:uid="{F39CBDC8-87EF-4D80-B80E-B2B3963FCB5C}"/>
    <cellStyle name="Normal 4 4 2 4 2 6" xfId="32216" xr:uid="{00000000-0005-0000-0000-000076250000}"/>
    <cellStyle name="Normal 4 4 2 4 2 6 2" xfId="38827" xr:uid="{F9205110-3D7E-405C-AA96-C96857F6DE59}"/>
    <cellStyle name="Normal 4 4 2 4 2 7" xfId="32217" xr:uid="{00000000-0005-0000-0000-000077250000}"/>
    <cellStyle name="Normal 4 4 2 4 2 7 2" xfId="38828" xr:uid="{49E835BD-B9C1-45EF-ADFE-99610BD51172}"/>
    <cellStyle name="Normal 4 4 2 4 2 8" xfId="32218" xr:uid="{00000000-0005-0000-0000-000078250000}"/>
    <cellStyle name="Normal 4 4 2 4 2 8 2" xfId="38829" xr:uid="{99AFD06A-E9CF-4478-AE23-F140B86BC3EC}"/>
    <cellStyle name="Normal 4 4 2 4 2 9" xfId="38788" xr:uid="{4086ADCD-A2FF-4BCE-AD3D-667C1B5DBDDF}"/>
    <cellStyle name="Normal 4 4 2 4 3" xfId="32219" xr:uid="{00000000-0005-0000-0000-000079250000}"/>
    <cellStyle name="Normal 4 4 2 4 3 2" xfId="32220" xr:uid="{00000000-0005-0000-0000-00007A250000}"/>
    <cellStyle name="Normal 4 4 2 4 3 2 2" xfId="32221" xr:uid="{00000000-0005-0000-0000-00007B250000}"/>
    <cellStyle name="Normal 4 4 2 4 3 2 2 2" xfId="32222" xr:uid="{00000000-0005-0000-0000-00007C250000}"/>
    <cellStyle name="Normal 4 4 2 4 3 2 2 2 2" xfId="38833" xr:uid="{1773E3B6-6E1C-4876-8EEE-CDD8F9460792}"/>
    <cellStyle name="Normal 4 4 2 4 3 2 2 3" xfId="32223" xr:uid="{00000000-0005-0000-0000-00007D250000}"/>
    <cellStyle name="Normal 4 4 2 4 3 2 2 3 2" xfId="38834" xr:uid="{AF549ABE-E209-4DF0-8EE0-9D73713B1AD2}"/>
    <cellStyle name="Normal 4 4 2 4 3 2 2 4" xfId="38832" xr:uid="{485832D1-2C35-442D-8E50-BC39851BAED5}"/>
    <cellStyle name="Normal 4 4 2 4 3 2 3" xfId="32224" xr:uid="{00000000-0005-0000-0000-00007E250000}"/>
    <cellStyle name="Normal 4 4 2 4 3 2 3 2" xfId="38835" xr:uid="{9017C3DA-94FF-4B53-AF64-B8C883A75059}"/>
    <cellStyle name="Normal 4 4 2 4 3 2 4" xfId="32225" xr:uid="{00000000-0005-0000-0000-00007F250000}"/>
    <cellStyle name="Normal 4 4 2 4 3 2 4 2" xfId="38836" xr:uid="{E8464856-CE33-4A73-8381-E1A085D7A2E4}"/>
    <cellStyle name="Normal 4 4 2 4 3 2 5" xfId="32226" xr:uid="{00000000-0005-0000-0000-000080250000}"/>
    <cellStyle name="Normal 4 4 2 4 3 2 5 2" xfId="38837" xr:uid="{CB2E00CB-BF81-4748-A82E-1AFA31A4695B}"/>
    <cellStyle name="Normal 4 4 2 4 3 2 6" xfId="38831" xr:uid="{22F9A112-6100-4CE9-A5C4-C71E66BF68DC}"/>
    <cellStyle name="Normal 4 4 2 4 3 3" xfId="32227" xr:uid="{00000000-0005-0000-0000-000081250000}"/>
    <cellStyle name="Normal 4 4 2 4 3 3 2" xfId="32228" xr:uid="{00000000-0005-0000-0000-000082250000}"/>
    <cellStyle name="Normal 4 4 2 4 3 3 2 2" xfId="32229" xr:uid="{00000000-0005-0000-0000-000083250000}"/>
    <cellStyle name="Normal 4 4 2 4 3 3 2 2 2" xfId="38840" xr:uid="{7366951B-708F-4808-B9FA-C9C7F0257655}"/>
    <cellStyle name="Normal 4 4 2 4 3 3 2 3" xfId="32230" xr:uid="{00000000-0005-0000-0000-000084250000}"/>
    <cellStyle name="Normal 4 4 2 4 3 3 2 3 2" xfId="38841" xr:uid="{6C0AFE4C-48D0-44BF-A40F-18EF05E6B053}"/>
    <cellStyle name="Normal 4 4 2 4 3 3 2 4" xfId="38839" xr:uid="{08B32278-BFCE-422F-BDA1-DA1B0E3AC2EB}"/>
    <cellStyle name="Normal 4 4 2 4 3 3 3" xfId="32231" xr:uid="{00000000-0005-0000-0000-000085250000}"/>
    <cellStyle name="Normal 4 4 2 4 3 3 3 2" xfId="38842" xr:uid="{55F7C71B-BAD6-4182-9529-406F6578854C}"/>
    <cellStyle name="Normal 4 4 2 4 3 3 4" xfId="32232" xr:uid="{00000000-0005-0000-0000-000086250000}"/>
    <cellStyle name="Normal 4 4 2 4 3 3 4 2" xfId="38843" xr:uid="{30ADFFD5-5AB3-4E61-B5F2-B0A330FF477D}"/>
    <cellStyle name="Normal 4 4 2 4 3 3 5" xfId="32233" xr:uid="{00000000-0005-0000-0000-000087250000}"/>
    <cellStyle name="Normal 4 4 2 4 3 3 5 2" xfId="38844" xr:uid="{13FC3DC4-33B1-4E0E-A107-23C9FA053C3C}"/>
    <cellStyle name="Normal 4 4 2 4 3 3 6" xfId="38838" xr:uid="{69833B78-463C-4A74-8E3D-CE898037C9B6}"/>
    <cellStyle name="Normal 4 4 2 4 3 4" xfId="32234" xr:uid="{00000000-0005-0000-0000-000088250000}"/>
    <cellStyle name="Normal 4 4 2 4 3 4 2" xfId="32235" xr:uid="{00000000-0005-0000-0000-000089250000}"/>
    <cellStyle name="Normal 4 4 2 4 3 4 2 2" xfId="38846" xr:uid="{879B05B0-AD0A-4EFF-8A1B-E437638F0555}"/>
    <cellStyle name="Normal 4 4 2 4 3 4 3" xfId="32236" xr:uid="{00000000-0005-0000-0000-00008A250000}"/>
    <cellStyle name="Normal 4 4 2 4 3 4 3 2" xfId="38847" xr:uid="{713282A5-1CF7-4E0B-A9FE-9B473E6D311F}"/>
    <cellStyle name="Normal 4 4 2 4 3 4 4" xfId="38845" xr:uid="{3E4CFFD0-594B-4AC8-9FAB-D466E96753FF}"/>
    <cellStyle name="Normal 4 4 2 4 3 5" xfId="32237" xr:uid="{00000000-0005-0000-0000-00008B250000}"/>
    <cellStyle name="Normal 4 4 2 4 3 5 2" xfId="38848" xr:uid="{68A5C080-3E9A-4E96-BC04-F3EC0A7EE026}"/>
    <cellStyle name="Normal 4 4 2 4 3 6" xfId="32238" xr:uid="{00000000-0005-0000-0000-00008C250000}"/>
    <cellStyle name="Normal 4 4 2 4 3 6 2" xfId="38849" xr:uid="{A0D3AB87-3DB3-4278-B7E2-3539C9E678C2}"/>
    <cellStyle name="Normal 4 4 2 4 3 7" xfId="32239" xr:uid="{00000000-0005-0000-0000-00008D250000}"/>
    <cellStyle name="Normal 4 4 2 4 3 7 2" xfId="38850" xr:uid="{DD517D36-EBC0-4A5D-9AA6-9BEAB85E4352}"/>
    <cellStyle name="Normal 4 4 2 4 3 8" xfId="38830" xr:uid="{9C4D6E17-D6E2-4CC3-91D0-7A43986CC7A7}"/>
    <cellStyle name="Normal 4 4 2 4 4" xfId="32240" xr:uid="{00000000-0005-0000-0000-00008E250000}"/>
    <cellStyle name="Normal 4 4 2 4 4 2" xfId="32241" xr:uid="{00000000-0005-0000-0000-00008F250000}"/>
    <cellStyle name="Normal 4 4 2 4 4 2 2" xfId="32242" xr:uid="{00000000-0005-0000-0000-000090250000}"/>
    <cellStyle name="Normal 4 4 2 4 4 2 2 2" xfId="38853" xr:uid="{69ED0BF2-25C8-4698-86AF-BCDA21F617F9}"/>
    <cellStyle name="Normal 4 4 2 4 4 2 3" xfId="32243" xr:uid="{00000000-0005-0000-0000-000091250000}"/>
    <cellStyle name="Normal 4 4 2 4 4 2 3 2" xfId="38854" xr:uid="{5A0EEDAB-BF8E-47DE-AF9F-EA2F9445F7D8}"/>
    <cellStyle name="Normal 4 4 2 4 4 2 4" xfId="38852" xr:uid="{360955E7-D235-4A11-B3FB-23C43F1F8EF2}"/>
    <cellStyle name="Normal 4 4 2 4 4 3" xfId="32244" xr:uid="{00000000-0005-0000-0000-000092250000}"/>
    <cellStyle name="Normal 4 4 2 4 4 3 2" xfId="38855" xr:uid="{E9B647E4-03C4-4E4F-A7CE-56068143B1A8}"/>
    <cellStyle name="Normal 4 4 2 4 4 4" xfId="32245" xr:uid="{00000000-0005-0000-0000-000093250000}"/>
    <cellStyle name="Normal 4 4 2 4 4 4 2" xfId="38856" xr:uid="{6B1CBD7D-B122-46A4-9066-BD2AE2170C26}"/>
    <cellStyle name="Normal 4 4 2 4 4 5" xfId="32246" xr:uid="{00000000-0005-0000-0000-000094250000}"/>
    <cellStyle name="Normal 4 4 2 4 4 5 2" xfId="38857" xr:uid="{E90CAD7F-F718-4A9F-8C26-0BF35518342F}"/>
    <cellStyle name="Normal 4 4 2 4 4 6" xfId="38851" xr:uid="{6F6A36A4-74B5-4B1A-8F75-79CCFD573CA0}"/>
    <cellStyle name="Normal 4 4 2 4 5" xfId="32247" xr:uid="{00000000-0005-0000-0000-000095250000}"/>
    <cellStyle name="Normal 4 4 2 4 5 2" xfId="32248" xr:uid="{00000000-0005-0000-0000-000096250000}"/>
    <cellStyle name="Normal 4 4 2 4 5 2 2" xfId="32249" xr:uid="{00000000-0005-0000-0000-000097250000}"/>
    <cellStyle name="Normal 4 4 2 4 5 2 2 2" xfId="38860" xr:uid="{0476592B-2AD3-4866-B062-C37132AEFF78}"/>
    <cellStyle name="Normal 4 4 2 4 5 2 3" xfId="32250" xr:uid="{00000000-0005-0000-0000-000098250000}"/>
    <cellStyle name="Normal 4 4 2 4 5 2 3 2" xfId="38861" xr:uid="{15E0AA68-AA8A-4442-B901-615277E365A8}"/>
    <cellStyle name="Normal 4 4 2 4 5 2 4" xfId="38859" xr:uid="{CC5E0455-5ADE-4F4F-8F63-183B8D0FCA27}"/>
    <cellStyle name="Normal 4 4 2 4 5 3" xfId="32251" xr:uid="{00000000-0005-0000-0000-000099250000}"/>
    <cellStyle name="Normal 4 4 2 4 5 3 2" xfId="38862" xr:uid="{5D099BC6-A014-4590-9C13-2DD37623B972}"/>
    <cellStyle name="Normal 4 4 2 4 5 4" xfId="32252" xr:uid="{00000000-0005-0000-0000-00009A250000}"/>
    <cellStyle name="Normal 4 4 2 4 5 4 2" xfId="38863" xr:uid="{E4A4A2E9-C1F9-4E08-99E2-718C7FFAE968}"/>
    <cellStyle name="Normal 4 4 2 4 5 5" xfId="32253" xr:uid="{00000000-0005-0000-0000-00009B250000}"/>
    <cellStyle name="Normal 4 4 2 4 5 5 2" xfId="38864" xr:uid="{0F925218-843E-4F26-919D-7FFD6906C95B}"/>
    <cellStyle name="Normal 4 4 2 4 5 6" xfId="38858" xr:uid="{561D5BE8-30D3-4D13-AD6A-19A5AF37FD75}"/>
    <cellStyle name="Normal 4 4 2 4 6" xfId="32254" xr:uid="{00000000-0005-0000-0000-00009C250000}"/>
    <cellStyle name="Normal 4 4 2 4 6 2" xfId="32255" xr:uid="{00000000-0005-0000-0000-00009D250000}"/>
    <cellStyle name="Normal 4 4 2 4 6 2 2" xfId="38866" xr:uid="{D5F0C2AB-C961-4F6D-BDC4-E0E3C4AAF988}"/>
    <cellStyle name="Normal 4 4 2 4 6 3" xfId="32256" xr:uid="{00000000-0005-0000-0000-00009E250000}"/>
    <cellStyle name="Normal 4 4 2 4 6 3 2" xfId="38867" xr:uid="{6EB4DAFC-B354-428F-B446-2461A739A076}"/>
    <cellStyle name="Normal 4 4 2 4 6 4" xfId="38865" xr:uid="{48B86DBC-0481-4BC0-9307-8F4353BE1BA3}"/>
    <cellStyle name="Normal 4 4 2 4 7" xfId="32257" xr:uid="{00000000-0005-0000-0000-00009F250000}"/>
    <cellStyle name="Normal 4 4 2 4 7 2" xfId="38868" xr:uid="{5BDEA7AA-9809-49B3-B641-6C52FC4C1D90}"/>
    <cellStyle name="Normal 4 4 2 4 8" xfId="32258" xr:uid="{00000000-0005-0000-0000-0000A0250000}"/>
    <cellStyle name="Normal 4 4 2 4 8 2" xfId="38869" xr:uid="{5A7135AF-DBC0-4C46-B7B9-10BD908C8E5B}"/>
    <cellStyle name="Normal 4 4 2 4 9" xfId="32259" xr:uid="{00000000-0005-0000-0000-0000A1250000}"/>
    <cellStyle name="Normal 4 4 2 4 9 2" xfId="38870" xr:uid="{A8F2886B-341C-4B6F-B5A3-891701C3B457}"/>
    <cellStyle name="Normal 4 4 2 5" xfId="32260" xr:uid="{00000000-0005-0000-0000-0000A2250000}"/>
    <cellStyle name="Normal 4 4 2 5 2" xfId="32261" xr:uid="{00000000-0005-0000-0000-0000A3250000}"/>
    <cellStyle name="Normal 4 4 2 5 2 2" xfId="32262" xr:uid="{00000000-0005-0000-0000-0000A4250000}"/>
    <cellStyle name="Normal 4 4 2 5 2 2 2" xfId="32263" xr:uid="{00000000-0005-0000-0000-0000A5250000}"/>
    <cellStyle name="Normal 4 4 2 5 2 2 2 2" xfId="32264" xr:uid="{00000000-0005-0000-0000-0000A6250000}"/>
    <cellStyle name="Normal 4 4 2 5 2 2 2 2 2" xfId="38875" xr:uid="{DA8CAD96-D20E-4796-9F6D-1FF4AE394E0C}"/>
    <cellStyle name="Normal 4 4 2 5 2 2 2 3" xfId="32265" xr:uid="{00000000-0005-0000-0000-0000A7250000}"/>
    <cellStyle name="Normal 4 4 2 5 2 2 2 3 2" xfId="38876" xr:uid="{E75F2C59-C663-459A-81CF-791C0670A765}"/>
    <cellStyle name="Normal 4 4 2 5 2 2 2 4" xfId="38874" xr:uid="{F18156EC-E3EE-4C43-95C9-CE1F1E0A4851}"/>
    <cellStyle name="Normal 4 4 2 5 2 2 3" xfId="32266" xr:uid="{00000000-0005-0000-0000-0000A8250000}"/>
    <cellStyle name="Normal 4 4 2 5 2 2 3 2" xfId="38877" xr:uid="{F2F2F700-4ADB-4F6E-B331-7A456243007E}"/>
    <cellStyle name="Normal 4 4 2 5 2 2 4" xfId="32267" xr:uid="{00000000-0005-0000-0000-0000A9250000}"/>
    <cellStyle name="Normal 4 4 2 5 2 2 4 2" xfId="38878" xr:uid="{4A58C11B-FC99-49A2-BDD9-75813BFCD818}"/>
    <cellStyle name="Normal 4 4 2 5 2 2 5" xfId="32268" xr:uid="{00000000-0005-0000-0000-0000AA250000}"/>
    <cellStyle name="Normal 4 4 2 5 2 2 5 2" xfId="38879" xr:uid="{7589E4CB-C07E-4F42-9C7A-16271D6454DA}"/>
    <cellStyle name="Normal 4 4 2 5 2 2 6" xfId="38873" xr:uid="{B0354A1F-6E63-42B7-A817-D9970C788661}"/>
    <cellStyle name="Normal 4 4 2 5 2 3" xfId="32269" xr:uid="{00000000-0005-0000-0000-0000AB250000}"/>
    <cellStyle name="Normal 4 4 2 5 2 3 2" xfId="32270" xr:uid="{00000000-0005-0000-0000-0000AC250000}"/>
    <cellStyle name="Normal 4 4 2 5 2 3 2 2" xfId="32271" xr:uid="{00000000-0005-0000-0000-0000AD250000}"/>
    <cellStyle name="Normal 4 4 2 5 2 3 2 2 2" xfId="38882" xr:uid="{9A77F910-AB70-487A-B8CF-44E5199804E0}"/>
    <cellStyle name="Normal 4 4 2 5 2 3 2 3" xfId="32272" xr:uid="{00000000-0005-0000-0000-0000AE250000}"/>
    <cellStyle name="Normal 4 4 2 5 2 3 2 3 2" xfId="38883" xr:uid="{C0D4ED0D-DF82-48B4-892D-F0FECC3C60C5}"/>
    <cellStyle name="Normal 4 4 2 5 2 3 2 4" xfId="38881" xr:uid="{84E45B39-1B76-413A-A429-7C629AB9C09C}"/>
    <cellStyle name="Normal 4 4 2 5 2 3 3" xfId="32273" xr:uid="{00000000-0005-0000-0000-0000AF250000}"/>
    <cellStyle name="Normal 4 4 2 5 2 3 3 2" xfId="38884" xr:uid="{869ACFA3-42CB-4868-8456-E8AADB3BA79B}"/>
    <cellStyle name="Normal 4 4 2 5 2 3 4" xfId="32274" xr:uid="{00000000-0005-0000-0000-0000B0250000}"/>
    <cellStyle name="Normal 4 4 2 5 2 3 4 2" xfId="38885" xr:uid="{23F878A0-AC4A-479F-9B01-8F83F5D70F3A}"/>
    <cellStyle name="Normal 4 4 2 5 2 3 5" xfId="32275" xr:uid="{00000000-0005-0000-0000-0000B1250000}"/>
    <cellStyle name="Normal 4 4 2 5 2 3 5 2" xfId="38886" xr:uid="{B44C9C30-65B2-4138-B8C3-D29161206A75}"/>
    <cellStyle name="Normal 4 4 2 5 2 3 6" xfId="38880" xr:uid="{B192B684-43A7-4CDD-B197-D5FCC47C165B}"/>
    <cellStyle name="Normal 4 4 2 5 2 4" xfId="32276" xr:uid="{00000000-0005-0000-0000-0000B2250000}"/>
    <cellStyle name="Normal 4 4 2 5 2 4 2" xfId="32277" xr:uid="{00000000-0005-0000-0000-0000B3250000}"/>
    <cellStyle name="Normal 4 4 2 5 2 4 2 2" xfId="38888" xr:uid="{B4C8A36E-A2F4-49AC-96EA-F05FC7D82F94}"/>
    <cellStyle name="Normal 4 4 2 5 2 4 3" xfId="32278" xr:uid="{00000000-0005-0000-0000-0000B4250000}"/>
    <cellStyle name="Normal 4 4 2 5 2 4 3 2" xfId="38889" xr:uid="{771B7E91-B22A-4EA4-9D75-997604BA3E69}"/>
    <cellStyle name="Normal 4 4 2 5 2 4 4" xfId="38887" xr:uid="{750384A8-AB69-4556-8E3B-330FCF3C3DA1}"/>
    <cellStyle name="Normal 4 4 2 5 2 5" xfId="32279" xr:uid="{00000000-0005-0000-0000-0000B5250000}"/>
    <cellStyle name="Normal 4 4 2 5 2 5 2" xfId="38890" xr:uid="{EE7DE0A2-6DF1-4740-9BE2-0B6795B1E1AE}"/>
    <cellStyle name="Normal 4 4 2 5 2 6" xfId="32280" xr:uid="{00000000-0005-0000-0000-0000B6250000}"/>
    <cellStyle name="Normal 4 4 2 5 2 6 2" xfId="38891" xr:uid="{A4EB15BC-6D06-465D-A2D2-38BE161ACE85}"/>
    <cellStyle name="Normal 4 4 2 5 2 7" xfId="32281" xr:uid="{00000000-0005-0000-0000-0000B7250000}"/>
    <cellStyle name="Normal 4 4 2 5 2 7 2" xfId="38892" xr:uid="{EA1211E2-C996-4633-AD88-AF08892F99E3}"/>
    <cellStyle name="Normal 4 4 2 5 2 8" xfId="38872" xr:uid="{9C15F520-1805-4951-AADD-BA3152AA7211}"/>
    <cellStyle name="Normal 4 4 2 5 3" xfId="32282" xr:uid="{00000000-0005-0000-0000-0000B8250000}"/>
    <cellStyle name="Normal 4 4 2 5 3 2" xfId="32283" xr:uid="{00000000-0005-0000-0000-0000B9250000}"/>
    <cellStyle name="Normal 4 4 2 5 3 2 2" xfId="32284" xr:uid="{00000000-0005-0000-0000-0000BA250000}"/>
    <cellStyle name="Normal 4 4 2 5 3 2 2 2" xfId="38895" xr:uid="{EF7D8E66-C327-4A8B-B414-A5F4D19E33FB}"/>
    <cellStyle name="Normal 4 4 2 5 3 2 3" xfId="32285" xr:uid="{00000000-0005-0000-0000-0000BB250000}"/>
    <cellStyle name="Normal 4 4 2 5 3 2 3 2" xfId="38896" xr:uid="{F970B505-C127-4E5B-89FA-978DE6EA8041}"/>
    <cellStyle name="Normal 4 4 2 5 3 2 4" xfId="38894" xr:uid="{74E25A80-4077-4382-BB8D-3F2DB66BDF0E}"/>
    <cellStyle name="Normal 4 4 2 5 3 3" xfId="32286" xr:uid="{00000000-0005-0000-0000-0000BC250000}"/>
    <cellStyle name="Normal 4 4 2 5 3 3 2" xfId="38897" xr:uid="{C5C98423-AEB8-4BDF-8818-A836BE1E5BDA}"/>
    <cellStyle name="Normal 4 4 2 5 3 4" xfId="32287" xr:uid="{00000000-0005-0000-0000-0000BD250000}"/>
    <cellStyle name="Normal 4 4 2 5 3 4 2" xfId="38898" xr:uid="{79535F1C-B8AA-4971-B47A-467499D7FE6E}"/>
    <cellStyle name="Normal 4 4 2 5 3 5" xfId="32288" xr:uid="{00000000-0005-0000-0000-0000BE250000}"/>
    <cellStyle name="Normal 4 4 2 5 3 5 2" xfId="38899" xr:uid="{D89F5CAD-6F78-4319-B355-0C7C354E1353}"/>
    <cellStyle name="Normal 4 4 2 5 3 6" xfId="38893" xr:uid="{A9100D92-85F2-4BA0-8EA1-D75A72869D99}"/>
    <cellStyle name="Normal 4 4 2 5 4" xfId="32289" xr:uid="{00000000-0005-0000-0000-0000BF250000}"/>
    <cellStyle name="Normal 4 4 2 5 4 2" xfId="32290" xr:uid="{00000000-0005-0000-0000-0000C0250000}"/>
    <cellStyle name="Normal 4 4 2 5 4 2 2" xfId="32291" xr:uid="{00000000-0005-0000-0000-0000C1250000}"/>
    <cellStyle name="Normal 4 4 2 5 4 2 2 2" xfId="38902" xr:uid="{1C01F700-594C-4022-B2DE-C4023729BD26}"/>
    <cellStyle name="Normal 4 4 2 5 4 2 3" xfId="32292" xr:uid="{00000000-0005-0000-0000-0000C2250000}"/>
    <cellStyle name="Normal 4 4 2 5 4 2 3 2" xfId="38903" xr:uid="{36C33889-FB6C-419F-9D0D-531C05863017}"/>
    <cellStyle name="Normal 4 4 2 5 4 2 4" xfId="38901" xr:uid="{C1E05596-198B-4562-B3AD-A82AE2AC3F95}"/>
    <cellStyle name="Normal 4 4 2 5 4 3" xfId="32293" xr:uid="{00000000-0005-0000-0000-0000C3250000}"/>
    <cellStyle name="Normal 4 4 2 5 4 3 2" xfId="38904" xr:uid="{AA3CF47E-B527-474F-9FA2-EEDD29458501}"/>
    <cellStyle name="Normal 4 4 2 5 4 4" xfId="32294" xr:uid="{00000000-0005-0000-0000-0000C4250000}"/>
    <cellStyle name="Normal 4 4 2 5 4 4 2" xfId="38905" xr:uid="{944724C2-9928-4D83-BC6B-D9DA0EB56EA4}"/>
    <cellStyle name="Normal 4 4 2 5 4 5" xfId="32295" xr:uid="{00000000-0005-0000-0000-0000C5250000}"/>
    <cellStyle name="Normal 4 4 2 5 4 5 2" xfId="38906" xr:uid="{DF463E09-14B9-4DB3-8BD8-57ED64902429}"/>
    <cellStyle name="Normal 4 4 2 5 4 6" xfId="38900" xr:uid="{6717337B-8CDD-4502-89AF-B78ABF1A3E13}"/>
    <cellStyle name="Normal 4 4 2 5 5" xfId="32296" xr:uid="{00000000-0005-0000-0000-0000C6250000}"/>
    <cellStyle name="Normal 4 4 2 5 5 2" xfId="32297" xr:uid="{00000000-0005-0000-0000-0000C7250000}"/>
    <cellStyle name="Normal 4 4 2 5 5 2 2" xfId="38908" xr:uid="{F4F39FE4-CC6D-4929-8F8B-FE5F2202B508}"/>
    <cellStyle name="Normal 4 4 2 5 5 3" xfId="32298" xr:uid="{00000000-0005-0000-0000-0000C8250000}"/>
    <cellStyle name="Normal 4 4 2 5 5 3 2" xfId="38909" xr:uid="{9391C6D2-0A34-426F-94EF-42467F5AF408}"/>
    <cellStyle name="Normal 4 4 2 5 5 4" xfId="38907" xr:uid="{3A82815E-A636-430A-BB23-D16A8B938FE1}"/>
    <cellStyle name="Normal 4 4 2 5 6" xfId="32299" xr:uid="{00000000-0005-0000-0000-0000C9250000}"/>
    <cellStyle name="Normal 4 4 2 5 6 2" xfId="38910" xr:uid="{3F7E66F8-4474-46E2-9494-6450594D939D}"/>
    <cellStyle name="Normal 4 4 2 5 7" xfId="32300" xr:uid="{00000000-0005-0000-0000-0000CA250000}"/>
    <cellStyle name="Normal 4 4 2 5 7 2" xfId="38911" xr:uid="{B0464B77-B7AD-431B-8BAF-B0BB13B06A67}"/>
    <cellStyle name="Normal 4 4 2 5 8" xfId="32301" xr:uid="{00000000-0005-0000-0000-0000CB250000}"/>
    <cellStyle name="Normal 4 4 2 5 8 2" xfId="38912" xr:uid="{F7759775-FCB1-4BE1-8CC9-6A7A5D17B319}"/>
    <cellStyle name="Normal 4 4 2 5 9" xfId="38871" xr:uid="{F677CC2B-9DCC-4A6A-958D-C5DE48FBA478}"/>
    <cellStyle name="Normal 4 4 2 6" xfId="32302" xr:uid="{00000000-0005-0000-0000-0000CC250000}"/>
    <cellStyle name="Normal 4 4 2 6 2" xfId="32303" xr:uid="{00000000-0005-0000-0000-0000CD250000}"/>
    <cellStyle name="Normal 4 4 2 6 2 2" xfId="32304" xr:uid="{00000000-0005-0000-0000-0000CE250000}"/>
    <cellStyle name="Normal 4 4 2 6 2 2 2" xfId="32305" xr:uid="{00000000-0005-0000-0000-0000CF250000}"/>
    <cellStyle name="Normal 4 4 2 6 2 2 2 2" xfId="38916" xr:uid="{52967E00-CDC6-4157-BF86-3D73D7D34285}"/>
    <cellStyle name="Normal 4 4 2 6 2 2 3" xfId="32306" xr:uid="{00000000-0005-0000-0000-0000D0250000}"/>
    <cellStyle name="Normal 4 4 2 6 2 2 3 2" xfId="38917" xr:uid="{EDB4BC90-12E1-4598-9E1F-9780D96FBD8D}"/>
    <cellStyle name="Normal 4 4 2 6 2 2 4" xfId="38915" xr:uid="{947AC024-A277-467B-89F3-F5D0EBA1488C}"/>
    <cellStyle name="Normal 4 4 2 6 2 3" xfId="32307" xr:uid="{00000000-0005-0000-0000-0000D1250000}"/>
    <cellStyle name="Normal 4 4 2 6 2 3 2" xfId="38918" xr:uid="{6554F550-26AF-4059-8BA3-8C9C7ACC568A}"/>
    <cellStyle name="Normal 4 4 2 6 2 4" xfId="32308" xr:uid="{00000000-0005-0000-0000-0000D2250000}"/>
    <cellStyle name="Normal 4 4 2 6 2 4 2" xfId="38919" xr:uid="{DDC9D09F-15C9-4548-8A68-DC24AFBEFD45}"/>
    <cellStyle name="Normal 4 4 2 6 2 5" xfId="32309" xr:uid="{00000000-0005-0000-0000-0000D3250000}"/>
    <cellStyle name="Normal 4 4 2 6 2 5 2" xfId="38920" xr:uid="{B4149F1E-8BF9-48CD-94F2-821856A6B5DA}"/>
    <cellStyle name="Normal 4 4 2 6 2 6" xfId="38914" xr:uid="{EFD1C818-D6FD-4BD9-A2D8-1DA314A10534}"/>
    <cellStyle name="Normal 4 4 2 6 3" xfId="32310" xr:uid="{00000000-0005-0000-0000-0000D4250000}"/>
    <cellStyle name="Normal 4 4 2 6 3 2" xfId="32311" xr:uid="{00000000-0005-0000-0000-0000D5250000}"/>
    <cellStyle name="Normal 4 4 2 6 3 2 2" xfId="32312" xr:uid="{00000000-0005-0000-0000-0000D6250000}"/>
    <cellStyle name="Normal 4 4 2 6 3 2 2 2" xfId="38923" xr:uid="{E9CE1154-5338-4533-A64D-1A87D05D644B}"/>
    <cellStyle name="Normal 4 4 2 6 3 2 3" xfId="32313" xr:uid="{00000000-0005-0000-0000-0000D7250000}"/>
    <cellStyle name="Normal 4 4 2 6 3 2 3 2" xfId="38924" xr:uid="{5468A58A-F31E-4DA2-8687-ED87CE15ED1F}"/>
    <cellStyle name="Normal 4 4 2 6 3 2 4" xfId="38922" xr:uid="{618029A4-ECE4-460B-91E2-AD44F6643EC7}"/>
    <cellStyle name="Normal 4 4 2 6 3 3" xfId="32314" xr:uid="{00000000-0005-0000-0000-0000D8250000}"/>
    <cellStyle name="Normal 4 4 2 6 3 3 2" xfId="38925" xr:uid="{E2A7B5F7-562B-4B52-9883-B1415F354E08}"/>
    <cellStyle name="Normal 4 4 2 6 3 4" xfId="32315" xr:uid="{00000000-0005-0000-0000-0000D9250000}"/>
    <cellStyle name="Normal 4 4 2 6 3 4 2" xfId="38926" xr:uid="{76BE4571-B269-41A8-90C5-C062DE68A7CB}"/>
    <cellStyle name="Normal 4 4 2 6 3 5" xfId="32316" xr:uid="{00000000-0005-0000-0000-0000DA250000}"/>
    <cellStyle name="Normal 4 4 2 6 3 5 2" xfId="38927" xr:uid="{A0FDEC7C-BF43-45A5-B88D-DB4AE912F4A8}"/>
    <cellStyle name="Normal 4 4 2 6 3 6" xfId="38921" xr:uid="{84C66114-D5CE-47AD-9024-322A18D2B02D}"/>
    <cellStyle name="Normal 4 4 2 6 4" xfId="32317" xr:uid="{00000000-0005-0000-0000-0000DB250000}"/>
    <cellStyle name="Normal 4 4 2 6 4 2" xfId="32318" xr:uid="{00000000-0005-0000-0000-0000DC250000}"/>
    <cellStyle name="Normal 4 4 2 6 4 2 2" xfId="38929" xr:uid="{D16C46CD-3C93-46E5-A81A-639EC7FA7BEE}"/>
    <cellStyle name="Normal 4 4 2 6 4 3" xfId="32319" xr:uid="{00000000-0005-0000-0000-0000DD250000}"/>
    <cellStyle name="Normal 4 4 2 6 4 3 2" xfId="38930" xr:uid="{0DB8F4AB-8C46-40F7-9F81-4A53BC3530AF}"/>
    <cellStyle name="Normal 4 4 2 6 4 4" xfId="38928" xr:uid="{671CF27A-F0BB-4B3D-971C-D6FC59E51965}"/>
    <cellStyle name="Normal 4 4 2 6 5" xfId="32320" xr:uid="{00000000-0005-0000-0000-0000DE250000}"/>
    <cellStyle name="Normal 4 4 2 6 5 2" xfId="38931" xr:uid="{BACA6DE1-A0EF-4D56-B3E8-F7F71EDD00EC}"/>
    <cellStyle name="Normal 4 4 2 6 6" xfId="32321" xr:uid="{00000000-0005-0000-0000-0000DF250000}"/>
    <cellStyle name="Normal 4 4 2 6 6 2" xfId="38932" xr:uid="{79055256-97F3-49C0-8D96-52227A30FF00}"/>
    <cellStyle name="Normal 4 4 2 6 7" xfId="32322" xr:uid="{00000000-0005-0000-0000-0000E0250000}"/>
    <cellStyle name="Normal 4 4 2 6 7 2" xfId="38933" xr:uid="{DC29FC23-E98D-45B6-ABA9-D68423A1E59E}"/>
    <cellStyle name="Normal 4 4 2 6 8" xfId="38913" xr:uid="{6DEE6075-E29D-4E2D-B9FF-867E7893400F}"/>
    <cellStyle name="Normal 4 4 2 7" xfId="32323" xr:uid="{00000000-0005-0000-0000-0000E1250000}"/>
    <cellStyle name="Normal 4 4 2 7 2" xfId="32324" xr:uid="{00000000-0005-0000-0000-0000E2250000}"/>
    <cellStyle name="Normal 4 4 2 7 2 2" xfId="32325" xr:uid="{00000000-0005-0000-0000-0000E3250000}"/>
    <cellStyle name="Normal 4 4 2 7 2 2 2" xfId="32326" xr:uid="{00000000-0005-0000-0000-0000E4250000}"/>
    <cellStyle name="Normal 4 4 2 7 2 2 2 2" xfId="38937" xr:uid="{78FD364B-3ED3-4F24-9C03-367CC910F9BB}"/>
    <cellStyle name="Normal 4 4 2 7 2 2 3" xfId="32327" xr:uid="{00000000-0005-0000-0000-0000E5250000}"/>
    <cellStyle name="Normal 4 4 2 7 2 2 3 2" xfId="38938" xr:uid="{CC1681C3-DEED-42D1-B942-088BB80A2B8E}"/>
    <cellStyle name="Normal 4 4 2 7 2 2 4" xfId="38936" xr:uid="{019DAD29-44D8-4210-86E8-3D5A190046E2}"/>
    <cellStyle name="Normal 4 4 2 7 2 3" xfId="32328" xr:uid="{00000000-0005-0000-0000-0000E6250000}"/>
    <cellStyle name="Normal 4 4 2 7 2 3 2" xfId="38939" xr:uid="{0B67E2D2-55FA-4C8F-B364-F59724F4F090}"/>
    <cellStyle name="Normal 4 4 2 7 2 4" xfId="32329" xr:uid="{00000000-0005-0000-0000-0000E7250000}"/>
    <cellStyle name="Normal 4 4 2 7 2 4 2" xfId="38940" xr:uid="{5EC9CFF8-7FAE-4097-9F4F-FACF01DB72FD}"/>
    <cellStyle name="Normal 4 4 2 7 2 5" xfId="32330" xr:uid="{00000000-0005-0000-0000-0000E8250000}"/>
    <cellStyle name="Normal 4 4 2 7 2 5 2" xfId="38941" xr:uid="{39A224C3-DB9D-4BEA-A90A-413757C074D4}"/>
    <cellStyle name="Normal 4 4 2 7 2 6" xfId="38935" xr:uid="{DEA0DE13-B977-4F76-B376-E840AE85E17E}"/>
    <cellStyle name="Normal 4 4 2 7 3" xfId="32331" xr:uid="{00000000-0005-0000-0000-0000E9250000}"/>
    <cellStyle name="Normal 4 4 2 7 3 2" xfId="32332" xr:uid="{00000000-0005-0000-0000-0000EA250000}"/>
    <cellStyle name="Normal 4 4 2 7 3 2 2" xfId="32333" xr:uid="{00000000-0005-0000-0000-0000EB250000}"/>
    <cellStyle name="Normal 4 4 2 7 3 2 2 2" xfId="38944" xr:uid="{D7068704-C72C-42A0-B664-33E7803710A8}"/>
    <cellStyle name="Normal 4 4 2 7 3 2 3" xfId="32334" xr:uid="{00000000-0005-0000-0000-0000EC250000}"/>
    <cellStyle name="Normal 4 4 2 7 3 2 3 2" xfId="38945" xr:uid="{917401A4-95FE-447D-BADE-57C11477A73C}"/>
    <cellStyle name="Normal 4 4 2 7 3 2 4" xfId="38943" xr:uid="{B2D4FAAE-539D-40ED-BC0C-A7B37A98123B}"/>
    <cellStyle name="Normal 4 4 2 7 3 3" xfId="32335" xr:uid="{00000000-0005-0000-0000-0000ED250000}"/>
    <cellStyle name="Normal 4 4 2 7 3 3 2" xfId="38946" xr:uid="{13820CC6-5E47-4D2B-8A75-8A4B1C9ACC39}"/>
    <cellStyle name="Normal 4 4 2 7 3 4" xfId="32336" xr:uid="{00000000-0005-0000-0000-0000EE250000}"/>
    <cellStyle name="Normal 4 4 2 7 3 4 2" xfId="38947" xr:uid="{93B4EABB-252D-4ECD-9731-3457DB3EAE4B}"/>
    <cellStyle name="Normal 4 4 2 7 3 5" xfId="32337" xr:uid="{00000000-0005-0000-0000-0000EF250000}"/>
    <cellStyle name="Normal 4 4 2 7 3 5 2" xfId="38948" xr:uid="{C02BED08-C6DF-42BC-B360-EF7F4D7A767C}"/>
    <cellStyle name="Normal 4 4 2 7 3 6" xfId="38942" xr:uid="{295E9433-DA65-4AB3-860E-023B6C62B84E}"/>
    <cellStyle name="Normal 4 4 2 7 4" xfId="32338" xr:uid="{00000000-0005-0000-0000-0000F0250000}"/>
    <cellStyle name="Normal 4 4 2 7 4 2" xfId="32339" xr:uid="{00000000-0005-0000-0000-0000F1250000}"/>
    <cellStyle name="Normal 4 4 2 7 4 2 2" xfId="38950" xr:uid="{16E1A739-4236-46A8-8B4F-BCB3B6E57805}"/>
    <cellStyle name="Normal 4 4 2 7 4 3" xfId="32340" xr:uid="{00000000-0005-0000-0000-0000F2250000}"/>
    <cellStyle name="Normal 4 4 2 7 4 3 2" xfId="38951" xr:uid="{0CA71BBE-06C6-4898-AC94-17D89679EC1C}"/>
    <cellStyle name="Normal 4 4 2 7 4 4" xfId="38949" xr:uid="{BAE4F77A-5F20-4739-84E1-D33890AA87A0}"/>
    <cellStyle name="Normal 4 4 2 7 5" xfId="32341" xr:uid="{00000000-0005-0000-0000-0000F3250000}"/>
    <cellStyle name="Normal 4 4 2 7 5 2" xfId="38952" xr:uid="{6977E312-B5CB-4DCA-B33B-FEC9ECEC895C}"/>
    <cellStyle name="Normal 4 4 2 7 6" xfId="32342" xr:uid="{00000000-0005-0000-0000-0000F4250000}"/>
    <cellStyle name="Normal 4 4 2 7 6 2" xfId="38953" xr:uid="{28ADEA3C-F1EB-4480-B005-C528AA4AD747}"/>
    <cellStyle name="Normal 4 4 2 7 7" xfId="32343" xr:uid="{00000000-0005-0000-0000-0000F5250000}"/>
    <cellStyle name="Normal 4 4 2 7 7 2" xfId="38954" xr:uid="{8B38C055-BC29-4548-BD1E-45AF9EB2AD30}"/>
    <cellStyle name="Normal 4 4 2 7 8" xfId="38934" xr:uid="{44636C7B-0405-45CD-891C-136EA53E7EED}"/>
    <cellStyle name="Normal 4 4 2 8" xfId="32344" xr:uid="{00000000-0005-0000-0000-0000F6250000}"/>
    <cellStyle name="Normal 4 4 2 8 2" xfId="32345" xr:uid="{00000000-0005-0000-0000-0000F7250000}"/>
    <cellStyle name="Normal 4 4 2 8 2 2" xfId="32346" xr:uid="{00000000-0005-0000-0000-0000F8250000}"/>
    <cellStyle name="Normal 4 4 2 8 2 2 2" xfId="38957" xr:uid="{FE11A5EA-310B-4B5B-84CD-2AB469A3319C}"/>
    <cellStyle name="Normal 4 4 2 8 2 3" xfId="32347" xr:uid="{00000000-0005-0000-0000-0000F9250000}"/>
    <cellStyle name="Normal 4 4 2 8 2 3 2" xfId="38958" xr:uid="{8C0FD212-206A-4DD8-8882-4C05101DC4C3}"/>
    <cellStyle name="Normal 4 4 2 8 2 4" xfId="38956" xr:uid="{31C2133A-931A-4255-9531-152B98E96D7F}"/>
    <cellStyle name="Normal 4 4 2 8 3" xfId="32348" xr:uid="{00000000-0005-0000-0000-0000FA250000}"/>
    <cellStyle name="Normal 4 4 2 8 3 2" xfId="38959" xr:uid="{4AF946FA-D214-4D70-B058-0E6C5D0FC809}"/>
    <cellStyle name="Normal 4 4 2 8 4" xfId="32349" xr:uid="{00000000-0005-0000-0000-0000FB250000}"/>
    <cellStyle name="Normal 4 4 2 8 4 2" xfId="38960" xr:uid="{D896CA06-C579-4AD5-BF3C-41C0A948FE8E}"/>
    <cellStyle name="Normal 4 4 2 8 5" xfId="32350" xr:uid="{00000000-0005-0000-0000-0000FC250000}"/>
    <cellStyle name="Normal 4 4 2 8 5 2" xfId="38961" xr:uid="{B3AA5A46-3023-470F-A5E6-3939F680A6A0}"/>
    <cellStyle name="Normal 4 4 2 8 6" xfId="38955" xr:uid="{EF7C22A8-9AF5-49B2-B8D0-121864BE26D5}"/>
    <cellStyle name="Normal 4 4 2 9" xfId="32351" xr:uid="{00000000-0005-0000-0000-0000FD250000}"/>
    <cellStyle name="Normal 4 4 2 9 2" xfId="32352" xr:uid="{00000000-0005-0000-0000-0000FE250000}"/>
    <cellStyle name="Normal 4 4 2 9 2 2" xfId="32353" xr:uid="{00000000-0005-0000-0000-0000FF250000}"/>
    <cellStyle name="Normal 4 4 2 9 2 2 2" xfId="38964" xr:uid="{1D5C192A-CF32-4F7C-B3AA-1BC953F9F672}"/>
    <cellStyle name="Normal 4 4 2 9 2 3" xfId="32354" xr:uid="{00000000-0005-0000-0000-000000260000}"/>
    <cellStyle name="Normal 4 4 2 9 2 3 2" xfId="38965" xr:uid="{4BA897B3-AC97-4585-9439-E83BA1A8096E}"/>
    <cellStyle name="Normal 4 4 2 9 2 4" xfId="38963" xr:uid="{A57A96E2-4FF1-4AE3-B1B0-E8019EF6AD09}"/>
    <cellStyle name="Normal 4 4 2 9 3" xfId="32355" xr:uid="{00000000-0005-0000-0000-000001260000}"/>
    <cellStyle name="Normal 4 4 2 9 3 2" xfId="38966" xr:uid="{CE3AC61F-04B4-437E-84A3-743A76FCFEB4}"/>
    <cellStyle name="Normal 4 4 2 9 4" xfId="32356" xr:uid="{00000000-0005-0000-0000-000002260000}"/>
    <cellStyle name="Normal 4 4 2 9 4 2" xfId="38967" xr:uid="{48C607F1-379D-4FAA-86EB-E79B57BD3FE5}"/>
    <cellStyle name="Normal 4 4 2 9 5" xfId="32357" xr:uid="{00000000-0005-0000-0000-000003260000}"/>
    <cellStyle name="Normal 4 4 2 9 5 2" xfId="38968" xr:uid="{E22831B1-A8F3-4D4D-8EC3-A24166D0AB1E}"/>
    <cellStyle name="Normal 4 4 2 9 6" xfId="38962" xr:uid="{BD5ED515-424A-4A70-8DEC-41B270A6DA4F}"/>
    <cellStyle name="Normal 4 4 3" xfId="32358" xr:uid="{00000000-0005-0000-0000-000004260000}"/>
    <cellStyle name="Normal 4 4 3 10" xfId="38969" xr:uid="{60CBCFA8-CBDF-46BC-BB04-D6055A3100FD}"/>
    <cellStyle name="Normal 4 4 3 2" xfId="32359" xr:uid="{00000000-0005-0000-0000-000005260000}"/>
    <cellStyle name="Normal 4 4 3 2 2" xfId="32360" xr:uid="{00000000-0005-0000-0000-000006260000}"/>
    <cellStyle name="Normal 4 4 3 2 2 2" xfId="32361" xr:uid="{00000000-0005-0000-0000-000007260000}"/>
    <cellStyle name="Normal 4 4 3 2 2 2 2" xfId="32362" xr:uid="{00000000-0005-0000-0000-000008260000}"/>
    <cellStyle name="Normal 4 4 3 2 2 2 2 2" xfId="32363" xr:uid="{00000000-0005-0000-0000-000009260000}"/>
    <cellStyle name="Normal 4 4 3 2 2 2 2 2 2" xfId="38974" xr:uid="{4E32A859-DC35-4E21-94F0-62E58BFCCDB5}"/>
    <cellStyle name="Normal 4 4 3 2 2 2 2 3" xfId="32364" xr:uid="{00000000-0005-0000-0000-00000A260000}"/>
    <cellStyle name="Normal 4 4 3 2 2 2 2 3 2" xfId="38975" xr:uid="{2FBDAA99-F856-44F8-B78D-EC07ECBFB8E4}"/>
    <cellStyle name="Normal 4 4 3 2 2 2 2 4" xfId="38973" xr:uid="{B62BD974-C639-4FD8-997B-A010946B8D3E}"/>
    <cellStyle name="Normal 4 4 3 2 2 2 3" xfId="32365" xr:uid="{00000000-0005-0000-0000-00000B260000}"/>
    <cellStyle name="Normal 4 4 3 2 2 2 3 2" xfId="38976" xr:uid="{6C7B9163-B116-4C86-A8CD-B983B5C156B8}"/>
    <cellStyle name="Normal 4 4 3 2 2 2 4" xfId="32366" xr:uid="{00000000-0005-0000-0000-00000C260000}"/>
    <cellStyle name="Normal 4 4 3 2 2 2 4 2" xfId="38977" xr:uid="{4F6516C8-5E75-485D-88EC-2943501794EE}"/>
    <cellStyle name="Normal 4 4 3 2 2 2 5" xfId="32367" xr:uid="{00000000-0005-0000-0000-00000D260000}"/>
    <cellStyle name="Normal 4 4 3 2 2 2 5 2" xfId="38978" xr:uid="{6AA8A72B-1AAD-4F8F-A881-5B1AB87052F5}"/>
    <cellStyle name="Normal 4 4 3 2 2 2 6" xfId="38972" xr:uid="{9026DFCB-3318-419C-BDD5-E6A9E2CDEA09}"/>
    <cellStyle name="Normal 4 4 3 2 2 3" xfId="32368" xr:uid="{00000000-0005-0000-0000-00000E260000}"/>
    <cellStyle name="Normal 4 4 3 2 2 3 2" xfId="32369" xr:uid="{00000000-0005-0000-0000-00000F260000}"/>
    <cellStyle name="Normal 4 4 3 2 2 3 2 2" xfId="32370" xr:uid="{00000000-0005-0000-0000-000010260000}"/>
    <cellStyle name="Normal 4 4 3 2 2 3 2 2 2" xfId="38981" xr:uid="{E779C315-52EB-4DF8-8512-68A505FD8F5D}"/>
    <cellStyle name="Normal 4 4 3 2 2 3 2 3" xfId="32371" xr:uid="{00000000-0005-0000-0000-000011260000}"/>
    <cellStyle name="Normal 4 4 3 2 2 3 2 3 2" xfId="38982" xr:uid="{4EC4805C-57A4-435B-877A-902FB9DCF5E1}"/>
    <cellStyle name="Normal 4 4 3 2 2 3 2 4" xfId="38980" xr:uid="{C29E6EAA-FAF0-4847-AB06-726FCF211366}"/>
    <cellStyle name="Normal 4 4 3 2 2 3 3" xfId="32372" xr:uid="{00000000-0005-0000-0000-000012260000}"/>
    <cellStyle name="Normal 4 4 3 2 2 3 3 2" xfId="38983" xr:uid="{EB1C5BB1-71E2-4DA7-8523-C236F5886C7D}"/>
    <cellStyle name="Normal 4 4 3 2 2 3 4" xfId="32373" xr:uid="{00000000-0005-0000-0000-000013260000}"/>
    <cellStyle name="Normal 4 4 3 2 2 3 4 2" xfId="38984" xr:uid="{EF477A71-2D0D-4B6E-8874-815C49E7E6CE}"/>
    <cellStyle name="Normal 4 4 3 2 2 3 5" xfId="32374" xr:uid="{00000000-0005-0000-0000-000014260000}"/>
    <cellStyle name="Normal 4 4 3 2 2 3 5 2" xfId="38985" xr:uid="{13EC0590-3F11-4736-9866-ED108D9848A7}"/>
    <cellStyle name="Normal 4 4 3 2 2 3 6" xfId="38979" xr:uid="{7548B69D-F168-40EA-BFA3-21B7F0C96F69}"/>
    <cellStyle name="Normal 4 4 3 2 2 4" xfId="32375" xr:uid="{00000000-0005-0000-0000-000015260000}"/>
    <cellStyle name="Normal 4 4 3 2 2 4 2" xfId="32376" xr:uid="{00000000-0005-0000-0000-000016260000}"/>
    <cellStyle name="Normal 4 4 3 2 2 4 2 2" xfId="38987" xr:uid="{E617D17D-5C85-4CEC-85D8-390C501D517C}"/>
    <cellStyle name="Normal 4 4 3 2 2 4 3" xfId="32377" xr:uid="{00000000-0005-0000-0000-000017260000}"/>
    <cellStyle name="Normal 4 4 3 2 2 4 3 2" xfId="38988" xr:uid="{2525F2CF-D98F-4929-97D9-8751AEAD5C5E}"/>
    <cellStyle name="Normal 4 4 3 2 2 4 4" xfId="38986" xr:uid="{B3A75C71-EBD4-4467-89A7-60C7029C6C06}"/>
    <cellStyle name="Normal 4 4 3 2 2 5" xfId="32378" xr:uid="{00000000-0005-0000-0000-000018260000}"/>
    <cellStyle name="Normal 4 4 3 2 2 5 2" xfId="38989" xr:uid="{A2C6C05C-81A3-4BB4-A511-C53E67E574BC}"/>
    <cellStyle name="Normal 4 4 3 2 2 6" xfId="32379" xr:uid="{00000000-0005-0000-0000-000019260000}"/>
    <cellStyle name="Normal 4 4 3 2 2 6 2" xfId="38990" xr:uid="{5411E85E-F910-40F5-AEFD-DAC58C07EE31}"/>
    <cellStyle name="Normal 4 4 3 2 2 7" xfId="32380" xr:uid="{00000000-0005-0000-0000-00001A260000}"/>
    <cellStyle name="Normal 4 4 3 2 2 7 2" xfId="38991" xr:uid="{CCF86FA7-E93F-4792-9416-7104FFE11B45}"/>
    <cellStyle name="Normal 4 4 3 2 2 8" xfId="38971" xr:uid="{0A0AF39E-1CDC-41D3-8432-1038150E1A70}"/>
    <cellStyle name="Normal 4 4 3 2 3" xfId="32381" xr:uid="{00000000-0005-0000-0000-00001B260000}"/>
    <cellStyle name="Normal 4 4 3 2 3 2" xfId="32382" xr:uid="{00000000-0005-0000-0000-00001C260000}"/>
    <cellStyle name="Normal 4 4 3 2 3 2 2" xfId="32383" xr:uid="{00000000-0005-0000-0000-00001D260000}"/>
    <cellStyle name="Normal 4 4 3 2 3 2 2 2" xfId="38994" xr:uid="{FB6D5620-4D18-4082-964C-F48D788D8C0E}"/>
    <cellStyle name="Normal 4 4 3 2 3 2 3" xfId="32384" xr:uid="{00000000-0005-0000-0000-00001E260000}"/>
    <cellStyle name="Normal 4 4 3 2 3 2 3 2" xfId="38995" xr:uid="{48C84F98-F755-4BF3-9B18-E0D6AE1E57F2}"/>
    <cellStyle name="Normal 4 4 3 2 3 2 4" xfId="38993" xr:uid="{0AE09028-09A7-4430-A448-71D4BEEA4D84}"/>
    <cellStyle name="Normal 4 4 3 2 3 3" xfId="32385" xr:uid="{00000000-0005-0000-0000-00001F260000}"/>
    <cellStyle name="Normal 4 4 3 2 3 3 2" xfId="38996" xr:uid="{4633D680-91CB-4CAC-A13D-2B209968F9B1}"/>
    <cellStyle name="Normal 4 4 3 2 3 4" xfId="32386" xr:uid="{00000000-0005-0000-0000-000020260000}"/>
    <cellStyle name="Normal 4 4 3 2 3 4 2" xfId="38997" xr:uid="{BE9467F9-7BEE-47B0-9AEF-6A7CF6015D43}"/>
    <cellStyle name="Normal 4 4 3 2 3 5" xfId="32387" xr:uid="{00000000-0005-0000-0000-000021260000}"/>
    <cellStyle name="Normal 4 4 3 2 3 5 2" xfId="38998" xr:uid="{D5C3437E-BCDA-4682-AF94-9BBBDC95B5CB}"/>
    <cellStyle name="Normal 4 4 3 2 3 6" xfId="38992" xr:uid="{59FF9428-90CF-4050-AE30-6F13946B2644}"/>
    <cellStyle name="Normal 4 4 3 2 4" xfId="32388" xr:uid="{00000000-0005-0000-0000-000022260000}"/>
    <cellStyle name="Normal 4 4 3 2 4 2" xfId="32389" xr:uid="{00000000-0005-0000-0000-000023260000}"/>
    <cellStyle name="Normal 4 4 3 2 4 2 2" xfId="32390" xr:uid="{00000000-0005-0000-0000-000024260000}"/>
    <cellStyle name="Normal 4 4 3 2 4 2 2 2" xfId="39001" xr:uid="{FA42E3EB-C471-4DEC-8A81-5AC83178085B}"/>
    <cellStyle name="Normal 4 4 3 2 4 2 3" xfId="32391" xr:uid="{00000000-0005-0000-0000-000025260000}"/>
    <cellStyle name="Normal 4 4 3 2 4 2 3 2" xfId="39002" xr:uid="{DF2A62FB-F4E1-469E-8DD9-635F60389C39}"/>
    <cellStyle name="Normal 4 4 3 2 4 2 4" xfId="39000" xr:uid="{73CB6162-2F46-4838-B689-905D1F641D54}"/>
    <cellStyle name="Normal 4 4 3 2 4 3" xfId="32392" xr:uid="{00000000-0005-0000-0000-000026260000}"/>
    <cellStyle name="Normal 4 4 3 2 4 3 2" xfId="39003" xr:uid="{F28A05EE-6956-4C16-83CB-EDF6E6F0545B}"/>
    <cellStyle name="Normal 4 4 3 2 4 4" xfId="32393" xr:uid="{00000000-0005-0000-0000-000027260000}"/>
    <cellStyle name="Normal 4 4 3 2 4 4 2" xfId="39004" xr:uid="{FD9975E5-A7BF-4BE8-A688-0507295045C9}"/>
    <cellStyle name="Normal 4 4 3 2 4 5" xfId="32394" xr:uid="{00000000-0005-0000-0000-000028260000}"/>
    <cellStyle name="Normal 4 4 3 2 4 5 2" xfId="39005" xr:uid="{7185C4AC-529B-4036-96CD-D549E5BACD14}"/>
    <cellStyle name="Normal 4 4 3 2 4 6" xfId="38999" xr:uid="{7940C73D-03C4-49D4-936C-A6D8073FC8F1}"/>
    <cellStyle name="Normal 4 4 3 2 5" xfId="32395" xr:uid="{00000000-0005-0000-0000-000029260000}"/>
    <cellStyle name="Normal 4 4 3 2 5 2" xfId="32396" xr:uid="{00000000-0005-0000-0000-00002A260000}"/>
    <cellStyle name="Normal 4 4 3 2 5 2 2" xfId="39007" xr:uid="{5E99C1E5-EF66-4A0A-B229-60D39A054AE1}"/>
    <cellStyle name="Normal 4 4 3 2 5 3" xfId="32397" xr:uid="{00000000-0005-0000-0000-00002B260000}"/>
    <cellStyle name="Normal 4 4 3 2 5 3 2" xfId="39008" xr:uid="{C98DBBCE-1411-4025-9468-4A892C749751}"/>
    <cellStyle name="Normal 4 4 3 2 5 4" xfId="39006" xr:uid="{11EB36CA-9835-4A5B-8E7A-A9691AF9F0E4}"/>
    <cellStyle name="Normal 4 4 3 2 6" xfId="32398" xr:uid="{00000000-0005-0000-0000-00002C260000}"/>
    <cellStyle name="Normal 4 4 3 2 6 2" xfId="39009" xr:uid="{E1B38696-5593-4E1E-9E25-3D1972019A3D}"/>
    <cellStyle name="Normal 4 4 3 2 7" xfId="32399" xr:uid="{00000000-0005-0000-0000-00002D260000}"/>
    <cellStyle name="Normal 4 4 3 2 7 2" xfId="39010" xr:uid="{A84A25E0-0ED4-4446-B84C-B448E9C1AD8D}"/>
    <cellStyle name="Normal 4 4 3 2 8" xfId="32400" xr:uid="{00000000-0005-0000-0000-00002E260000}"/>
    <cellStyle name="Normal 4 4 3 2 8 2" xfId="39011" xr:uid="{B6215A79-579D-49A2-BCC1-A449DF757E4A}"/>
    <cellStyle name="Normal 4 4 3 2 9" xfId="38970" xr:uid="{83EECB0C-C527-4C73-836F-FF8451BF4424}"/>
    <cellStyle name="Normal 4 4 3 3" xfId="32401" xr:uid="{00000000-0005-0000-0000-00002F260000}"/>
    <cellStyle name="Normal 4 4 3 3 2" xfId="32402" xr:uid="{00000000-0005-0000-0000-000030260000}"/>
    <cellStyle name="Normal 4 4 3 3 2 2" xfId="32403" xr:uid="{00000000-0005-0000-0000-000031260000}"/>
    <cellStyle name="Normal 4 4 3 3 2 2 2" xfId="32404" xr:uid="{00000000-0005-0000-0000-000032260000}"/>
    <cellStyle name="Normal 4 4 3 3 2 2 2 2" xfId="39015" xr:uid="{D2FB7895-46E1-4523-BE19-6B7425357C92}"/>
    <cellStyle name="Normal 4 4 3 3 2 2 3" xfId="32405" xr:uid="{00000000-0005-0000-0000-000033260000}"/>
    <cellStyle name="Normal 4 4 3 3 2 2 3 2" xfId="39016" xr:uid="{37043E76-A182-4D15-BB8E-7C9B15E8F916}"/>
    <cellStyle name="Normal 4 4 3 3 2 2 4" xfId="39014" xr:uid="{F6482B79-979D-4396-8D74-62CCA46C9514}"/>
    <cellStyle name="Normal 4 4 3 3 2 3" xfId="32406" xr:uid="{00000000-0005-0000-0000-000034260000}"/>
    <cellStyle name="Normal 4 4 3 3 2 3 2" xfId="39017" xr:uid="{9F31683F-CEF6-4FAD-96DE-632F7A3B6141}"/>
    <cellStyle name="Normal 4 4 3 3 2 4" xfId="32407" xr:uid="{00000000-0005-0000-0000-000035260000}"/>
    <cellStyle name="Normal 4 4 3 3 2 4 2" xfId="39018" xr:uid="{57B676F5-117E-4FD3-A303-3DBB53B8BB8D}"/>
    <cellStyle name="Normal 4 4 3 3 2 5" xfId="32408" xr:uid="{00000000-0005-0000-0000-000036260000}"/>
    <cellStyle name="Normal 4 4 3 3 2 5 2" xfId="39019" xr:uid="{BE8CB6D8-5FAD-40C9-AC96-2BA86AE1C13D}"/>
    <cellStyle name="Normal 4 4 3 3 2 6" xfId="39013" xr:uid="{F1B0D440-F89A-49F6-B9E7-776F6F4763EB}"/>
    <cellStyle name="Normal 4 4 3 3 3" xfId="32409" xr:uid="{00000000-0005-0000-0000-000037260000}"/>
    <cellStyle name="Normal 4 4 3 3 3 2" xfId="32410" xr:uid="{00000000-0005-0000-0000-000038260000}"/>
    <cellStyle name="Normal 4 4 3 3 3 2 2" xfId="32411" xr:uid="{00000000-0005-0000-0000-000039260000}"/>
    <cellStyle name="Normal 4 4 3 3 3 2 2 2" xfId="39022" xr:uid="{B2C11791-A39E-4798-8E05-74FC9F04667B}"/>
    <cellStyle name="Normal 4 4 3 3 3 2 3" xfId="32412" xr:uid="{00000000-0005-0000-0000-00003A260000}"/>
    <cellStyle name="Normal 4 4 3 3 3 2 3 2" xfId="39023" xr:uid="{1BD0EBF3-1A93-4DE9-9B68-0E4768554B2B}"/>
    <cellStyle name="Normal 4 4 3 3 3 2 4" xfId="39021" xr:uid="{8A54C78B-857D-46A1-B3A0-0216C84CAED1}"/>
    <cellStyle name="Normal 4 4 3 3 3 3" xfId="32413" xr:uid="{00000000-0005-0000-0000-00003B260000}"/>
    <cellStyle name="Normal 4 4 3 3 3 3 2" xfId="39024" xr:uid="{48EAFCA9-C22B-4661-8CDD-49977F7D417B}"/>
    <cellStyle name="Normal 4 4 3 3 3 4" xfId="32414" xr:uid="{00000000-0005-0000-0000-00003C260000}"/>
    <cellStyle name="Normal 4 4 3 3 3 4 2" xfId="39025" xr:uid="{01498BB3-EFB6-41DA-8B74-AA390979DE8B}"/>
    <cellStyle name="Normal 4 4 3 3 3 5" xfId="32415" xr:uid="{00000000-0005-0000-0000-00003D260000}"/>
    <cellStyle name="Normal 4 4 3 3 3 5 2" xfId="39026" xr:uid="{E890C110-7CC8-422A-8FE6-27BC5E19374C}"/>
    <cellStyle name="Normal 4 4 3 3 3 6" xfId="39020" xr:uid="{FE6ACAA2-CB39-4C99-AC38-42A4973A3FCD}"/>
    <cellStyle name="Normal 4 4 3 3 4" xfId="32416" xr:uid="{00000000-0005-0000-0000-00003E260000}"/>
    <cellStyle name="Normal 4 4 3 3 4 2" xfId="32417" xr:uid="{00000000-0005-0000-0000-00003F260000}"/>
    <cellStyle name="Normal 4 4 3 3 4 2 2" xfId="39028" xr:uid="{CA587E94-2999-4B86-AF36-48FCA6C797BD}"/>
    <cellStyle name="Normal 4 4 3 3 4 3" xfId="32418" xr:uid="{00000000-0005-0000-0000-000040260000}"/>
    <cellStyle name="Normal 4 4 3 3 4 3 2" xfId="39029" xr:uid="{4225A29D-FD9F-4A44-A6CA-C4BDCE272D48}"/>
    <cellStyle name="Normal 4 4 3 3 4 4" xfId="39027" xr:uid="{47B02B20-A6C5-4C32-8720-EBB558C67B62}"/>
    <cellStyle name="Normal 4 4 3 3 5" xfId="32419" xr:uid="{00000000-0005-0000-0000-000041260000}"/>
    <cellStyle name="Normal 4 4 3 3 5 2" xfId="39030" xr:uid="{784A94F9-6668-43FF-BE54-10848725C150}"/>
    <cellStyle name="Normal 4 4 3 3 6" xfId="32420" xr:uid="{00000000-0005-0000-0000-000042260000}"/>
    <cellStyle name="Normal 4 4 3 3 6 2" xfId="39031" xr:uid="{039C705A-5160-49F1-A7ED-9974CE2A5EE2}"/>
    <cellStyle name="Normal 4 4 3 3 7" xfId="32421" xr:uid="{00000000-0005-0000-0000-000043260000}"/>
    <cellStyle name="Normal 4 4 3 3 7 2" xfId="39032" xr:uid="{70AA33FE-B92A-4724-AD82-FF9489E0E482}"/>
    <cellStyle name="Normal 4 4 3 3 8" xfId="39012" xr:uid="{1B949B22-9D6D-490D-8AFF-404703E6F5D1}"/>
    <cellStyle name="Normal 4 4 3 4" xfId="32422" xr:uid="{00000000-0005-0000-0000-000044260000}"/>
    <cellStyle name="Normal 4 4 3 4 2" xfId="32423" xr:uid="{00000000-0005-0000-0000-000045260000}"/>
    <cellStyle name="Normal 4 4 3 4 2 2" xfId="32424" xr:uid="{00000000-0005-0000-0000-000046260000}"/>
    <cellStyle name="Normal 4 4 3 4 2 2 2" xfId="39035" xr:uid="{9892BF7D-4F16-40A9-9DFA-6FB5A26FFCC3}"/>
    <cellStyle name="Normal 4 4 3 4 2 3" xfId="32425" xr:uid="{00000000-0005-0000-0000-000047260000}"/>
    <cellStyle name="Normal 4 4 3 4 2 3 2" xfId="39036" xr:uid="{BB875F99-E2F9-4996-8C88-410ABAF335F7}"/>
    <cellStyle name="Normal 4 4 3 4 2 4" xfId="39034" xr:uid="{ADCD8EC0-5232-4C72-95F3-4584AF5661F3}"/>
    <cellStyle name="Normal 4 4 3 4 3" xfId="32426" xr:uid="{00000000-0005-0000-0000-000048260000}"/>
    <cellStyle name="Normal 4 4 3 4 3 2" xfId="39037" xr:uid="{0AE75FCB-AE38-4223-BCF3-808EFCDBD4C7}"/>
    <cellStyle name="Normal 4 4 3 4 4" xfId="32427" xr:uid="{00000000-0005-0000-0000-000049260000}"/>
    <cellStyle name="Normal 4 4 3 4 4 2" xfId="39038" xr:uid="{5313F550-35B9-4BD8-BCFA-1D65CC5370C1}"/>
    <cellStyle name="Normal 4 4 3 4 5" xfId="32428" xr:uid="{00000000-0005-0000-0000-00004A260000}"/>
    <cellStyle name="Normal 4 4 3 4 5 2" xfId="39039" xr:uid="{39F7AA81-676C-462C-9478-C049E5C0821E}"/>
    <cellStyle name="Normal 4 4 3 4 6" xfId="39033" xr:uid="{1DAC27B0-3E0B-4417-8CDC-2409F62E3100}"/>
    <cellStyle name="Normal 4 4 3 5" xfId="32429" xr:uid="{00000000-0005-0000-0000-00004B260000}"/>
    <cellStyle name="Normal 4 4 3 5 2" xfId="32430" xr:uid="{00000000-0005-0000-0000-00004C260000}"/>
    <cellStyle name="Normal 4 4 3 5 2 2" xfId="32431" xr:uid="{00000000-0005-0000-0000-00004D260000}"/>
    <cellStyle name="Normal 4 4 3 5 2 2 2" xfId="39042" xr:uid="{0562A50F-FB03-4F9D-BC84-019BD125D422}"/>
    <cellStyle name="Normal 4 4 3 5 2 3" xfId="32432" xr:uid="{00000000-0005-0000-0000-00004E260000}"/>
    <cellStyle name="Normal 4 4 3 5 2 3 2" xfId="39043" xr:uid="{5B872EE4-5656-4052-BDFD-43165EC40AA2}"/>
    <cellStyle name="Normal 4 4 3 5 2 4" xfId="39041" xr:uid="{B9D5EC14-2390-45FB-92C5-AFCB25650744}"/>
    <cellStyle name="Normal 4 4 3 5 3" xfId="32433" xr:uid="{00000000-0005-0000-0000-00004F260000}"/>
    <cellStyle name="Normal 4 4 3 5 3 2" xfId="39044" xr:uid="{EF618EE0-1E16-4B01-B8F9-8D8C98465E86}"/>
    <cellStyle name="Normal 4 4 3 5 4" xfId="32434" xr:uid="{00000000-0005-0000-0000-000050260000}"/>
    <cellStyle name="Normal 4 4 3 5 4 2" xfId="39045" xr:uid="{01427A95-EF75-4FFB-A0A0-9E9A7196694A}"/>
    <cellStyle name="Normal 4 4 3 5 5" xfId="32435" xr:uid="{00000000-0005-0000-0000-000051260000}"/>
    <cellStyle name="Normal 4 4 3 5 5 2" xfId="39046" xr:uid="{72F12808-CD30-47A2-824B-E2462B903C50}"/>
    <cellStyle name="Normal 4 4 3 5 6" xfId="39040" xr:uid="{8E5BA79B-7109-44CC-AADA-7F809B9C64FB}"/>
    <cellStyle name="Normal 4 4 3 6" xfId="32436" xr:uid="{00000000-0005-0000-0000-000052260000}"/>
    <cellStyle name="Normal 4 4 3 6 2" xfId="32437" xr:uid="{00000000-0005-0000-0000-000053260000}"/>
    <cellStyle name="Normal 4 4 3 6 2 2" xfId="39048" xr:uid="{AD6BFC20-F2E6-4129-B39F-F3AEA0B55017}"/>
    <cellStyle name="Normal 4 4 3 6 3" xfId="32438" xr:uid="{00000000-0005-0000-0000-000054260000}"/>
    <cellStyle name="Normal 4 4 3 6 3 2" xfId="39049" xr:uid="{A8E461BD-42A4-460E-B9C9-B1CC415CB267}"/>
    <cellStyle name="Normal 4 4 3 6 4" xfId="39047" xr:uid="{6104E156-77E8-49B7-8828-C00C196FA4FC}"/>
    <cellStyle name="Normal 4 4 3 7" xfId="32439" xr:uid="{00000000-0005-0000-0000-000055260000}"/>
    <cellStyle name="Normal 4 4 3 7 2" xfId="39050" xr:uid="{F257BF7B-935F-47B9-B78D-C2B564AFBDE3}"/>
    <cellStyle name="Normal 4 4 3 8" xfId="32440" xr:uid="{00000000-0005-0000-0000-000056260000}"/>
    <cellStyle name="Normal 4 4 3 8 2" xfId="39051" xr:uid="{5179AC97-DD91-4930-AB1A-3500896FAA71}"/>
    <cellStyle name="Normal 4 4 3 9" xfId="32441" xr:uid="{00000000-0005-0000-0000-000057260000}"/>
    <cellStyle name="Normal 4 4 3 9 2" xfId="39052" xr:uid="{06E07FED-650C-4622-8C8D-FAFAD2C03BB4}"/>
    <cellStyle name="Normal 4 4 4" xfId="32442" xr:uid="{00000000-0005-0000-0000-000058260000}"/>
    <cellStyle name="Normal 4 4 4 10" xfId="39053" xr:uid="{362F6F17-C90C-484E-A734-130AF390E554}"/>
    <cellStyle name="Normal 4 4 4 2" xfId="32443" xr:uid="{00000000-0005-0000-0000-000059260000}"/>
    <cellStyle name="Normal 4 4 4 2 2" xfId="32444" xr:uid="{00000000-0005-0000-0000-00005A260000}"/>
    <cellStyle name="Normal 4 4 4 2 2 2" xfId="32445" xr:uid="{00000000-0005-0000-0000-00005B260000}"/>
    <cellStyle name="Normal 4 4 4 2 2 2 2" xfId="32446" xr:uid="{00000000-0005-0000-0000-00005C260000}"/>
    <cellStyle name="Normal 4 4 4 2 2 2 2 2" xfId="32447" xr:uid="{00000000-0005-0000-0000-00005D260000}"/>
    <cellStyle name="Normal 4 4 4 2 2 2 2 2 2" xfId="39058" xr:uid="{46A64FA7-DA68-484D-9359-B06AB2FF1580}"/>
    <cellStyle name="Normal 4 4 4 2 2 2 2 3" xfId="32448" xr:uid="{00000000-0005-0000-0000-00005E260000}"/>
    <cellStyle name="Normal 4 4 4 2 2 2 2 3 2" xfId="39059" xr:uid="{84323959-F54D-4AEA-8565-A9BFA2AD6B46}"/>
    <cellStyle name="Normal 4 4 4 2 2 2 2 4" xfId="39057" xr:uid="{453A6A00-CA8C-43AB-9B63-56ED2A672A1A}"/>
    <cellStyle name="Normal 4 4 4 2 2 2 3" xfId="32449" xr:uid="{00000000-0005-0000-0000-00005F260000}"/>
    <cellStyle name="Normal 4 4 4 2 2 2 3 2" xfId="39060" xr:uid="{4DFA4214-55DE-4022-8987-B78959CFDF97}"/>
    <cellStyle name="Normal 4 4 4 2 2 2 4" xfId="32450" xr:uid="{00000000-0005-0000-0000-000060260000}"/>
    <cellStyle name="Normal 4 4 4 2 2 2 4 2" xfId="39061" xr:uid="{75407640-C69E-450B-BED0-B9D23011DFA4}"/>
    <cellStyle name="Normal 4 4 4 2 2 2 5" xfId="32451" xr:uid="{00000000-0005-0000-0000-000061260000}"/>
    <cellStyle name="Normal 4 4 4 2 2 2 5 2" xfId="39062" xr:uid="{A5536E6A-D767-432B-857D-232544A8C99A}"/>
    <cellStyle name="Normal 4 4 4 2 2 2 6" xfId="39056" xr:uid="{E29A9E1E-DFFC-4FC5-AF25-3C25114B94B0}"/>
    <cellStyle name="Normal 4 4 4 2 2 3" xfId="32452" xr:uid="{00000000-0005-0000-0000-000062260000}"/>
    <cellStyle name="Normal 4 4 4 2 2 3 2" xfId="32453" xr:uid="{00000000-0005-0000-0000-000063260000}"/>
    <cellStyle name="Normal 4 4 4 2 2 3 2 2" xfId="32454" xr:uid="{00000000-0005-0000-0000-000064260000}"/>
    <cellStyle name="Normal 4 4 4 2 2 3 2 2 2" xfId="39065" xr:uid="{0E286448-7490-4095-B547-6A63128171F0}"/>
    <cellStyle name="Normal 4 4 4 2 2 3 2 3" xfId="32455" xr:uid="{00000000-0005-0000-0000-000065260000}"/>
    <cellStyle name="Normal 4 4 4 2 2 3 2 3 2" xfId="39066" xr:uid="{717FC3BC-881F-4A2F-AC72-F7B139916CF3}"/>
    <cellStyle name="Normal 4 4 4 2 2 3 2 4" xfId="39064" xr:uid="{DE7F634B-0E82-401B-9E65-53523FCD3A9D}"/>
    <cellStyle name="Normal 4 4 4 2 2 3 3" xfId="32456" xr:uid="{00000000-0005-0000-0000-000066260000}"/>
    <cellStyle name="Normal 4 4 4 2 2 3 3 2" xfId="39067" xr:uid="{7E020694-17F3-4800-8B4F-489256A80378}"/>
    <cellStyle name="Normal 4 4 4 2 2 3 4" xfId="32457" xr:uid="{00000000-0005-0000-0000-000067260000}"/>
    <cellStyle name="Normal 4 4 4 2 2 3 4 2" xfId="39068" xr:uid="{B4D10DC2-F75F-4069-B5B2-9CFD18BAF320}"/>
    <cellStyle name="Normal 4 4 4 2 2 3 5" xfId="32458" xr:uid="{00000000-0005-0000-0000-000068260000}"/>
    <cellStyle name="Normal 4 4 4 2 2 3 5 2" xfId="39069" xr:uid="{D65FBD1C-0371-4C8B-92D5-E79D41D70416}"/>
    <cellStyle name="Normal 4 4 4 2 2 3 6" xfId="39063" xr:uid="{3D3A7B82-DF52-4D75-8A73-B1E51149B517}"/>
    <cellStyle name="Normal 4 4 4 2 2 4" xfId="32459" xr:uid="{00000000-0005-0000-0000-000069260000}"/>
    <cellStyle name="Normal 4 4 4 2 2 4 2" xfId="32460" xr:uid="{00000000-0005-0000-0000-00006A260000}"/>
    <cellStyle name="Normal 4 4 4 2 2 4 2 2" xfId="39071" xr:uid="{17480BB8-2DF2-492E-86D1-3415AB8AD398}"/>
    <cellStyle name="Normal 4 4 4 2 2 4 3" xfId="32461" xr:uid="{00000000-0005-0000-0000-00006B260000}"/>
    <cellStyle name="Normal 4 4 4 2 2 4 3 2" xfId="39072" xr:uid="{B8CD4BAE-3B8B-4F62-B2E5-BD1CF4F6D8AD}"/>
    <cellStyle name="Normal 4 4 4 2 2 4 4" xfId="39070" xr:uid="{F9670054-273B-4587-B9CD-B52A7DE492D9}"/>
    <cellStyle name="Normal 4 4 4 2 2 5" xfId="32462" xr:uid="{00000000-0005-0000-0000-00006C260000}"/>
    <cellStyle name="Normal 4 4 4 2 2 5 2" xfId="39073" xr:uid="{5EDEECC0-D981-4588-95E0-6C5F68419F50}"/>
    <cellStyle name="Normal 4 4 4 2 2 6" xfId="32463" xr:uid="{00000000-0005-0000-0000-00006D260000}"/>
    <cellStyle name="Normal 4 4 4 2 2 6 2" xfId="39074" xr:uid="{D71359AB-8E18-45F4-826B-D85EF3C923F6}"/>
    <cellStyle name="Normal 4 4 4 2 2 7" xfId="32464" xr:uid="{00000000-0005-0000-0000-00006E260000}"/>
    <cellStyle name="Normal 4 4 4 2 2 7 2" xfId="39075" xr:uid="{9E82780C-24AA-4FC8-B289-1EE7A2F97BA7}"/>
    <cellStyle name="Normal 4 4 4 2 2 8" xfId="39055" xr:uid="{0CB4D3A7-50B2-4789-81CD-393F0D904F33}"/>
    <cellStyle name="Normal 4 4 4 2 3" xfId="32465" xr:uid="{00000000-0005-0000-0000-00006F260000}"/>
    <cellStyle name="Normal 4 4 4 2 3 2" xfId="32466" xr:uid="{00000000-0005-0000-0000-000070260000}"/>
    <cellStyle name="Normal 4 4 4 2 3 2 2" xfId="32467" xr:uid="{00000000-0005-0000-0000-000071260000}"/>
    <cellStyle name="Normal 4 4 4 2 3 2 2 2" xfId="39078" xr:uid="{7D41B6FB-0AC6-4479-BACE-777AFA694E4E}"/>
    <cellStyle name="Normal 4 4 4 2 3 2 3" xfId="32468" xr:uid="{00000000-0005-0000-0000-000072260000}"/>
    <cellStyle name="Normal 4 4 4 2 3 2 3 2" xfId="39079" xr:uid="{C0A8A2CC-960E-459F-A44A-6E7F1A2B0E5E}"/>
    <cellStyle name="Normal 4 4 4 2 3 2 4" xfId="39077" xr:uid="{2F2EA170-BC92-49BE-8E69-489EED55FFAE}"/>
    <cellStyle name="Normal 4 4 4 2 3 3" xfId="32469" xr:uid="{00000000-0005-0000-0000-000073260000}"/>
    <cellStyle name="Normal 4 4 4 2 3 3 2" xfId="39080" xr:uid="{FF871398-EA3E-41FF-B447-32CD7545F276}"/>
    <cellStyle name="Normal 4 4 4 2 3 4" xfId="32470" xr:uid="{00000000-0005-0000-0000-000074260000}"/>
    <cellStyle name="Normal 4 4 4 2 3 4 2" xfId="39081" xr:uid="{96C8A1DA-5593-45E1-A733-6218B700A495}"/>
    <cellStyle name="Normal 4 4 4 2 3 5" xfId="32471" xr:uid="{00000000-0005-0000-0000-000075260000}"/>
    <cellStyle name="Normal 4 4 4 2 3 5 2" xfId="39082" xr:uid="{6DD376A4-E4B3-44AE-9CEF-0D4DAC71D3E9}"/>
    <cellStyle name="Normal 4 4 4 2 3 6" xfId="39076" xr:uid="{DD3EEC3F-9B74-4F43-B797-031FCC935E00}"/>
    <cellStyle name="Normal 4 4 4 2 4" xfId="32472" xr:uid="{00000000-0005-0000-0000-000076260000}"/>
    <cellStyle name="Normal 4 4 4 2 4 2" xfId="32473" xr:uid="{00000000-0005-0000-0000-000077260000}"/>
    <cellStyle name="Normal 4 4 4 2 4 2 2" xfId="32474" xr:uid="{00000000-0005-0000-0000-000078260000}"/>
    <cellStyle name="Normal 4 4 4 2 4 2 2 2" xfId="39085" xr:uid="{C6B6B6D9-7AF1-47B5-8805-5EEFE516B86D}"/>
    <cellStyle name="Normal 4 4 4 2 4 2 3" xfId="32475" xr:uid="{00000000-0005-0000-0000-000079260000}"/>
    <cellStyle name="Normal 4 4 4 2 4 2 3 2" xfId="39086" xr:uid="{6998B021-6D47-4A2B-9655-C23D8E3EDD2D}"/>
    <cellStyle name="Normal 4 4 4 2 4 2 4" xfId="39084" xr:uid="{D9D8CB20-BCA9-4580-AAAB-7936C0387A3D}"/>
    <cellStyle name="Normal 4 4 4 2 4 3" xfId="32476" xr:uid="{00000000-0005-0000-0000-00007A260000}"/>
    <cellStyle name="Normal 4 4 4 2 4 3 2" xfId="39087" xr:uid="{22865408-C071-45DF-B2B9-AF96E417066B}"/>
    <cellStyle name="Normal 4 4 4 2 4 4" xfId="32477" xr:uid="{00000000-0005-0000-0000-00007B260000}"/>
    <cellStyle name="Normal 4 4 4 2 4 4 2" xfId="39088" xr:uid="{1D7CB2C8-C301-4B8C-A102-8E67A36A8C35}"/>
    <cellStyle name="Normal 4 4 4 2 4 5" xfId="32478" xr:uid="{00000000-0005-0000-0000-00007C260000}"/>
    <cellStyle name="Normal 4 4 4 2 4 5 2" xfId="39089" xr:uid="{DE4095DE-D0F6-40D2-8EC3-5B94FEC51B2E}"/>
    <cellStyle name="Normal 4 4 4 2 4 6" xfId="39083" xr:uid="{7D675978-0E32-4442-A2E8-3287ACA11F5D}"/>
    <cellStyle name="Normal 4 4 4 2 5" xfId="32479" xr:uid="{00000000-0005-0000-0000-00007D260000}"/>
    <cellStyle name="Normal 4 4 4 2 5 2" xfId="32480" xr:uid="{00000000-0005-0000-0000-00007E260000}"/>
    <cellStyle name="Normal 4 4 4 2 5 2 2" xfId="39091" xr:uid="{EB22295F-FA4A-41FB-9D52-6C67FFD45561}"/>
    <cellStyle name="Normal 4 4 4 2 5 3" xfId="32481" xr:uid="{00000000-0005-0000-0000-00007F260000}"/>
    <cellStyle name="Normal 4 4 4 2 5 3 2" xfId="39092" xr:uid="{68ABDDCA-F5C5-449C-9DF9-FC859D86480C}"/>
    <cellStyle name="Normal 4 4 4 2 5 4" xfId="39090" xr:uid="{FC42AD42-8628-4B4A-A203-AEEC39218B19}"/>
    <cellStyle name="Normal 4 4 4 2 6" xfId="32482" xr:uid="{00000000-0005-0000-0000-000080260000}"/>
    <cellStyle name="Normal 4 4 4 2 6 2" xfId="39093" xr:uid="{97B01E33-2772-45CD-971A-F162FADA3BE4}"/>
    <cellStyle name="Normal 4 4 4 2 7" xfId="32483" xr:uid="{00000000-0005-0000-0000-000081260000}"/>
    <cellStyle name="Normal 4 4 4 2 7 2" xfId="39094" xr:uid="{C1D9721E-50E5-4FCC-9D76-C9CCFA1279B5}"/>
    <cellStyle name="Normal 4 4 4 2 8" xfId="32484" xr:uid="{00000000-0005-0000-0000-000082260000}"/>
    <cellStyle name="Normal 4 4 4 2 8 2" xfId="39095" xr:uid="{852E0E86-8DF5-4DEE-8881-ECC980661F8B}"/>
    <cellStyle name="Normal 4 4 4 2 9" xfId="39054" xr:uid="{F938F4B3-5560-4F10-8F5F-60C9ADFAEFAC}"/>
    <cellStyle name="Normal 4 4 4 3" xfId="32485" xr:uid="{00000000-0005-0000-0000-000083260000}"/>
    <cellStyle name="Normal 4 4 4 3 2" xfId="39097" xr:uid="{07C76BD7-9230-4241-BC24-D6B21AF2C931}"/>
    <cellStyle name="Normal 4 4 4 3 2 2" xfId="39098" xr:uid="{7195FB2C-48FF-4C2B-9DDF-04D401C4FF02}"/>
    <cellStyle name="Normal 4 4 4 3 2 2 2" xfId="39099" xr:uid="{7CBE7772-4978-4E01-9FCD-844FEEC3BB76}"/>
    <cellStyle name="Normal 4 4 4 3 2 2 3" xfId="39100" xr:uid="{DD780730-22D6-413C-8E38-6185505942D8}"/>
    <cellStyle name="Normal 4 4 4 3 2 3" xfId="39101" xr:uid="{BCDB8663-1FB2-4828-AE9C-4F4D30DB7D60}"/>
    <cellStyle name="Normal 4 4 4 3 2 4" xfId="39102" xr:uid="{3A23ACC1-19B3-4F91-8913-4376994A9D46}"/>
    <cellStyle name="Normal 4 4 4 3 2 5" xfId="39103" xr:uid="{829F9A81-88E9-4FF0-B121-ED9019F56B77}"/>
    <cellStyle name="Normal 4 4 4 3 3" xfId="39104" xr:uid="{7EEA9141-96F9-4D18-AFCB-3783C77BBE6D}"/>
    <cellStyle name="Normal 4 4 4 3 3 2" xfId="39105" xr:uid="{28AA3D19-928E-48CC-B398-8D80DB74B791}"/>
    <cellStyle name="Normal 4 4 4 3 3 2 2" xfId="39106" xr:uid="{E855318E-1EDA-4CD2-9282-D35444876C58}"/>
    <cellStyle name="Normal 4 4 4 3 3 2 3" xfId="39107" xr:uid="{84900642-22D2-4061-BDE4-8E5C420D98D4}"/>
    <cellStyle name="Normal 4 4 4 3 3 3" xfId="39108" xr:uid="{F32C3140-CE14-4B0F-84BD-41EBDBB3D08B}"/>
    <cellStyle name="Normal 4 4 4 3 3 4" xfId="39109" xr:uid="{2361C653-7F00-4684-8175-74D5434F08BB}"/>
    <cellStyle name="Normal 4 4 4 3 3 5" xfId="39110" xr:uid="{75E1E7B3-7026-4C20-B212-9B1A2C1E5D0B}"/>
    <cellStyle name="Normal 4 4 4 3 4" xfId="39111" xr:uid="{B4CAEFE2-E632-4F73-A295-6DC4EE3573C3}"/>
    <cellStyle name="Normal 4 4 4 3 4 2" xfId="39112" xr:uid="{26206290-4506-4C15-BCB3-D3AF3C8695A4}"/>
    <cellStyle name="Normal 4 4 4 3 4 3" xfId="39113" xr:uid="{41A1BB8D-4A95-4708-AC0C-79ABF0E57245}"/>
    <cellStyle name="Normal 4 4 4 3 5" xfId="39114" xr:uid="{AAF1B12D-94A1-4677-A487-5A7E981B6C72}"/>
    <cellStyle name="Normal 4 4 4 3 6" xfId="39115" xr:uid="{2A820A4F-44C3-4A96-858A-BAB5A878D1E2}"/>
    <cellStyle name="Normal 4 4 4 3 7" xfId="39116" xr:uid="{DEF5D060-A86E-4913-8D5C-981FDC314A82}"/>
    <cellStyle name="Normal 4 4 4 3 8" xfId="39096" xr:uid="{0EBE213D-7E11-4589-8C2B-A63FDBA67518}"/>
    <cellStyle name="Normal 4 4 4 4" xfId="39117" xr:uid="{3249AE78-9194-4F7C-BB04-8306BFD50FC1}"/>
    <cellStyle name="Normal 4 4 4 4 2" xfId="39118" xr:uid="{D75E4BBE-C777-4A56-9EE5-1B5D555FA6A3}"/>
    <cellStyle name="Normal 4 4 4 4 2 2" xfId="39119" xr:uid="{93149B7E-4E9D-4A9E-83DD-6BF9D1E099F2}"/>
    <cellStyle name="Normal 4 4 4 4 2 3" xfId="39120" xr:uid="{A2B02073-2FFB-48A3-971C-B62218772369}"/>
    <cellStyle name="Normal 4 4 4 4 3" xfId="39121" xr:uid="{4829001D-8374-4E1A-B0B7-844FFE0037D3}"/>
    <cellStyle name="Normal 4 4 4 4 4" xfId="39122" xr:uid="{509DD87A-0808-49A0-9826-CF4EA3AE6E35}"/>
    <cellStyle name="Normal 4 4 4 4 5" xfId="39123" xr:uid="{530F9F06-FE62-438A-9A00-655460949F1F}"/>
    <cellStyle name="Normal 4 4 4 5" xfId="39124" xr:uid="{D7EBDEFB-8FDD-410E-A6A8-CA12751B04D7}"/>
    <cellStyle name="Normal 4 4 4 5 2" xfId="39125" xr:uid="{9F7A287E-6D49-4146-82C5-BFDC008CF4B5}"/>
    <cellStyle name="Normal 4 4 4 5 2 2" xfId="39126" xr:uid="{03C2B91D-C954-4B56-AC0D-18AA848EE9AB}"/>
    <cellStyle name="Normal 4 4 4 5 2 3" xfId="39127" xr:uid="{A790BE6B-914D-4043-A68F-38D1D0D2A3FF}"/>
    <cellStyle name="Normal 4 4 4 5 3" xfId="39128" xr:uid="{79D1A2EB-5740-41AF-BAB3-714E160C7CA8}"/>
    <cellStyle name="Normal 4 4 4 5 4" xfId="39129" xr:uid="{144A2C53-B772-46B0-BCC7-B7EF98A9B6C8}"/>
    <cellStyle name="Normal 4 4 4 5 5" xfId="39130" xr:uid="{A12E01C6-FB4C-4C62-A12C-49B868B7D40B}"/>
    <cellStyle name="Normal 4 4 4 6" xfId="39131" xr:uid="{7D60E18F-CA6C-4EBD-AD17-3460939101CD}"/>
    <cellStyle name="Normal 4 4 4 6 2" xfId="39132" xr:uid="{95112822-71B0-45DA-B629-1B41609BCA50}"/>
    <cellStyle name="Normal 4 4 4 6 3" xfId="39133" xr:uid="{8E9E1AC4-480B-4CF8-AF06-05971481E244}"/>
    <cellStyle name="Normal 4 4 4 7" xfId="39134" xr:uid="{BE5CC083-0946-48F8-87EA-DC47092B7B11}"/>
    <cellStyle name="Normal 4 4 4 8" xfId="39135" xr:uid="{0CBDE15C-5302-42BE-A6A3-0BF7510310ED}"/>
    <cellStyle name="Normal 4 4 4 9" xfId="39136" xr:uid="{CAB27F88-F53A-487E-A1C0-1A9DD8B36B1A}"/>
    <cellStyle name="Normal 4 4 5" xfId="39137" xr:uid="{58AAC62F-BDC2-4909-90E0-C9FB29A0F292}"/>
    <cellStyle name="Normal 4 4 5 2" xfId="39138" xr:uid="{7DE97945-0784-48D5-9E72-C18134B28E08}"/>
    <cellStyle name="Normal 4 4 5 2 2" xfId="39139" xr:uid="{86CEE08C-E923-4649-A566-62DB10F1281A}"/>
    <cellStyle name="Normal 4 4 5 2 2 2" xfId="39140" xr:uid="{AE7C224C-1E7C-4003-8142-1E4501215E16}"/>
    <cellStyle name="Normal 4 4 5 2 2 2 2" xfId="39141" xr:uid="{348A7665-21D0-4B5C-82A0-FE02A3852CED}"/>
    <cellStyle name="Normal 4 4 5 2 2 2 2 2" xfId="39142" xr:uid="{A00C091F-F62F-43FD-B63D-4B5C10BBEC10}"/>
    <cellStyle name="Normal 4 4 5 2 2 2 2 3" xfId="39143" xr:uid="{B56701E1-3EC4-4D7C-A5FB-5EB649906AEC}"/>
    <cellStyle name="Normal 4 4 5 2 2 2 3" xfId="39144" xr:uid="{CD5ACEF2-AD79-49A3-BE46-FFB32D588F93}"/>
    <cellStyle name="Normal 4 4 5 2 2 2 4" xfId="39145" xr:uid="{290FD4B1-1B89-4097-BD9A-F54C1F99C081}"/>
    <cellStyle name="Normal 4 4 5 2 2 2 5" xfId="39146" xr:uid="{DB25728C-9F77-4EFD-82A0-BCBDADC17398}"/>
    <cellStyle name="Normal 4 4 5 2 2 3" xfId="39147" xr:uid="{5A4825B5-DA09-49A8-832D-5623CE540139}"/>
    <cellStyle name="Normal 4 4 5 2 2 3 2" xfId="39148" xr:uid="{98155F45-AD21-4C93-96E3-E1013C8A7964}"/>
    <cellStyle name="Normal 4 4 5 2 2 3 2 2" xfId="39149" xr:uid="{FC3CA294-5216-4767-97D5-1A07E852A83C}"/>
    <cellStyle name="Normal 4 4 5 2 2 3 2 3" xfId="39150" xr:uid="{63057AEC-089E-444A-B0E9-C7926F69731D}"/>
    <cellStyle name="Normal 4 4 5 2 2 3 3" xfId="39151" xr:uid="{7A513482-57DC-4685-BA35-17E0E2D198C8}"/>
    <cellStyle name="Normal 4 4 5 2 2 3 4" xfId="39152" xr:uid="{E7B58D8F-19DE-410B-9474-76FE2C627110}"/>
    <cellStyle name="Normal 4 4 5 2 2 3 5" xfId="39153" xr:uid="{6B0E713E-8CF2-4CDD-81B7-DA756095ED26}"/>
    <cellStyle name="Normal 4 4 5 2 2 4" xfId="39154" xr:uid="{59486173-BC08-4C46-9315-DA7833A01137}"/>
    <cellStyle name="Normal 4 4 5 2 2 4 2" xfId="39155" xr:uid="{2BB4C8FC-0DDA-43D2-AC06-5B083C7A2375}"/>
    <cellStyle name="Normal 4 4 5 2 2 4 3" xfId="39156" xr:uid="{FADE8CE0-70A4-402D-BD8E-447D388C2DA6}"/>
    <cellStyle name="Normal 4 4 5 2 2 5" xfId="39157" xr:uid="{02908704-9ABE-4C4E-8BE3-839886FAFE49}"/>
    <cellStyle name="Normal 4 4 5 2 2 6" xfId="39158" xr:uid="{DCAAAFB5-6D52-4D37-8D51-0D454D79FD04}"/>
    <cellStyle name="Normal 4 4 5 2 2 7" xfId="39159" xr:uid="{70E53A71-66C3-471F-83DC-BA49AF9D0329}"/>
    <cellStyle name="Normal 4 4 5 2 3" xfId="39160" xr:uid="{250EA792-E5BA-4B03-8B7A-03B368968484}"/>
    <cellStyle name="Normal 4 4 5 2 3 2" xfId="39161" xr:uid="{87C711E1-1456-428D-8612-EEE7FC897455}"/>
    <cellStyle name="Normal 4 4 5 2 3 2 2" xfId="39162" xr:uid="{057B3AF6-9E4D-487A-9DBC-291C48DD2760}"/>
    <cellStyle name="Normal 4 4 5 2 3 2 3" xfId="39163" xr:uid="{F937B17C-C744-406D-93D5-BD4CEF5F7658}"/>
    <cellStyle name="Normal 4 4 5 2 3 3" xfId="39164" xr:uid="{BC88EAF8-5298-40C3-B7F7-17DCF43A66F0}"/>
    <cellStyle name="Normal 4 4 5 2 3 4" xfId="39165" xr:uid="{ED6454BC-05AD-440D-8AFE-7291E8816D2F}"/>
    <cellStyle name="Normal 4 4 5 2 3 5" xfId="39166" xr:uid="{5D679D2D-0766-4061-B60D-269048A0DA74}"/>
    <cellStyle name="Normal 4 4 5 2 4" xfId="39167" xr:uid="{FAF040CA-97F5-4DD2-9784-F52401B757A2}"/>
    <cellStyle name="Normal 4 4 5 2 4 2" xfId="39168" xr:uid="{1DE271F5-0B60-4ED6-8C4C-7F466F76CCA6}"/>
    <cellStyle name="Normal 4 4 5 2 4 2 2" xfId="39169" xr:uid="{3D4E3D51-AABB-4216-9A58-276C6F96A840}"/>
    <cellStyle name="Normal 4 4 5 2 4 2 3" xfId="39170" xr:uid="{EDD54A93-16A5-4696-88CE-0FC287D060EA}"/>
    <cellStyle name="Normal 4 4 5 2 4 3" xfId="39171" xr:uid="{251F3CA8-B7AF-4802-BEC5-35E752B74FE1}"/>
    <cellStyle name="Normal 4 4 5 2 4 4" xfId="39172" xr:uid="{6F102547-286E-4066-82B8-D21AE04E05F2}"/>
    <cellStyle name="Normal 4 4 5 2 4 5" xfId="39173" xr:uid="{AA490123-E0FC-4861-95AE-5554FE001CEB}"/>
    <cellStyle name="Normal 4 4 5 2 5" xfId="39174" xr:uid="{C8DFCD40-C6AA-4D32-A536-E1A9D701A603}"/>
    <cellStyle name="Normal 4 4 5 2 5 2" xfId="39175" xr:uid="{97671A86-3E90-4693-B7BA-70E477094788}"/>
    <cellStyle name="Normal 4 4 5 2 5 3" xfId="39176" xr:uid="{FD4BCD6D-D0B6-4B4E-AE91-592B26F0C162}"/>
    <cellStyle name="Normal 4 4 5 2 6" xfId="39177" xr:uid="{7E60D1B4-7C45-4264-AC9D-DD4D0FBFF4E7}"/>
    <cellStyle name="Normal 4 4 5 2 7" xfId="39178" xr:uid="{8D5528D5-E750-40AC-9A42-87F54151C385}"/>
    <cellStyle name="Normal 4 4 5 2 8" xfId="39179" xr:uid="{5100944E-1375-4ED5-92B5-2493B4A41E07}"/>
    <cellStyle name="Normal 4 4 5 3" xfId="39180" xr:uid="{AF25DB5C-73FA-4707-8539-922549EF9DFD}"/>
    <cellStyle name="Normal 4 4 5 3 2" xfId="39181" xr:uid="{B8DB6E43-72D1-4735-AE2C-35D560F19298}"/>
    <cellStyle name="Normal 4 4 5 3 2 2" xfId="39182" xr:uid="{9B1542B2-ED7E-4CCA-9D52-5AA15DC188CF}"/>
    <cellStyle name="Normal 4 4 5 3 2 2 2" xfId="39183" xr:uid="{B471481F-69FE-4AB9-BFBA-561F640F9F74}"/>
    <cellStyle name="Normal 4 4 5 3 2 2 3" xfId="39184" xr:uid="{2DCFDE09-E32B-434F-A3A0-AEA1154A19B2}"/>
    <cellStyle name="Normal 4 4 5 3 2 3" xfId="39185" xr:uid="{51A005A8-4F27-49B1-981D-ACDE02607A18}"/>
    <cellStyle name="Normal 4 4 5 3 2 4" xfId="39186" xr:uid="{BD723B53-5872-4E3D-ACE1-FC2C1507E009}"/>
    <cellStyle name="Normal 4 4 5 3 2 5" xfId="39187" xr:uid="{459EF995-08DC-4DB9-BA73-C9A6423342FE}"/>
    <cellStyle name="Normal 4 4 5 3 3" xfId="39188" xr:uid="{8AEF9BF6-E529-4AF6-BDC7-D69C2C210E97}"/>
    <cellStyle name="Normal 4 4 5 3 3 2" xfId="39189" xr:uid="{49EA1071-98F0-48FD-9335-660510DD3E69}"/>
    <cellStyle name="Normal 4 4 5 3 3 2 2" xfId="39190" xr:uid="{1E1C4BEF-5831-4A41-832C-5A35B961708A}"/>
    <cellStyle name="Normal 4 4 5 3 3 2 3" xfId="39191" xr:uid="{60A5E903-CDC9-47B0-AD05-4CA38F761929}"/>
    <cellStyle name="Normal 4 4 5 3 3 3" xfId="39192" xr:uid="{59A66BD9-4F49-493A-88C2-E741116E526A}"/>
    <cellStyle name="Normal 4 4 5 3 3 4" xfId="39193" xr:uid="{1C31195C-973A-4691-8940-F06E7490FCD1}"/>
    <cellStyle name="Normal 4 4 5 3 3 5" xfId="39194" xr:uid="{76C21F5F-41B9-41C5-B768-33F958FBBEA9}"/>
    <cellStyle name="Normal 4 4 5 3 4" xfId="39195" xr:uid="{B6E3471C-5B2F-4C21-9DEB-E9E2742E2A92}"/>
    <cellStyle name="Normal 4 4 5 3 4 2" xfId="39196" xr:uid="{6C9327FA-6CB4-468E-9C18-5FF342AAC8C8}"/>
    <cellStyle name="Normal 4 4 5 3 4 3" xfId="39197" xr:uid="{55ADF97F-6578-4450-AF2F-5082EFF226CE}"/>
    <cellStyle name="Normal 4 4 5 3 5" xfId="39198" xr:uid="{48FFA27C-1596-4AFF-BE70-DE1C416E4858}"/>
    <cellStyle name="Normal 4 4 5 3 6" xfId="39199" xr:uid="{1A3A8970-5263-4F86-9C29-F2CFB47436FC}"/>
    <cellStyle name="Normal 4 4 5 3 7" xfId="39200" xr:uid="{60F92F7A-6A1D-4871-93A9-8208C33FDEF7}"/>
    <cellStyle name="Normal 4 4 5 4" xfId="39201" xr:uid="{7D1826F8-AF89-4099-9D4B-A6F16413F233}"/>
    <cellStyle name="Normal 4 4 5 4 2" xfId="39202" xr:uid="{E70156E6-2C61-4D0F-9250-15EE6EDFC08B}"/>
    <cellStyle name="Normal 4 4 5 4 2 2" xfId="39203" xr:uid="{2FE935F6-8A4C-485C-8237-F4EAA878F7F0}"/>
    <cellStyle name="Normal 4 4 5 4 2 3" xfId="39204" xr:uid="{906F30B7-4021-459D-8442-22F90EB2DD06}"/>
    <cellStyle name="Normal 4 4 5 4 3" xfId="39205" xr:uid="{408DF347-010C-4BF3-BC75-D457092DED1B}"/>
    <cellStyle name="Normal 4 4 5 4 4" xfId="39206" xr:uid="{A02610F8-5893-46AB-ABAC-9E508327C087}"/>
    <cellStyle name="Normal 4 4 5 4 5" xfId="39207" xr:uid="{254235F6-9D7B-470F-804D-D97D4AEBE507}"/>
    <cellStyle name="Normal 4 4 5 5" xfId="39208" xr:uid="{578C909A-1173-468D-AB60-8715944746E2}"/>
    <cellStyle name="Normal 4 4 5 5 2" xfId="39209" xr:uid="{6C78B1C9-ACED-437B-B7C3-E60F13A246AC}"/>
    <cellStyle name="Normal 4 4 5 5 2 2" xfId="39210" xr:uid="{49729A2C-02B8-468D-B184-3712691F53A8}"/>
    <cellStyle name="Normal 4 4 5 5 2 3" xfId="39211" xr:uid="{AF0BE72D-AA3F-4060-AC5A-E5595F9BF565}"/>
    <cellStyle name="Normal 4 4 5 5 3" xfId="39212" xr:uid="{23939127-53C0-4129-BB4F-891B4B8E3532}"/>
    <cellStyle name="Normal 4 4 5 5 4" xfId="39213" xr:uid="{EC4D05AD-FF98-4712-B73E-EE6706C3B191}"/>
    <cellStyle name="Normal 4 4 5 5 5" xfId="39214" xr:uid="{1E7A8B57-92EC-4020-8591-E46E61156065}"/>
    <cellStyle name="Normal 4 4 5 6" xfId="39215" xr:uid="{B6774EA4-C69C-4930-9B6E-497CD2C9C9C2}"/>
    <cellStyle name="Normal 4 4 5 6 2" xfId="39216" xr:uid="{E5314B08-0D10-4F61-83EE-D338291F02BB}"/>
    <cellStyle name="Normal 4 4 5 6 3" xfId="39217" xr:uid="{FC384760-01D3-408F-9BDD-1A3CD843378B}"/>
    <cellStyle name="Normal 4 4 5 7" xfId="39218" xr:uid="{C0F44476-0686-44B3-AA69-5D2C983978B1}"/>
    <cellStyle name="Normal 4 4 5 8" xfId="39219" xr:uid="{B9DD0467-84A6-4FD3-9B13-5F46C98A6817}"/>
    <cellStyle name="Normal 4 4 5 9" xfId="39220" xr:uid="{4A64442C-420D-4F04-A4CF-37E3941A81CB}"/>
    <cellStyle name="Normal 4 4 6" xfId="39221" xr:uid="{BA60D783-7029-4136-921B-9F28FD7D0AA5}"/>
    <cellStyle name="Normal 4 4 6 2" xfId="39222" xr:uid="{BABE728B-D7B9-4EF7-9D27-6040974C4AB5}"/>
    <cellStyle name="Normal 4 4 6 2 2" xfId="39223" xr:uid="{389CBFB0-8E91-4EF2-B225-7BEF945A844F}"/>
    <cellStyle name="Normal 4 4 6 2 2 2" xfId="39224" xr:uid="{0F124A52-E2AA-486A-95CB-117DB5BB7410}"/>
    <cellStyle name="Normal 4 4 6 2 2 2 2" xfId="39225" xr:uid="{48CDCC10-3FC6-4A90-A692-4E9C1B236C40}"/>
    <cellStyle name="Normal 4 4 6 2 2 2 3" xfId="39226" xr:uid="{190495E3-C927-4A14-A16C-8B9B278E2994}"/>
    <cellStyle name="Normal 4 4 6 2 2 3" xfId="39227" xr:uid="{1142887D-41BD-44A5-BC0C-3F8A09FB2431}"/>
    <cellStyle name="Normal 4 4 6 2 2 4" xfId="39228" xr:uid="{5660F59D-B111-4394-91B1-51A2742D0B9C}"/>
    <cellStyle name="Normal 4 4 6 2 2 5" xfId="39229" xr:uid="{D8AB4AE1-0A37-4D94-94D4-0A4BF14877D3}"/>
    <cellStyle name="Normal 4 4 6 2 3" xfId="39230" xr:uid="{05617916-DA70-4242-B2D3-214189034B15}"/>
    <cellStyle name="Normal 4 4 6 2 3 2" xfId="39231" xr:uid="{85F962E9-D067-4F34-93E4-61EC2AD69542}"/>
    <cellStyle name="Normal 4 4 6 2 3 2 2" xfId="39232" xr:uid="{C0BEC8CA-7A8F-45AD-B470-215791BACE31}"/>
    <cellStyle name="Normal 4 4 6 2 3 2 3" xfId="39233" xr:uid="{68523229-0972-4757-8173-19A1A3C02D7E}"/>
    <cellStyle name="Normal 4 4 6 2 3 3" xfId="39234" xr:uid="{197C7705-E5D9-4212-BC80-9AE289A84199}"/>
    <cellStyle name="Normal 4 4 6 2 3 4" xfId="39235" xr:uid="{2EE02501-5F66-4D0D-BBBF-764AEA45C4E4}"/>
    <cellStyle name="Normal 4 4 6 2 3 5" xfId="39236" xr:uid="{3FC2F4B2-1223-4E52-B1CB-4C5F8271CBE2}"/>
    <cellStyle name="Normal 4 4 6 2 4" xfId="39237" xr:uid="{8452F83D-6358-482C-8337-DE73BE143C40}"/>
    <cellStyle name="Normal 4 4 6 2 4 2" xfId="39238" xr:uid="{482D477A-20F8-4166-AE7E-2A9D4935A38A}"/>
    <cellStyle name="Normal 4 4 6 2 4 3" xfId="39239" xr:uid="{B5537D49-E689-4D73-8B5B-94CBDE43F9BF}"/>
    <cellStyle name="Normal 4 4 6 2 5" xfId="39240" xr:uid="{03D0AE0D-0014-471E-A472-3A839D98A613}"/>
    <cellStyle name="Normal 4 4 6 2 6" xfId="39241" xr:uid="{24384461-C843-4027-A60C-505A3B42BC0E}"/>
    <cellStyle name="Normal 4 4 6 2 7" xfId="39242" xr:uid="{5FB1FEB0-F8F9-4754-B412-560827915689}"/>
    <cellStyle name="Normal 4 4 6 3" xfId="39243" xr:uid="{8B70ADC1-9DF0-4861-8035-746F6F70AD6B}"/>
    <cellStyle name="Normal 4 4 6 3 2" xfId="39244" xr:uid="{64C3FDE3-BB0D-4448-BA6A-20D7A22F3D64}"/>
    <cellStyle name="Normal 4 4 6 3 2 2" xfId="39245" xr:uid="{8D69093C-CF68-49D2-AC6D-79CD9CFF9678}"/>
    <cellStyle name="Normal 4 4 6 3 2 3" xfId="39246" xr:uid="{AFBA998E-7768-4D51-84B3-31475D3D7AB1}"/>
    <cellStyle name="Normal 4 4 6 3 3" xfId="39247" xr:uid="{B100378D-4BEC-441C-A085-321A53BFAFFC}"/>
    <cellStyle name="Normal 4 4 6 3 4" xfId="39248" xr:uid="{E0CE1FE9-DB52-4DAA-B152-8EECCC3EFAA2}"/>
    <cellStyle name="Normal 4 4 6 3 5" xfId="39249" xr:uid="{332282C4-FEBA-44A8-81E0-8F6AE10A733B}"/>
    <cellStyle name="Normal 4 4 6 4" xfId="39250" xr:uid="{840D7585-D12E-4086-8B88-53C45AE90B78}"/>
    <cellStyle name="Normal 4 4 6 4 2" xfId="39251" xr:uid="{2AAF0E7E-23EF-42AB-BE49-1F3E03FE7D12}"/>
    <cellStyle name="Normal 4 4 6 4 2 2" xfId="39252" xr:uid="{335086B9-ED77-4248-8665-BC5507E43028}"/>
    <cellStyle name="Normal 4 4 6 4 2 3" xfId="39253" xr:uid="{EB8973D4-A2F2-42B9-B20E-8FD68F9FA3DC}"/>
    <cellStyle name="Normal 4 4 6 4 3" xfId="39254" xr:uid="{21E59ADD-1B14-438A-927C-A35A8CCE5AC1}"/>
    <cellStyle name="Normal 4 4 6 4 4" xfId="39255" xr:uid="{113F29C7-F1D2-4183-924F-38C2A666A161}"/>
    <cellStyle name="Normal 4 4 6 4 5" xfId="39256" xr:uid="{4A1CD63B-9729-46A0-B370-A878A163294D}"/>
    <cellStyle name="Normal 4 4 6 5" xfId="39257" xr:uid="{B7D69570-82AF-446E-AB35-DB31E3A9ED45}"/>
    <cellStyle name="Normal 4 4 6 5 2" xfId="39258" xr:uid="{1B74782D-D656-45AF-9EAB-A2A1C54226B8}"/>
    <cellStyle name="Normal 4 4 6 5 3" xfId="39259" xr:uid="{F40F70C1-02CF-4C26-BE46-195383DB128F}"/>
    <cellStyle name="Normal 4 4 6 6" xfId="39260" xr:uid="{2544DD29-BFBD-4042-A61A-750050D83C07}"/>
    <cellStyle name="Normal 4 4 6 7" xfId="39261" xr:uid="{D3160A32-B44C-4ECC-8DBE-5BB9210D2832}"/>
    <cellStyle name="Normal 4 4 6 8" xfId="39262" xr:uid="{F78CC4F8-9AC8-4FF8-A62C-FAACC4939D43}"/>
    <cellStyle name="Normal 4 4 7" xfId="39263" xr:uid="{C59A204A-D1A2-4C9E-8600-9CE3ABAD4481}"/>
    <cellStyle name="Normal 4 4 7 2" xfId="39264" xr:uid="{135DD626-AAC1-4E69-B388-D36FFD828D54}"/>
    <cellStyle name="Normal 4 4 7 2 2" xfId="39265" xr:uid="{41631D85-87C0-4C0E-9A82-E62A2F9D28A6}"/>
    <cellStyle name="Normal 4 4 7 2 2 2" xfId="39266" xr:uid="{637D798C-5F86-4881-B49F-AA970D18F81D}"/>
    <cellStyle name="Normal 4 4 7 2 2 3" xfId="39267" xr:uid="{BCFAF1B7-83F7-47E2-84AE-46D05F3339D9}"/>
    <cellStyle name="Normal 4 4 7 2 3" xfId="39268" xr:uid="{A6B26487-0ACE-49B0-8DB1-0F84DBE83892}"/>
    <cellStyle name="Normal 4 4 7 2 4" xfId="39269" xr:uid="{31A1E747-8640-4B36-A874-22F14B0DF5DD}"/>
    <cellStyle name="Normal 4 4 7 2 5" xfId="39270" xr:uid="{650784D6-C36E-4517-9EEA-314472A11E25}"/>
    <cellStyle name="Normal 4 4 7 3" xfId="39271" xr:uid="{7FB8D052-92C1-474D-82AD-5825FB304CD1}"/>
    <cellStyle name="Normal 4 4 7 3 2" xfId="39272" xr:uid="{5C15CFD0-5B3F-464C-94AF-F8F1D970A834}"/>
    <cellStyle name="Normal 4 4 7 3 2 2" xfId="39273" xr:uid="{314F5AAA-6E13-4522-9C83-CBF0D39F1108}"/>
    <cellStyle name="Normal 4 4 7 3 2 3" xfId="39274" xr:uid="{F2706428-297B-4479-AE1A-4BED11EE474A}"/>
    <cellStyle name="Normal 4 4 7 3 3" xfId="39275" xr:uid="{7401C920-7E78-4A11-B969-1FEBC13C0C0C}"/>
    <cellStyle name="Normal 4 4 7 3 4" xfId="39276" xr:uid="{63D0ABC5-8CF7-4C65-8A01-208D537795D3}"/>
    <cellStyle name="Normal 4 4 7 3 5" xfId="39277" xr:uid="{DFAB6356-06E4-4AA7-903D-EC27ABB6E71F}"/>
    <cellStyle name="Normal 4 4 7 4" xfId="39278" xr:uid="{73FC2B8F-ECD2-4F97-B8F7-40D9AE199116}"/>
    <cellStyle name="Normal 4 4 7 4 2" xfId="39279" xr:uid="{7E7672AE-2624-4713-BDF5-6194211F78F6}"/>
    <cellStyle name="Normal 4 4 7 4 3" xfId="39280" xr:uid="{1D634C31-EE9D-4330-A2BA-F780350CDD3F}"/>
    <cellStyle name="Normal 4 4 7 5" xfId="39281" xr:uid="{54642DA1-C1F7-41D6-944C-E942A3C07C51}"/>
    <cellStyle name="Normal 4 4 7 6" xfId="39282" xr:uid="{C6F573DE-7DCE-4BF3-8AD1-4F8048EB2BC2}"/>
    <cellStyle name="Normal 4 4 7 7" xfId="39283" xr:uid="{E31772FA-7E51-4034-A6A2-6C74F1B3AC73}"/>
    <cellStyle name="Normal 4 4 8" xfId="39284" xr:uid="{EA384D8D-FACA-476F-8FE1-E106F286BB18}"/>
    <cellStyle name="Normal 4 4 8 2" xfId="39285" xr:uid="{51F30BC2-96CC-4171-97BB-D0C8B7F28FCC}"/>
    <cellStyle name="Normal 4 4 8 2 2" xfId="39286" xr:uid="{25093481-D4CC-4FF6-89A5-34E424F7FA6B}"/>
    <cellStyle name="Normal 4 4 8 2 2 2" xfId="39287" xr:uid="{D4B17F86-A5EE-44C9-8314-66DC01193436}"/>
    <cellStyle name="Normal 4 4 8 2 2 3" xfId="39288" xr:uid="{68B1EED2-F713-4B8A-8765-F16A87198B06}"/>
    <cellStyle name="Normal 4 4 8 2 3" xfId="39289" xr:uid="{ED50D8BA-D323-4CCF-BEB5-F1929F0BBD15}"/>
    <cellStyle name="Normal 4 4 8 2 4" xfId="39290" xr:uid="{2C1CD2ED-1E84-4946-84EB-448D6AA85F3C}"/>
    <cellStyle name="Normal 4 4 8 2 5" xfId="39291" xr:uid="{B13856AB-DC53-4E28-8168-66495F179783}"/>
    <cellStyle name="Normal 4 4 8 3" xfId="39292" xr:uid="{5DAB7814-6D28-4519-A573-73AA4B5408D5}"/>
    <cellStyle name="Normal 4 4 8 3 2" xfId="39293" xr:uid="{03B9FCE0-36A5-4A33-A402-1071E0B622FE}"/>
    <cellStyle name="Normal 4 4 8 3 2 2" xfId="39294" xr:uid="{5674965A-043C-4694-83CB-12A5219E6F9E}"/>
    <cellStyle name="Normal 4 4 8 3 2 3" xfId="39295" xr:uid="{B1DBD737-96FA-4433-8D21-879AD533DBE9}"/>
    <cellStyle name="Normal 4 4 8 3 3" xfId="39296" xr:uid="{87D38D28-5703-422D-AEE2-036E7F019AC1}"/>
    <cellStyle name="Normal 4 4 8 3 4" xfId="39297" xr:uid="{3A2E9A99-5F15-4F2E-9175-936077E378A1}"/>
    <cellStyle name="Normal 4 4 8 3 5" xfId="39298" xr:uid="{D492FDFF-6AE4-46A4-941F-0760E5AE595C}"/>
    <cellStyle name="Normal 4 4 8 4" xfId="39299" xr:uid="{26B71B0C-DF01-4EB8-89F6-64A983D39686}"/>
    <cellStyle name="Normal 4 4 8 4 2" xfId="39300" xr:uid="{E236324E-BB87-4414-9924-9E6A3F40E540}"/>
    <cellStyle name="Normal 4 4 8 4 3" xfId="39301" xr:uid="{FE073A09-7D4C-4C3F-A612-9513709B631B}"/>
    <cellStyle name="Normal 4 4 8 5" xfId="39302" xr:uid="{C4C6D3E4-5CC4-4FE5-B821-1CCCC24BFBFD}"/>
    <cellStyle name="Normal 4 4 8 6" xfId="39303" xr:uid="{9E1B03F5-4D06-4876-B3A9-627D4D0EE170}"/>
    <cellStyle name="Normal 4 4 8 7" xfId="39304" xr:uid="{32387F40-92A3-4251-99D1-6A4B43E191B8}"/>
    <cellStyle name="Normal 4 4 9" xfId="39305" xr:uid="{0E0A83B8-84D6-4696-B0A3-952139E3DB71}"/>
    <cellStyle name="Normal 4 4 9 2" xfId="39306" xr:uid="{1E6752A7-47CD-49AC-BC42-FBA8C8E20F51}"/>
    <cellStyle name="Normal 4 4 9 2 2" xfId="39307" xr:uid="{4FAC107E-44D7-4306-AEA0-E7F85D7106F2}"/>
    <cellStyle name="Normal 4 4 9 2 3" xfId="39308" xr:uid="{EB8F04E2-5452-46AB-8130-EF1335435E94}"/>
    <cellStyle name="Normal 4 4 9 3" xfId="39309" xr:uid="{6CB9BC69-FF07-425B-AF73-12BBC7A59326}"/>
    <cellStyle name="Normal 4 4 9 4" xfId="39310" xr:uid="{2CAC27C6-CCE2-4B11-BB9B-7FD85ED962B2}"/>
    <cellStyle name="Normal 4 4 9 5" xfId="39311" xr:uid="{D760D1A2-76DA-4A43-ABDF-39505888675F}"/>
    <cellStyle name="Normal 4 5" xfId="808" xr:uid="{00000000-0005-0000-0000-000084260000}"/>
    <cellStyle name="Normal 4 5 10" xfId="39312" xr:uid="{0A2B4532-D0F9-4719-8E2A-BF0D71462E40}"/>
    <cellStyle name="Normal 4 5 10 2" xfId="39313" xr:uid="{D1230C50-C28E-436C-9496-A68457A2F913}"/>
    <cellStyle name="Normal 4 5 10 2 2" xfId="39314" xr:uid="{A96F247B-681C-4F77-91B9-AED30ABF4CAC}"/>
    <cellStyle name="Normal 4 5 10 2 3" xfId="39315" xr:uid="{AD12510A-F8B1-4C26-B049-589CD65AED20}"/>
    <cellStyle name="Normal 4 5 10 3" xfId="39316" xr:uid="{CF2AC0CF-D9C9-4B7B-82F2-D93B2BA51DD4}"/>
    <cellStyle name="Normal 4 5 10 4" xfId="39317" xr:uid="{0F7EDB43-FC07-4E8C-B86B-1F97B7406765}"/>
    <cellStyle name="Normal 4 5 10 5" xfId="39318" xr:uid="{1D41C19F-634D-4CD5-AE6D-FB95DCB13206}"/>
    <cellStyle name="Normal 4 5 11" xfId="39319" xr:uid="{89A33059-4802-47D1-90A3-B57E83C1F63D}"/>
    <cellStyle name="Normal 4 5 11 2" xfId="39320" xr:uid="{F2350398-410F-4B31-B6A2-F97E9D22C49A}"/>
    <cellStyle name="Normal 4 5 11 3" xfId="39321" xr:uid="{02A4412C-6216-4AC0-BDD1-721018A99FEE}"/>
    <cellStyle name="Normal 4 5 12" xfId="39322" xr:uid="{ECE8C691-9247-407F-AB69-5B1E84526C2A}"/>
    <cellStyle name="Normal 4 5 13" xfId="39323" xr:uid="{05A412E8-96C4-4481-A622-3C1D8E5559CE}"/>
    <cellStyle name="Normal 4 5 14" xfId="39324" xr:uid="{7DD673E2-C01B-4685-8CCB-21AE3EC562C4}"/>
    <cellStyle name="Normal 4 5 2" xfId="809" xr:uid="{00000000-0005-0000-0000-000085260000}"/>
    <cellStyle name="Normal 4 5 2 10" xfId="39325" xr:uid="{911E2E25-541D-49DE-91DE-9AA18DEC5462}"/>
    <cellStyle name="Normal 4 5 2 11" xfId="39326" xr:uid="{1843309B-3F3D-4554-89DA-D7A030BB0D69}"/>
    <cellStyle name="Normal 4 5 2 12" xfId="39327" xr:uid="{631DA160-629E-4686-998D-44E3815C4393}"/>
    <cellStyle name="Normal 4 5 2 2" xfId="39328" xr:uid="{F0A6579A-3CDD-4448-825F-D64B6E7F4CD5}"/>
    <cellStyle name="Normal 4 5 2 2 2" xfId="39329" xr:uid="{F5395918-AE1C-4109-8CC5-AC64917E9A44}"/>
    <cellStyle name="Normal 4 5 2 2 2 2" xfId="39330" xr:uid="{CE43CC88-486F-41FF-8695-3468EBBE473F}"/>
    <cellStyle name="Normal 4 5 2 2 2 2 2" xfId="39331" xr:uid="{A666D166-1D19-46E5-AC97-C005AD0965FD}"/>
    <cellStyle name="Normal 4 5 2 2 2 2 2 2" xfId="39332" xr:uid="{EAB9AE80-DAC4-48BA-A8B8-07B9A8725E45}"/>
    <cellStyle name="Normal 4 5 2 2 2 2 2 2 2" xfId="39333" xr:uid="{7BA964BE-256E-4C4C-9EA8-FC27CD2C56A0}"/>
    <cellStyle name="Normal 4 5 2 2 2 2 2 2 3" xfId="39334" xr:uid="{9B5E6961-DE78-4C4C-908C-08EAE36C6FB6}"/>
    <cellStyle name="Normal 4 5 2 2 2 2 2 3" xfId="39335" xr:uid="{96B51D25-B39A-461F-9368-06AA3977CF74}"/>
    <cellStyle name="Normal 4 5 2 2 2 2 2 4" xfId="39336" xr:uid="{7314ED0F-2D7B-4E06-8D20-449F93B0EFC8}"/>
    <cellStyle name="Normal 4 5 2 2 2 2 2 5" xfId="39337" xr:uid="{19AD285D-9497-4DD1-8646-6CE15D3D6BAD}"/>
    <cellStyle name="Normal 4 5 2 2 2 2 3" xfId="39338" xr:uid="{17A84296-91B3-4D4E-957D-D450118A7E4B}"/>
    <cellStyle name="Normal 4 5 2 2 2 2 3 2" xfId="39339" xr:uid="{D2D2BBE4-8784-4055-A309-3D5D7C27C4F0}"/>
    <cellStyle name="Normal 4 5 2 2 2 2 3 2 2" xfId="39340" xr:uid="{F8A775A3-AC56-4539-B66E-9C92F4C86CF2}"/>
    <cellStyle name="Normal 4 5 2 2 2 2 3 2 3" xfId="39341" xr:uid="{E11C3BAA-ED66-4377-B5FD-CD23957034D3}"/>
    <cellStyle name="Normal 4 5 2 2 2 2 3 3" xfId="39342" xr:uid="{7F121D6C-B56E-460D-A4B1-56E172BA3EE3}"/>
    <cellStyle name="Normal 4 5 2 2 2 2 3 4" xfId="39343" xr:uid="{1C14E208-EA36-4114-BCAF-71E3038D5F30}"/>
    <cellStyle name="Normal 4 5 2 2 2 2 3 5" xfId="39344" xr:uid="{E75C127C-84F1-466B-BD55-47133F55AA84}"/>
    <cellStyle name="Normal 4 5 2 2 2 2 4" xfId="39345" xr:uid="{DCDE1D12-4774-4F78-A846-2FFFBAC2A495}"/>
    <cellStyle name="Normal 4 5 2 2 2 2 4 2" xfId="39346" xr:uid="{91F9C828-5641-4F6B-A0B8-470D4B35439D}"/>
    <cellStyle name="Normal 4 5 2 2 2 2 4 3" xfId="39347" xr:uid="{47C8E783-0CD6-4F4F-869F-AA4F82309FB2}"/>
    <cellStyle name="Normal 4 5 2 2 2 2 5" xfId="39348" xr:uid="{BCF4954D-2A70-4684-877A-EB3AC813F90A}"/>
    <cellStyle name="Normal 4 5 2 2 2 2 6" xfId="39349" xr:uid="{BED2926F-9467-44A3-A295-E1B0A068CCF7}"/>
    <cellStyle name="Normal 4 5 2 2 2 2 7" xfId="39350" xr:uid="{738BF071-7A20-429D-891A-DF1A647F68E3}"/>
    <cellStyle name="Normal 4 5 2 2 2 3" xfId="39351" xr:uid="{C8D47D18-3722-4BBC-B0A8-1C843A657768}"/>
    <cellStyle name="Normal 4 5 2 2 2 3 2" xfId="39352" xr:uid="{9CAA2BE0-0CED-46F8-BD8A-D9A1E7028ACA}"/>
    <cellStyle name="Normal 4 5 2 2 2 3 2 2" xfId="39353" xr:uid="{CF695B8E-B464-433F-9788-B756AB2D72A7}"/>
    <cellStyle name="Normal 4 5 2 2 2 3 2 3" xfId="39354" xr:uid="{BA0BFEB7-7B05-45FC-AA1A-588081B2D0EC}"/>
    <cellStyle name="Normal 4 5 2 2 2 3 3" xfId="39355" xr:uid="{D48657C8-57D1-487F-83C0-D43FE3243D5C}"/>
    <cellStyle name="Normal 4 5 2 2 2 3 4" xfId="39356" xr:uid="{F7064D55-B7DD-46CE-B4D0-8DAA8B03FD89}"/>
    <cellStyle name="Normal 4 5 2 2 2 3 5" xfId="39357" xr:uid="{A82FB6FE-5BEC-40B1-A5F0-A5AE7C44541A}"/>
    <cellStyle name="Normal 4 5 2 2 2 4" xfId="39358" xr:uid="{85396CB3-BD0B-44E4-AA5D-27F83A257816}"/>
    <cellStyle name="Normal 4 5 2 2 2 4 2" xfId="39359" xr:uid="{9DAF698C-8350-4097-8F5F-41F8C88173DA}"/>
    <cellStyle name="Normal 4 5 2 2 2 4 2 2" xfId="39360" xr:uid="{98AE41F7-7F51-499B-8459-DF3468B6EBAB}"/>
    <cellStyle name="Normal 4 5 2 2 2 4 2 3" xfId="39361" xr:uid="{3633451C-7816-4DD9-9FB6-E78BD497F4DC}"/>
    <cellStyle name="Normal 4 5 2 2 2 4 3" xfId="39362" xr:uid="{031E61EA-207B-4E66-B32F-E105975C3CD8}"/>
    <cellStyle name="Normal 4 5 2 2 2 4 4" xfId="39363" xr:uid="{831DB991-5F6E-466E-92AD-2436719B2CBD}"/>
    <cellStyle name="Normal 4 5 2 2 2 4 5" xfId="39364" xr:uid="{1A8EF9CD-CCF2-4435-B64D-BBA06D195FDB}"/>
    <cellStyle name="Normal 4 5 2 2 2 5" xfId="39365" xr:uid="{19DBFE40-BF03-41B8-B9EE-1222EC1BDD78}"/>
    <cellStyle name="Normal 4 5 2 2 2 5 2" xfId="39366" xr:uid="{AFD02DFE-0A9D-4C3D-B63A-535768DE05B1}"/>
    <cellStyle name="Normal 4 5 2 2 2 5 3" xfId="39367" xr:uid="{D886405D-05B0-4E96-A52E-E19771F7136A}"/>
    <cellStyle name="Normal 4 5 2 2 2 6" xfId="39368" xr:uid="{392805ED-9897-4D42-B11F-3157D6BB85DA}"/>
    <cellStyle name="Normal 4 5 2 2 2 7" xfId="39369" xr:uid="{E7919A7A-6A59-44EC-94AC-0AF2D9624CDF}"/>
    <cellStyle name="Normal 4 5 2 2 2 8" xfId="39370" xr:uid="{A156D0EE-1F3E-4B4D-AEB1-427EAC88D94A}"/>
    <cellStyle name="Normal 4 5 2 2 3" xfId="39371" xr:uid="{86E8E0CB-121E-44C3-861C-8A72F28CBF51}"/>
    <cellStyle name="Normal 4 5 2 2 3 2" xfId="39372" xr:uid="{FC05E4EB-A2D7-4542-B569-EB8003EB78A2}"/>
    <cellStyle name="Normal 4 5 2 2 3 2 2" xfId="39373" xr:uid="{5198B434-05AA-45E2-81E3-00E332E73477}"/>
    <cellStyle name="Normal 4 5 2 2 3 2 2 2" xfId="39374" xr:uid="{61B55B52-68E3-41B9-9941-5557F24C2D10}"/>
    <cellStyle name="Normal 4 5 2 2 3 2 2 3" xfId="39375" xr:uid="{066E4006-B1F2-4439-9403-6E49A654FD44}"/>
    <cellStyle name="Normal 4 5 2 2 3 2 3" xfId="39376" xr:uid="{10CA791E-F146-4A85-B92E-83540AA75FF0}"/>
    <cellStyle name="Normal 4 5 2 2 3 2 4" xfId="39377" xr:uid="{CE65A954-105C-418D-B665-A2B66CFB8612}"/>
    <cellStyle name="Normal 4 5 2 2 3 2 5" xfId="39378" xr:uid="{A358F643-5CAE-4757-A9AB-C53181C0AF8B}"/>
    <cellStyle name="Normal 4 5 2 2 3 3" xfId="39379" xr:uid="{BC28C9D1-C02F-4F38-80CB-75C450646947}"/>
    <cellStyle name="Normal 4 5 2 2 3 3 2" xfId="39380" xr:uid="{B35F9A48-8416-4B01-BF64-76AE459D5042}"/>
    <cellStyle name="Normal 4 5 2 2 3 3 2 2" xfId="39381" xr:uid="{8AA4A9CD-029B-40CB-9569-13BBA21DD8F9}"/>
    <cellStyle name="Normal 4 5 2 2 3 3 2 3" xfId="39382" xr:uid="{AE21012E-B151-44A6-B24C-C9446D157F4B}"/>
    <cellStyle name="Normal 4 5 2 2 3 3 3" xfId="39383" xr:uid="{136BA9B6-D686-4AAC-AED0-60F5329BDC83}"/>
    <cellStyle name="Normal 4 5 2 2 3 3 4" xfId="39384" xr:uid="{52DA758D-E006-47C3-A4B7-EF59FB771E09}"/>
    <cellStyle name="Normal 4 5 2 2 3 3 5" xfId="39385" xr:uid="{86D22484-A8FE-4190-96D4-FC75DB9EFA76}"/>
    <cellStyle name="Normal 4 5 2 2 3 4" xfId="39386" xr:uid="{9311CFB4-ED19-42B1-863E-7EE1F3E6BC37}"/>
    <cellStyle name="Normal 4 5 2 2 3 4 2" xfId="39387" xr:uid="{05C2BFC2-191C-4DCC-8316-C6B8A24AB198}"/>
    <cellStyle name="Normal 4 5 2 2 3 4 3" xfId="39388" xr:uid="{856CD859-FEEE-4A5A-83F6-7AD09C559918}"/>
    <cellStyle name="Normal 4 5 2 2 3 5" xfId="39389" xr:uid="{FEAADF89-8A7D-4F17-83E9-0FD26E178C85}"/>
    <cellStyle name="Normal 4 5 2 2 3 6" xfId="39390" xr:uid="{D275EACD-0A5B-4AE1-B3CD-6713AAB9F799}"/>
    <cellStyle name="Normal 4 5 2 2 3 7" xfId="39391" xr:uid="{C22AC013-66D7-46A7-825D-4D5A1E080774}"/>
    <cellStyle name="Normal 4 5 2 2 4" xfId="39392" xr:uid="{A85EFA43-F077-4146-8DD1-10E8BAA6F601}"/>
    <cellStyle name="Normal 4 5 2 2 4 2" xfId="39393" xr:uid="{7E94FB76-F3A1-4F58-9306-F05C51A932C3}"/>
    <cellStyle name="Normal 4 5 2 2 4 2 2" xfId="39394" xr:uid="{F1F8C6D1-6535-4F8E-B3E2-D592CEA20369}"/>
    <cellStyle name="Normal 4 5 2 2 4 2 3" xfId="39395" xr:uid="{4C2BC5BF-F1D7-4CEA-9F47-BE04632AD1FD}"/>
    <cellStyle name="Normal 4 5 2 2 4 3" xfId="39396" xr:uid="{1338E8FD-B670-4020-8067-C5B5534C5680}"/>
    <cellStyle name="Normal 4 5 2 2 4 4" xfId="39397" xr:uid="{FEC14085-61EB-4AE7-8A38-194004788B3C}"/>
    <cellStyle name="Normal 4 5 2 2 4 5" xfId="39398" xr:uid="{DD319629-80FA-4F25-AE81-7B2778C6FA99}"/>
    <cellStyle name="Normal 4 5 2 2 5" xfId="39399" xr:uid="{E684A015-92BA-47FD-9CFD-14E959FC758A}"/>
    <cellStyle name="Normal 4 5 2 2 5 2" xfId="39400" xr:uid="{658F709A-EABF-4E0E-B1A6-AD8DE4A9D533}"/>
    <cellStyle name="Normal 4 5 2 2 5 2 2" xfId="39401" xr:uid="{5D9560B2-433F-46F5-8E66-19394D55947B}"/>
    <cellStyle name="Normal 4 5 2 2 5 2 3" xfId="39402" xr:uid="{989C02BF-E363-42C6-8BEC-CDE0C2225ABD}"/>
    <cellStyle name="Normal 4 5 2 2 5 3" xfId="39403" xr:uid="{FC00EE9A-026E-4692-BF6D-C4A057B4E627}"/>
    <cellStyle name="Normal 4 5 2 2 5 4" xfId="39404" xr:uid="{C9FE0E0E-4BD3-4DE7-B524-DDE58D0EC556}"/>
    <cellStyle name="Normal 4 5 2 2 5 5" xfId="39405" xr:uid="{86EC5CF7-AA43-47FD-9E1D-B34B30BF638F}"/>
    <cellStyle name="Normal 4 5 2 2 6" xfId="39406" xr:uid="{14EC8A24-E578-4BA9-BB54-363BC9E5A19B}"/>
    <cellStyle name="Normal 4 5 2 2 6 2" xfId="39407" xr:uid="{BFB2EBB0-6017-44F3-9A03-A47F426F2E81}"/>
    <cellStyle name="Normal 4 5 2 2 6 3" xfId="39408" xr:uid="{2A2FEDC7-94DD-43FD-ADD0-E11729C24ED0}"/>
    <cellStyle name="Normal 4 5 2 2 7" xfId="39409" xr:uid="{6329C749-292B-4241-B374-640413AF9858}"/>
    <cellStyle name="Normal 4 5 2 2 8" xfId="39410" xr:uid="{BA41211B-E4CD-4D52-A6B2-11C2A0012CD8}"/>
    <cellStyle name="Normal 4 5 2 2 9" xfId="39411" xr:uid="{8B347ED7-CA36-4EF4-8CCC-D8310C5E117E}"/>
    <cellStyle name="Normal 4 5 2 3" xfId="39412" xr:uid="{12C583AB-3F63-4EB5-AE0A-6A38519D7056}"/>
    <cellStyle name="Normal 4 5 2 3 2" xfId="39413" xr:uid="{F1045783-92CB-4F6E-A02B-8471F785933A}"/>
    <cellStyle name="Normal 4 5 2 3 2 2" xfId="39414" xr:uid="{A5132624-234C-4BBF-88C8-E49CB2E7A5A3}"/>
    <cellStyle name="Normal 4 5 2 3 2 2 2" xfId="39415" xr:uid="{DB87A380-E4EF-4890-AF8F-343CF0B6FFAA}"/>
    <cellStyle name="Normal 4 5 2 3 2 2 2 2" xfId="39416" xr:uid="{2B26B4E7-696D-470C-98F3-ACDDD0FF771B}"/>
    <cellStyle name="Normal 4 5 2 3 2 2 2 2 2" xfId="39417" xr:uid="{73515EF7-9471-46EB-B489-537A5DDD6204}"/>
    <cellStyle name="Normal 4 5 2 3 2 2 2 2 3" xfId="39418" xr:uid="{E6F1D02B-F41D-4910-A352-9A6302880B5B}"/>
    <cellStyle name="Normal 4 5 2 3 2 2 2 3" xfId="39419" xr:uid="{83A9F9C0-3BE6-492A-92AB-A46EDAC3FC63}"/>
    <cellStyle name="Normal 4 5 2 3 2 2 2 4" xfId="39420" xr:uid="{48B72124-5C73-4789-AB9B-E333413E4774}"/>
    <cellStyle name="Normal 4 5 2 3 2 2 2 5" xfId="39421" xr:uid="{4ACAB70C-6E76-49AF-A7E4-0FEAD6CA7481}"/>
    <cellStyle name="Normal 4 5 2 3 2 2 3" xfId="39422" xr:uid="{A3DE0392-555E-4F76-8394-94F7AE8B9446}"/>
    <cellStyle name="Normal 4 5 2 3 2 2 3 2" xfId="39423" xr:uid="{B3AD93B4-0098-4341-94EC-7A7EB5FAD0D6}"/>
    <cellStyle name="Normal 4 5 2 3 2 2 3 2 2" xfId="39424" xr:uid="{4454261F-54F3-41A0-9A1D-75E3D3B8459E}"/>
    <cellStyle name="Normal 4 5 2 3 2 2 3 2 3" xfId="39425" xr:uid="{C3948A14-E718-4C3B-BF58-BF3FB9810148}"/>
    <cellStyle name="Normal 4 5 2 3 2 2 3 3" xfId="39426" xr:uid="{4F395A1C-AF8C-4C3E-AD36-D9C56BD304C0}"/>
    <cellStyle name="Normal 4 5 2 3 2 2 3 4" xfId="39427" xr:uid="{E74E2FC7-A71F-452F-B10B-8BC264BEB826}"/>
    <cellStyle name="Normal 4 5 2 3 2 2 3 5" xfId="39428" xr:uid="{F6A1EB66-FF2B-48CD-8C72-2DADB6EE686E}"/>
    <cellStyle name="Normal 4 5 2 3 2 2 4" xfId="39429" xr:uid="{4E949EFE-8DB2-456C-9A44-861B1BEEE3AA}"/>
    <cellStyle name="Normal 4 5 2 3 2 2 4 2" xfId="39430" xr:uid="{14C7E78C-0440-4037-86FE-6F3BE7BB94FC}"/>
    <cellStyle name="Normal 4 5 2 3 2 2 4 3" xfId="39431" xr:uid="{75B8F58C-7A61-415B-9562-0A5CA98F6743}"/>
    <cellStyle name="Normal 4 5 2 3 2 2 5" xfId="39432" xr:uid="{1D1DD694-9DC5-4491-872E-0BFC4DC46490}"/>
    <cellStyle name="Normal 4 5 2 3 2 2 6" xfId="39433" xr:uid="{F632C767-FBFC-473C-B384-EEFDC19D0FDD}"/>
    <cellStyle name="Normal 4 5 2 3 2 2 7" xfId="39434" xr:uid="{F9D1EDBF-468E-4CED-8FF7-EEF4BDE17266}"/>
    <cellStyle name="Normal 4 5 2 3 2 3" xfId="39435" xr:uid="{35E9826D-65DC-48DF-8182-4E9E834DFA28}"/>
    <cellStyle name="Normal 4 5 2 3 2 3 2" xfId="39436" xr:uid="{6122977C-BC03-4969-9C37-F4B9A3FB497B}"/>
    <cellStyle name="Normal 4 5 2 3 2 3 2 2" xfId="39437" xr:uid="{3BFB963F-10DB-4EC5-B17A-C92B800F32A6}"/>
    <cellStyle name="Normal 4 5 2 3 2 3 2 3" xfId="39438" xr:uid="{F900EA27-3D63-43FC-9292-9D34CA609C58}"/>
    <cellStyle name="Normal 4 5 2 3 2 3 3" xfId="39439" xr:uid="{23FDD65A-229C-4B3A-B7E3-0DE304AF0348}"/>
    <cellStyle name="Normal 4 5 2 3 2 3 4" xfId="39440" xr:uid="{90B6BD7C-2C33-408D-8F9A-22A43F45C565}"/>
    <cellStyle name="Normal 4 5 2 3 2 3 5" xfId="39441" xr:uid="{3280C2AC-4571-4F1C-BA32-62DFB1279D6D}"/>
    <cellStyle name="Normal 4 5 2 3 2 4" xfId="39442" xr:uid="{475D8CAA-44D6-441A-8B04-F9645B64FD01}"/>
    <cellStyle name="Normal 4 5 2 3 2 4 2" xfId="39443" xr:uid="{98DE097D-6EE8-43F8-AC1E-752F8B60956B}"/>
    <cellStyle name="Normal 4 5 2 3 2 4 2 2" xfId="39444" xr:uid="{3B29EE9D-8CA7-4519-ADA2-03B0EB186639}"/>
    <cellStyle name="Normal 4 5 2 3 2 4 2 3" xfId="39445" xr:uid="{07502221-37C9-404E-BE22-0F53CB90E871}"/>
    <cellStyle name="Normal 4 5 2 3 2 4 3" xfId="39446" xr:uid="{A4A1BE6C-A62B-4099-853D-341F1957A043}"/>
    <cellStyle name="Normal 4 5 2 3 2 4 4" xfId="39447" xr:uid="{75BFF9EC-37AE-4100-8114-4399E6DF11B3}"/>
    <cellStyle name="Normal 4 5 2 3 2 4 5" xfId="39448" xr:uid="{9B12D02B-2B5E-4CBA-9EB9-2A227BCDC1A3}"/>
    <cellStyle name="Normal 4 5 2 3 2 5" xfId="39449" xr:uid="{F4B2370C-7E1E-4C93-A984-49A87C31376A}"/>
    <cellStyle name="Normal 4 5 2 3 2 5 2" xfId="39450" xr:uid="{131939F4-0271-4ED7-A02C-2F02E964DD87}"/>
    <cellStyle name="Normal 4 5 2 3 2 5 3" xfId="39451" xr:uid="{46793E5A-311B-4951-969E-591ADB5AE726}"/>
    <cellStyle name="Normal 4 5 2 3 2 6" xfId="39452" xr:uid="{9E8005F6-5229-4A9C-BAE9-09F3A7A7ED1D}"/>
    <cellStyle name="Normal 4 5 2 3 2 7" xfId="39453" xr:uid="{31BFAA39-E40C-4776-9545-E124FE753F5A}"/>
    <cellStyle name="Normal 4 5 2 3 2 8" xfId="39454" xr:uid="{AD33CD9E-0768-4CB5-8A53-952321DE027A}"/>
    <cellStyle name="Normal 4 5 2 3 3" xfId="39455" xr:uid="{F43F64EF-6E58-47D3-8DA8-F0FC3CE5498D}"/>
    <cellStyle name="Normal 4 5 2 3 3 2" xfId="39456" xr:uid="{12CC10F0-5966-4525-85FB-EC56D31433CD}"/>
    <cellStyle name="Normal 4 5 2 3 3 2 2" xfId="39457" xr:uid="{F826B7D8-D0B0-4FE4-B0D6-B427FA4A0844}"/>
    <cellStyle name="Normal 4 5 2 3 3 2 2 2" xfId="39458" xr:uid="{7AF25053-281F-4B00-83B2-698B1721C7B9}"/>
    <cellStyle name="Normal 4 5 2 3 3 2 2 3" xfId="39459" xr:uid="{CA2B7F30-B926-4C01-9B6C-90D31788FBBE}"/>
    <cellStyle name="Normal 4 5 2 3 3 2 3" xfId="39460" xr:uid="{F25DEB6F-73BE-4E26-8262-791F5276496B}"/>
    <cellStyle name="Normal 4 5 2 3 3 2 4" xfId="39461" xr:uid="{5CF03082-FE3F-4C28-B812-B551A4D98A28}"/>
    <cellStyle name="Normal 4 5 2 3 3 2 5" xfId="39462" xr:uid="{D33E47CA-4E2A-46BD-8FBC-DBAD2074F9FB}"/>
    <cellStyle name="Normal 4 5 2 3 3 3" xfId="39463" xr:uid="{B08FD0C1-6339-4392-AACB-AD35A0020F67}"/>
    <cellStyle name="Normal 4 5 2 3 3 3 2" xfId="39464" xr:uid="{AB3FD307-E5A2-4D22-82E7-57A192AEDC9C}"/>
    <cellStyle name="Normal 4 5 2 3 3 3 2 2" xfId="39465" xr:uid="{B0D4E52F-9D6E-4ABF-BB0E-91AB19715250}"/>
    <cellStyle name="Normal 4 5 2 3 3 3 2 3" xfId="39466" xr:uid="{4C73800F-F8BA-4656-827D-FDAE558170B8}"/>
    <cellStyle name="Normal 4 5 2 3 3 3 3" xfId="39467" xr:uid="{62D435AC-3B99-4CA3-8FFA-780E35CBCCAD}"/>
    <cellStyle name="Normal 4 5 2 3 3 3 4" xfId="39468" xr:uid="{D2465F4C-413D-4513-A75D-981B6BD08288}"/>
    <cellStyle name="Normal 4 5 2 3 3 3 5" xfId="39469" xr:uid="{25B9D27F-1BE8-453E-A325-1357557355C2}"/>
    <cellStyle name="Normal 4 5 2 3 3 4" xfId="39470" xr:uid="{FEF49741-F838-4C37-81C3-8374DBB7ED26}"/>
    <cellStyle name="Normal 4 5 2 3 3 4 2" xfId="39471" xr:uid="{78A38952-F59F-4C61-886C-BD4F48324C4A}"/>
    <cellStyle name="Normal 4 5 2 3 3 4 3" xfId="39472" xr:uid="{1B9D8363-F514-4187-BBA2-575E0F46ABC0}"/>
    <cellStyle name="Normal 4 5 2 3 3 5" xfId="39473" xr:uid="{060508DB-CBBD-4B54-B660-A93BC89E5715}"/>
    <cellStyle name="Normal 4 5 2 3 3 6" xfId="39474" xr:uid="{A6E9D66C-31ED-42E8-8F1C-48CD5D190A18}"/>
    <cellStyle name="Normal 4 5 2 3 3 7" xfId="39475" xr:uid="{3FAFDD69-F45F-4ADF-B87D-EF4839C0DFF9}"/>
    <cellStyle name="Normal 4 5 2 3 4" xfId="39476" xr:uid="{8A79D50C-F5A8-4F99-98DA-A9B437765C25}"/>
    <cellStyle name="Normal 4 5 2 3 4 2" xfId="39477" xr:uid="{0D3E5378-D794-4F5A-9E11-E2AF310613DD}"/>
    <cellStyle name="Normal 4 5 2 3 4 2 2" xfId="39478" xr:uid="{B41E9746-FBD6-42C7-8377-7E8AF7F27D2D}"/>
    <cellStyle name="Normal 4 5 2 3 4 2 3" xfId="39479" xr:uid="{98270C3D-959C-4DC4-8C54-B55F8C223EA3}"/>
    <cellStyle name="Normal 4 5 2 3 4 3" xfId="39480" xr:uid="{F61FB37F-B587-4B4C-B900-FB9B71FBAD00}"/>
    <cellStyle name="Normal 4 5 2 3 4 4" xfId="39481" xr:uid="{AEDC5B78-25D2-4F33-8E62-5ABA581277E5}"/>
    <cellStyle name="Normal 4 5 2 3 4 5" xfId="39482" xr:uid="{85CC6830-C768-4800-AC05-347BB9331FE9}"/>
    <cellStyle name="Normal 4 5 2 3 5" xfId="39483" xr:uid="{4157FCCA-8294-47D7-BE30-578140A5C38C}"/>
    <cellStyle name="Normal 4 5 2 3 5 2" xfId="39484" xr:uid="{34CC2156-411F-44CD-86E6-76D568B9C3FB}"/>
    <cellStyle name="Normal 4 5 2 3 5 2 2" xfId="39485" xr:uid="{4A19879E-EBDF-4E67-BB98-BDC507BA111B}"/>
    <cellStyle name="Normal 4 5 2 3 5 2 3" xfId="39486" xr:uid="{1650274B-AD38-418B-A48A-171AD733EFDE}"/>
    <cellStyle name="Normal 4 5 2 3 5 3" xfId="39487" xr:uid="{35D89D08-B94A-4F14-B223-8FEDB162E227}"/>
    <cellStyle name="Normal 4 5 2 3 5 4" xfId="39488" xr:uid="{86D6475F-2392-4C6B-B30B-E0C68B89F732}"/>
    <cellStyle name="Normal 4 5 2 3 5 5" xfId="39489" xr:uid="{75513752-69B8-4D13-B3F0-F2761DB4CF27}"/>
    <cellStyle name="Normal 4 5 2 3 6" xfId="39490" xr:uid="{0783B313-2C1F-45B1-9C77-06A6E9FF800A}"/>
    <cellStyle name="Normal 4 5 2 3 6 2" xfId="39491" xr:uid="{112E61AC-BC84-43DC-A05C-FD554D7181D3}"/>
    <cellStyle name="Normal 4 5 2 3 6 3" xfId="39492" xr:uid="{2F91B1A3-FF8D-4243-B0A3-A6674E4D7D0F}"/>
    <cellStyle name="Normal 4 5 2 3 7" xfId="39493" xr:uid="{4806DAF0-B02A-49BC-B7A1-1B5312C38B34}"/>
    <cellStyle name="Normal 4 5 2 3 8" xfId="39494" xr:uid="{7C27ACB6-59B4-494E-8141-DF647C9A8901}"/>
    <cellStyle name="Normal 4 5 2 3 9" xfId="39495" xr:uid="{163D0A08-FC6C-48DC-B60E-7A46603A2AFD}"/>
    <cellStyle name="Normal 4 5 2 4" xfId="39496" xr:uid="{F10C71D0-DFA6-4F99-B15B-B977D427122F}"/>
    <cellStyle name="Normal 4 5 2 4 2" xfId="39497" xr:uid="{FA74091C-1443-4D89-BC5E-7369EEA7E2CD}"/>
    <cellStyle name="Normal 4 5 2 4 2 2" xfId="39498" xr:uid="{C98B5F1E-E462-4996-80B2-5166BEF6AC82}"/>
    <cellStyle name="Normal 4 5 2 4 2 2 2" xfId="39499" xr:uid="{D1A23AC3-821E-4201-9EB5-E6D08AEC679D}"/>
    <cellStyle name="Normal 4 5 2 4 2 2 2 2" xfId="39500" xr:uid="{B40D81E0-A76A-4630-BD00-E01E9175432D}"/>
    <cellStyle name="Normal 4 5 2 4 2 2 2 2 2" xfId="39501" xr:uid="{ADE932BF-AB8A-483C-8F80-89022C30187D}"/>
    <cellStyle name="Normal 4 5 2 4 2 2 2 2 3" xfId="39502" xr:uid="{39A7B831-AB67-4DC5-830A-E7644484B601}"/>
    <cellStyle name="Normal 4 5 2 4 2 2 2 3" xfId="39503" xr:uid="{C8BB222D-6155-4D50-94E5-DC887CA8E6B4}"/>
    <cellStyle name="Normal 4 5 2 4 2 2 2 4" xfId="39504" xr:uid="{9A4C52FC-67BE-47B9-A8F9-82D5222B8701}"/>
    <cellStyle name="Normal 4 5 2 4 2 2 2 5" xfId="39505" xr:uid="{23BFE8DA-6EA9-4647-9796-FBE9C0B941EB}"/>
    <cellStyle name="Normal 4 5 2 4 2 2 3" xfId="39506" xr:uid="{B9F759F4-505A-4857-9218-5F592FEE8402}"/>
    <cellStyle name="Normal 4 5 2 4 2 2 3 2" xfId="39507" xr:uid="{65CB50FF-B3BB-4103-ADA8-254BBDAB1B45}"/>
    <cellStyle name="Normal 4 5 2 4 2 2 3 2 2" xfId="39508" xr:uid="{303CF600-DBBD-48E8-B47E-5F7535DE841B}"/>
    <cellStyle name="Normal 4 5 2 4 2 2 3 2 3" xfId="39509" xr:uid="{79CB2A8B-BEA6-4D05-B130-D54844DC22EE}"/>
    <cellStyle name="Normal 4 5 2 4 2 2 3 3" xfId="39510" xr:uid="{1CD15C67-9F0E-448D-AF32-4D6C6EBAF8B7}"/>
    <cellStyle name="Normal 4 5 2 4 2 2 3 4" xfId="39511" xr:uid="{38CD0968-6C9F-4B32-BC8B-1693E84BD238}"/>
    <cellStyle name="Normal 4 5 2 4 2 2 3 5" xfId="39512" xr:uid="{8D88505E-A4FA-4D8A-A83B-601A854CF2E9}"/>
    <cellStyle name="Normal 4 5 2 4 2 2 4" xfId="39513" xr:uid="{B0BAC6F8-30A7-40A9-B490-7D8C98B5F844}"/>
    <cellStyle name="Normal 4 5 2 4 2 2 4 2" xfId="39514" xr:uid="{49807EB0-4523-485C-9A6A-356FFC358FF0}"/>
    <cellStyle name="Normal 4 5 2 4 2 2 4 3" xfId="39515" xr:uid="{CBC0C41B-E1E9-42EE-9482-79740D8B0650}"/>
    <cellStyle name="Normal 4 5 2 4 2 2 5" xfId="39516" xr:uid="{08901282-D643-491D-ABE9-982A548662C6}"/>
    <cellStyle name="Normal 4 5 2 4 2 2 6" xfId="39517" xr:uid="{E882EBB7-5DAA-4822-A3BD-04A98F187C05}"/>
    <cellStyle name="Normal 4 5 2 4 2 2 7" xfId="39518" xr:uid="{76891A1E-1E3D-496A-BE37-7B746733C0AB}"/>
    <cellStyle name="Normal 4 5 2 4 2 3" xfId="39519" xr:uid="{EEF38A63-9BBD-423F-9E11-977EAB9F5EB7}"/>
    <cellStyle name="Normal 4 5 2 4 2 3 2" xfId="39520" xr:uid="{677F6727-9C84-4E61-BDA0-E33EEA8205D5}"/>
    <cellStyle name="Normal 4 5 2 4 2 3 2 2" xfId="39521" xr:uid="{23F53675-854B-4BCA-9BE8-23D5B45DBA7D}"/>
    <cellStyle name="Normal 4 5 2 4 2 3 2 3" xfId="39522" xr:uid="{DA7582B6-72DB-4EF6-9C79-1D5C080A2FD0}"/>
    <cellStyle name="Normal 4 5 2 4 2 3 3" xfId="39523" xr:uid="{DCAD3971-A68C-4E68-9271-A504FAB1C19B}"/>
    <cellStyle name="Normal 4 5 2 4 2 3 4" xfId="39524" xr:uid="{6C8841F4-7DB8-421E-B5B6-87B464DAADA6}"/>
    <cellStyle name="Normal 4 5 2 4 2 3 5" xfId="39525" xr:uid="{4B1B2AF4-6900-4AC2-8AB2-43C7C37FA4B1}"/>
    <cellStyle name="Normal 4 5 2 4 2 4" xfId="39526" xr:uid="{6E5B7D79-ECD2-4047-894A-D4DD562A8B4E}"/>
    <cellStyle name="Normal 4 5 2 4 2 4 2" xfId="39527" xr:uid="{5381602A-5100-4930-AD59-D213512A7D83}"/>
    <cellStyle name="Normal 4 5 2 4 2 4 2 2" xfId="39528" xr:uid="{F9FC2F65-575A-4352-AFCA-88A760614BA1}"/>
    <cellStyle name="Normal 4 5 2 4 2 4 2 3" xfId="39529" xr:uid="{C5ACB173-67A4-4F54-ABDB-67863681EF74}"/>
    <cellStyle name="Normal 4 5 2 4 2 4 3" xfId="39530" xr:uid="{9E715EF3-14C4-4BBE-9155-D39BC78C384C}"/>
    <cellStyle name="Normal 4 5 2 4 2 4 4" xfId="39531" xr:uid="{2BE23283-F38D-41BF-AC6A-9A7706629841}"/>
    <cellStyle name="Normal 4 5 2 4 2 4 5" xfId="39532" xr:uid="{844AB2D0-EFE8-4940-8D5F-67331EE1850B}"/>
    <cellStyle name="Normal 4 5 2 4 2 5" xfId="39533" xr:uid="{38FC1121-7893-4F9D-97CE-66090BB38C60}"/>
    <cellStyle name="Normal 4 5 2 4 2 5 2" xfId="39534" xr:uid="{D243C5A8-BAAD-4AFD-BD2C-1762CF87608A}"/>
    <cellStyle name="Normal 4 5 2 4 2 5 3" xfId="39535" xr:uid="{59DE9987-88CE-476B-B521-05D05F8E4D85}"/>
    <cellStyle name="Normal 4 5 2 4 2 6" xfId="39536" xr:uid="{970D5604-1505-43E2-9C77-15C64B3C10DC}"/>
    <cellStyle name="Normal 4 5 2 4 2 7" xfId="39537" xr:uid="{849C12F0-BAB9-4859-90F1-7EB178CE431F}"/>
    <cellStyle name="Normal 4 5 2 4 2 8" xfId="39538" xr:uid="{6253DFB2-66DB-4E6C-8075-6E79BC8609E8}"/>
    <cellStyle name="Normal 4 5 2 4 3" xfId="39539" xr:uid="{E02B0A74-1E04-4C05-B8D4-DD38C5CBD770}"/>
    <cellStyle name="Normal 4 5 2 4 3 2" xfId="39540" xr:uid="{D5D159BF-3915-4B02-B771-ADC7A53E6811}"/>
    <cellStyle name="Normal 4 5 2 4 3 2 2" xfId="39541" xr:uid="{74FAE246-7FFC-4A59-9547-CD151CCA36C9}"/>
    <cellStyle name="Normal 4 5 2 4 3 2 2 2" xfId="39542" xr:uid="{567DF395-80CE-4315-879E-9AA7ACD88EF6}"/>
    <cellStyle name="Normal 4 5 2 4 3 2 2 3" xfId="39543" xr:uid="{A89C2CDD-D4F7-4EA1-90D8-47D8ADEAEA37}"/>
    <cellStyle name="Normal 4 5 2 4 3 2 3" xfId="39544" xr:uid="{F6F40F3E-B9E3-4347-A7FA-9ACF995BDF3C}"/>
    <cellStyle name="Normal 4 5 2 4 3 2 4" xfId="39545" xr:uid="{840D7C9F-0F4F-4EC8-A8DF-D80CBB0E3643}"/>
    <cellStyle name="Normal 4 5 2 4 3 2 5" xfId="39546" xr:uid="{6BABEBD3-E7E1-4E61-9E56-01FF029D6EC8}"/>
    <cellStyle name="Normal 4 5 2 4 3 3" xfId="39547" xr:uid="{DDF704C2-F750-4E3E-A2CE-4BD16BDF2DF8}"/>
    <cellStyle name="Normal 4 5 2 4 3 3 2" xfId="39548" xr:uid="{AC13419C-8DBA-4117-BD2A-5B5A6B4AD7AB}"/>
    <cellStyle name="Normal 4 5 2 4 3 3 2 2" xfId="39549" xr:uid="{C831156D-C390-4367-8523-71469BFC2338}"/>
    <cellStyle name="Normal 4 5 2 4 3 3 2 3" xfId="39550" xr:uid="{8E25D55A-A064-4736-A64E-ADF60DB0C14F}"/>
    <cellStyle name="Normal 4 5 2 4 3 3 3" xfId="39551" xr:uid="{75DE07D7-AD52-4138-9CE6-815C7B983FB7}"/>
    <cellStyle name="Normal 4 5 2 4 3 3 4" xfId="39552" xr:uid="{30C83E18-3CA3-4F84-8827-C89EAAC78C40}"/>
    <cellStyle name="Normal 4 5 2 4 3 3 5" xfId="39553" xr:uid="{568DB522-F1F7-4C95-B8F8-977CD231BD4E}"/>
    <cellStyle name="Normal 4 5 2 4 3 4" xfId="39554" xr:uid="{C5FF7BC4-70C3-48C1-A8E3-6C87D2B7A7A1}"/>
    <cellStyle name="Normal 4 5 2 4 3 4 2" xfId="39555" xr:uid="{23370263-ABF8-49D1-8365-073999D4D69D}"/>
    <cellStyle name="Normal 4 5 2 4 3 4 3" xfId="39556" xr:uid="{E10AEACD-EA53-4DF8-91F0-54F619DCBB5A}"/>
    <cellStyle name="Normal 4 5 2 4 3 5" xfId="39557" xr:uid="{4D360C47-91FA-441F-B047-74B2DE651BF2}"/>
    <cellStyle name="Normal 4 5 2 4 3 6" xfId="39558" xr:uid="{5A2BB148-723C-45AF-B279-D6808C566AA9}"/>
    <cellStyle name="Normal 4 5 2 4 3 7" xfId="39559" xr:uid="{B62AA8FA-E56A-42CD-8A25-FE27D807CDD1}"/>
    <cellStyle name="Normal 4 5 2 4 4" xfId="39560" xr:uid="{39334C5E-1586-4AF2-8308-AE946E2F1059}"/>
    <cellStyle name="Normal 4 5 2 4 4 2" xfId="39561" xr:uid="{E378D81E-C16C-4C88-9BD1-3A9AF83B25D3}"/>
    <cellStyle name="Normal 4 5 2 4 4 2 2" xfId="39562" xr:uid="{F39FC2C1-0182-4198-8707-F9FFF81E75E7}"/>
    <cellStyle name="Normal 4 5 2 4 4 2 3" xfId="39563" xr:uid="{EF65563B-6B06-4894-8951-F9A0CB9E66E1}"/>
    <cellStyle name="Normal 4 5 2 4 4 3" xfId="39564" xr:uid="{6B29DACF-FDBC-44F1-9388-A9BE0F858EC5}"/>
    <cellStyle name="Normal 4 5 2 4 4 4" xfId="39565" xr:uid="{AB472B58-8637-4667-8638-EB9E4F292F63}"/>
    <cellStyle name="Normal 4 5 2 4 4 5" xfId="39566" xr:uid="{FF33D782-AD74-450D-9A04-E4980D438E89}"/>
    <cellStyle name="Normal 4 5 2 4 5" xfId="39567" xr:uid="{4D9207DE-3DC2-43E3-B5AE-F150D9596865}"/>
    <cellStyle name="Normal 4 5 2 4 5 2" xfId="39568" xr:uid="{2CD3CDFC-0847-4932-9A9A-6B7DED62918F}"/>
    <cellStyle name="Normal 4 5 2 4 5 2 2" xfId="39569" xr:uid="{F10D0DF1-A83D-4D30-B219-96687E01B687}"/>
    <cellStyle name="Normal 4 5 2 4 5 2 3" xfId="39570" xr:uid="{EA89E8E0-DB2F-402A-9EB7-04AC4B9B9921}"/>
    <cellStyle name="Normal 4 5 2 4 5 3" xfId="39571" xr:uid="{D1480C9E-C285-46C1-BFE7-3324DAFA3CE9}"/>
    <cellStyle name="Normal 4 5 2 4 5 4" xfId="39572" xr:uid="{C45961B5-B02A-4735-85F9-1A29A7D127EE}"/>
    <cellStyle name="Normal 4 5 2 4 5 5" xfId="39573" xr:uid="{F78A51F8-F8EB-46FC-8AAC-21BB0116EE33}"/>
    <cellStyle name="Normal 4 5 2 4 6" xfId="39574" xr:uid="{07B9CF17-0BCE-402B-A13E-D15F19FDB56E}"/>
    <cellStyle name="Normal 4 5 2 4 6 2" xfId="39575" xr:uid="{61ABADCE-6423-4E7F-8F4E-B783FEDBB758}"/>
    <cellStyle name="Normal 4 5 2 4 6 3" xfId="39576" xr:uid="{304708E6-B639-42C0-AC59-291075B897AF}"/>
    <cellStyle name="Normal 4 5 2 4 7" xfId="39577" xr:uid="{EDC5D8A8-E39D-46FB-9C45-A223C998620C}"/>
    <cellStyle name="Normal 4 5 2 4 8" xfId="39578" xr:uid="{C7022E8C-1A4A-42CA-A410-0E0081AD74E0}"/>
    <cellStyle name="Normal 4 5 2 4 9" xfId="39579" xr:uid="{1300674B-096E-4216-84AE-41C1703629B5}"/>
    <cellStyle name="Normal 4 5 2 5" xfId="39580" xr:uid="{EF817525-5651-476E-ACB8-D7370B523539}"/>
    <cellStyle name="Normal 4 5 2 5 2" xfId="39581" xr:uid="{010C0FDE-985E-4ACA-ACBE-0A861A32F76A}"/>
    <cellStyle name="Normal 4 5 2 5 2 2" xfId="39582" xr:uid="{AAD04492-81E5-4ACB-95C1-C6C5B4FB1531}"/>
    <cellStyle name="Normal 4 5 2 5 2 2 2" xfId="39583" xr:uid="{0893293E-3615-4D36-9A09-48C3F39003E3}"/>
    <cellStyle name="Normal 4 5 2 5 2 2 2 2" xfId="39584" xr:uid="{51DAD34D-E2D5-4462-BAF5-FE1E797737BE}"/>
    <cellStyle name="Normal 4 5 2 5 2 2 2 3" xfId="39585" xr:uid="{65957431-C6EF-4D96-9EAD-01BE44BF6361}"/>
    <cellStyle name="Normal 4 5 2 5 2 2 3" xfId="39586" xr:uid="{8445EC7E-0D17-40BA-8100-D57523A0CF4C}"/>
    <cellStyle name="Normal 4 5 2 5 2 2 4" xfId="39587" xr:uid="{97FA5A99-A13D-40AC-A118-D2397A6848AD}"/>
    <cellStyle name="Normal 4 5 2 5 2 2 5" xfId="39588" xr:uid="{F23832B0-A9FA-41E7-8F65-62183686FD8A}"/>
    <cellStyle name="Normal 4 5 2 5 2 3" xfId="39589" xr:uid="{1830D10E-224E-4F74-B151-62B71E85DDD2}"/>
    <cellStyle name="Normal 4 5 2 5 2 3 2" xfId="39590" xr:uid="{A9D82CB7-BD9C-4ECC-A067-258AF979870B}"/>
    <cellStyle name="Normal 4 5 2 5 2 3 2 2" xfId="39591" xr:uid="{6BEBF960-BF90-4526-A138-84D037B09F27}"/>
    <cellStyle name="Normal 4 5 2 5 2 3 2 3" xfId="39592" xr:uid="{269BD0A4-7775-4CBC-BDAB-995DEDAC61C1}"/>
    <cellStyle name="Normal 4 5 2 5 2 3 3" xfId="39593" xr:uid="{C5972359-ABB2-4D06-B780-0667BC72D8DB}"/>
    <cellStyle name="Normal 4 5 2 5 2 3 4" xfId="39594" xr:uid="{33E50DFD-DC6E-4E45-B422-869D54F07A31}"/>
    <cellStyle name="Normal 4 5 2 5 2 3 5" xfId="39595" xr:uid="{7507B430-F240-4B1C-8B71-07945C32B1A0}"/>
    <cellStyle name="Normal 4 5 2 5 2 4" xfId="39596" xr:uid="{08AD68DF-1FAE-447F-9FC1-3F79F9A43FC5}"/>
    <cellStyle name="Normal 4 5 2 5 2 4 2" xfId="39597" xr:uid="{949123F5-8BA6-4AEC-928D-3F2A823AD342}"/>
    <cellStyle name="Normal 4 5 2 5 2 4 3" xfId="39598" xr:uid="{E9DF875B-E700-430E-9BB4-26F75AEB60AB}"/>
    <cellStyle name="Normal 4 5 2 5 2 5" xfId="39599" xr:uid="{74D7CE73-B929-4E84-A591-45C352469EE1}"/>
    <cellStyle name="Normal 4 5 2 5 2 6" xfId="39600" xr:uid="{C3717321-A7C0-45E5-9824-9E2EF0BA8435}"/>
    <cellStyle name="Normal 4 5 2 5 2 7" xfId="39601" xr:uid="{BBAF3470-FA69-4C8A-91D7-424ACE4A3BF9}"/>
    <cellStyle name="Normal 4 5 2 5 3" xfId="39602" xr:uid="{1DDD6AA3-E74B-4E67-9BCA-FB4E7F445E4B}"/>
    <cellStyle name="Normal 4 5 2 5 3 2" xfId="39603" xr:uid="{45A3584F-48C5-4C16-AC14-C66274C21D21}"/>
    <cellStyle name="Normal 4 5 2 5 3 2 2" xfId="39604" xr:uid="{EBFA6D85-9AB2-44D1-A4D5-21D0627DED3E}"/>
    <cellStyle name="Normal 4 5 2 5 3 2 3" xfId="39605" xr:uid="{EDA4B8A7-27C5-4112-AD2F-CC445F196888}"/>
    <cellStyle name="Normal 4 5 2 5 3 3" xfId="39606" xr:uid="{10E50B39-F050-4FAF-9C9A-D7205CFB24C5}"/>
    <cellStyle name="Normal 4 5 2 5 3 4" xfId="39607" xr:uid="{7CBDD92A-61CF-49CF-9DD8-68B8FF45143A}"/>
    <cellStyle name="Normal 4 5 2 5 3 5" xfId="39608" xr:uid="{848F87C8-FC81-4618-B07B-4053AA44CB26}"/>
    <cellStyle name="Normal 4 5 2 5 4" xfId="39609" xr:uid="{53214862-CEF6-4944-B1D8-ECB21E7447E1}"/>
    <cellStyle name="Normal 4 5 2 5 4 2" xfId="39610" xr:uid="{630714CE-DC4F-47E9-8FB7-708AF5E06BE2}"/>
    <cellStyle name="Normal 4 5 2 5 4 2 2" xfId="39611" xr:uid="{8675A50E-F54E-4A17-8992-C05586CF011E}"/>
    <cellStyle name="Normal 4 5 2 5 4 2 3" xfId="39612" xr:uid="{3663F6A1-951C-4495-9D98-135C47B9C39F}"/>
    <cellStyle name="Normal 4 5 2 5 4 3" xfId="39613" xr:uid="{E14C872E-C675-40C2-B742-E6AF31108EFD}"/>
    <cellStyle name="Normal 4 5 2 5 4 4" xfId="39614" xr:uid="{248B870B-CE8B-48AB-9D20-6F2488F4F954}"/>
    <cellStyle name="Normal 4 5 2 5 4 5" xfId="39615" xr:uid="{D7468474-7306-4C6B-BF2D-DFB946C480AA}"/>
    <cellStyle name="Normal 4 5 2 5 5" xfId="39616" xr:uid="{7953783C-C0D5-468B-A6F5-14FECE866DAB}"/>
    <cellStyle name="Normal 4 5 2 5 5 2" xfId="39617" xr:uid="{C2855296-67D0-492E-81F2-926DB7F4B8D4}"/>
    <cellStyle name="Normal 4 5 2 5 5 3" xfId="39618" xr:uid="{BF805738-2DEF-440A-9B63-78EF79802AF0}"/>
    <cellStyle name="Normal 4 5 2 5 6" xfId="39619" xr:uid="{0315668E-AD73-4A49-93F5-559F3BB30B08}"/>
    <cellStyle name="Normal 4 5 2 5 7" xfId="39620" xr:uid="{1DEE4C53-CDBD-4BAD-B699-FED231464735}"/>
    <cellStyle name="Normal 4 5 2 5 8" xfId="39621" xr:uid="{B91CF0CF-FD29-4A75-91EA-8AB3BD1B159B}"/>
    <cellStyle name="Normal 4 5 2 6" xfId="39622" xr:uid="{9820F806-50CD-49B2-9A23-9825018385CF}"/>
    <cellStyle name="Normal 4 5 2 6 2" xfId="39623" xr:uid="{C20098BD-89AC-4970-B08A-228DC32C1126}"/>
    <cellStyle name="Normal 4 5 2 6 2 2" xfId="39624" xr:uid="{79DFA446-B0BE-4520-B5CF-1E86660FC61E}"/>
    <cellStyle name="Normal 4 5 2 6 2 2 2" xfId="39625" xr:uid="{42F26EA1-67C8-42D2-B821-370BC5D497AC}"/>
    <cellStyle name="Normal 4 5 2 6 2 2 3" xfId="39626" xr:uid="{4649A65F-7707-47AC-8248-E23DD23E0E3D}"/>
    <cellStyle name="Normal 4 5 2 6 2 3" xfId="39627" xr:uid="{9B0BCE14-DD88-499B-B49F-71E7B0ADCC2A}"/>
    <cellStyle name="Normal 4 5 2 6 2 4" xfId="39628" xr:uid="{7BE6F17F-37B4-4B21-AD46-935F5C008820}"/>
    <cellStyle name="Normal 4 5 2 6 2 5" xfId="39629" xr:uid="{94B4AC3C-9348-473C-B4DB-7F38F7011AAC}"/>
    <cellStyle name="Normal 4 5 2 6 3" xfId="39630" xr:uid="{88E17511-27FE-459C-8144-47C0EBEFBE62}"/>
    <cellStyle name="Normal 4 5 2 6 3 2" xfId="39631" xr:uid="{A3EA060A-82CB-42EC-A82A-42A6D7852DB1}"/>
    <cellStyle name="Normal 4 5 2 6 3 2 2" xfId="39632" xr:uid="{D854D139-EFD1-41A2-95AF-0CDFAE57F937}"/>
    <cellStyle name="Normal 4 5 2 6 3 2 3" xfId="39633" xr:uid="{2DEC7D1E-7123-41AA-A9FA-7F73CABE9290}"/>
    <cellStyle name="Normal 4 5 2 6 3 3" xfId="39634" xr:uid="{17F5B0DA-879C-43CE-81F1-CA569DE70779}"/>
    <cellStyle name="Normal 4 5 2 6 3 4" xfId="39635" xr:uid="{EE2737F0-C9A6-4F99-9412-CA2B3478B0E6}"/>
    <cellStyle name="Normal 4 5 2 6 3 5" xfId="39636" xr:uid="{5F3A3D5A-8085-4062-8C7E-8326FFF6F383}"/>
    <cellStyle name="Normal 4 5 2 6 4" xfId="39637" xr:uid="{F3F63372-B22B-48A1-84C6-80B4EA1F48C8}"/>
    <cellStyle name="Normal 4 5 2 6 4 2" xfId="39638" xr:uid="{B14657D6-883A-4EF1-A652-66551C5C339A}"/>
    <cellStyle name="Normal 4 5 2 6 4 3" xfId="39639" xr:uid="{8149D2C1-4247-4C8A-A131-8C59B368C80E}"/>
    <cellStyle name="Normal 4 5 2 6 5" xfId="39640" xr:uid="{93DBBA64-42E4-4BCB-8F27-135AB8F83EF4}"/>
    <cellStyle name="Normal 4 5 2 6 6" xfId="39641" xr:uid="{F0CF7A36-D76A-46F0-B4EE-26E430F5E0E0}"/>
    <cellStyle name="Normal 4 5 2 6 7" xfId="39642" xr:uid="{FACEED03-FF20-4A20-B77A-FEA4A6434D01}"/>
    <cellStyle name="Normal 4 5 2 7" xfId="39643" xr:uid="{6A5F87B7-1CDF-4239-B228-A1B4C94A6514}"/>
    <cellStyle name="Normal 4 5 2 7 2" xfId="39644" xr:uid="{1E670214-736A-4668-9264-45F24B3059E9}"/>
    <cellStyle name="Normal 4 5 2 7 2 2" xfId="39645" xr:uid="{A8AD0F46-4369-4996-A187-B33FFD565FAC}"/>
    <cellStyle name="Normal 4 5 2 7 2 3" xfId="39646" xr:uid="{A05AC379-1194-485B-B2B6-22CB19E24200}"/>
    <cellStyle name="Normal 4 5 2 7 3" xfId="39647" xr:uid="{01AB636F-06F9-4052-B29C-6BEDA53E3776}"/>
    <cellStyle name="Normal 4 5 2 7 4" xfId="39648" xr:uid="{66AB468B-E688-4FBA-B5E8-C14856D4C2E9}"/>
    <cellStyle name="Normal 4 5 2 7 5" xfId="39649" xr:uid="{A23AFF61-C1CA-4DE1-9650-8BE3506976F0}"/>
    <cellStyle name="Normal 4 5 2 8" xfId="39650" xr:uid="{21E55004-3B7C-4E66-A873-8E06E9B24C33}"/>
    <cellStyle name="Normal 4 5 2 8 2" xfId="39651" xr:uid="{BE33DC91-9317-4D1B-83A2-32FF66C222B3}"/>
    <cellStyle name="Normal 4 5 2 8 2 2" xfId="39652" xr:uid="{970B5384-3290-4215-98FC-711840B81DEC}"/>
    <cellStyle name="Normal 4 5 2 8 2 3" xfId="39653" xr:uid="{A807CE1C-CBCB-41CC-97E3-712AF8534262}"/>
    <cellStyle name="Normal 4 5 2 8 3" xfId="39654" xr:uid="{0C91E5DF-F9B3-4E6C-96F4-FE9779124852}"/>
    <cellStyle name="Normal 4 5 2 8 4" xfId="39655" xr:uid="{1EBFA60F-25B4-46C2-8AA1-0020100C9CB5}"/>
    <cellStyle name="Normal 4 5 2 8 5" xfId="39656" xr:uid="{19FA3AC5-96AF-4C90-BC05-78F7ACD32BA1}"/>
    <cellStyle name="Normal 4 5 2 9" xfId="39657" xr:uid="{648C71DC-1D61-4197-8433-24BBCDF24C7E}"/>
    <cellStyle name="Normal 4 5 2 9 2" xfId="39658" xr:uid="{A4D31C58-56FA-4C27-A3FC-DBED1082C9A2}"/>
    <cellStyle name="Normal 4 5 2 9 3" xfId="39659" xr:uid="{FFED8499-B9C9-4E3D-AC87-6D474E893E38}"/>
    <cellStyle name="Normal 4 5 3" xfId="14526" xr:uid="{00000000-0005-0000-0000-000086260000}"/>
    <cellStyle name="Normal 4 5 3 10" xfId="39660" xr:uid="{D2A68AB1-5B5A-4EA6-BECD-5A8A5E806DBA}"/>
    <cellStyle name="Normal 4 5 3 2" xfId="39661" xr:uid="{F0A11F57-2D29-46EB-A6F2-89C1413D38C7}"/>
    <cellStyle name="Normal 4 5 3 2 2" xfId="39662" xr:uid="{85B1D220-1E64-4AA2-BB9E-B240940C5630}"/>
    <cellStyle name="Normal 4 5 3 2 2 2" xfId="39663" xr:uid="{EE695B87-27D2-446A-87A6-650A410F3951}"/>
    <cellStyle name="Normal 4 5 3 2 2 2 2" xfId="39664" xr:uid="{21394E6A-40D4-410A-9F3D-9DE7384EC25B}"/>
    <cellStyle name="Normal 4 5 3 2 2 2 2 2" xfId="39665" xr:uid="{F0992576-4AD1-416C-B9B4-0050FEB90BDD}"/>
    <cellStyle name="Normal 4 5 3 2 2 2 2 3" xfId="39666" xr:uid="{F3CE596A-044F-452A-8DB0-994E36274314}"/>
    <cellStyle name="Normal 4 5 3 2 2 2 3" xfId="39667" xr:uid="{08DE99AA-9B48-4017-BA96-08416C8CEAF9}"/>
    <cellStyle name="Normal 4 5 3 2 2 2 4" xfId="39668" xr:uid="{98180487-7970-4111-9D19-4666BD4D0FC5}"/>
    <cellStyle name="Normal 4 5 3 2 2 2 5" xfId="39669" xr:uid="{88227486-67C9-497B-9AF9-57400CF6CEC3}"/>
    <cellStyle name="Normal 4 5 3 2 2 3" xfId="39670" xr:uid="{31A9A60D-DFE5-447F-9118-536B25FE368F}"/>
    <cellStyle name="Normal 4 5 3 2 2 3 2" xfId="39671" xr:uid="{E5BAE0EC-C4C1-4031-A944-EE8013E45BCE}"/>
    <cellStyle name="Normal 4 5 3 2 2 3 2 2" xfId="39672" xr:uid="{92CE8541-92E7-4EDC-BD33-F6CA4E11878A}"/>
    <cellStyle name="Normal 4 5 3 2 2 3 2 3" xfId="39673" xr:uid="{49E203BB-73D5-44DA-8F1C-4B3C247C95DB}"/>
    <cellStyle name="Normal 4 5 3 2 2 3 3" xfId="39674" xr:uid="{47753E5A-6E7F-496D-A519-8B637A945279}"/>
    <cellStyle name="Normal 4 5 3 2 2 3 4" xfId="39675" xr:uid="{E532E627-2D0A-48A9-B534-4C9C90297565}"/>
    <cellStyle name="Normal 4 5 3 2 2 3 5" xfId="39676" xr:uid="{B985E9D8-19B1-495B-8E16-382AB5F8B5EE}"/>
    <cellStyle name="Normal 4 5 3 2 2 4" xfId="39677" xr:uid="{5D635F99-4C20-4C97-944F-32FF81574CE7}"/>
    <cellStyle name="Normal 4 5 3 2 2 4 2" xfId="39678" xr:uid="{6287DB9D-A8F5-4328-BF7C-D3C10FEF213E}"/>
    <cellStyle name="Normal 4 5 3 2 2 4 3" xfId="39679" xr:uid="{BA92B819-A2A9-4990-9A60-793174202767}"/>
    <cellStyle name="Normal 4 5 3 2 2 5" xfId="39680" xr:uid="{BCB3EFEC-0420-400C-9C0F-5C0C7AC243D0}"/>
    <cellStyle name="Normal 4 5 3 2 2 6" xfId="39681" xr:uid="{3FB85FD0-8D07-4FE2-BF03-01D60887F370}"/>
    <cellStyle name="Normal 4 5 3 2 2 7" xfId="39682" xr:uid="{5A1DCB8D-BAE4-4CA8-A504-9587EF49DD9E}"/>
    <cellStyle name="Normal 4 5 3 2 3" xfId="39683" xr:uid="{93DFEF00-83DE-423B-8E5B-E7AFB53DA782}"/>
    <cellStyle name="Normal 4 5 3 2 3 2" xfId="39684" xr:uid="{9355D53F-FBD8-410C-9E6A-7379DCC036FF}"/>
    <cellStyle name="Normal 4 5 3 2 3 2 2" xfId="39685" xr:uid="{B108F300-9994-4455-844F-A8CF5D86BDDD}"/>
    <cellStyle name="Normal 4 5 3 2 3 2 3" xfId="39686" xr:uid="{CE9A05D3-4280-4925-9A6B-13448063B7BC}"/>
    <cellStyle name="Normal 4 5 3 2 3 3" xfId="39687" xr:uid="{544BFC82-3771-47B3-9C01-35F099A976BF}"/>
    <cellStyle name="Normal 4 5 3 2 3 4" xfId="39688" xr:uid="{DC7C90DC-1DF8-45E3-A0D7-30C0EC696875}"/>
    <cellStyle name="Normal 4 5 3 2 3 5" xfId="39689" xr:uid="{FE1B98C3-E714-4FD7-8238-06C7195B0111}"/>
    <cellStyle name="Normal 4 5 3 2 4" xfId="39690" xr:uid="{7400AA5A-AA4F-4CCB-9646-2E5CB2C0A2DC}"/>
    <cellStyle name="Normal 4 5 3 2 4 2" xfId="39691" xr:uid="{42A0BD11-CA44-4893-8F61-B65AE3B99341}"/>
    <cellStyle name="Normal 4 5 3 2 4 2 2" xfId="39692" xr:uid="{89998B53-299D-4F0C-836F-F7EF477FF175}"/>
    <cellStyle name="Normal 4 5 3 2 4 2 3" xfId="39693" xr:uid="{12A2A18D-61EB-4F00-9961-B84315FF7829}"/>
    <cellStyle name="Normal 4 5 3 2 4 3" xfId="39694" xr:uid="{B0350B6A-C3A0-4BE1-8FE5-BD7CD5D288AA}"/>
    <cellStyle name="Normal 4 5 3 2 4 4" xfId="39695" xr:uid="{50AAE053-FF1B-417E-A224-3E249FF5ACF1}"/>
    <cellStyle name="Normal 4 5 3 2 4 5" xfId="39696" xr:uid="{C057BC7D-22DF-499B-9552-4DDE0665BE9E}"/>
    <cellStyle name="Normal 4 5 3 2 5" xfId="39697" xr:uid="{CE0A6D9A-96D7-494E-95A9-FCD91D417837}"/>
    <cellStyle name="Normal 4 5 3 2 5 2" xfId="39698" xr:uid="{C0EF12C9-B7BD-4A28-BA3E-F1CBC17A1135}"/>
    <cellStyle name="Normal 4 5 3 2 5 3" xfId="39699" xr:uid="{3E50693F-B9E5-45ED-91EE-DAD59221F6D2}"/>
    <cellStyle name="Normal 4 5 3 2 6" xfId="39700" xr:uid="{3F64842C-E8EE-46C3-BC52-90916E289431}"/>
    <cellStyle name="Normal 4 5 3 2 7" xfId="39701" xr:uid="{792B8B19-A11E-4D8F-92BF-6050EDB4FE35}"/>
    <cellStyle name="Normal 4 5 3 2 8" xfId="39702" xr:uid="{B18BDF31-D49B-45F6-B729-5910E28F793D}"/>
    <cellStyle name="Normal 4 5 3 3" xfId="39703" xr:uid="{CD8E1BA2-E88D-4291-BF4F-DF935468A49A}"/>
    <cellStyle name="Normal 4 5 3 3 2" xfId="39704" xr:uid="{2ECBD6E6-51E7-4132-8A86-BB788DCCB97D}"/>
    <cellStyle name="Normal 4 5 3 3 2 2" xfId="39705" xr:uid="{07A4BD12-1132-4829-B99D-3C94CC945F95}"/>
    <cellStyle name="Normal 4 5 3 3 2 2 2" xfId="39706" xr:uid="{1C949CC1-9587-4155-86C3-530DF049C361}"/>
    <cellStyle name="Normal 4 5 3 3 2 2 3" xfId="39707" xr:uid="{D85D8109-9D78-4250-9F78-7879FEA474D1}"/>
    <cellStyle name="Normal 4 5 3 3 2 3" xfId="39708" xr:uid="{AAAAF09F-1358-4688-9FA1-4B8499181DE6}"/>
    <cellStyle name="Normal 4 5 3 3 2 4" xfId="39709" xr:uid="{F9C7543D-34D0-4FB9-9F90-BB0E06D99601}"/>
    <cellStyle name="Normal 4 5 3 3 2 5" xfId="39710" xr:uid="{E9171991-F145-449E-9F32-F12A204758C7}"/>
    <cellStyle name="Normal 4 5 3 3 3" xfId="39711" xr:uid="{EA818EF6-04D7-45F9-8644-5ECF575C5226}"/>
    <cellStyle name="Normal 4 5 3 3 3 2" xfId="39712" xr:uid="{08106329-1A1E-4838-9ABF-B83AACBD9381}"/>
    <cellStyle name="Normal 4 5 3 3 3 2 2" xfId="39713" xr:uid="{52F68CE8-FA63-4EF8-A837-47B9460C7DBB}"/>
    <cellStyle name="Normal 4 5 3 3 3 2 3" xfId="39714" xr:uid="{7EBBCDF4-74A4-4E2F-AA5C-67151F9BF629}"/>
    <cellStyle name="Normal 4 5 3 3 3 3" xfId="39715" xr:uid="{DBD93262-E9C0-4CB5-A024-4E5CD557B1BB}"/>
    <cellStyle name="Normal 4 5 3 3 3 4" xfId="39716" xr:uid="{AA037EF5-F8AC-46D3-8FB8-8820AC19072A}"/>
    <cellStyle name="Normal 4 5 3 3 3 5" xfId="39717" xr:uid="{D9DC6922-C788-4D2F-8016-137A78D46A86}"/>
    <cellStyle name="Normal 4 5 3 3 4" xfId="39718" xr:uid="{CF6ED346-E298-4476-BFDC-50A76F4D63A2}"/>
    <cellStyle name="Normal 4 5 3 3 4 2" xfId="39719" xr:uid="{79EFC1C7-46A0-49EA-8811-9CA843737B5B}"/>
    <cellStyle name="Normal 4 5 3 3 4 3" xfId="39720" xr:uid="{1536FDA2-AE43-4DBF-B630-290D79FA9F30}"/>
    <cellStyle name="Normal 4 5 3 3 5" xfId="39721" xr:uid="{CE318868-CAC4-4F2C-AA73-6EFF99105182}"/>
    <cellStyle name="Normal 4 5 3 3 6" xfId="39722" xr:uid="{98BD1CD9-28DA-4874-8DCD-3D886511E081}"/>
    <cellStyle name="Normal 4 5 3 3 7" xfId="39723" xr:uid="{C628A41A-2D45-445C-B08D-CEBF3E7EB9FE}"/>
    <cellStyle name="Normal 4 5 3 4" xfId="39724" xr:uid="{0708A09B-E78C-4B86-BDDC-8911A905A092}"/>
    <cellStyle name="Normal 4 5 3 4 2" xfId="39725" xr:uid="{10315EBC-0756-477F-9C1D-FEFB44E50040}"/>
    <cellStyle name="Normal 4 5 3 4 2 2" xfId="39726" xr:uid="{F9B3A3B6-1CAC-4DF0-8343-ACD4EF16930D}"/>
    <cellStyle name="Normal 4 5 3 4 2 3" xfId="39727" xr:uid="{AAA1FFF7-E291-494A-9AE7-D2BD6C91B5C0}"/>
    <cellStyle name="Normal 4 5 3 4 3" xfId="39728" xr:uid="{0D5137E1-2ED9-41C0-AABB-658E884D1082}"/>
    <cellStyle name="Normal 4 5 3 4 4" xfId="39729" xr:uid="{16F70883-F9AD-490E-A088-3F6F0199BB7C}"/>
    <cellStyle name="Normal 4 5 3 4 5" xfId="39730" xr:uid="{4EEBABD0-42A2-4149-80C8-776CCCC862F4}"/>
    <cellStyle name="Normal 4 5 3 5" xfId="39731" xr:uid="{A5A9D2FC-37E7-409C-89B2-E75BD76A2AA5}"/>
    <cellStyle name="Normal 4 5 3 5 2" xfId="39732" xr:uid="{FBB20C25-737A-40C0-937F-1627E74D0306}"/>
    <cellStyle name="Normal 4 5 3 5 2 2" xfId="39733" xr:uid="{366ACEF9-5AE1-4FB7-9678-0CE7F3504873}"/>
    <cellStyle name="Normal 4 5 3 5 2 3" xfId="39734" xr:uid="{772ECC5A-0E2A-47AF-A973-A3AF937D10A1}"/>
    <cellStyle name="Normal 4 5 3 5 3" xfId="39735" xr:uid="{F3FC96A9-7A4D-4928-B28E-0A2F67A9E2E3}"/>
    <cellStyle name="Normal 4 5 3 5 4" xfId="39736" xr:uid="{7F1341A9-2042-408A-BD90-D4C6EA3853FD}"/>
    <cellStyle name="Normal 4 5 3 5 5" xfId="39737" xr:uid="{5B123EF3-36BD-4D96-8258-DE352C2165C2}"/>
    <cellStyle name="Normal 4 5 3 6" xfId="39738" xr:uid="{58AAAF34-1F22-4DBB-AD64-14C2C344CCD4}"/>
    <cellStyle name="Normal 4 5 3 6 2" xfId="39739" xr:uid="{9EAD9F35-7773-4EE7-81C0-AF26DE10291B}"/>
    <cellStyle name="Normal 4 5 3 6 3" xfId="39740" xr:uid="{ED55E625-BBD4-44E0-9E4B-492E59A724D1}"/>
    <cellStyle name="Normal 4 5 3 7" xfId="39741" xr:uid="{E4FC9171-EF26-4F3E-8621-1645F72A76E4}"/>
    <cellStyle name="Normal 4 5 3 8" xfId="39742" xr:uid="{FD57607A-3055-417D-AE91-D9D24F34CB44}"/>
    <cellStyle name="Normal 4 5 3 9" xfId="39743" xr:uid="{A125BBF7-0D08-41CE-AC11-03787EA6BC3A}"/>
    <cellStyle name="Normal 4 5 4" xfId="39744" xr:uid="{1A522630-EBAE-489A-BF5B-2B7E72DC268C}"/>
    <cellStyle name="Normal 4 5 4 2" xfId="39745" xr:uid="{190CF5AE-B7CF-4FBC-BBAA-F496BC8ED22E}"/>
    <cellStyle name="Normal 4 5 4 2 2" xfId="39746" xr:uid="{508D4E28-F1CF-428C-920E-B45CC34ADC89}"/>
    <cellStyle name="Normal 4 5 4 2 2 2" xfId="39747" xr:uid="{35FDBE34-3CEA-4601-A1EB-1D0320CFE604}"/>
    <cellStyle name="Normal 4 5 4 2 2 2 2" xfId="39748" xr:uid="{6E761827-603D-426C-B456-6BBED263D1D1}"/>
    <cellStyle name="Normal 4 5 4 2 2 2 2 2" xfId="39749" xr:uid="{F05D644A-089D-42EB-8578-219F5E353177}"/>
    <cellStyle name="Normal 4 5 4 2 2 2 2 3" xfId="39750" xr:uid="{DFF2F902-516F-4D53-BED4-A404485E2627}"/>
    <cellStyle name="Normal 4 5 4 2 2 2 3" xfId="39751" xr:uid="{1E448E11-DFA9-450E-A88C-7B4C2FEA2CDB}"/>
    <cellStyle name="Normal 4 5 4 2 2 2 4" xfId="39752" xr:uid="{0FB874BC-59BC-4B55-8924-6D2D1A96FBCE}"/>
    <cellStyle name="Normal 4 5 4 2 2 2 5" xfId="39753" xr:uid="{181D1CE3-DB2D-4DB9-BBE1-C68A7FBDE47D}"/>
    <cellStyle name="Normal 4 5 4 2 2 3" xfId="39754" xr:uid="{2405C856-9010-4EDB-9CCD-D38EC923BAE9}"/>
    <cellStyle name="Normal 4 5 4 2 2 3 2" xfId="39755" xr:uid="{7E7C30B3-9CA6-494C-A200-7840A630AB15}"/>
    <cellStyle name="Normal 4 5 4 2 2 3 2 2" xfId="39756" xr:uid="{DF9D2EAA-E07B-4293-A550-95279F37DCB2}"/>
    <cellStyle name="Normal 4 5 4 2 2 3 2 3" xfId="39757" xr:uid="{8CD7A35F-F415-48F1-B548-E51DB9F00C12}"/>
    <cellStyle name="Normal 4 5 4 2 2 3 3" xfId="39758" xr:uid="{8BF71352-612F-48CA-95F3-A8D7C48E0669}"/>
    <cellStyle name="Normal 4 5 4 2 2 3 4" xfId="39759" xr:uid="{4D16F2F5-587B-464F-888F-B1EA9EA17C41}"/>
    <cellStyle name="Normal 4 5 4 2 2 3 5" xfId="39760" xr:uid="{D1A3C600-8CE4-4F4C-99FA-A715DB19245A}"/>
    <cellStyle name="Normal 4 5 4 2 2 4" xfId="39761" xr:uid="{C038ACB7-E21A-4E17-92B2-0A201DA097B5}"/>
    <cellStyle name="Normal 4 5 4 2 2 4 2" xfId="39762" xr:uid="{B4136391-9AA3-4766-A6C0-5D218DF86878}"/>
    <cellStyle name="Normal 4 5 4 2 2 4 3" xfId="39763" xr:uid="{8DCC5A9F-0376-4BC1-A1DC-4FBB03484A29}"/>
    <cellStyle name="Normal 4 5 4 2 2 5" xfId="39764" xr:uid="{10B77172-4903-4653-B708-BC3C687A118E}"/>
    <cellStyle name="Normal 4 5 4 2 2 6" xfId="39765" xr:uid="{321EDB43-6336-48D4-9EAF-FD8A903D344D}"/>
    <cellStyle name="Normal 4 5 4 2 2 7" xfId="39766" xr:uid="{36E387DC-0AAA-48A7-9DA8-57EF881D228C}"/>
    <cellStyle name="Normal 4 5 4 2 3" xfId="39767" xr:uid="{B615CA63-41CA-4C6A-9C03-B1D252D56F2B}"/>
    <cellStyle name="Normal 4 5 4 2 3 2" xfId="39768" xr:uid="{689B8F0B-96CB-42D4-B3E8-4F125B07FDB1}"/>
    <cellStyle name="Normal 4 5 4 2 3 2 2" xfId="39769" xr:uid="{5C83EED4-83B9-45FB-97FB-2C7DEED5F605}"/>
    <cellStyle name="Normal 4 5 4 2 3 2 3" xfId="39770" xr:uid="{1DFC7E66-E80B-4E08-B062-931F32582B19}"/>
    <cellStyle name="Normal 4 5 4 2 3 3" xfId="39771" xr:uid="{71795EAC-43A2-45CD-8E25-CD29257FAB8F}"/>
    <cellStyle name="Normal 4 5 4 2 3 4" xfId="39772" xr:uid="{97E99433-DEFB-46BC-861E-7137030E146E}"/>
    <cellStyle name="Normal 4 5 4 2 3 5" xfId="39773" xr:uid="{6E12BE1A-2ECF-4A21-89AC-CC4BE71D29E3}"/>
    <cellStyle name="Normal 4 5 4 2 4" xfId="39774" xr:uid="{F2804314-F71A-4C05-917D-82059112BE6E}"/>
    <cellStyle name="Normal 4 5 4 2 4 2" xfId="39775" xr:uid="{563B318A-40E9-4DA2-B4E0-36ADD2900BEE}"/>
    <cellStyle name="Normal 4 5 4 2 4 2 2" xfId="39776" xr:uid="{1DFEE527-1E49-4BE2-8D09-5699ED909200}"/>
    <cellStyle name="Normal 4 5 4 2 4 2 3" xfId="39777" xr:uid="{F3CE35DF-C118-41F2-A465-A661CF1AEACF}"/>
    <cellStyle name="Normal 4 5 4 2 4 3" xfId="39778" xr:uid="{91976162-FD9E-4221-A2F9-D7B102D58D40}"/>
    <cellStyle name="Normal 4 5 4 2 4 4" xfId="39779" xr:uid="{983C5077-12C9-46BB-B051-88DD8125F9C9}"/>
    <cellStyle name="Normal 4 5 4 2 4 5" xfId="39780" xr:uid="{B0BE4776-C633-4469-8468-C117C8CE4B11}"/>
    <cellStyle name="Normal 4 5 4 2 5" xfId="39781" xr:uid="{78B93085-5B72-409A-B4FD-DD047AC3C737}"/>
    <cellStyle name="Normal 4 5 4 2 5 2" xfId="39782" xr:uid="{756BA18E-0FC0-4AF4-8F07-227CF6B1BF6E}"/>
    <cellStyle name="Normal 4 5 4 2 5 3" xfId="39783" xr:uid="{137FC1DC-4C6D-4D70-9C6B-A94D2A9B43ED}"/>
    <cellStyle name="Normal 4 5 4 2 6" xfId="39784" xr:uid="{D49D145C-AC5E-4F03-A727-91D8D6C96956}"/>
    <cellStyle name="Normal 4 5 4 2 7" xfId="39785" xr:uid="{E4BB99F3-AA08-4D67-8E59-03A3A685FFEF}"/>
    <cellStyle name="Normal 4 5 4 2 8" xfId="39786" xr:uid="{2D0A44CD-1EA2-4684-AEBE-E81B4E303B79}"/>
    <cellStyle name="Normal 4 5 4 3" xfId="39787" xr:uid="{68769E37-F326-4A2C-86C4-28BF68DAC21C}"/>
    <cellStyle name="Normal 4 5 4 3 2" xfId="39788" xr:uid="{36E013E1-E1F9-4F3D-B7EA-6C567C4D2088}"/>
    <cellStyle name="Normal 4 5 4 3 2 2" xfId="39789" xr:uid="{DA190E56-8091-4BCC-AC55-C500ADE9C302}"/>
    <cellStyle name="Normal 4 5 4 3 2 2 2" xfId="39790" xr:uid="{1DB6123C-632D-461D-A4FE-2A4A51B51498}"/>
    <cellStyle name="Normal 4 5 4 3 2 2 3" xfId="39791" xr:uid="{6D6ADAF6-B670-4938-99CB-2790DFFA625C}"/>
    <cellStyle name="Normal 4 5 4 3 2 3" xfId="39792" xr:uid="{4CE2F8CD-ADFB-4045-B45D-56B8BF3B8B17}"/>
    <cellStyle name="Normal 4 5 4 3 2 4" xfId="39793" xr:uid="{8E9A71D4-CC54-413D-90BC-355D8A18C429}"/>
    <cellStyle name="Normal 4 5 4 3 2 5" xfId="39794" xr:uid="{33415F1F-961C-478B-82D9-211E1CB1C5F3}"/>
    <cellStyle name="Normal 4 5 4 3 3" xfId="39795" xr:uid="{012DD88C-A437-465B-B3E2-1E7B1BEA380F}"/>
    <cellStyle name="Normal 4 5 4 3 3 2" xfId="39796" xr:uid="{1E794A1E-7A9D-4ACE-BB30-C46461000AF9}"/>
    <cellStyle name="Normal 4 5 4 3 3 2 2" xfId="39797" xr:uid="{C48CF50A-46A1-44BF-8143-B906DD37C0D2}"/>
    <cellStyle name="Normal 4 5 4 3 3 2 3" xfId="39798" xr:uid="{6DBA83EE-0B1B-47AD-8495-63FDB6792610}"/>
    <cellStyle name="Normal 4 5 4 3 3 3" xfId="39799" xr:uid="{7301D389-195B-4FA9-8677-4D99448E6F69}"/>
    <cellStyle name="Normal 4 5 4 3 3 4" xfId="39800" xr:uid="{943CA469-37DA-43A8-9F8F-E6C839111A24}"/>
    <cellStyle name="Normal 4 5 4 3 3 5" xfId="39801" xr:uid="{2100886A-4043-47C9-90D9-8B888BB32423}"/>
    <cellStyle name="Normal 4 5 4 3 4" xfId="39802" xr:uid="{4C5299E1-704A-405D-885F-26E01C517B2D}"/>
    <cellStyle name="Normal 4 5 4 3 4 2" xfId="39803" xr:uid="{0236AC60-BCCE-41DF-8223-84EEC3AC57E9}"/>
    <cellStyle name="Normal 4 5 4 3 4 3" xfId="39804" xr:uid="{BC570432-1604-4B16-BEFB-7B8C88C5F1C0}"/>
    <cellStyle name="Normal 4 5 4 3 5" xfId="39805" xr:uid="{3874166A-5224-46FF-9878-E3F56467F905}"/>
    <cellStyle name="Normal 4 5 4 3 6" xfId="39806" xr:uid="{93BD664D-29C0-4C1C-8815-AB2FC30296B0}"/>
    <cellStyle name="Normal 4 5 4 3 7" xfId="39807" xr:uid="{9A32E500-C52D-4078-8FC4-D16EE546BBDD}"/>
    <cellStyle name="Normal 4 5 4 4" xfId="39808" xr:uid="{903A763F-8D07-4748-A892-A10A17FC1FA2}"/>
    <cellStyle name="Normal 4 5 4 4 2" xfId="39809" xr:uid="{06B4C2C7-694E-4254-812A-D4F0AB2A9332}"/>
    <cellStyle name="Normal 4 5 4 4 2 2" xfId="39810" xr:uid="{5B173445-E445-48D7-95F8-FC1E551B50A9}"/>
    <cellStyle name="Normal 4 5 4 4 2 3" xfId="39811" xr:uid="{F165CFA8-1028-4141-B0E6-4FEDC54FFA29}"/>
    <cellStyle name="Normal 4 5 4 4 3" xfId="39812" xr:uid="{4935CEFB-F332-4557-BBA6-5657AB3AC0D6}"/>
    <cellStyle name="Normal 4 5 4 4 4" xfId="39813" xr:uid="{00347FD6-D760-4879-A95B-BFCA63BB675A}"/>
    <cellStyle name="Normal 4 5 4 4 5" xfId="39814" xr:uid="{48E9B63D-B7A5-4DEA-847E-0E22DEDDF797}"/>
    <cellStyle name="Normal 4 5 4 5" xfId="39815" xr:uid="{A8EBAD8A-060B-4239-A994-59DF3EF310A9}"/>
    <cellStyle name="Normal 4 5 4 5 2" xfId="39816" xr:uid="{C316EE08-A2EC-46B8-BD94-E4A3F05406DC}"/>
    <cellStyle name="Normal 4 5 4 5 2 2" xfId="39817" xr:uid="{80D7588D-949B-4BDF-A680-B774B2DABBBA}"/>
    <cellStyle name="Normal 4 5 4 5 2 3" xfId="39818" xr:uid="{977B541D-D972-42A0-99C7-313D53A08D85}"/>
    <cellStyle name="Normal 4 5 4 5 3" xfId="39819" xr:uid="{AB9D6777-914F-48F4-99D4-5714869715F6}"/>
    <cellStyle name="Normal 4 5 4 5 4" xfId="39820" xr:uid="{F108268E-1661-4F22-9C09-C44295D1D510}"/>
    <cellStyle name="Normal 4 5 4 5 5" xfId="39821" xr:uid="{27F1D919-1009-46A6-B351-CB2A6152957B}"/>
    <cellStyle name="Normal 4 5 4 6" xfId="39822" xr:uid="{1F1F2EF5-EF33-4A8F-AFBB-4AB884C216DD}"/>
    <cellStyle name="Normal 4 5 4 6 2" xfId="39823" xr:uid="{4F5E818C-38BC-43D8-8D3A-080222D13404}"/>
    <cellStyle name="Normal 4 5 4 6 3" xfId="39824" xr:uid="{6B89A667-45F4-418D-8AF9-C0A5AB76EF5C}"/>
    <cellStyle name="Normal 4 5 4 7" xfId="39825" xr:uid="{D693F89C-90B3-4460-8425-076CB83D5E23}"/>
    <cellStyle name="Normal 4 5 4 8" xfId="39826" xr:uid="{DC3B75EA-6DA7-4018-A641-7A30DE45E1D5}"/>
    <cellStyle name="Normal 4 5 4 9" xfId="39827" xr:uid="{C197E91B-2D73-4CAC-BFF6-2A4A5B3D27BD}"/>
    <cellStyle name="Normal 4 5 5" xfId="39828" xr:uid="{01ACF4B9-D44E-4515-9FCE-814B4664824F}"/>
    <cellStyle name="Normal 4 5 5 2" xfId="39829" xr:uid="{79590F99-9AF7-4BBD-9EC3-789961E87CD7}"/>
    <cellStyle name="Normal 4 5 5 2 2" xfId="39830" xr:uid="{2F96C7FB-F23D-4AB4-AE36-83458A912FC3}"/>
    <cellStyle name="Normal 4 5 5 2 2 2" xfId="39831" xr:uid="{3C3484DE-AC9D-45E6-8A55-ED7F898EB16B}"/>
    <cellStyle name="Normal 4 5 5 2 2 2 2" xfId="39832" xr:uid="{7C6B50EA-67D4-46A7-9771-48CF6669EB5D}"/>
    <cellStyle name="Normal 4 5 5 2 2 2 2 2" xfId="39833" xr:uid="{0033D014-BCBE-44CC-85F1-44C9B6EC668E}"/>
    <cellStyle name="Normal 4 5 5 2 2 2 2 3" xfId="39834" xr:uid="{8A5920DF-FFF1-4405-A3DC-E600EE39DF21}"/>
    <cellStyle name="Normal 4 5 5 2 2 2 3" xfId="39835" xr:uid="{5AF0CBD5-C62B-4C17-951F-48DF333FF4B6}"/>
    <cellStyle name="Normal 4 5 5 2 2 2 4" xfId="39836" xr:uid="{F0B2D834-A365-44B9-8468-1B2C9F0A7028}"/>
    <cellStyle name="Normal 4 5 5 2 2 2 5" xfId="39837" xr:uid="{275D13C5-768B-465E-8C38-76842FE2BAE5}"/>
    <cellStyle name="Normal 4 5 5 2 2 3" xfId="39838" xr:uid="{3B41AE6E-F8F0-401A-B13A-73AD8280B9B4}"/>
    <cellStyle name="Normal 4 5 5 2 2 3 2" xfId="39839" xr:uid="{BA95D04F-8B34-4433-8DEB-6434C8481C0D}"/>
    <cellStyle name="Normal 4 5 5 2 2 3 2 2" xfId="39840" xr:uid="{23BA5D7B-619C-4A0D-BBF7-0EF681875E98}"/>
    <cellStyle name="Normal 4 5 5 2 2 3 2 3" xfId="39841" xr:uid="{CD855696-8A62-47E6-8EBA-BB1A696FB09A}"/>
    <cellStyle name="Normal 4 5 5 2 2 3 3" xfId="39842" xr:uid="{C3598F35-E295-4DC5-804C-6E0DC2CC3385}"/>
    <cellStyle name="Normal 4 5 5 2 2 3 4" xfId="39843" xr:uid="{61E1E33E-E049-4977-8E44-BD1EA8F09152}"/>
    <cellStyle name="Normal 4 5 5 2 2 3 5" xfId="39844" xr:uid="{54085044-26C0-4974-A0D2-B0C4C75CE4B8}"/>
    <cellStyle name="Normal 4 5 5 2 2 4" xfId="39845" xr:uid="{2B6C3105-9364-442B-B7E9-4E5177E7BA43}"/>
    <cellStyle name="Normal 4 5 5 2 2 4 2" xfId="39846" xr:uid="{86242BA4-EF01-42A1-8E50-51A8C2550374}"/>
    <cellStyle name="Normal 4 5 5 2 2 4 3" xfId="39847" xr:uid="{92E32A1E-D644-4E30-8710-66ABBF282F2C}"/>
    <cellStyle name="Normal 4 5 5 2 2 5" xfId="39848" xr:uid="{DBA5AF8C-9122-405B-A8A2-40092292A0A9}"/>
    <cellStyle name="Normal 4 5 5 2 2 6" xfId="39849" xr:uid="{42B968CF-214B-4BD2-89F6-F983099E677B}"/>
    <cellStyle name="Normal 4 5 5 2 2 7" xfId="39850" xr:uid="{6CF79CE7-F169-4B24-8E91-5ED79046C9F8}"/>
    <cellStyle name="Normal 4 5 5 2 3" xfId="39851" xr:uid="{F7B18D58-9408-4C5A-BEB8-178580D72D80}"/>
    <cellStyle name="Normal 4 5 5 2 3 2" xfId="39852" xr:uid="{67EBD68C-BA38-4037-9640-762625E79811}"/>
    <cellStyle name="Normal 4 5 5 2 3 2 2" xfId="39853" xr:uid="{BE44AA25-85DA-424A-A4BF-0D2D86B8714A}"/>
    <cellStyle name="Normal 4 5 5 2 3 2 3" xfId="39854" xr:uid="{8C76B7B0-6039-420A-95A4-789169BD7BF1}"/>
    <cellStyle name="Normal 4 5 5 2 3 3" xfId="39855" xr:uid="{A03315BE-E0FF-473C-91E2-FAC6018CCE14}"/>
    <cellStyle name="Normal 4 5 5 2 3 4" xfId="39856" xr:uid="{82127400-73D1-4AD4-9DD5-987922B59248}"/>
    <cellStyle name="Normal 4 5 5 2 3 5" xfId="39857" xr:uid="{43D8B931-683B-49E8-8CD5-BE635DC9BC47}"/>
    <cellStyle name="Normal 4 5 5 2 4" xfId="39858" xr:uid="{75B0F5D3-A772-4386-BA11-0E95A42F90DF}"/>
    <cellStyle name="Normal 4 5 5 2 4 2" xfId="39859" xr:uid="{F0A614A9-0356-4424-89FF-C12839D11249}"/>
    <cellStyle name="Normal 4 5 5 2 4 2 2" xfId="39860" xr:uid="{9EE60CD2-09A6-4A95-ADE2-0FC3B2891E35}"/>
    <cellStyle name="Normal 4 5 5 2 4 2 3" xfId="39861" xr:uid="{A3E01CCE-F49E-4597-9D25-A543A459C0A4}"/>
    <cellStyle name="Normal 4 5 5 2 4 3" xfId="39862" xr:uid="{62C762F6-A16D-4B86-A5E9-A9AB39804CDA}"/>
    <cellStyle name="Normal 4 5 5 2 4 4" xfId="39863" xr:uid="{90D029ED-C0DE-45C4-B3AF-3AE712AB2017}"/>
    <cellStyle name="Normal 4 5 5 2 4 5" xfId="39864" xr:uid="{32E06502-9E91-460F-B843-2128EB4F4631}"/>
    <cellStyle name="Normal 4 5 5 2 5" xfId="39865" xr:uid="{6F09A26E-5DFB-4406-9D96-F32C74917E65}"/>
    <cellStyle name="Normal 4 5 5 2 5 2" xfId="39866" xr:uid="{C266BE0E-4B88-46BD-8A84-93829EB1C12E}"/>
    <cellStyle name="Normal 4 5 5 2 5 3" xfId="39867" xr:uid="{C3130F86-1DA7-40F2-9916-885D9C00E2A6}"/>
    <cellStyle name="Normal 4 5 5 2 6" xfId="39868" xr:uid="{00017230-F24E-4A38-9F98-6B0EF1C13326}"/>
    <cellStyle name="Normal 4 5 5 2 7" xfId="39869" xr:uid="{D16260D3-68FA-4F94-8D9F-1BFC8DB7F8FA}"/>
    <cellStyle name="Normal 4 5 5 2 8" xfId="39870" xr:uid="{7CB3257F-BB58-4BBD-B716-3FE8582C02D1}"/>
    <cellStyle name="Normal 4 5 5 3" xfId="39871" xr:uid="{365AEC2B-46E5-48AC-99E3-908B5E3ADD97}"/>
    <cellStyle name="Normal 4 5 5 3 2" xfId="39872" xr:uid="{E387AC49-A59B-4E58-8875-362A79C7D7FD}"/>
    <cellStyle name="Normal 4 5 5 3 2 2" xfId="39873" xr:uid="{E4C47409-B347-43BD-AD6E-A0E58BC15F6A}"/>
    <cellStyle name="Normal 4 5 5 3 2 2 2" xfId="39874" xr:uid="{9FC9353D-C606-4675-808B-E850392A5C59}"/>
    <cellStyle name="Normal 4 5 5 3 2 2 3" xfId="39875" xr:uid="{73D1200F-DF43-40F2-B984-F0AC6B8D0611}"/>
    <cellStyle name="Normal 4 5 5 3 2 3" xfId="39876" xr:uid="{7BC7460C-A0FE-4176-8378-42C62AD64345}"/>
    <cellStyle name="Normal 4 5 5 3 2 4" xfId="39877" xr:uid="{6CBE3E5E-4D2C-4A50-99DD-97FC179E36C3}"/>
    <cellStyle name="Normal 4 5 5 3 2 5" xfId="39878" xr:uid="{A7738496-417F-436F-BE7F-66DDDF03AD0B}"/>
    <cellStyle name="Normal 4 5 5 3 3" xfId="39879" xr:uid="{9EAE4DF7-BAF5-42DE-A0A1-A1D6CE7C6830}"/>
    <cellStyle name="Normal 4 5 5 3 3 2" xfId="39880" xr:uid="{2F792949-C371-481D-B8D3-DDC2E06B16B5}"/>
    <cellStyle name="Normal 4 5 5 3 3 2 2" xfId="39881" xr:uid="{AE5275C9-7BF2-49ED-8201-B5BFCAD0B95E}"/>
    <cellStyle name="Normal 4 5 5 3 3 2 3" xfId="39882" xr:uid="{D0A0F644-A9B1-4F79-B925-484F78B93B81}"/>
    <cellStyle name="Normal 4 5 5 3 3 3" xfId="39883" xr:uid="{567DE1E0-F827-4D31-894B-F6D769983B46}"/>
    <cellStyle name="Normal 4 5 5 3 3 4" xfId="39884" xr:uid="{9C79E7CD-F9BD-453D-9599-BCF2C0794C86}"/>
    <cellStyle name="Normal 4 5 5 3 3 5" xfId="39885" xr:uid="{9F7D0057-B5C3-497A-A435-96AFF4CB93EA}"/>
    <cellStyle name="Normal 4 5 5 3 4" xfId="39886" xr:uid="{C8D28281-C57F-4F3D-8A1A-0C0728AD9C4A}"/>
    <cellStyle name="Normal 4 5 5 3 4 2" xfId="39887" xr:uid="{E346CB0F-4C0F-4A4A-9607-A27C659B049A}"/>
    <cellStyle name="Normal 4 5 5 3 4 3" xfId="39888" xr:uid="{32187174-90E2-4CE7-AEE6-3DC4EB46AC4C}"/>
    <cellStyle name="Normal 4 5 5 3 5" xfId="39889" xr:uid="{586F5CE4-1A51-48DF-9BCC-F05CAFB5C99C}"/>
    <cellStyle name="Normal 4 5 5 3 6" xfId="39890" xr:uid="{E251392A-2840-4D14-8E38-F9CE55C522B4}"/>
    <cellStyle name="Normal 4 5 5 3 7" xfId="39891" xr:uid="{0F02AAA5-E33C-4E0F-8E56-C6C2D84DB35F}"/>
    <cellStyle name="Normal 4 5 5 4" xfId="39892" xr:uid="{11D3A432-07CD-4C67-9616-CAE6AEE0B659}"/>
    <cellStyle name="Normal 4 5 5 4 2" xfId="39893" xr:uid="{E791BFD9-9F5E-4831-A141-275B6B2184E9}"/>
    <cellStyle name="Normal 4 5 5 4 2 2" xfId="39894" xr:uid="{1A129A2F-4409-4435-8F50-2F058D998011}"/>
    <cellStyle name="Normal 4 5 5 4 2 3" xfId="39895" xr:uid="{8A1F9B0B-3D62-4DD9-9CDA-993FD01A23EA}"/>
    <cellStyle name="Normal 4 5 5 4 3" xfId="39896" xr:uid="{3BBA8820-A684-4B38-B8D9-002D4190A836}"/>
    <cellStyle name="Normal 4 5 5 4 4" xfId="39897" xr:uid="{49A386E6-E57C-47CC-B549-2AFF0A765714}"/>
    <cellStyle name="Normal 4 5 5 4 5" xfId="39898" xr:uid="{9C035FB4-0AD3-45A7-91AB-80C2B96CA84E}"/>
    <cellStyle name="Normal 4 5 5 5" xfId="39899" xr:uid="{C4C77136-D01C-41C1-9B39-8538C708523B}"/>
    <cellStyle name="Normal 4 5 5 5 2" xfId="39900" xr:uid="{0798B9CA-E12D-46E7-84D7-962AD49417B6}"/>
    <cellStyle name="Normal 4 5 5 5 2 2" xfId="39901" xr:uid="{E5F78A74-3322-4153-A3D9-72428769E23F}"/>
    <cellStyle name="Normal 4 5 5 5 2 3" xfId="39902" xr:uid="{104FEB19-64A8-48DE-8A2F-182D31F67622}"/>
    <cellStyle name="Normal 4 5 5 5 3" xfId="39903" xr:uid="{7747A0BE-6516-45B5-8231-E6846594EFA3}"/>
    <cellStyle name="Normal 4 5 5 5 4" xfId="39904" xr:uid="{5AE4BE37-9608-40ED-8A7C-72D08300A695}"/>
    <cellStyle name="Normal 4 5 5 5 5" xfId="39905" xr:uid="{8FEF231D-6C6A-45E0-A8DA-D3EB7B7F2C4D}"/>
    <cellStyle name="Normal 4 5 5 6" xfId="39906" xr:uid="{C3BABBCA-2726-4E5D-A7DD-7261F1378DA6}"/>
    <cellStyle name="Normal 4 5 5 6 2" xfId="39907" xr:uid="{76D5C972-9C70-4756-BCED-4B4A4B37DF36}"/>
    <cellStyle name="Normal 4 5 5 6 3" xfId="39908" xr:uid="{5B6844F1-F55C-4C14-901B-DA42C349C2C3}"/>
    <cellStyle name="Normal 4 5 5 7" xfId="39909" xr:uid="{74FA57AE-35A0-4EFC-B426-C0097CEE51FE}"/>
    <cellStyle name="Normal 4 5 5 8" xfId="39910" xr:uid="{07355B79-4025-421A-AEF2-E2BB18A69CDE}"/>
    <cellStyle name="Normal 4 5 5 9" xfId="39911" xr:uid="{C2B1D250-67AA-4A74-AE82-02804C483C3E}"/>
    <cellStyle name="Normal 4 5 6" xfId="39912" xr:uid="{5F49B450-331C-4B75-8237-B0CE6B4324BE}"/>
    <cellStyle name="Normal 4 5 6 2" xfId="39913" xr:uid="{78B9C9D5-956D-4F99-A933-3BB2AA59E8BE}"/>
    <cellStyle name="Normal 4 5 6 2 2" xfId="39914" xr:uid="{B0194505-A67A-4A07-A7E4-98E68EF8D432}"/>
    <cellStyle name="Normal 4 5 6 2 2 2" xfId="39915" xr:uid="{C7DC8461-2457-4C4C-A85B-9A93DA2D71E6}"/>
    <cellStyle name="Normal 4 5 6 2 2 2 2" xfId="39916" xr:uid="{D17DFB02-E03F-4F5A-BAC9-D14468C72CA0}"/>
    <cellStyle name="Normal 4 5 6 2 2 2 3" xfId="39917" xr:uid="{9FB88259-9ED3-42EA-BB7F-236CBB3508F8}"/>
    <cellStyle name="Normal 4 5 6 2 2 3" xfId="39918" xr:uid="{48ACB154-976D-4D95-A154-EB01CBF193B7}"/>
    <cellStyle name="Normal 4 5 6 2 2 4" xfId="39919" xr:uid="{15603A74-C8AA-4EF5-82A6-555D7D849EB3}"/>
    <cellStyle name="Normal 4 5 6 2 2 5" xfId="39920" xr:uid="{D549D071-F4BE-4D86-9D0C-397201559CF8}"/>
    <cellStyle name="Normal 4 5 6 2 3" xfId="39921" xr:uid="{4B5AC1DF-C3B0-42B0-AC4A-B8D9536B2240}"/>
    <cellStyle name="Normal 4 5 6 2 3 2" xfId="39922" xr:uid="{00BE510C-F5FF-41C3-91B7-C349C6C11859}"/>
    <cellStyle name="Normal 4 5 6 2 3 2 2" xfId="39923" xr:uid="{829606F0-D109-4E71-AC2F-39973679FA34}"/>
    <cellStyle name="Normal 4 5 6 2 3 2 3" xfId="39924" xr:uid="{BA97417D-CD24-45DE-8C38-B7194E2F419F}"/>
    <cellStyle name="Normal 4 5 6 2 3 3" xfId="39925" xr:uid="{C7451A72-6917-48CF-89E5-7DD629DF9C06}"/>
    <cellStyle name="Normal 4 5 6 2 3 4" xfId="39926" xr:uid="{CA755544-A318-47BA-8C6B-0EF55DC5BEF5}"/>
    <cellStyle name="Normal 4 5 6 2 3 5" xfId="39927" xr:uid="{F165DBEE-C0F2-48D1-90B8-70F0172002A6}"/>
    <cellStyle name="Normal 4 5 6 2 4" xfId="39928" xr:uid="{FF2B1883-5B22-4AF6-BA5B-DF427F10A327}"/>
    <cellStyle name="Normal 4 5 6 2 4 2" xfId="39929" xr:uid="{6A6F4FD3-2160-48F0-94EF-756DF18566EA}"/>
    <cellStyle name="Normal 4 5 6 2 4 3" xfId="39930" xr:uid="{5D21D481-84FE-4E75-940A-416AA7C52D0A}"/>
    <cellStyle name="Normal 4 5 6 2 5" xfId="39931" xr:uid="{9B23C766-0586-4A91-AE53-3BBD5F8DA221}"/>
    <cellStyle name="Normal 4 5 6 2 6" xfId="39932" xr:uid="{35F5544D-451B-482C-8442-15A2521CA417}"/>
    <cellStyle name="Normal 4 5 6 2 7" xfId="39933" xr:uid="{10E206AD-2B9A-4A42-9BF3-8FEB972F00FE}"/>
    <cellStyle name="Normal 4 5 6 3" xfId="39934" xr:uid="{F3B86F21-AEDA-488A-8909-BF5092E8ECBE}"/>
    <cellStyle name="Normal 4 5 6 3 2" xfId="39935" xr:uid="{A3C8C538-D8B0-476D-A876-986FABFCC481}"/>
    <cellStyle name="Normal 4 5 6 3 2 2" xfId="39936" xr:uid="{7365BDE3-FFA6-4355-BD5A-A7552A2F4718}"/>
    <cellStyle name="Normal 4 5 6 3 2 3" xfId="39937" xr:uid="{AC995D23-5BE5-497E-99FF-A3A08B267023}"/>
    <cellStyle name="Normal 4 5 6 3 3" xfId="39938" xr:uid="{0CDE897B-6433-45BB-9CB4-D6D15C365471}"/>
    <cellStyle name="Normal 4 5 6 3 4" xfId="39939" xr:uid="{5530B6E2-F9B0-4881-9A50-29CBEED4FB10}"/>
    <cellStyle name="Normal 4 5 6 3 5" xfId="39940" xr:uid="{3A6E13E6-DC21-48FC-8DEB-C1716480E192}"/>
    <cellStyle name="Normal 4 5 6 4" xfId="39941" xr:uid="{D2066377-0E8D-4E43-A2F4-1D846CBF2F97}"/>
    <cellStyle name="Normal 4 5 6 4 2" xfId="39942" xr:uid="{66EDBC32-C514-40EE-90D2-8D2FADDB3AE7}"/>
    <cellStyle name="Normal 4 5 6 4 2 2" xfId="39943" xr:uid="{6AE26C1B-F76B-4EB4-AC23-BC113603125E}"/>
    <cellStyle name="Normal 4 5 6 4 2 3" xfId="39944" xr:uid="{00BCDB2A-5F68-4CE7-B86A-F1C98937D544}"/>
    <cellStyle name="Normal 4 5 6 4 3" xfId="39945" xr:uid="{B81B9EE9-E54A-4A49-865B-5E1C856B366E}"/>
    <cellStyle name="Normal 4 5 6 4 4" xfId="39946" xr:uid="{8B869D1F-C3FA-422D-BBBB-AE0E8DAAAB25}"/>
    <cellStyle name="Normal 4 5 6 4 5" xfId="39947" xr:uid="{87A0D625-1051-4235-9C0F-002FC8168022}"/>
    <cellStyle name="Normal 4 5 6 5" xfId="39948" xr:uid="{98182BB8-3479-4F7B-A51E-352323C107C3}"/>
    <cellStyle name="Normal 4 5 6 5 2" xfId="39949" xr:uid="{E238ED89-7033-4495-AFC0-514C54C81334}"/>
    <cellStyle name="Normal 4 5 6 5 3" xfId="39950" xr:uid="{6BD157BF-8352-4DAD-B51D-5CCC48DEEE8F}"/>
    <cellStyle name="Normal 4 5 6 6" xfId="39951" xr:uid="{F66C5131-EEE6-4EF7-B79F-4EFB9E24E45A}"/>
    <cellStyle name="Normal 4 5 6 7" xfId="39952" xr:uid="{C7066556-E5A8-40FD-BFF7-A3E9CCDC4D95}"/>
    <cellStyle name="Normal 4 5 6 8" xfId="39953" xr:uid="{36ED9804-9C19-4606-B11C-6F4FE54FBE41}"/>
    <cellStyle name="Normal 4 5 7" xfId="39954" xr:uid="{1875B2BE-C1C8-4343-AE3C-6227D3298FDD}"/>
    <cellStyle name="Normal 4 5 7 2" xfId="39955" xr:uid="{CDA15802-EC76-45E1-A6BE-B59F0258E751}"/>
    <cellStyle name="Normal 4 5 7 2 2" xfId="39956" xr:uid="{E0528D17-21FF-4D67-9BDC-4737756F5671}"/>
    <cellStyle name="Normal 4 5 7 2 2 2" xfId="39957" xr:uid="{265DC7BF-9BEF-4B20-878E-F714BBE444A7}"/>
    <cellStyle name="Normal 4 5 7 2 2 3" xfId="39958" xr:uid="{E0C652E5-7D25-4635-B76B-12B8EA1570DA}"/>
    <cellStyle name="Normal 4 5 7 2 3" xfId="39959" xr:uid="{8565D55F-F3FA-46F2-B4A5-53F26722E88D}"/>
    <cellStyle name="Normal 4 5 7 2 4" xfId="39960" xr:uid="{90DCDAC0-7AE6-4BB4-811F-9606001817E4}"/>
    <cellStyle name="Normal 4 5 7 2 5" xfId="39961" xr:uid="{83A82FB5-6B6F-4241-AAC9-2E85DE4FAA58}"/>
    <cellStyle name="Normal 4 5 7 3" xfId="39962" xr:uid="{F2CF7FF6-ECDF-4C7C-AB05-1F8938D5DA00}"/>
    <cellStyle name="Normal 4 5 7 3 2" xfId="39963" xr:uid="{7D4E74ED-F3E2-4E8F-8730-098DC61E3F11}"/>
    <cellStyle name="Normal 4 5 7 3 2 2" xfId="39964" xr:uid="{9754A73A-62E9-4318-ACDD-4E31B3BBA967}"/>
    <cellStyle name="Normal 4 5 7 3 2 3" xfId="39965" xr:uid="{A0395805-D5A4-4026-96F2-060F05EC3DA3}"/>
    <cellStyle name="Normal 4 5 7 3 3" xfId="39966" xr:uid="{65567D3C-0B1B-4B6D-8D97-FB9B7A3EB35D}"/>
    <cellStyle name="Normal 4 5 7 3 4" xfId="39967" xr:uid="{7D7D3E3F-D99D-41D9-BC0A-10ADDB9E12AA}"/>
    <cellStyle name="Normal 4 5 7 3 5" xfId="39968" xr:uid="{15C5624D-D133-4939-839E-310D1F44848A}"/>
    <cellStyle name="Normal 4 5 7 4" xfId="39969" xr:uid="{3564F803-3756-4EF2-B8EC-440BA7610889}"/>
    <cellStyle name="Normal 4 5 7 4 2" xfId="39970" xr:uid="{1DC394F8-85CD-435F-A56E-9B0193A99C73}"/>
    <cellStyle name="Normal 4 5 7 4 3" xfId="39971" xr:uid="{507959D1-14A8-494A-9EB2-F150FC0343D5}"/>
    <cellStyle name="Normal 4 5 7 5" xfId="39972" xr:uid="{DB423F9C-71E4-412C-9347-512281D01B95}"/>
    <cellStyle name="Normal 4 5 7 6" xfId="39973" xr:uid="{25EB3719-C5A6-46D9-B6B9-2DE1E389ADB2}"/>
    <cellStyle name="Normal 4 5 7 7" xfId="39974" xr:uid="{3014A454-F1A7-4BE5-B59B-C20ECBD554D0}"/>
    <cellStyle name="Normal 4 5 8" xfId="39975" xr:uid="{F72ED222-224D-4D1F-8041-F9FA14CBD70B}"/>
    <cellStyle name="Normal 4 5 8 2" xfId="39976" xr:uid="{BD1F147A-A45C-45D1-A772-4F95387E5631}"/>
    <cellStyle name="Normal 4 5 8 2 2" xfId="39977" xr:uid="{9E8885FE-8C39-40D9-963E-87D9D4B5A9FF}"/>
    <cellStyle name="Normal 4 5 8 2 2 2" xfId="39978" xr:uid="{6D8F7FDC-34EE-443C-ADC0-3FE82D48211D}"/>
    <cellStyle name="Normal 4 5 8 2 2 3" xfId="39979" xr:uid="{733833BD-084C-4E3A-AAEF-C7B6E65F845D}"/>
    <cellStyle name="Normal 4 5 8 2 3" xfId="39980" xr:uid="{F4DE8397-406A-4A4F-B1A4-B271C59C34CF}"/>
    <cellStyle name="Normal 4 5 8 2 4" xfId="39981" xr:uid="{8ABB2C87-8F94-41ED-B334-257FD2D79C21}"/>
    <cellStyle name="Normal 4 5 8 2 5" xfId="39982" xr:uid="{E365B77E-55BE-4A55-B498-AF5F847C0329}"/>
    <cellStyle name="Normal 4 5 8 3" xfId="39983" xr:uid="{375B66C3-B8DD-4D67-9905-C33C40E34970}"/>
    <cellStyle name="Normal 4 5 8 3 2" xfId="39984" xr:uid="{BAF74370-6FED-4678-9AD0-28F8E26117D8}"/>
    <cellStyle name="Normal 4 5 8 3 2 2" xfId="39985" xr:uid="{25573836-416A-4459-BFA8-87BD68B85374}"/>
    <cellStyle name="Normal 4 5 8 3 2 3" xfId="39986" xr:uid="{E7DE1081-45DE-4FF4-BCB0-81632D6690E2}"/>
    <cellStyle name="Normal 4 5 8 3 3" xfId="39987" xr:uid="{41E9510A-0FD8-4272-A617-454ED3FB6749}"/>
    <cellStyle name="Normal 4 5 8 3 4" xfId="39988" xr:uid="{8AEB5013-E26B-42CD-B991-465B474B3AEB}"/>
    <cellStyle name="Normal 4 5 8 3 5" xfId="39989" xr:uid="{BE3CD6FA-434C-4EAF-8FF2-B742F4E399D7}"/>
    <cellStyle name="Normal 4 5 8 4" xfId="39990" xr:uid="{7D462E8C-CF6C-4B44-8BAB-E8BC5D4CF153}"/>
    <cellStyle name="Normal 4 5 8 4 2" xfId="39991" xr:uid="{D48078A1-A120-4D86-8DC8-5B54397FAEC8}"/>
    <cellStyle name="Normal 4 5 8 4 3" xfId="39992" xr:uid="{738B3E6A-597B-483A-B148-B89E1AA511E3}"/>
    <cellStyle name="Normal 4 5 8 5" xfId="39993" xr:uid="{6CE98FC5-E160-4C51-A239-236D299E5567}"/>
    <cellStyle name="Normal 4 5 8 6" xfId="39994" xr:uid="{DA42CBA7-8D7C-4DE8-A974-4E03E11EC2D2}"/>
    <cellStyle name="Normal 4 5 8 7" xfId="39995" xr:uid="{13492F2A-291D-4173-A293-13471D9CDF65}"/>
    <cellStyle name="Normal 4 5 9" xfId="39996" xr:uid="{A4BB59A3-18C5-417E-AC21-E28475DACD83}"/>
    <cellStyle name="Normal 4 5 9 2" xfId="39997" xr:uid="{0DEA23C3-41A5-44E4-92D3-8CFD1E471462}"/>
    <cellStyle name="Normal 4 5 9 2 2" xfId="39998" xr:uid="{67FCAB6C-841F-4A89-913C-04C1C228A0E2}"/>
    <cellStyle name="Normal 4 5 9 2 3" xfId="39999" xr:uid="{A679619F-ABB6-4952-B0D9-020BEE4B7EC5}"/>
    <cellStyle name="Normal 4 5 9 3" xfId="40000" xr:uid="{9478EF7E-D083-443C-8635-F0E4DD756C78}"/>
    <cellStyle name="Normal 4 5 9 4" xfId="40001" xr:uid="{EA8506FF-2476-4B2A-91E8-51C581EC7638}"/>
    <cellStyle name="Normal 4 5 9 5" xfId="40002" xr:uid="{1592C563-2997-4896-8C2D-E1140B178AC0}"/>
    <cellStyle name="Normal 4 6" xfId="810" xr:uid="{00000000-0005-0000-0000-000087260000}"/>
    <cellStyle name="Normal 4 6 10" xfId="40004" xr:uid="{2691BAF1-9328-46F3-874F-62B33F9896B5}"/>
    <cellStyle name="Normal 4 6 11" xfId="40005" xr:uid="{0C7162C7-08C1-4F5F-9812-FCAFDF99C8B0}"/>
    <cellStyle name="Normal 4 6 12" xfId="40006" xr:uid="{CB7066AB-5B01-4244-8C7B-965C176CEB4C}"/>
    <cellStyle name="Normal 4 6 13" xfId="40003" xr:uid="{2ECBEDCC-C92A-48B0-B370-18605B39539B}"/>
    <cellStyle name="Normal 4 6 2" xfId="19222" xr:uid="{00000000-0005-0000-0000-000088260000}"/>
    <cellStyle name="Normal 4 6 2 10" xfId="40007" xr:uid="{64A8C502-0FA1-485E-806A-FC8C93D09090}"/>
    <cellStyle name="Normal 4 6 2 2" xfId="40008" xr:uid="{6A54E774-C6B2-42C1-A256-57ED48E9046E}"/>
    <cellStyle name="Normal 4 6 2 2 2" xfId="40009" xr:uid="{3E75B59A-33BF-4BBC-8C68-2618607BBFBF}"/>
    <cellStyle name="Normal 4 6 2 2 2 2" xfId="40010" xr:uid="{70EA7C7E-BF68-45E6-B1FA-394CEC8EE1A2}"/>
    <cellStyle name="Normal 4 6 2 2 2 2 2" xfId="40011" xr:uid="{0E746A3F-AFC8-45FD-8EFD-9AE5689F1253}"/>
    <cellStyle name="Normal 4 6 2 2 2 2 2 2" xfId="40012" xr:uid="{022A0F17-6949-40FB-9C38-36E46A82B640}"/>
    <cellStyle name="Normal 4 6 2 2 2 2 2 3" xfId="40013" xr:uid="{E9C9ACF2-4386-4666-95E9-AEFBACA6CE93}"/>
    <cellStyle name="Normal 4 6 2 2 2 2 3" xfId="40014" xr:uid="{755DFF7A-D286-446F-BCA5-0C12885D620C}"/>
    <cellStyle name="Normal 4 6 2 2 2 2 4" xfId="40015" xr:uid="{29E2CCB5-D52C-43BC-B859-A0D2CFFA74F4}"/>
    <cellStyle name="Normal 4 6 2 2 2 2 5" xfId="40016" xr:uid="{650B4456-EF6A-4FDD-B959-8AB7D5968A0C}"/>
    <cellStyle name="Normal 4 6 2 2 2 3" xfId="40017" xr:uid="{9AC01FAF-FD36-4DDD-9A69-84054ECA90CF}"/>
    <cellStyle name="Normal 4 6 2 2 2 3 2" xfId="40018" xr:uid="{0B3A6E7C-9531-496D-9D8C-0340A5AE062B}"/>
    <cellStyle name="Normal 4 6 2 2 2 3 2 2" xfId="40019" xr:uid="{C9E50404-7F64-43A2-BB7E-00A517A7DEEA}"/>
    <cellStyle name="Normal 4 6 2 2 2 3 2 3" xfId="40020" xr:uid="{472FBA93-A575-4173-BC48-4941810AC96F}"/>
    <cellStyle name="Normal 4 6 2 2 2 3 3" xfId="40021" xr:uid="{6746CD00-9992-4CC9-9430-00919AAEB936}"/>
    <cellStyle name="Normal 4 6 2 2 2 3 4" xfId="40022" xr:uid="{4798AE99-F900-424C-BF06-FE5EC1D53F60}"/>
    <cellStyle name="Normal 4 6 2 2 2 3 5" xfId="40023" xr:uid="{4A8795EA-EBCC-4912-8809-62348BC9D814}"/>
    <cellStyle name="Normal 4 6 2 2 2 4" xfId="40024" xr:uid="{AEAD8DBD-E74A-459F-8683-7FB8D9D81717}"/>
    <cellStyle name="Normal 4 6 2 2 2 4 2" xfId="40025" xr:uid="{69BC3862-47BB-4A1B-8A5B-17A4D9BE0AFE}"/>
    <cellStyle name="Normal 4 6 2 2 2 4 3" xfId="40026" xr:uid="{B46AEC59-9F42-484E-B05E-F06834D9A0D9}"/>
    <cellStyle name="Normal 4 6 2 2 2 5" xfId="40027" xr:uid="{21C29571-D092-4AE9-8A64-6B68A227D65B}"/>
    <cellStyle name="Normal 4 6 2 2 2 6" xfId="40028" xr:uid="{BF7E00A7-C38B-4C88-944D-35ABA8F497E2}"/>
    <cellStyle name="Normal 4 6 2 2 2 7" xfId="40029" xr:uid="{60A4206B-D37F-4BB6-8F36-53BB0B48BC8E}"/>
    <cellStyle name="Normal 4 6 2 2 3" xfId="40030" xr:uid="{2AB5DD23-FDFB-4D0F-8BC6-8C2F100B7B11}"/>
    <cellStyle name="Normal 4 6 2 2 3 2" xfId="40031" xr:uid="{40159B0E-4B13-4F8E-8158-50623CC2692E}"/>
    <cellStyle name="Normal 4 6 2 2 3 2 2" xfId="40032" xr:uid="{0B4382F5-50F4-41D8-84F7-45B4E3FCE751}"/>
    <cellStyle name="Normal 4 6 2 2 3 2 3" xfId="40033" xr:uid="{1376BA0A-DC42-41CA-8F2C-D117B102B6C5}"/>
    <cellStyle name="Normal 4 6 2 2 3 3" xfId="40034" xr:uid="{FAC22DBE-0953-4F4A-A4A5-C75DC648E7AF}"/>
    <cellStyle name="Normal 4 6 2 2 3 4" xfId="40035" xr:uid="{BAD5F2D8-BCBD-4CFB-8F3A-BDCE494882EE}"/>
    <cellStyle name="Normal 4 6 2 2 3 5" xfId="40036" xr:uid="{E1F00008-51D4-48CC-A2EA-B65C66DA98CB}"/>
    <cellStyle name="Normal 4 6 2 2 4" xfId="40037" xr:uid="{15037F55-501C-4205-9EEB-5E6CAAC43863}"/>
    <cellStyle name="Normal 4 6 2 2 4 2" xfId="40038" xr:uid="{B7900191-0C06-46A1-9667-2C38052E267C}"/>
    <cellStyle name="Normal 4 6 2 2 4 2 2" xfId="40039" xr:uid="{DEDCBA09-6C48-48C1-AC2C-9695C2A225FE}"/>
    <cellStyle name="Normal 4 6 2 2 4 2 3" xfId="40040" xr:uid="{4067972D-4B62-468B-81A7-3182F98F06F9}"/>
    <cellStyle name="Normal 4 6 2 2 4 3" xfId="40041" xr:uid="{D800CA7B-3A83-4976-9C73-8D4402F9C917}"/>
    <cellStyle name="Normal 4 6 2 2 4 4" xfId="40042" xr:uid="{AF75A4C3-A0D6-406E-9E6F-263185EB5646}"/>
    <cellStyle name="Normal 4 6 2 2 4 5" xfId="40043" xr:uid="{F6EE4774-5BD3-4206-B09B-4E21813BCAB6}"/>
    <cellStyle name="Normal 4 6 2 2 5" xfId="40044" xr:uid="{69A03C1C-AAFF-4886-B6D4-EA3EEE756CD4}"/>
    <cellStyle name="Normal 4 6 2 2 5 2" xfId="40045" xr:uid="{00615260-ADD6-4F37-B858-3C5C5F2EB5B9}"/>
    <cellStyle name="Normal 4 6 2 2 5 3" xfId="40046" xr:uid="{FC9A72C6-5BCC-4AD4-964A-67696AD3E238}"/>
    <cellStyle name="Normal 4 6 2 2 6" xfId="40047" xr:uid="{403D336D-101E-4AEF-BE2F-D4E822B7E414}"/>
    <cellStyle name="Normal 4 6 2 2 7" xfId="40048" xr:uid="{770D70C9-E775-4DF6-B6D9-399F7FB615D3}"/>
    <cellStyle name="Normal 4 6 2 2 8" xfId="40049" xr:uid="{BA5786B5-23BF-4113-A71C-D8BBA2235BDF}"/>
    <cellStyle name="Normal 4 6 2 3" xfId="40050" xr:uid="{58397990-E7B4-483D-99F4-6FE61677AC09}"/>
    <cellStyle name="Normal 4 6 2 3 2" xfId="40051" xr:uid="{EB2D1792-E4B4-474B-91D0-02005F0091B9}"/>
    <cellStyle name="Normal 4 6 2 3 2 2" xfId="40052" xr:uid="{693F96A0-8F8A-44D9-98E2-98EF23C4D3E0}"/>
    <cellStyle name="Normal 4 6 2 3 2 2 2" xfId="40053" xr:uid="{2BC98C24-7207-41DC-ADA5-8ECA09D06277}"/>
    <cellStyle name="Normal 4 6 2 3 2 2 3" xfId="40054" xr:uid="{1B10BB0D-5147-43F6-8AD4-30F217F0B046}"/>
    <cellStyle name="Normal 4 6 2 3 2 3" xfId="40055" xr:uid="{2472E3A3-1A73-4E12-A4A6-092E37F64252}"/>
    <cellStyle name="Normal 4 6 2 3 2 4" xfId="40056" xr:uid="{AEFA348D-864C-44E0-AEE3-BEA9BAD7151D}"/>
    <cellStyle name="Normal 4 6 2 3 2 5" xfId="40057" xr:uid="{27E1489C-9BC6-490F-8870-A187665B0F23}"/>
    <cellStyle name="Normal 4 6 2 3 3" xfId="40058" xr:uid="{AC63AE14-7E83-4E8A-814F-08F552323234}"/>
    <cellStyle name="Normal 4 6 2 3 3 2" xfId="40059" xr:uid="{E4E12D1F-4678-4871-B687-A01CCFC85173}"/>
    <cellStyle name="Normal 4 6 2 3 3 2 2" xfId="40060" xr:uid="{84A56454-20F1-4663-912C-3909E2A50F3D}"/>
    <cellStyle name="Normal 4 6 2 3 3 2 3" xfId="40061" xr:uid="{49E78944-09DB-41B5-9AD5-B6BF166D7D3A}"/>
    <cellStyle name="Normal 4 6 2 3 3 3" xfId="40062" xr:uid="{36E7566D-DAE5-47D6-BF3D-31A299F976E0}"/>
    <cellStyle name="Normal 4 6 2 3 3 4" xfId="40063" xr:uid="{DEFC444A-3665-44D0-9D54-22D65CD1EB46}"/>
    <cellStyle name="Normal 4 6 2 3 3 5" xfId="40064" xr:uid="{B424DCD6-B606-412B-A97E-9EA68294D0C2}"/>
    <cellStyle name="Normal 4 6 2 3 4" xfId="40065" xr:uid="{383FDA4A-CA36-4428-8C9F-2B613F4AA058}"/>
    <cellStyle name="Normal 4 6 2 3 4 2" xfId="40066" xr:uid="{3E35EBCC-F8E1-4F9B-9BE6-5AD4B631A507}"/>
    <cellStyle name="Normal 4 6 2 3 4 3" xfId="40067" xr:uid="{91A58B3F-8A2F-4993-BAC4-FDF809F42A71}"/>
    <cellStyle name="Normal 4 6 2 3 5" xfId="40068" xr:uid="{3191BC3F-B94B-45A5-92D2-BA1CCD96070B}"/>
    <cellStyle name="Normal 4 6 2 3 6" xfId="40069" xr:uid="{A1D2E130-D852-4C10-8767-50DB50740F6F}"/>
    <cellStyle name="Normal 4 6 2 3 7" xfId="40070" xr:uid="{6D96E8A2-7D42-4B77-A28F-7817308F1B53}"/>
    <cellStyle name="Normal 4 6 2 4" xfId="40071" xr:uid="{4D193CAC-F35A-4DDD-B773-6EE31D3FDD9F}"/>
    <cellStyle name="Normal 4 6 2 4 2" xfId="40072" xr:uid="{6CF8E490-2528-4719-BBF3-7E358CB7A555}"/>
    <cellStyle name="Normal 4 6 2 4 2 2" xfId="40073" xr:uid="{5C2C0E3C-6D6A-4071-99CC-E199BA60FDB5}"/>
    <cellStyle name="Normal 4 6 2 4 2 3" xfId="40074" xr:uid="{F4D73636-A6A9-4F26-8550-71374DC1AA2A}"/>
    <cellStyle name="Normal 4 6 2 4 3" xfId="40075" xr:uid="{CDF6FA13-2EC4-4A5A-9F0D-EDC8E3B388E5}"/>
    <cellStyle name="Normal 4 6 2 4 4" xfId="40076" xr:uid="{01B9FCDC-196A-446F-8D56-1A13393425DF}"/>
    <cellStyle name="Normal 4 6 2 4 5" xfId="40077" xr:uid="{CA51F439-4B10-4DD8-AA06-CF65DA12590A}"/>
    <cellStyle name="Normal 4 6 2 5" xfId="40078" xr:uid="{F0E1B891-E2AB-436D-BA46-3466731F448A}"/>
    <cellStyle name="Normal 4 6 2 5 2" xfId="40079" xr:uid="{FC4300A9-123F-4772-B7D9-C90134E054D9}"/>
    <cellStyle name="Normal 4 6 2 5 2 2" xfId="40080" xr:uid="{434D46AF-FB6B-4642-844C-0DF5E7A40FA5}"/>
    <cellStyle name="Normal 4 6 2 5 2 3" xfId="40081" xr:uid="{A6632F6C-1D79-486D-B283-1799421087D3}"/>
    <cellStyle name="Normal 4 6 2 5 3" xfId="40082" xr:uid="{B6983F38-7D7E-476D-BE60-3A0B4104BD2E}"/>
    <cellStyle name="Normal 4 6 2 5 4" xfId="40083" xr:uid="{59223A54-C6CA-4DD0-9C2C-256D4FF1152B}"/>
    <cellStyle name="Normal 4 6 2 5 5" xfId="40084" xr:uid="{35E4B3C5-29F0-44C2-93E0-24E8DF667F83}"/>
    <cellStyle name="Normal 4 6 2 6" xfId="40085" xr:uid="{04E47D4C-6516-4E50-878B-090E60A83ACD}"/>
    <cellStyle name="Normal 4 6 2 6 2" xfId="40086" xr:uid="{22AC3EF3-8491-42B8-B678-3F5C9601CB4C}"/>
    <cellStyle name="Normal 4 6 2 6 3" xfId="40087" xr:uid="{0846E6D5-EFDE-4DEE-B94B-8C1D721575F2}"/>
    <cellStyle name="Normal 4 6 2 7" xfId="40088" xr:uid="{158E3585-44E2-4094-B801-1EB50B05E028}"/>
    <cellStyle name="Normal 4 6 2 8" xfId="40089" xr:uid="{69427F7D-56C9-4C45-B501-EB25C27DDFBF}"/>
    <cellStyle name="Normal 4 6 2 9" xfId="40090" xr:uid="{EEB9456B-1C23-4F44-B05E-65CBE41245FC}"/>
    <cellStyle name="Normal 4 6 3" xfId="40091" xr:uid="{E308328E-17DF-4D5B-934B-6592E77A87C4}"/>
    <cellStyle name="Normal 4 6 3 2" xfId="40092" xr:uid="{FC1C6917-CFC5-404F-80C3-549A7E6423E7}"/>
    <cellStyle name="Normal 4 6 3 2 2" xfId="40093" xr:uid="{E3E5D7F6-6B7A-4AD5-AD7E-3BF5128947A0}"/>
    <cellStyle name="Normal 4 6 3 2 2 2" xfId="40094" xr:uid="{E25EDB0B-E4AD-4235-B26B-107012734E62}"/>
    <cellStyle name="Normal 4 6 3 2 2 2 2" xfId="40095" xr:uid="{2120BA97-6E9F-455A-A04F-BDEE44B373A7}"/>
    <cellStyle name="Normal 4 6 3 2 2 2 2 2" xfId="40096" xr:uid="{E65EF3D2-39C2-4ADA-986C-F182C3FD5B4F}"/>
    <cellStyle name="Normal 4 6 3 2 2 2 2 3" xfId="40097" xr:uid="{3092BE29-0972-4E5A-B3B9-2405B1347610}"/>
    <cellStyle name="Normal 4 6 3 2 2 2 3" xfId="40098" xr:uid="{B5B9EEEC-F658-4028-964F-EB3A673F0C9F}"/>
    <cellStyle name="Normal 4 6 3 2 2 2 4" xfId="40099" xr:uid="{6D5DD758-9A5B-440F-86F9-CA67BB12A788}"/>
    <cellStyle name="Normal 4 6 3 2 2 2 5" xfId="40100" xr:uid="{5DA4920C-BA2C-4524-9C9B-E9EAE0458484}"/>
    <cellStyle name="Normal 4 6 3 2 2 3" xfId="40101" xr:uid="{6B83AC39-EBE1-4ECA-B15D-8AEE783023F1}"/>
    <cellStyle name="Normal 4 6 3 2 2 3 2" xfId="40102" xr:uid="{BED3E0B0-EB51-468A-97BE-99C78E06341F}"/>
    <cellStyle name="Normal 4 6 3 2 2 3 2 2" xfId="40103" xr:uid="{19D856ED-095B-4186-BF47-9B8396D56641}"/>
    <cellStyle name="Normal 4 6 3 2 2 3 2 3" xfId="40104" xr:uid="{DF3A9E9B-8D57-44C8-8FDC-576AE341CACC}"/>
    <cellStyle name="Normal 4 6 3 2 2 3 3" xfId="40105" xr:uid="{33F40F68-2712-4960-8800-C57D8FB3D8DD}"/>
    <cellStyle name="Normal 4 6 3 2 2 3 4" xfId="40106" xr:uid="{F022F679-F72C-41BF-9B8F-A60957A5654E}"/>
    <cellStyle name="Normal 4 6 3 2 2 3 5" xfId="40107" xr:uid="{E14E80BC-0C91-49D5-A205-4908241E9F9D}"/>
    <cellStyle name="Normal 4 6 3 2 2 4" xfId="40108" xr:uid="{DD17B2A4-DAE2-4A26-991B-6659DCF63583}"/>
    <cellStyle name="Normal 4 6 3 2 2 4 2" xfId="40109" xr:uid="{840ACEB5-0318-439D-AA7D-D87B2001D2DF}"/>
    <cellStyle name="Normal 4 6 3 2 2 4 3" xfId="40110" xr:uid="{F4D732DC-1402-4954-91FE-C9E61BADC95C}"/>
    <cellStyle name="Normal 4 6 3 2 2 5" xfId="40111" xr:uid="{42C75925-46ED-4A58-B542-4EA0C753BD8D}"/>
    <cellStyle name="Normal 4 6 3 2 2 6" xfId="40112" xr:uid="{F6ECD9D8-9DDE-4DCC-A7D9-EEDA1694D9EC}"/>
    <cellStyle name="Normal 4 6 3 2 2 7" xfId="40113" xr:uid="{B261C099-109A-478E-9E79-CA20EAEB92C3}"/>
    <cellStyle name="Normal 4 6 3 2 3" xfId="40114" xr:uid="{7F2F938C-434F-4D01-AD44-E09A2C0BA853}"/>
    <cellStyle name="Normal 4 6 3 2 3 2" xfId="40115" xr:uid="{F1A63A66-14A4-4B12-9510-0742A099395F}"/>
    <cellStyle name="Normal 4 6 3 2 3 2 2" xfId="40116" xr:uid="{AF97B46B-F103-4C44-8919-3D0D465D9C5D}"/>
    <cellStyle name="Normal 4 6 3 2 3 2 3" xfId="40117" xr:uid="{0BC11733-59F4-432D-9B62-1DF991387EF6}"/>
    <cellStyle name="Normal 4 6 3 2 3 3" xfId="40118" xr:uid="{6E08143D-B28F-4A70-95E2-C00ECDC04A6C}"/>
    <cellStyle name="Normal 4 6 3 2 3 4" xfId="40119" xr:uid="{FBA4B07D-3BFD-4D5B-B99B-F73CA34E5EA2}"/>
    <cellStyle name="Normal 4 6 3 2 3 5" xfId="40120" xr:uid="{FB88557F-4983-43E4-BAAD-4E4137705A9C}"/>
    <cellStyle name="Normal 4 6 3 2 4" xfId="40121" xr:uid="{2BE46ECC-F0FF-47C1-ADAF-3DF2821EC2F6}"/>
    <cellStyle name="Normal 4 6 3 2 4 2" xfId="40122" xr:uid="{07EE77CB-B93C-4065-8AF3-7E6A1F786454}"/>
    <cellStyle name="Normal 4 6 3 2 4 2 2" xfId="40123" xr:uid="{FA6E4270-5C80-4E43-AD0D-8D8B77961738}"/>
    <cellStyle name="Normal 4 6 3 2 4 2 3" xfId="40124" xr:uid="{97279F80-C1DE-4BDC-93E1-1AA3C304A903}"/>
    <cellStyle name="Normal 4 6 3 2 4 3" xfId="40125" xr:uid="{43050204-1241-4709-AF7C-0A9DD3CF287B}"/>
    <cellStyle name="Normal 4 6 3 2 4 4" xfId="40126" xr:uid="{73FA1073-F765-48D2-970B-06F014154404}"/>
    <cellStyle name="Normal 4 6 3 2 4 5" xfId="40127" xr:uid="{E3E86858-C45C-4A2D-9A43-E55E5DC0A3CC}"/>
    <cellStyle name="Normal 4 6 3 2 5" xfId="40128" xr:uid="{D421284E-2D07-4ECB-AE68-A3D95CC5DB53}"/>
    <cellStyle name="Normal 4 6 3 2 5 2" xfId="40129" xr:uid="{4BAA9FC6-0017-4938-AF7B-3F2FE0D42EE2}"/>
    <cellStyle name="Normal 4 6 3 2 5 3" xfId="40130" xr:uid="{89652289-3B16-406D-99A5-09EBBF7C1345}"/>
    <cellStyle name="Normal 4 6 3 2 6" xfId="40131" xr:uid="{D156E2E0-66D5-4EFF-A43B-D4E1D2D1453C}"/>
    <cellStyle name="Normal 4 6 3 2 7" xfId="40132" xr:uid="{2A78F34C-42EA-41E5-AD66-2FB5AB3B2CB8}"/>
    <cellStyle name="Normal 4 6 3 2 8" xfId="40133" xr:uid="{26361603-E43B-4A35-B25B-90DD04BE40B6}"/>
    <cellStyle name="Normal 4 6 3 3" xfId="40134" xr:uid="{1C6B6902-743D-4CB2-A519-EDA8616C9394}"/>
    <cellStyle name="Normal 4 6 3 3 2" xfId="40135" xr:uid="{C29A7A69-16B9-4BA5-BB32-AA770B4F6368}"/>
    <cellStyle name="Normal 4 6 3 3 2 2" xfId="40136" xr:uid="{1F1CF5CA-F213-4204-89BC-1EF9DCA9FA0B}"/>
    <cellStyle name="Normal 4 6 3 3 2 2 2" xfId="40137" xr:uid="{6441C62D-324F-4C4E-9876-658934443269}"/>
    <cellStyle name="Normal 4 6 3 3 2 2 3" xfId="40138" xr:uid="{B85FE2A9-AF37-4961-811F-CE75FE7A29BD}"/>
    <cellStyle name="Normal 4 6 3 3 2 3" xfId="40139" xr:uid="{D002527B-2F08-4CEF-B134-491D28801C2F}"/>
    <cellStyle name="Normal 4 6 3 3 2 4" xfId="40140" xr:uid="{048D7D1D-0569-40A0-BF27-AA8DFDF2A89E}"/>
    <cellStyle name="Normal 4 6 3 3 2 5" xfId="40141" xr:uid="{7791C0FD-F240-49DA-9227-1A2F251D744C}"/>
    <cellStyle name="Normal 4 6 3 3 3" xfId="40142" xr:uid="{56D73AD4-42DE-4569-84E1-292056CF918D}"/>
    <cellStyle name="Normal 4 6 3 3 3 2" xfId="40143" xr:uid="{EA4A9A77-600E-4BD2-AA1C-2E7A421D4C78}"/>
    <cellStyle name="Normal 4 6 3 3 3 2 2" xfId="40144" xr:uid="{7B82C69E-3BAD-4E06-81FD-6F21607E4EF7}"/>
    <cellStyle name="Normal 4 6 3 3 3 2 3" xfId="40145" xr:uid="{FCD96D99-3320-409E-882D-B7E08D65D302}"/>
    <cellStyle name="Normal 4 6 3 3 3 3" xfId="40146" xr:uid="{DFD92544-CE52-4F9C-B283-69154CDE474C}"/>
    <cellStyle name="Normal 4 6 3 3 3 4" xfId="40147" xr:uid="{EC517685-05B0-497D-876D-B5BCFC663796}"/>
    <cellStyle name="Normal 4 6 3 3 3 5" xfId="40148" xr:uid="{ABD24652-4200-4541-ABE5-68E533E3932D}"/>
    <cellStyle name="Normal 4 6 3 3 4" xfId="40149" xr:uid="{2E521F92-080D-4F09-919D-F4BC65C0727A}"/>
    <cellStyle name="Normal 4 6 3 3 4 2" xfId="40150" xr:uid="{EE276017-1798-4F11-9737-A16B3B5ACA3A}"/>
    <cellStyle name="Normal 4 6 3 3 4 3" xfId="40151" xr:uid="{68B81C27-7CC8-4478-8F69-30AB7B855604}"/>
    <cellStyle name="Normal 4 6 3 3 5" xfId="40152" xr:uid="{4E7EDE25-7546-4F36-97F6-5CE4104E493A}"/>
    <cellStyle name="Normal 4 6 3 3 6" xfId="40153" xr:uid="{1B9A9133-CFE3-4A23-9887-8736B29E0853}"/>
    <cellStyle name="Normal 4 6 3 3 7" xfId="40154" xr:uid="{30CC73F9-3B78-49FD-B41C-54FA3EE15F3F}"/>
    <cellStyle name="Normal 4 6 3 4" xfId="40155" xr:uid="{BB38048F-1E45-4DB5-B425-F79D27740A45}"/>
    <cellStyle name="Normal 4 6 3 4 2" xfId="40156" xr:uid="{84E67537-A943-4FBE-B4D3-1A0CB63A4968}"/>
    <cellStyle name="Normal 4 6 3 4 2 2" xfId="40157" xr:uid="{4560DBD6-CE48-415B-88E3-165A26EE9A4C}"/>
    <cellStyle name="Normal 4 6 3 4 2 3" xfId="40158" xr:uid="{1DAD1D14-91A0-4C3D-B3CD-ACEB2E866256}"/>
    <cellStyle name="Normal 4 6 3 4 3" xfId="40159" xr:uid="{8B8E2BA2-0EFF-41DA-900F-0070A08A5879}"/>
    <cellStyle name="Normal 4 6 3 4 4" xfId="40160" xr:uid="{6B042924-40CA-4BF1-9402-BD04F48386F7}"/>
    <cellStyle name="Normal 4 6 3 4 5" xfId="40161" xr:uid="{36075CBF-88D1-4B80-B385-2BB47EF983A3}"/>
    <cellStyle name="Normal 4 6 3 5" xfId="40162" xr:uid="{931EF1DD-61A0-4C59-9D71-12778E05D4DB}"/>
    <cellStyle name="Normal 4 6 3 5 2" xfId="40163" xr:uid="{A2FE7B67-CD76-4C73-BED4-A495CC782D45}"/>
    <cellStyle name="Normal 4 6 3 5 2 2" xfId="40164" xr:uid="{5BC6863B-467E-4EDC-A31A-288C2D4BF40C}"/>
    <cellStyle name="Normal 4 6 3 5 2 3" xfId="40165" xr:uid="{8A0F3FE5-9941-4228-A8F1-B3D6EA00F09D}"/>
    <cellStyle name="Normal 4 6 3 5 3" xfId="40166" xr:uid="{D6740028-1180-4F92-ABE5-33BD897773BD}"/>
    <cellStyle name="Normal 4 6 3 5 4" xfId="40167" xr:uid="{0DA28CE4-0FA9-48E2-AC58-F0FF9D45777F}"/>
    <cellStyle name="Normal 4 6 3 5 5" xfId="40168" xr:uid="{13830EDF-E172-4864-B63B-959CDAB5A0DC}"/>
    <cellStyle name="Normal 4 6 3 6" xfId="40169" xr:uid="{4623D43F-CB11-44AE-9C3C-7EC64C49E802}"/>
    <cellStyle name="Normal 4 6 3 6 2" xfId="40170" xr:uid="{5806529B-E087-46E6-A2AD-D88728FB586B}"/>
    <cellStyle name="Normal 4 6 3 6 3" xfId="40171" xr:uid="{2EAB96A9-3861-4AA0-854D-4C4568C075EB}"/>
    <cellStyle name="Normal 4 6 3 7" xfId="40172" xr:uid="{FA4ABAE6-D42C-4B69-B85B-74FB7C7C0F86}"/>
    <cellStyle name="Normal 4 6 3 8" xfId="40173" xr:uid="{0E79A7AE-F52E-441B-BFB1-2938A298001A}"/>
    <cellStyle name="Normal 4 6 3 9" xfId="40174" xr:uid="{B81EBFE1-575E-45C6-813A-EFBAAF073DB0}"/>
    <cellStyle name="Normal 4 6 4" xfId="40175" xr:uid="{43E4C07D-AD79-425E-8168-18F112EC329F}"/>
    <cellStyle name="Normal 4 6 4 2" xfId="40176" xr:uid="{013CA0EF-8179-4BFF-82E9-A7A5F875CCB8}"/>
    <cellStyle name="Normal 4 6 4 2 2" xfId="40177" xr:uid="{5120DB13-DA1D-4740-AB6B-65A72F274428}"/>
    <cellStyle name="Normal 4 6 4 2 2 2" xfId="40178" xr:uid="{988B62EC-9F38-4225-9F6C-1F9F9ACC8DA0}"/>
    <cellStyle name="Normal 4 6 4 2 2 2 2" xfId="40179" xr:uid="{BA273DE3-48EE-450C-B2C6-615A4C5A07C0}"/>
    <cellStyle name="Normal 4 6 4 2 2 2 2 2" xfId="40180" xr:uid="{263336EC-C843-46FA-BF65-2A414774CF97}"/>
    <cellStyle name="Normal 4 6 4 2 2 2 2 3" xfId="40181" xr:uid="{08F07791-F006-497E-A9D7-C7DC7119BF9C}"/>
    <cellStyle name="Normal 4 6 4 2 2 2 3" xfId="40182" xr:uid="{D4DA25D7-5D37-46AA-833F-13388EC311EB}"/>
    <cellStyle name="Normal 4 6 4 2 2 2 4" xfId="40183" xr:uid="{08FE95FD-2852-49A0-A31C-DB365CC3DF61}"/>
    <cellStyle name="Normal 4 6 4 2 2 2 5" xfId="40184" xr:uid="{23B96B20-2A62-426A-9610-D1FB3D6124C4}"/>
    <cellStyle name="Normal 4 6 4 2 2 3" xfId="40185" xr:uid="{93067901-C4B1-4B1B-A01A-F471FC9A2E46}"/>
    <cellStyle name="Normal 4 6 4 2 2 3 2" xfId="40186" xr:uid="{90737100-ABE7-4EBE-AC84-C3D98FDC9FAF}"/>
    <cellStyle name="Normal 4 6 4 2 2 3 2 2" xfId="40187" xr:uid="{D95F8C55-C778-40F1-91B7-E534DCBCF923}"/>
    <cellStyle name="Normal 4 6 4 2 2 3 2 3" xfId="40188" xr:uid="{9C90532B-DC41-41CD-8642-8AB26320C7BA}"/>
    <cellStyle name="Normal 4 6 4 2 2 3 3" xfId="40189" xr:uid="{FFF56979-5809-44D3-BEE5-E69AFFE74128}"/>
    <cellStyle name="Normal 4 6 4 2 2 3 4" xfId="40190" xr:uid="{BD73B312-2960-4258-B59C-EB4674E35395}"/>
    <cellStyle name="Normal 4 6 4 2 2 3 5" xfId="40191" xr:uid="{3807F312-7D12-4D75-A6EE-910EA2155B7F}"/>
    <cellStyle name="Normal 4 6 4 2 2 4" xfId="40192" xr:uid="{1A38CA76-3755-4DF6-A7A7-671C685D85C0}"/>
    <cellStyle name="Normal 4 6 4 2 2 4 2" xfId="40193" xr:uid="{0350FF9C-F0E3-4ED1-A6B3-5AA93A62C7BC}"/>
    <cellStyle name="Normal 4 6 4 2 2 4 3" xfId="40194" xr:uid="{6441CC40-ED56-4E48-B2B6-124DEA85091A}"/>
    <cellStyle name="Normal 4 6 4 2 2 5" xfId="40195" xr:uid="{6537EB02-2CDE-44BB-AB2A-7CC6D307C610}"/>
    <cellStyle name="Normal 4 6 4 2 2 6" xfId="40196" xr:uid="{C49982F2-B8D0-41A3-B225-68D17491E339}"/>
    <cellStyle name="Normal 4 6 4 2 2 7" xfId="40197" xr:uid="{331D486A-AE19-4816-8DDE-7DD202E3C936}"/>
    <cellStyle name="Normal 4 6 4 2 3" xfId="40198" xr:uid="{F5916899-9932-400D-BD81-3823297253F5}"/>
    <cellStyle name="Normal 4 6 4 2 3 2" xfId="40199" xr:uid="{53511658-1214-4C0E-BAA6-00A1ADB49DC3}"/>
    <cellStyle name="Normal 4 6 4 2 3 2 2" xfId="40200" xr:uid="{07648A7F-F493-4D17-BD67-86FD02EC96B3}"/>
    <cellStyle name="Normal 4 6 4 2 3 2 3" xfId="40201" xr:uid="{F1EA1991-3ADE-4016-8358-ABEA370F55E6}"/>
    <cellStyle name="Normal 4 6 4 2 3 3" xfId="40202" xr:uid="{AA791F01-BE1F-4861-BE9A-B42146989D00}"/>
    <cellStyle name="Normal 4 6 4 2 3 4" xfId="40203" xr:uid="{A038A35C-86DF-402A-92C0-459F236A8124}"/>
    <cellStyle name="Normal 4 6 4 2 3 5" xfId="40204" xr:uid="{3DC25F75-5AB8-40AB-8C6A-145B85DD90C1}"/>
    <cellStyle name="Normal 4 6 4 2 4" xfId="40205" xr:uid="{768D3732-98C5-40B5-AEA3-6EADF14B05D7}"/>
    <cellStyle name="Normal 4 6 4 2 4 2" xfId="40206" xr:uid="{17384C1D-770B-4AD3-90ED-1298FCC810F3}"/>
    <cellStyle name="Normal 4 6 4 2 4 2 2" xfId="40207" xr:uid="{A8D0CB6E-92EB-4CD6-9E32-B36DC08F6B44}"/>
    <cellStyle name="Normal 4 6 4 2 4 2 3" xfId="40208" xr:uid="{7B8994F3-984D-40C4-B4B4-82A71D65E939}"/>
    <cellStyle name="Normal 4 6 4 2 4 3" xfId="40209" xr:uid="{F52A8C64-CA34-47AB-94A0-6291BF0B194F}"/>
    <cellStyle name="Normal 4 6 4 2 4 4" xfId="40210" xr:uid="{B5814DD0-7DF0-4451-8341-63BAC145FD4A}"/>
    <cellStyle name="Normal 4 6 4 2 4 5" xfId="40211" xr:uid="{98C3A44D-12A2-478A-82FE-20627D73A40B}"/>
    <cellStyle name="Normal 4 6 4 2 5" xfId="40212" xr:uid="{48D137FF-81A6-42FA-AAAC-2476C71D5A55}"/>
    <cellStyle name="Normal 4 6 4 2 5 2" xfId="40213" xr:uid="{1483D5E2-DF2C-474F-AF66-E42790F019D4}"/>
    <cellStyle name="Normal 4 6 4 2 5 3" xfId="40214" xr:uid="{1D303DA1-E842-45E7-8B45-4A23B9B561BF}"/>
    <cellStyle name="Normal 4 6 4 2 6" xfId="40215" xr:uid="{E82EA08A-5F43-45C7-9A85-C8B4130F4F8B}"/>
    <cellStyle name="Normal 4 6 4 2 7" xfId="40216" xr:uid="{23C27874-736A-473D-854F-C04ED9CA19E8}"/>
    <cellStyle name="Normal 4 6 4 2 8" xfId="40217" xr:uid="{F11C2F28-CCD4-4396-87A5-CB5F51898CEA}"/>
    <cellStyle name="Normal 4 6 4 3" xfId="40218" xr:uid="{69F80AB1-E800-413C-B56A-047B02C8B6B8}"/>
    <cellStyle name="Normal 4 6 4 3 2" xfId="40219" xr:uid="{23A0E8C6-D746-43BA-8E41-A116BA231C04}"/>
    <cellStyle name="Normal 4 6 4 3 2 2" xfId="40220" xr:uid="{EA44A4EA-1C21-481A-9C45-27012B0D3B7D}"/>
    <cellStyle name="Normal 4 6 4 3 2 2 2" xfId="40221" xr:uid="{3CE312D6-1895-4A85-8F64-378E08B5F1CB}"/>
    <cellStyle name="Normal 4 6 4 3 2 2 3" xfId="40222" xr:uid="{732D1306-83E8-4C86-A250-93FD302354D0}"/>
    <cellStyle name="Normal 4 6 4 3 2 3" xfId="40223" xr:uid="{26B55DA0-72CC-441D-9BC7-CAA23EE795A3}"/>
    <cellStyle name="Normal 4 6 4 3 2 4" xfId="40224" xr:uid="{C06A31C0-FEA4-488E-B2FD-937C62A14BD7}"/>
    <cellStyle name="Normal 4 6 4 3 2 5" xfId="40225" xr:uid="{54102C42-EE21-44DE-B54C-0DDB9AB85D3E}"/>
    <cellStyle name="Normal 4 6 4 3 3" xfId="40226" xr:uid="{09E5E1C8-D131-4329-8A62-F3510BE801EB}"/>
    <cellStyle name="Normal 4 6 4 3 3 2" xfId="40227" xr:uid="{FA0EBA94-CA1F-4AD5-98DB-E55318603247}"/>
    <cellStyle name="Normal 4 6 4 3 3 2 2" xfId="40228" xr:uid="{EDB5599C-6DF4-4F83-8C1F-BBAA41A7FD4E}"/>
    <cellStyle name="Normal 4 6 4 3 3 2 3" xfId="40229" xr:uid="{8594AC62-038E-4A79-9B1C-5EDF8AAD3842}"/>
    <cellStyle name="Normal 4 6 4 3 3 3" xfId="40230" xr:uid="{4768EC03-4C52-496B-A6B6-F53812009830}"/>
    <cellStyle name="Normal 4 6 4 3 3 4" xfId="40231" xr:uid="{2598C45E-9B11-475B-A10D-6862AA71EDB6}"/>
    <cellStyle name="Normal 4 6 4 3 3 5" xfId="40232" xr:uid="{D5B97747-2EBA-4F8E-91F2-38A8EC265329}"/>
    <cellStyle name="Normal 4 6 4 3 4" xfId="40233" xr:uid="{09D77B63-48E8-4FEC-A2EF-742587D3C5F4}"/>
    <cellStyle name="Normal 4 6 4 3 4 2" xfId="40234" xr:uid="{03FD4E1E-CD77-4A55-9A6D-F677BD0F9DD5}"/>
    <cellStyle name="Normal 4 6 4 3 4 3" xfId="40235" xr:uid="{4C6240A4-B436-45A8-AE82-11D52C525C9D}"/>
    <cellStyle name="Normal 4 6 4 3 5" xfId="40236" xr:uid="{985AE9A1-35A5-4D14-A303-2345872DD972}"/>
    <cellStyle name="Normal 4 6 4 3 6" xfId="40237" xr:uid="{804317D4-4587-4134-8AC5-B2B0E6183346}"/>
    <cellStyle name="Normal 4 6 4 3 7" xfId="40238" xr:uid="{7EBC6183-08F7-494E-A08E-CF39F3B4D8C7}"/>
    <cellStyle name="Normal 4 6 4 4" xfId="40239" xr:uid="{E914D6C1-176E-490A-8303-CE9B8AC74822}"/>
    <cellStyle name="Normal 4 6 4 4 2" xfId="40240" xr:uid="{E8699967-9049-4D5A-A30B-E10BB88B7B8D}"/>
    <cellStyle name="Normal 4 6 4 4 2 2" xfId="40241" xr:uid="{1D12612F-36F9-421D-8B82-02E2A1DCDBDB}"/>
    <cellStyle name="Normal 4 6 4 4 2 3" xfId="40242" xr:uid="{415D0FB0-8FAC-417D-B2E4-8407B09349DC}"/>
    <cellStyle name="Normal 4 6 4 4 3" xfId="40243" xr:uid="{A2931E42-85B8-415D-AF65-D5F3F86C687E}"/>
    <cellStyle name="Normal 4 6 4 4 4" xfId="40244" xr:uid="{57508ACB-C829-446A-AD11-4FD69918CC6B}"/>
    <cellStyle name="Normal 4 6 4 4 5" xfId="40245" xr:uid="{9618473F-6E84-41BC-BF67-1C8EA2204744}"/>
    <cellStyle name="Normal 4 6 4 5" xfId="40246" xr:uid="{1655D6D1-04EB-4DB7-B8B2-6EE0A7139F71}"/>
    <cellStyle name="Normal 4 6 4 5 2" xfId="40247" xr:uid="{25FC8E98-C37B-4C9C-B692-6908C44D8D67}"/>
    <cellStyle name="Normal 4 6 4 5 2 2" xfId="40248" xr:uid="{887B8047-4C7F-47A0-9D5B-B2889571119B}"/>
    <cellStyle name="Normal 4 6 4 5 2 3" xfId="40249" xr:uid="{C73C0913-F90D-46B8-A951-5EE21B222811}"/>
    <cellStyle name="Normal 4 6 4 5 3" xfId="40250" xr:uid="{D57818E7-3D88-407A-93C4-34AE364B84F9}"/>
    <cellStyle name="Normal 4 6 4 5 4" xfId="40251" xr:uid="{C1CC3A01-8D54-4D25-8CC4-2E0E09FCDDE3}"/>
    <cellStyle name="Normal 4 6 4 5 5" xfId="40252" xr:uid="{B5712F2D-B1DB-436C-8D70-D4F7FC02E84F}"/>
    <cellStyle name="Normal 4 6 4 6" xfId="40253" xr:uid="{1DCAF84C-4DEF-4F76-8C87-233C7DB69F67}"/>
    <cellStyle name="Normal 4 6 4 6 2" xfId="40254" xr:uid="{8A6987AF-42D2-489C-B068-7DE24F4E7EE2}"/>
    <cellStyle name="Normal 4 6 4 6 3" xfId="40255" xr:uid="{689D00BC-ECAD-4A7B-9C27-F4D52293D8E6}"/>
    <cellStyle name="Normal 4 6 4 7" xfId="40256" xr:uid="{59C05BF2-C928-4642-B469-E2E6703BB546}"/>
    <cellStyle name="Normal 4 6 4 8" xfId="40257" xr:uid="{B05F3864-C752-4B61-8A95-47B2E42548A2}"/>
    <cellStyle name="Normal 4 6 4 9" xfId="40258" xr:uid="{916B292C-1406-4694-93DA-65AA3A05F44C}"/>
    <cellStyle name="Normal 4 6 5" xfId="40259" xr:uid="{3B72A7B1-F2F2-4524-B68C-CB798EDEDF65}"/>
    <cellStyle name="Normal 4 6 5 2" xfId="40260" xr:uid="{9331AE25-AE7C-4C07-B656-CD53715CA66A}"/>
    <cellStyle name="Normal 4 6 5 2 2" xfId="40261" xr:uid="{3EF4C556-28F3-4F00-A8AA-AF21BE7F6490}"/>
    <cellStyle name="Normal 4 6 5 2 2 2" xfId="40262" xr:uid="{EE734CA5-19D7-4E46-A267-F545E3819C44}"/>
    <cellStyle name="Normal 4 6 5 2 2 2 2" xfId="40263" xr:uid="{C86F13A1-4160-4A48-8405-9DDE4E0A6A7C}"/>
    <cellStyle name="Normal 4 6 5 2 2 2 3" xfId="40264" xr:uid="{2444B640-C550-4E4D-8039-25C65A91FC37}"/>
    <cellStyle name="Normal 4 6 5 2 2 3" xfId="40265" xr:uid="{950AF099-CED7-4EB0-BD96-7AF9B52A468F}"/>
    <cellStyle name="Normal 4 6 5 2 2 4" xfId="40266" xr:uid="{A3E08F9B-3C29-463E-9A1E-55FDE5DB839A}"/>
    <cellStyle name="Normal 4 6 5 2 2 5" xfId="40267" xr:uid="{7A33CC60-EE4D-4D12-A3E3-45913389D118}"/>
    <cellStyle name="Normal 4 6 5 2 3" xfId="40268" xr:uid="{AB53D266-372C-44A9-9D26-69D9A88BBB1C}"/>
    <cellStyle name="Normal 4 6 5 2 3 2" xfId="40269" xr:uid="{931D5C89-0FC7-43A2-A293-1923438B83F0}"/>
    <cellStyle name="Normal 4 6 5 2 3 2 2" xfId="40270" xr:uid="{6773FEE7-D1B5-42FD-8392-1037EB9E40E9}"/>
    <cellStyle name="Normal 4 6 5 2 3 2 3" xfId="40271" xr:uid="{683EB6E1-6662-41A5-B1CA-D204178AED81}"/>
    <cellStyle name="Normal 4 6 5 2 3 3" xfId="40272" xr:uid="{2BD877AE-B46D-4FA8-A752-E3587444B357}"/>
    <cellStyle name="Normal 4 6 5 2 3 4" xfId="40273" xr:uid="{83A3BC46-7F6E-4782-BE84-190BAEF6A8AF}"/>
    <cellStyle name="Normal 4 6 5 2 3 5" xfId="40274" xr:uid="{7CE561FB-4AFB-41D8-8146-84A4844A9171}"/>
    <cellStyle name="Normal 4 6 5 2 4" xfId="40275" xr:uid="{4C026728-7732-49D2-9505-CB8A050C1C71}"/>
    <cellStyle name="Normal 4 6 5 2 4 2" xfId="40276" xr:uid="{148A5D42-DF72-4E51-A20F-E02BDE134EC2}"/>
    <cellStyle name="Normal 4 6 5 2 4 3" xfId="40277" xr:uid="{E2C88CA3-F355-4808-A709-D4C6DDFB5E52}"/>
    <cellStyle name="Normal 4 6 5 2 5" xfId="40278" xr:uid="{19F03B72-8A76-4227-B4A8-2C058FC6FC7E}"/>
    <cellStyle name="Normal 4 6 5 2 6" xfId="40279" xr:uid="{7D466149-5FA1-48B1-80E4-17FE09010350}"/>
    <cellStyle name="Normal 4 6 5 2 7" xfId="40280" xr:uid="{C0F28CA6-0763-43D1-8584-0441D79597A1}"/>
    <cellStyle name="Normal 4 6 5 3" xfId="40281" xr:uid="{74F474AE-C869-439B-9C00-80916D1F4FD7}"/>
    <cellStyle name="Normal 4 6 5 3 2" xfId="40282" xr:uid="{E656BDB1-ECF6-491E-A4E8-A02DFC20B6BE}"/>
    <cellStyle name="Normal 4 6 5 3 2 2" xfId="40283" xr:uid="{8D3890B4-1027-461E-ACBA-9C40225DEDA0}"/>
    <cellStyle name="Normal 4 6 5 3 2 3" xfId="40284" xr:uid="{03499FA9-3AFE-460A-BC1C-5BC55733B45A}"/>
    <cellStyle name="Normal 4 6 5 3 3" xfId="40285" xr:uid="{D92301E1-A90C-4F44-926B-BBD0C8A33EC8}"/>
    <cellStyle name="Normal 4 6 5 3 4" xfId="40286" xr:uid="{D2D7D03F-99B1-4A7E-A7FB-CAB318B82AAC}"/>
    <cellStyle name="Normal 4 6 5 3 5" xfId="40287" xr:uid="{8D6DFD56-47CA-47AF-B057-1B68DC29C16E}"/>
    <cellStyle name="Normal 4 6 5 4" xfId="40288" xr:uid="{1D1F937F-2E95-4539-A53D-09022BF712E7}"/>
    <cellStyle name="Normal 4 6 5 4 2" xfId="40289" xr:uid="{26AA7130-7E1B-4FF4-977E-4EDE9FD13A57}"/>
    <cellStyle name="Normal 4 6 5 4 2 2" xfId="40290" xr:uid="{0C646C25-C3E9-431A-9F00-A541D087558B}"/>
    <cellStyle name="Normal 4 6 5 4 2 3" xfId="40291" xr:uid="{465FB662-274E-4E1A-A214-239FD99C2704}"/>
    <cellStyle name="Normal 4 6 5 4 3" xfId="40292" xr:uid="{3D6CA3FC-3392-40CD-B670-DF13936FB4B3}"/>
    <cellStyle name="Normal 4 6 5 4 4" xfId="40293" xr:uid="{BD2634F0-3AB3-402F-B9FD-A6A627B77C41}"/>
    <cellStyle name="Normal 4 6 5 4 5" xfId="40294" xr:uid="{F1B88C60-C9B7-4DD0-9636-C3CAF9267F03}"/>
    <cellStyle name="Normal 4 6 5 5" xfId="40295" xr:uid="{E20D90D8-9A9B-4AB3-A1B3-714D8837CBDD}"/>
    <cellStyle name="Normal 4 6 5 5 2" xfId="40296" xr:uid="{FC72E7F2-ADAD-4CF8-8995-3002A5D7BA0A}"/>
    <cellStyle name="Normal 4 6 5 5 3" xfId="40297" xr:uid="{38299271-E2AF-489C-841A-661F18B12629}"/>
    <cellStyle name="Normal 4 6 5 6" xfId="40298" xr:uid="{0AFF631A-2DA7-48F5-A8EF-E5A756CA22A7}"/>
    <cellStyle name="Normal 4 6 5 7" xfId="40299" xr:uid="{344FCEBB-4390-485E-84CC-068EA1CEFC16}"/>
    <cellStyle name="Normal 4 6 5 8" xfId="40300" xr:uid="{F6ED11F3-ABCA-45D0-A670-ADD51C9C6F64}"/>
    <cellStyle name="Normal 4 6 6" xfId="40301" xr:uid="{67A4A0D2-3015-48BB-B782-703E73A46475}"/>
    <cellStyle name="Normal 4 6 6 2" xfId="40302" xr:uid="{27372319-5E1C-4FCE-9A25-A470F4DCAB28}"/>
    <cellStyle name="Normal 4 6 6 2 2" xfId="40303" xr:uid="{56AB3573-17CD-4E32-8BCD-40F7C7320A7D}"/>
    <cellStyle name="Normal 4 6 6 2 2 2" xfId="40304" xr:uid="{74F56BAB-317F-4011-82D2-9A81BC859E37}"/>
    <cellStyle name="Normal 4 6 6 2 2 3" xfId="40305" xr:uid="{FFD7BC20-E794-466E-8F03-BF69234F247C}"/>
    <cellStyle name="Normal 4 6 6 2 3" xfId="40306" xr:uid="{883078A6-8669-48F7-B475-46D5FC5B34BC}"/>
    <cellStyle name="Normal 4 6 6 2 4" xfId="40307" xr:uid="{845AB199-6AD6-4F95-BC5E-6AD4A77C1942}"/>
    <cellStyle name="Normal 4 6 6 2 5" xfId="40308" xr:uid="{3CD00CBE-E6CB-42F8-B5C7-C57C1D9E9EF0}"/>
    <cellStyle name="Normal 4 6 6 3" xfId="40309" xr:uid="{B49D2E62-1802-470C-A238-262C06F7B9E6}"/>
    <cellStyle name="Normal 4 6 6 3 2" xfId="40310" xr:uid="{650DBADF-0584-4D9B-9B5B-913201B6CD72}"/>
    <cellStyle name="Normal 4 6 6 3 2 2" xfId="40311" xr:uid="{F5379878-10F3-46B0-935C-1E355BCBC355}"/>
    <cellStyle name="Normal 4 6 6 3 2 3" xfId="40312" xr:uid="{1E64304A-74EB-4564-B05D-6E76D9A391EB}"/>
    <cellStyle name="Normal 4 6 6 3 3" xfId="40313" xr:uid="{CEB440D9-FBEC-4F40-AC8A-F277408B5A32}"/>
    <cellStyle name="Normal 4 6 6 3 4" xfId="40314" xr:uid="{B99E7500-8E1B-4E39-A229-6BCA85467776}"/>
    <cellStyle name="Normal 4 6 6 3 5" xfId="40315" xr:uid="{461CCF97-B955-4FEF-9A41-624DB796075F}"/>
    <cellStyle name="Normal 4 6 6 4" xfId="40316" xr:uid="{3F4425D3-DED5-4EAC-A1BA-783ACF9B0917}"/>
    <cellStyle name="Normal 4 6 6 4 2" xfId="40317" xr:uid="{BF991506-1548-491A-987F-AE0CE859181E}"/>
    <cellStyle name="Normal 4 6 6 4 3" xfId="40318" xr:uid="{D7AB568B-B6AA-496B-96D9-89C158731166}"/>
    <cellStyle name="Normal 4 6 6 5" xfId="40319" xr:uid="{5D27B7BA-A81D-491C-8809-20618976F355}"/>
    <cellStyle name="Normal 4 6 6 6" xfId="40320" xr:uid="{03F3877C-24F2-4B60-B5DC-38DC7A242A0D}"/>
    <cellStyle name="Normal 4 6 6 7" xfId="40321" xr:uid="{A1F45003-BF32-40C6-8A5D-512ACC99197E}"/>
    <cellStyle name="Normal 4 6 7" xfId="40322" xr:uid="{0F3C987D-0345-41A4-8D2E-7078B9EB99B1}"/>
    <cellStyle name="Normal 4 6 7 2" xfId="40323" xr:uid="{18362E34-BB7D-464B-BC0D-DD7B5A6A3C6E}"/>
    <cellStyle name="Normal 4 6 7 2 2" xfId="40324" xr:uid="{C068AE3F-7BC3-4C77-ABBF-BD6AB95573FE}"/>
    <cellStyle name="Normal 4 6 7 2 3" xfId="40325" xr:uid="{700D6310-6F7B-419F-9D65-977E4763247A}"/>
    <cellStyle name="Normal 4 6 7 3" xfId="40326" xr:uid="{FF7D2F46-1D8E-4556-BB36-A7CC9B05AA0A}"/>
    <cellStyle name="Normal 4 6 7 4" xfId="40327" xr:uid="{591413F5-0F63-445C-9E08-FE84A746FF5B}"/>
    <cellStyle name="Normal 4 6 7 5" xfId="40328" xr:uid="{6580F782-7EA0-4111-A719-77A89B4678EE}"/>
    <cellStyle name="Normal 4 6 8" xfId="40329" xr:uid="{2682B599-E612-4578-ABC2-D935C1F4C5B8}"/>
    <cellStyle name="Normal 4 6 8 2" xfId="40330" xr:uid="{9A77F919-7D7F-40DE-9B1F-BF0169C8FA79}"/>
    <cellStyle name="Normal 4 6 8 2 2" xfId="40331" xr:uid="{778011AB-7D31-4F3C-AC00-F9F2C6947E1F}"/>
    <cellStyle name="Normal 4 6 8 2 3" xfId="40332" xr:uid="{5C27A9D7-13BB-4343-A635-B3C88AD49519}"/>
    <cellStyle name="Normal 4 6 8 3" xfId="40333" xr:uid="{0B42E84C-3E4F-4D85-9920-5BD637C56C02}"/>
    <cellStyle name="Normal 4 6 8 4" xfId="40334" xr:uid="{59F68498-3C06-422F-9067-DAAADF855984}"/>
    <cellStyle name="Normal 4 6 8 5" xfId="40335" xr:uid="{EA8570F2-EBE7-4B04-99D3-585A09A4197E}"/>
    <cellStyle name="Normal 4 6 9" xfId="40336" xr:uid="{833B0DDF-300B-4AED-9B3F-B82A3959AF92}"/>
    <cellStyle name="Normal 4 6 9 2" xfId="40337" xr:uid="{389603A0-F4CF-4D24-9B5B-5F5C1AD2D638}"/>
    <cellStyle name="Normal 4 6 9 3" xfId="40338" xr:uid="{6A543E68-3DD8-4494-9AEC-915D6D467D38}"/>
    <cellStyle name="Normal 4 7" xfId="1754" xr:uid="{00000000-0005-0000-0000-000089260000}"/>
    <cellStyle name="Normal 4 7 10" xfId="40339" xr:uid="{FBAAB80C-5489-4FB1-BF21-6E8D101BFA20}"/>
    <cellStyle name="Normal 4 7 2" xfId="23719" xr:uid="{00000000-0005-0000-0000-00008A260000}"/>
    <cellStyle name="Normal 4 7 2 2" xfId="40341" xr:uid="{64890695-B941-40B8-965A-BD1C9BBCB883}"/>
    <cellStyle name="Normal 4 7 2 2 2" xfId="40342" xr:uid="{D8E25035-EF6D-4B5E-885C-CB790F0E5371}"/>
    <cellStyle name="Normal 4 7 2 2 2 2" xfId="40343" xr:uid="{EEAFB916-7A37-462C-A37A-D4BF57DF0EA3}"/>
    <cellStyle name="Normal 4 7 2 2 2 2 2" xfId="40344" xr:uid="{CB5B0DBE-BA16-4DA2-8F1D-AE77D5B2AB1E}"/>
    <cellStyle name="Normal 4 7 2 2 2 2 3" xfId="40345" xr:uid="{9EE2744D-5E2A-4414-AE56-B797497C22DC}"/>
    <cellStyle name="Normal 4 7 2 2 2 3" xfId="40346" xr:uid="{C9A32A2F-AD87-4420-9D2F-882D1F955A63}"/>
    <cellStyle name="Normal 4 7 2 2 2 4" xfId="40347" xr:uid="{606FACA2-8842-4F2C-BBA3-22E396560689}"/>
    <cellStyle name="Normal 4 7 2 2 2 5" xfId="40348" xr:uid="{26878706-B451-4BA6-A470-AAE19C615A0C}"/>
    <cellStyle name="Normal 4 7 2 2 3" xfId="40349" xr:uid="{3D6E30CD-70BD-4DDF-BE19-6613D9378CF8}"/>
    <cellStyle name="Normal 4 7 2 2 3 2" xfId="40350" xr:uid="{D0D547BF-098D-49F2-8A87-F2A32DC0D59A}"/>
    <cellStyle name="Normal 4 7 2 2 3 2 2" xfId="40351" xr:uid="{0EE37852-4415-4191-818B-61EDB2939858}"/>
    <cellStyle name="Normal 4 7 2 2 3 2 3" xfId="40352" xr:uid="{22165214-5662-4E38-8604-BC6BAAAAFE5A}"/>
    <cellStyle name="Normal 4 7 2 2 3 3" xfId="40353" xr:uid="{F0B31B95-4B0C-46B5-9A72-9B47C55C617A}"/>
    <cellStyle name="Normal 4 7 2 2 3 4" xfId="40354" xr:uid="{653FE64F-3E1C-452F-8B2B-812E9863D3BC}"/>
    <cellStyle name="Normal 4 7 2 2 3 5" xfId="40355" xr:uid="{D9416D53-F8F2-4877-8480-823EF94CD9EA}"/>
    <cellStyle name="Normal 4 7 2 2 4" xfId="40356" xr:uid="{C214D43B-B0A2-4CC7-9E1A-66399127ADF4}"/>
    <cellStyle name="Normal 4 7 2 2 4 2" xfId="40357" xr:uid="{C471340D-5007-4531-A24E-2123CD235F8B}"/>
    <cellStyle name="Normal 4 7 2 2 4 3" xfId="40358" xr:uid="{AB9B5CA3-BD4F-447A-A8C9-712E91D4339F}"/>
    <cellStyle name="Normal 4 7 2 2 5" xfId="40359" xr:uid="{B7EF44A6-6AF9-4F93-9ABC-30E3CCDDE365}"/>
    <cellStyle name="Normal 4 7 2 2 6" xfId="40360" xr:uid="{59FFA673-4928-4793-9AA1-ACDD720D2170}"/>
    <cellStyle name="Normal 4 7 2 2 7" xfId="40361" xr:uid="{FC8F5C3F-2D55-465B-BCD5-6795ACF2E8E0}"/>
    <cellStyle name="Normal 4 7 2 3" xfId="40362" xr:uid="{65384125-52C5-4A47-92F5-D72669B1C0C5}"/>
    <cellStyle name="Normal 4 7 2 3 2" xfId="40363" xr:uid="{71261C1C-CB46-49D5-9E17-76EC2E1DC9E3}"/>
    <cellStyle name="Normal 4 7 2 3 2 2" xfId="40364" xr:uid="{B857A5C6-DA26-425B-A62F-25E6667833AC}"/>
    <cellStyle name="Normal 4 7 2 3 2 3" xfId="40365" xr:uid="{1D8AEAB0-DD36-426F-9A96-2624EDB9C695}"/>
    <cellStyle name="Normal 4 7 2 3 3" xfId="40366" xr:uid="{46CF6A3D-0338-4DE7-87D6-C870149B37FF}"/>
    <cellStyle name="Normal 4 7 2 3 4" xfId="40367" xr:uid="{24019608-EF5D-4105-A626-5D9DC50D1436}"/>
    <cellStyle name="Normal 4 7 2 3 5" xfId="40368" xr:uid="{D8ED8CF6-C879-46F1-B1A6-3A8335777805}"/>
    <cellStyle name="Normal 4 7 2 4" xfId="40369" xr:uid="{31E66D21-A29F-47B2-84C2-1774B396B1B3}"/>
    <cellStyle name="Normal 4 7 2 4 2" xfId="40370" xr:uid="{C7217ACD-57CC-4715-A30F-842913A59B7C}"/>
    <cellStyle name="Normal 4 7 2 4 2 2" xfId="40371" xr:uid="{9053EEB6-EF54-47C1-B4A4-9CA3C4CA9770}"/>
    <cellStyle name="Normal 4 7 2 4 2 3" xfId="40372" xr:uid="{E865CA17-C609-4C96-A4CC-4142E4F250C5}"/>
    <cellStyle name="Normal 4 7 2 4 3" xfId="40373" xr:uid="{9B530A97-0381-4BCB-A2B8-0DBD8D369819}"/>
    <cellStyle name="Normal 4 7 2 4 4" xfId="40374" xr:uid="{690194A6-8EC1-4B25-A958-3FFBDA25424A}"/>
    <cellStyle name="Normal 4 7 2 4 5" xfId="40375" xr:uid="{A54F5661-CD09-4DE7-9165-F65C1DA6F2BB}"/>
    <cellStyle name="Normal 4 7 2 5" xfId="40376" xr:uid="{65214EDE-CA3A-458F-A62D-9FF94C55E8F7}"/>
    <cellStyle name="Normal 4 7 2 5 2" xfId="40377" xr:uid="{DA2E6BA0-AFDD-4BB6-B33F-80BCBB7E107B}"/>
    <cellStyle name="Normal 4 7 2 5 3" xfId="40378" xr:uid="{770CD116-756F-4FDA-A2E7-D017C8ABADB4}"/>
    <cellStyle name="Normal 4 7 2 6" xfId="40379" xr:uid="{974338C6-D094-45DA-8C5D-372F67A23BDE}"/>
    <cellStyle name="Normal 4 7 2 7" xfId="40380" xr:uid="{BB8A4D8A-0046-48F5-A585-3A3C7D597B8B}"/>
    <cellStyle name="Normal 4 7 2 8" xfId="40381" xr:uid="{D57C7B42-E4EE-4F89-A110-E2A2358296F8}"/>
    <cellStyle name="Normal 4 7 2 9" xfId="40340" xr:uid="{F4B0E2E1-7875-41AA-A995-2928555BF527}"/>
    <cellStyle name="Normal 4 7 3" xfId="40382" xr:uid="{E7EB0B49-637A-4B9D-9F8B-8FA69D1EC298}"/>
    <cellStyle name="Normal 4 7 3 2" xfId="40383" xr:uid="{638B34EF-1C50-4E23-9C13-8695CB10948F}"/>
    <cellStyle name="Normal 4 7 3 2 2" xfId="40384" xr:uid="{49F5893D-51BE-4DB9-83AA-0619F904A741}"/>
    <cellStyle name="Normal 4 7 3 2 2 2" xfId="40385" xr:uid="{338443C5-F4DF-401C-B944-020E46C5794B}"/>
    <cellStyle name="Normal 4 7 3 2 2 3" xfId="40386" xr:uid="{CAB7FCBB-0F45-40B8-B3F1-8E51B09A68B2}"/>
    <cellStyle name="Normal 4 7 3 2 3" xfId="40387" xr:uid="{2B109183-ADE2-4302-8C70-06C3A545D920}"/>
    <cellStyle name="Normal 4 7 3 2 4" xfId="40388" xr:uid="{D21F4A5D-4321-4B7B-B388-5CDCE0255A4E}"/>
    <cellStyle name="Normal 4 7 3 2 5" xfId="40389" xr:uid="{EC27334D-1932-44BB-BB06-30B2EB8DB574}"/>
    <cellStyle name="Normal 4 7 3 3" xfId="40390" xr:uid="{D05EE0C8-0ED2-4682-8C9E-967CF3AB2558}"/>
    <cellStyle name="Normal 4 7 3 3 2" xfId="40391" xr:uid="{BB5E6745-0A80-4B8A-91F4-50E491039840}"/>
    <cellStyle name="Normal 4 7 3 3 2 2" xfId="40392" xr:uid="{4266453F-19B1-46DD-8BA0-65C4A660EC4F}"/>
    <cellStyle name="Normal 4 7 3 3 2 3" xfId="40393" xr:uid="{FD8B3BCC-EC02-4F32-AFF1-A7BA5773FF0A}"/>
    <cellStyle name="Normal 4 7 3 3 3" xfId="40394" xr:uid="{8B4FE00E-859B-4EC6-93E1-D10F9C0F1236}"/>
    <cellStyle name="Normal 4 7 3 3 4" xfId="40395" xr:uid="{B2ADDE5F-21EF-4473-BF3B-2D698FA8D9D4}"/>
    <cellStyle name="Normal 4 7 3 3 5" xfId="40396" xr:uid="{98A82F9A-179E-4C88-87C3-AFBC7B55AB15}"/>
    <cellStyle name="Normal 4 7 3 4" xfId="40397" xr:uid="{EE12C8C4-9AAB-444D-A486-9B024E05C21A}"/>
    <cellStyle name="Normal 4 7 3 4 2" xfId="40398" xr:uid="{D5FF1D36-097E-4152-A5FF-78D63DBD71A6}"/>
    <cellStyle name="Normal 4 7 3 4 3" xfId="40399" xr:uid="{994654D9-CF30-475A-98D8-6A8B421D7970}"/>
    <cellStyle name="Normal 4 7 3 5" xfId="40400" xr:uid="{35E9BD0F-A3B5-432A-A1E7-4D4B35CFA100}"/>
    <cellStyle name="Normal 4 7 3 6" xfId="40401" xr:uid="{133E64FA-49A8-4859-B6AA-1C7F04FF12F4}"/>
    <cellStyle name="Normal 4 7 3 7" xfId="40402" xr:uid="{84B3FD3B-256E-49F7-B243-8EC3E485E745}"/>
    <cellStyle name="Normal 4 7 4" xfId="40403" xr:uid="{DB08E5D8-AFE0-4AFF-B227-FEA00B88D827}"/>
    <cellStyle name="Normal 4 7 4 2" xfId="40404" xr:uid="{444350A4-1F95-4C85-83C1-1B964567B743}"/>
    <cellStyle name="Normal 4 7 4 2 2" xfId="40405" xr:uid="{6D12078F-32AB-4E24-996B-EAC46E6B5E27}"/>
    <cellStyle name="Normal 4 7 4 2 3" xfId="40406" xr:uid="{C6C2ADAE-03F2-4A2B-8534-B5B294DBE59A}"/>
    <cellStyle name="Normal 4 7 4 3" xfId="40407" xr:uid="{11D5B978-F445-43F0-86BA-A4C05F063AF0}"/>
    <cellStyle name="Normal 4 7 4 4" xfId="40408" xr:uid="{DD5045F5-BAB2-49F7-9723-25A430DC3513}"/>
    <cellStyle name="Normal 4 7 4 5" xfId="40409" xr:uid="{54C4E844-A5A3-44ED-A6FE-8DC4229BAEF2}"/>
    <cellStyle name="Normal 4 7 5" xfId="40410" xr:uid="{8CF5FD3B-6DC4-4E17-8724-32A681F43CDF}"/>
    <cellStyle name="Normal 4 7 5 2" xfId="40411" xr:uid="{C5AC17BB-09BA-46AF-9367-A7F13CCC30F3}"/>
    <cellStyle name="Normal 4 7 5 2 2" xfId="40412" xr:uid="{DBC8AEB2-F604-42A1-8233-05ED4348D42A}"/>
    <cellStyle name="Normal 4 7 5 2 3" xfId="40413" xr:uid="{B7E153A9-401B-4DAC-A8D0-58FB07B10AC0}"/>
    <cellStyle name="Normal 4 7 5 3" xfId="40414" xr:uid="{7BCFFE81-0925-4E5B-9B65-46F2D803FF1F}"/>
    <cellStyle name="Normal 4 7 5 4" xfId="40415" xr:uid="{A735AC41-DAC0-4396-A554-1F7F5077C9D7}"/>
    <cellStyle name="Normal 4 7 5 5" xfId="40416" xr:uid="{D1D40FAC-055F-4C28-AA64-2F6FD044DAFE}"/>
    <cellStyle name="Normal 4 7 6" xfId="40417" xr:uid="{73CAF051-1E28-4486-B87A-EB92D88BBD5D}"/>
    <cellStyle name="Normal 4 7 6 2" xfId="40418" xr:uid="{0B8EC357-84D4-4B40-B5D6-D3998F09B762}"/>
    <cellStyle name="Normal 4 7 6 3" xfId="40419" xr:uid="{78785348-90A2-453B-AAB0-B1672AD57D0C}"/>
    <cellStyle name="Normal 4 7 7" xfId="40420" xr:uid="{AD8B69DC-6D27-48F5-8600-97CC92915F15}"/>
    <cellStyle name="Normal 4 7 8" xfId="40421" xr:uid="{E864FCAC-D70C-4307-BB1B-5A86842D024E}"/>
    <cellStyle name="Normal 4 7 9" xfId="40422" xr:uid="{17B179C1-28CF-43A4-98C3-DBFD9EE56B54}"/>
    <cellStyle name="Normal 4 8" xfId="24122" xr:uid="{00000000-0005-0000-0000-00008B260000}"/>
    <cellStyle name="Normal 4 8 10" xfId="40423" xr:uid="{26A4340E-24CD-415E-9CB0-F62E2C40CE70}"/>
    <cellStyle name="Normal 4 8 2" xfId="40424" xr:uid="{86E8EF1D-FB13-4F55-9A7D-A513419AFD58}"/>
    <cellStyle name="Normal 4 8 2 2" xfId="40425" xr:uid="{F3755D08-E78C-4E5C-B73F-FB1EB1745983}"/>
    <cellStyle name="Normal 4 8 2 2 2" xfId="40426" xr:uid="{71720835-EED8-4891-B79B-B2160DFC9310}"/>
    <cellStyle name="Normal 4 8 2 2 2 2" xfId="40427" xr:uid="{35207145-9CE4-4DB2-902D-7409E6BE9F21}"/>
    <cellStyle name="Normal 4 8 2 2 2 2 2" xfId="40428" xr:uid="{1E96FB12-499B-4112-BDB8-213DD77BD1FE}"/>
    <cellStyle name="Normal 4 8 2 2 2 2 3" xfId="40429" xr:uid="{1CAC10FA-744C-45A4-8EC6-F8A4C087959F}"/>
    <cellStyle name="Normal 4 8 2 2 2 3" xfId="40430" xr:uid="{6A1456B9-E8E2-40C8-B0BF-2A6B84B6FDDB}"/>
    <cellStyle name="Normal 4 8 2 2 2 4" xfId="40431" xr:uid="{05EFB0DB-83FB-48BF-9D96-CF324FB4C9FD}"/>
    <cellStyle name="Normal 4 8 2 2 2 5" xfId="40432" xr:uid="{576991BD-ABC9-4B80-A179-1DCF490EA836}"/>
    <cellStyle name="Normal 4 8 2 2 3" xfId="40433" xr:uid="{738A6820-A8A2-4909-B1FF-16910F07CA10}"/>
    <cellStyle name="Normal 4 8 2 2 3 2" xfId="40434" xr:uid="{B20DCF1D-0AC1-4B27-92CE-44F20CABA5F0}"/>
    <cellStyle name="Normal 4 8 2 2 3 2 2" xfId="40435" xr:uid="{7AD40056-3A4D-41E8-8181-C0EBE206FD64}"/>
    <cellStyle name="Normal 4 8 2 2 3 2 3" xfId="40436" xr:uid="{ECC5B6F6-ED8A-41A4-A172-01A993F18D49}"/>
    <cellStyle name="Normal 4 8 2 2 3 3" xfId="40437" xr:uid="{8D2B2D7C-0EF5-4406-87C3-F7F2433827E2}"/>
    <cellStyle name="Normal 4 8 2 2 3 4" xfId="40438" xr:uid="{D589B750-CCEE-4703-A8D4-A90E1C0F482C}"/>
    <cellStyle name="Normal 4 8 2 2 3 5" xfId="40439" xr:uid="{F995A0DC-8D96-4C45-BA4C-A6DFDDE6A026}"/>
    <cellStyle name="Normal 4 8 2 2 4" xfId="40440" xr:uid="{D2FD6C79-84B1-4688-996A-913C6190A300}"/>
    <cellStyle name="Normal 4 8 2 2 4 2" xfId="40441" xr:uid="{48E42F2C-F3D4-40F1-A19B-AF7DA9966E0C}"/>
    <cellStyle name="Normal 4 8 2 2 4 3" xfId="40442" xr:uid="{A4E69DE9-82AB-4F48-8918-893C09A069DA}"/>
    <cellStyle name="Normal 4 8 2 2 5" xfId="40443" xr:uid="{F788BBB8-19BF-46E0-B4E1-E5B580CEB76D}"/>
    <cellStyle name="Normal 4 8 2 2 6" xfId="40444" xr:uid="{11CCF718-2BA1-4D3B-9FB2-6AEFF761BC1F}"/>
    <cellStyle name="Normal 4 8 2 2 7" xfId="40445" xr:uid="{1ABEEA5C-1D99-4576-BB5D-78EB8948E73E}"/>
    <cellStyle name="Normal 4 8 2 3" xfId="40446" xr:uid="{E0A7A30E-5434-403B-85D8-5F93E449BC84}"/>
    <cellStyle name="Normal 4 8 2 3 2" xfId="40447" xr:uid="{A2722D88-E895-4BE4-98C0-C5AD9B5549B7}"/>
    <cellStyle name="Normal 4 8 2 3 2 2" xfId="40448" xr:uid="{FF7DACB9-42DD-4585-B0B8-90A7047866B9}"/>
    <cellStyle name="Normal 4 8 2 3 2 3" xfId="40449" xr:uid="{14233CEE-381D-4888-87B5-6B512B297055}"/>
    <cellStyle name="Normal 4 8 2 3 3" xfId="40450" xr:uid="{2F60C452-9BED-4F5D-9FBF-95E648A06159}"/>
    <cellStyle name="Normal 4 8 2 3 4" xfId="40451" xr:uid="{A1E66781-C8A2-4B84-9C44-01E76ED50FD3}"/>
    <cellStyle name="Normal 4 8 2 3 5" xfId="40452" xr:uid="{9CAA5C98-3365-462E-9C73-E4AA0B38F7F1}"/>
    <cellStyle name="Normal 4 8 2 4" xfId="40453" xr:uid="{B7EC53D3-57BF-4EF9-AF35-EF0F5736166D}"/>
    <cellStyle name="Normal 4 8 2 4 2" xfId="40454" xr:uid="{4D1642C2-0E13-4D12-93A6-CEE22E1DFDBD}"/>
    <cellStyle name="Normal 4 8 2 4 2 2" xfId="40455" xr:uid="{62779663-BD54-4EE8-9C99-FDD69BBDA185}"/>
    <cellStyle name="Normal 4 8 2 4 2 3" xfId="40456" xr:uid="{D06DB1BE-B7C3-4E86-8231-C3FE504552BB}"/>
    <cellStyle name="Normal 4 8 2 4 3" xfId="40457" xr:uid="{CCCB38E3-8D5E-4631-9239-4494B27428C3}"/>
    <cellStyle name="Normal 4 8 2 4 4" xfId="40458" xr:uid="{6219A45C-206E-424E-9ABF-AC82F487B8AA}"/>
    <cellStyle name="Normal 4 8 2 4 5" xfId="40459" xr:uid="{1D77FFBB-7C7B-4E92-BEAA-B306C660D0A6}"/>
    <cellStyle name="Normal 4 8 2 5" xfId="40460" xr:uid="{CC8CAA40-246C-4779-ADDC-0E3017930D0A}"/>
    <cellStyle name="Normal 4 8 2 5 2" xfId="40461" xr:uid="{92F2A87A-91DB-4706-81AF-4C0B12F19FF0}"/>
    <cellStyle name="Normal 4 8 2 5 3" xfId="40462" xr:uid="{56814C2D-8A45-4EA8-A459-D801821A7193}"/>
    <cellStyle name="Normal 4 8 2 6" xfId="40463" xr:uid="{33805B20-42A6-433B-9AD0-C81BB6878B37}"/>
    <cellStyle name="Normal 4 8 2 7" xfId="40464" xr:uid="{9206B0F0-90AA-419E-9EC3-7E6AF888405F}"/>
    <cellStyle name="Normal 4 8 2 8" xfId="40465" xr:uid="{F83CDB36-8718-47BE-8D24-120940BA9B84}"/>
    <cellStyle name="Normal 4 8 3" xfId="40466" xr:uid="{B9FA0586-AE0E-418E-96FA-FF6A63B30761}"/>
    <cellStyle name="Normal 4 8 3 2" xfId="40467" xr:uid="{883786EA-22C5-4C02-90FA-A897E235E43C}"/>
    <cellStyle name="Normal 4 8 3 2 2" xfId="40468" xr:uid="{9D797C07-930F-4F25-87DE-FBBE02AEA681}"/>
    <cellStyle name="Normal 4 8 3 2 2 2" xfId="40469" xr:uid="{1C8294CC-7846-4F81-B9CD-DFE9AEFC3848}"/>
    <cellStyle name="Normal 4 8 3 2 2 3" xfId="40470" xr:uid="{2212EDC1-F734-457E-ADEE-3BD7120F6566}"/>
    <cellStyle name="Normal 4 8 3 2 3" xfId="40471" xr:uid="{8963AD27-3502-4E53-BF5D-7DB38CAEC96A}"/>
    <cellStyle name="Normal 4 8 3 2 4" xfId="40472" xr:uid="{948549B2-7546-450F-B420-94DE9477AF0D}"/>
    <cellStyle name="Normal 4 8 3 2 5" xfId="40473" xr:uid="{8049754E-3B6A-41E4-9F81-AB352D6FDD8F}"/>
    <cellStyle name="Normal 4 8 3 3" xfId="40474" xr:uid="{98D08D14-11D5-4596-B84F-D6664FF20485}"/>
    <cellStyle name="Normal 4 8 3 3 2" xfId="40475" xr:uid="{0DF10C26-D53E-4968-A087-C5F94FC8E0F1}"/>
    <cellStyle name="Normal 4 8 3 3 2 2" xfId="40476" xr:uid="{0859261F-8057-4B7F-9EE0-3C8422BF900B}"/>
    <cellStyle name="Normal 4 8 3 3 2 3" xfId="40477" xr:uid="{F7F3ADBC-3E20-4B8A-B4E6-F96AF474D74C}"/>
    <cellStyle name="Normal 4 8 3 3 3" xfId="40478" xr:uid="{41D60CE1-A677-4094-B747-B3193D55E875}"/>
    <cellStyle name="Normal 4 8 3 3 4" xfId="40479" xr:uid="{A1C7B29B-8C96-468E-B1FC-6EED773FDCFA}"/>
    <cellStyle name="Normal 4 8 3 3 5" xfId="40480" xr:uid="{F13AE156-C1C4-4A2F-BF6D-BF0504E8FC58}"/>
    <cellStyle name="Normal 4 8 3 4" xfId="40481" xr:uid="{459E9DFF-3CAA-480C-B318-EAC42BE077E1}"/>
    <cellStyle name="Normal 4 8 3 4 2" xfId="40482" xr:uid="{1FB0283E-88C8-4EA5-86D0-AC3BC785CE7B}"/>
    <cellStyle name="Normal 4 8 3 4 3" xfId="40483" xr:uid="{012474CD-7B1A-4BB8-8CF4-52D6A0003E1D}"/>
    <cellStyle name="Normal 4 8 3 5" xfId="40484" xr:uid="{58E13202-FDA7-4F7F-89C3-59A0770F8ACB}"/>
    <cellStyle name="Normal 4 8 3 6" xfId="40485" xr:uid="{D80F167F-82F5-433F-B5E2-07F15A1F5810}"/>
    <cellStyle name="Normal 4 8 3 7" xfId="40486" xr:uid="{04C1DB60-380E-456C-BAD5-39C55E8CB21C}"/>
    <cellStyle name="Normal 4 8 4" xfId="40487" xr:uid="{157EDC5C-CB43-41C8-8542-48E8200923AF}"/>
    <cellStyle name="Normal 4 8 4 2" xfId="40488" xr:uid="{7C79DDDC-BE65-4027-A23A-364EE68322D8}"/>
    <cellStyle name="Normal 4 8 4 2 2" xfId="40489" xr:uid="{199F04DF-5ADA-45F8-AC7E-E46EB84BFADF}"/>
    <cellStyle name="Normal 4 8 4 2 3" xfId="40490" xr:uid="{01F32731-81E1-4372-920B-61312017C5F9}"/>
    <cellStyle name="Normal 4 8 4 3" xfId="40491" xr:uid="{E9B1B12A-D1C2-420D-96FB-FE7F5C355AC7}"/>
    <cellStyle name="Normal 4 8 4 4" xfId="40492" xr:uid="{111225A1-3960-414B-B2BD-16CB406D87F5}"/>
    <cellStyle name="Normal 4 8 4 5" xfId="40493" xr:uid="{EB3BDB06-AADE-4D11-9527-A18EF1FBA3FC}"/>
    <cellStyle name="Normal 4 8 5" xfId="40494" xr:uid="{DD850DF5-FC48-4B25-986D-4C56EAF918E1}"/>
    <cellStyle name="Normal 4 8 5 2" xfId="40495" xr:uid="{B26105F9-7893-4FF7-9451-5B141E18EF41}"/>
    <cellStyle name="Normal 4 8 5 2 2" xfId="40496" xr:uid="{5A789FEE-A34A-499D-A400-52D6A4EAD94C}"/>
    <cellStyle name="Normal 4 8 5 2 3" xfId="40497" xr:uid="{42F08779-FC30-4CAA-89CC-C73503B12CC2}"/>
    <cellStyle name="Normal 4 8 5 3" xfId="40498" xr:uid="{10AF18D8-B0E8-4081-98F0-1CB184AA9035}"/>
    <cellStyle name="Normal 4 8 5 4" xfId="40499" xr:uid="{F5190A44-D98C-48E3-A0EC-E4648C262DAD}"/>
    <cellStyle name="Normal 4 8 5 5" xfId="40500" xr:uid="{815B974B-B270-409D-9499-898D7735182B}"/>
    <cellStyle name="Normal 4 8 6" xfId="40501" xr:uid="{31EB7C4C-3EF8-48EC-AA9A-187B9340C131}"/>
    <cellStyle name="Normal 4 8 6 2" xfId="40502" xr:uid="{9288F5C5-93CB-4596-A72F-C9B77A33CC28}"/>
    <cellStyle name="Normal 4 8 6 3" xfId="40503" xr:uid="{D1FD418B-FB3C-4E2F-9CA4-91D6E6B52CD3}"/>
    <cellStyle name="Normal 4 8 7" xfId="40504" xr:uid="{4BF5982A-6F81-4D25-8381-4B18A8980E41}"/>
    <cellStyle name="Normal 4 8 8" xfId="40505" xr:uid="{5CBB2267-6834-4094-9F62-872859C1B171}"/>
    <cellStyle name="Normal 4 8 9" xfId="40506" xr:uid="{4BB1DDE4-6A93-4A63-BC67-E02BA77A445E}"/>
    <cellStyle name="Normal 4 9" xfId="5113" xr:uid="{00000000-0005-0000-0000-00008C260000}"/>
    <cellStyle name="Normal 4 9 10" xfId="40507" xr:uid="{4E51570E-9027-4D03-B4B9-0D047B0DE9ED}"/>
    <cellStyle name="Normal 4 9 2" xfId="40508" xr:uid="{11FF4FAC-4A67-469B-A024-00C5A269F6D5}"/>
    <cellStyle name="Normal 4 9 2 2" xfId="40509" xr:uid="{CAF0513C-BA81-46FE-AFA8-47A4CAAF2462}"/>
    <cellStyle name="Normal 4 9 2 2 2" xfId="40510" xr:uid="{962C10CF-B10C-40B3-93AD-054033FCAF22}"/>
    <cellStyle name="Normal 4 9 2 2 2 2" xfId="40511" xr:uid="{C9FB14AB-2FB8-4647-BE09-4603959003CD}"/>
    <cellStyle name="Normal 4 9 2 2 2 2 2" xfId="40512" xr:uid="{B12713EC-B20D-4003-9099-210FCFD0A7AD}"/>
    <cellStyle name="Normal 4 9 2 2 2 2 3" xfId="40513" xr:uid="{5163AC6E-0720-42D0-9BFC-014FB1CBC178}"/>
    <cellStyle name="Normal 4 9 2 2 2 3" xfId="40514" xr:uid="{BA9E8B31-53B2-4D37-A549-8C2D32AA94DF}"/>
    <cellStyle name="Normal 4 9 2 2 2 4" xfId="40515" xr:uid="{775A6410-CF39-40DE-BE1A-147C736CBD4F}"/>
    <cellStyle name="Normal 4 9 2 2 2 5" xfId="40516" xr:uid="{D7515602-9E6D-4A67-A03F-32ABB05454B2}"/>
    <cellStyle name="Normal 4 9 2 2 3" xfId="40517" xr:uid="{083140E5-C59C-4974-81AE-083A03B7F33C}"/>
    <cellStyle name="Normal 4 9 2 2 3 2" xfId="40518" xr:uid="{EC36B563-A280-4B23-868E-DFC433C963FE}"/>
    <cellStyle name="Normal 4 9 2 2 3 2 2" xfId="40519" xr:uid="{0535F925-E19E-4011-B913-759065F46CA7}"/>
    <cellStyle name="Normal 4 9 2 2 3 2 3" xfId="40520" xr:uid="{4992FE86-516A-4E54-94CE-FFE886D94226}"/>
    <cellStyle name="Normal 4 9 2 2 3 3" xfId="40521" xr:uid="{6B82505E-FD49-4C8A-A255-26FEF4DF1B84}"/>
    <cellStyle name="Normal 4 9 2 2 3 4" xfId="40522" xr:uid="{7ADE7B3F-1F09-485D-8635-0649C6FECD34}"/>
    <cellStyle name="Normal 4 9 2 2 3 5" xfId="40523" xr:uid="{3DBB1433-B255-42F6-93B3-9DB1C8016B50}"/>
    <cellStyle name="Normal 4 9 2 2 4" xfId="40524" xr:uid="{4762B24B-69BF-4F65-ADAB-4C17F6B53915}"/>
    <cellStyle name="Normal 4 9 2 2 4 2" xfId="40525" xr:uid="{C1AE115E-B7A9-4B57-ACB0-178A87CB97C3}"/>
    <cellStyle name="Normal 4 9 2 2 4 3" xfId="40526" xr:uid="{F518D029-4939-4884-BCE4-27270C3B3809}"/>
    <cellStyle name="Normal 4 9 2 2 5" xfId="40527" xr:uid="{67FEFC24-A137-4C10-B2D5-6B2E7AFE7D68}"/>
    <cellStyle name="Normal 4 9 2 2 6" xfId="40528" xr:uid="{5474FFB3-2250-4FA8-B98D-7893C5EF6844}"/>
    <cellStyle name="Normal 4 9 2 2 7" xfId="40529" xr:uid="{E4B53BCC-50C3-48D5-887E-2A16D6436A31}"/>
    <cellStyle name="Normal 4 9 2 3" xfId="40530" xr:uid="{E5F9A3DD-763E-4880-A8C6-FE83C071FBEE}"/>
    <cellStyle name="Normal 4 9 2 3 2" xfId="40531" xr:uid="{F4CCB507-DE45-484A-9319-E88AD2FDE47A}"/>
    <cellStyle name="Normal 4 9 2 3 2 2" xfId="40532" xr:uid="{8899597D-793E-4053-9251-24F8A8D27A27}"/>
    <cellStyle name="Normal 4 9 2 3 2 3" xfId="40533" xr:uid="{CD1500EC-5BBB-4C3A-B15D-18E4A20BB055}"/>
    <cellStyle name="Normal 4 9 2 3 3" xfId="40534" xr:uid="{375167D1-84E1-4DBE-965C-0010D3B1E241}"/>
    <cellStyle name="Normal 4 9 2 3 4" xfId="40535" xr:uid="{B930E6A8-A09B-4EBE-A649-78568D7FB849}"/>
    <cellStyle name="Normal 4 9 2 3 5" xfId="40536" xr:uid="{C220B6E4-DD9D-47C7-BCF8-3EF99BEAB85D}"/>
    <cellStyle name="Normal 4 9 2 4" xfId="40537" xr:uid="{5A911E80-CDFA-4843-B711-C1C32421031B}"/>
    <cellStyle name="Normal 4 9 2 4 2" xfId="40538" xr:uid="{D86F82E4-5B94-45E9-A268-8A55BF801AC7}"/>
    <cellStyle name="Normal 4 9 2 4 2 2" xfId="40539" xr:uid="{0CD5A1D5-2F50-485C-A96E-DC05C7CB8013}"/>
    <cellStyle name="Normal 4 9 2 4 2 3" xfId="40540" xr:uid="{D7E352E4-7601-44AC-98DC-BBC0E18548E1}"/>
    <cellStyle name="Normal 4 9 2 4 3" xfId="40541" xr:uid="{2A40F9A2-D6BD-415C-B327-888FA1D8FC00}"/>
    <cellStyle name="Normal 4 9 2 4 4" xfId="40542" xr:uid="{3ECACB07-580E-4CA8-9861-EB12EE18C029}"/>
    <cellStyle name="Normal 4 9 2 4 5" xfId="40543" xr:uid="{C512104F-18D0-4F11-8215-942EBF8C479B}"/>
    <cellStyle name="Normal 4 9 2 5" xfId="40544" xr:uid="{560B8AE8-0A6F-4A0B-9B65-B5544E33B678}"/>
    <cellStyle name="Normal 4 9 2 5 2" xfId="40545" xr:uid="{650A6D33-E9D6-4C5D-BB64-F83C279AFF65}"/>
    <cellStyle name="Normal 4 9 2 5 3" xfId="40546" xr:uid="{08A823AF-1DF8-459A-AE00-1EFDEAE3DC6F}"/>
    <cellStyle name="Normal 4 9 2 6" xfId="40547" xr:uid="{8E7AECAA-C19A-4295-AB47-023E8C447192}"/>
    <cellStyle name="Normal 4 9 2 7" xfId="40548" xr:uid="{5851AD8F-E8F4-4C3D-9B78-0A1D027845FE}"/>
    <cellStyle name="Normal 4 9 2 8" xfId="40549" xr:uid="{0C1ABCB2-B821-4B17-A1F3-B2302F761E86}"/>
    <cellStyle name="Normal 4 9 3" xfId="40550" xr:uid="{B2511B13-2591-4ABB-AA52-CBEC7A0A3A4F}"/>
    <cellStyle name="Normal 4 9 3 2" xfId="40551" xr:uid="{EB5096FA-D020-4A9E-8D6E-C3179AD01DE8}"/>
    <cellStyle name="Normal 4 9 3 2 2" xfId="40552" xr:uid="{B1920093-A1C2-4496-9B9D-E560BFF5573B}"/>
    <cellStyle name="Normal 4 9 3 2 2 2" xfId="40553" xr:uid="{9DB7E0F3-084E-4670-9E60-22F7073C43C2}"/>
    <cellStyle name="Normal 4 9 3 2 2 3" xfId="40554" xr:uid="{CBCFF151-862F-4133-9AD6-3A6BDE0C152C}"/>
    <cellStyle name="Normal 4 9 3 2 3" xfId="40555" xr:uid="{918E3547-FA09-4F27-A37B-E6469FFC1A70}"/>
    <cellStyle name="Normal 4 9 3 2 4" xfId="40556" xr:uid="{2FD11EBA-04D9-4796-B067-34DA49519974}"/>
    <cellStyle name="Normal 4 9 3 2 5" xfId="40557" xr:uid="{10DB1579-A651-4390-9220-41E6826C2F35}"/>
    <cellStyle name="Normal 4 9 3 3" xfId="40558" xr:uid="{D85C5996-0AE8-4E9D-A024-F1BA6D9C9F70}"/>
    <cellStyle name="Normal 4 9 3 3 2" xfId="40559" xr:uid="{F20DA5D0-157F-45BB-8634-7ABFBDCABEE4}"/>
    <cellStyle name="Normal 4 9 3 3 2 2" xfId="40560" xr:uid="{575093CA-919E-4761-86B6-D049A3B74DAD}"/>
    <cellStyle name="Normal 4 9 3 3 2 3" xfId="40561" xr:uid="{A8C1E112-0E3D-43C2-A4F2-44531EB6BDC0}"/>
    <cellStyle name="Normal 4 9 3 3 3" xfId="40562" xr:uid="{0757622A-1C64-4E23-8D8E-B7C82D7A7CE7}"/>
    <cellStyle name="Normal 4 9 3 3 4" xfId="40563" xr:uid="{DE3C0C4B-F220-4297-992A-A281009B5A1A}"/>
    <cellStyle name="Normal 4 9 3 3 5" xfId="40564" xr:uid="{AA57E3CC-9445-4A0A-BE6E-17DF057D01DA}"/>
    <cellStyle name="Normal 4 9 3 4" xfId="40565" xr:uid="{19E86454-16CD-454B-822E-1E9A4F58A2A5}"/>
    <cellStyle name="Normal 4 9 3 4 2" xfId="40566" xr:uid="{64E9C23D-F2B5-4A2D-96C5-8E5D4040E6E8}"/>
    <cellStyle name="Normal 4 9 3 4 3" xfId="40567" xr:uid="{3E20C364-DE9A-4661-B4BB-57E1B22CF9BF}"/>
    <cellStyle name="Normal 4 9 3 5" xfId="40568" xr:uid="{F95ACEDE-AFFE-4A32-8551-7083F7C8819C}"/>
    <cellStyle name="Normal 4 9 3 6" xfId="40569" xr:uid="{2C4E1441-1346-4F6F-BB07-1A4FA03A9D00}"/>
    <cellStyle name="Normal 4 9 3 7" xfId="40570" xr:uid="{48CE9845-4268-40D2-A9DA-5009EEFB9583}"/>
    <cellStyle name="Normal 4 9 4" xfId="40571" xr:uid="{82E5B10C-FE96-48F8-B022-87B706D1AA9F}"/>
    <cellStyle name="Normal 4 9 4 2" xfId="40572" xr:uid="{89E46AE7-83F4-43C7-9464-63EF0C6669F4}"/>
    <cellStyle name="Normal 4 9 4 2 2" xfId="40573" xr:uid="{3F0483E7-C927-4583-8D99-620752314CB0}"/>
    <cellStyle name="Normal 4 9 4 2 3" xfId="40574" xr:uid="{029700EB-7891-4663-95FA-DE24BC6AC356}"/>
    <cellStyle name="Normal 4 9 4 3" xfId="40575" xr:uid="{035A0785-1765-410C-91F4-6D4BEA3DB11A}"/>
    <cellStyle name="Normal 4 9 4 4" xfId="40576" xr:uid="{A671B630-C4D6-49F6-8E98-FF0FB31CEDE7}"/>
    <cellStyle name="Normal 4 9 4 5" xfId="40577" xr:uid="{193216B2-E0C5-4C32-92F0-F5ED68F253BD}"/>
    <cellStyle name="Normal 4 9 5" xfId="40578" xr:uid="{8EDC1362-50E1-48CA-96F6-5F24B02191CC}"/>
    <cellStyle name="Normal 4 9 5 2" xfId="40579" xr:uid="{7CCE193B-39F7-42B5-84AF-5FA94E6B8C74}"/>
    <cellStyle name="Normal 4 9 5 2 2" xfId="40580" xr:uid="{B01CD36F-5394-49CA-9E66-8F8CDC99DD11}"/>
    <cellStyle name="Normal 4 9 5 2 3" xfId="40581" xr:uid="{655F7F54-26D2-48D5-812D-94215CD2C349}"/>
    <cellStyle name="Normal 4 9 5 3" xfId="40582" xr:uid="{C02B4731-C287-421D-BBC7-1A284800B05E}"/>
    <cellStyle name="Normal 4 9 5 4" xfId="40583" xr:uid="{852D608D-C9CC-4C62-9CAE-2E94F3F242FA}"/>
    <cellStyle name="Normal 4 9 5 5" xfId="40584" xr:uid="{5DC4DA45-DCD9-402C-BFF5-81CC21DFA251}"/>
    <cellStyle name="Normal 4 9 6" xfId="40585" xr:uid="{0D8D58E7-5942-4BF0-8628-3850C5C4C5A9}"/>
    <cellStyle name="Normal 4 9 6 2" xfId="40586" xr:uid="{7222A008-B3E0-4525-9FF7-6E3FD0BB480D}"/>
    <cellStyle name="Normal 4 9 6 3" xfId="40587" xr:uid="{9C5E1B07-16E2-4E57-B689-A78F668E37C9}"/>
    <cellStyle name="Normal 4 9 7" xfId="40588" xr:uid="{B3D66DC4-CDC3-402A-B551-9AFA02A2361D}"/>
    <cellStyle name="Normal 4 9 8" xfId="40589" xr:uid="{9F83AA22-5EAF-45B0-BB3A-451A818AB7F5}"/>
    <cellStyle name="Normal 4 9 9" xfId="40590" xr:uid="{128986D4-37C5-48F9-AB84-345D057B5FA2}"/>
    <cellStyle name="Normal 4_Attach O, GG, Support -New Method 2-14-11" xfId="811" xr:uid="{00000000-0005-0000-0000-00008D260000}"/>
    <cellStyle name="Normal 40" xfId="812" xr:uid="{00000000-0005-0000-0000-00008E260000}"/>
    <cellStyle name="Normal 40 2" xfId="1756" xr:uid="{00000000-0005-0000-0000-00008F260000}"/>
    <cellStyle name="Normal 40 3" xfId="2167" xr:uid="{00000000-0005-0000-0000-000090260000}"/>
    <cellStyle name="Normal 41" xfId="813" xr:uid="{00000000-0005-0000-0000-000091260000}"/>
    <cellStyle name="Normal 41 2" xfId="2168" xr:uid="{00000000-0005-0000-0000-000092260000}"/>
    <cellStyle name="Normal 41 3" xfId="25969" xr:uid="{00000000-0005-0000-0000-000093260000}"/>
    <cellStyle name="Normal 42" xfId="814" xr:uid="{00000000-0005-0000-0000-000094260000}"/>
    <cellStyle name="Normal 42 2" xfId="2169" xr:uid="{00000000-0005-0000-0000-000095260000}"/>
    <cellStyle name="Normal 42 3" xfId="25971" xr:uid="{00000000-0005-0000-0000-000096260000}"/>
    <cellStyle name="Normal 43" xfId="815" xr:uid="{00000000-0005-0000-0000-000097260000}"/>
    <cellStyle name="Normal 43 2" xfId="2170" xr:uid="{00000000-0005-0000-0000-000098260000}"/>
    <cellStyle name="Normal 43 3" xfId="25970" xr:uid="{00000000-0005-0000-0000-000099260000}"/>
    <cellStyle name="Normal 44" xfId="816" xr:uid="{00000000-0005-0000-0000-00009A260000}"/>
    <cellStyle name="Normal 44 2" xfId="2171" xr:uid="{00000000-0005-0000-0000-00009B260000}"/>
    <cellStyle name="Normal 44 3" xfId="25977" xr:uid="{00000000-0005-0000-0000-00009C260000}"/>
    <cellStyle name="Normal 45" xfId="817" xr:uid="{00000000-0005-0000-0000-00009D260000}"/>
    <cellStyle name="Normal 45 2" xfId="25984" xr:uid="{00000000-0005-0000-0000-00009E260000}"/>
    <cellStyle name="Normal 46" xfId="818" xr:uid="{00000000-0005-0000-0000-00009F260000}"/>
    <cellStyle name="Normal 46 2" xfId="26045" xr:uid="{00000000-0005-0000-0000-0000A0260000}"/>
    <cellStyle name="Normal 47" xfId="819" xr:uid="{00000000-0005-0000-0000-0000A1260000}"/>
    <cellStyle name="Normal 48" xfId="820" xr:uid="{00000000-0005-0000-0000-0000A2260000}"/>
    <cellStyle name="Normal 48 2" xfId="2172" xr:uid="{00000000-0005-0000-0000-0000A3260000}"/>
    <cellStyle name="Normal 48 2 2" xfId="32537" xr:uid="{7AAC7E7A-C869-4F5A-9087-4F198128976C}"/>
    <cellStyle name="Normal 48 2 2 2" xfId="32543" xr:uid="{62C4ACA7-B083-4969-8FCF-2CF4A71FC8B1}"/>
    <cellStyle name="Normal 48 3" xfId="26104" xr:uid="{00000000-0005-0000-0000-0000A4260000}"/>
    <cellStyle name="Normal 49" xfId="821" xr:uid="{00000000-0005-0000-0000-0000A5260000}"/>
    <cellStyle name="Normal 49 2" xfId="2173" xr:uid="{00000000-0005-0000-0000-0000A6260000}"/>
    <cellStyle name="Normal 49 3" xfId="26107" xr:uid="{00000000-0005-0000-0000-0000A7260000}"/>
    <cellStyle name="Normal 5" xfId="822" xr:uid="{00000000-0005-0000-0000-0000A8260000}"/>
    <cellStyle name="Normal 5 10" xfId="32499" xr:uid="{00000000-0005-0000-0000-0000A9260000}"/>
    <cellStyle name="Normal 5 10 2" xfId="40592" xr:uid="{F3805072-2819-440B-9EE8-B99A8C0F9368}"/>
    <cellStyle name="Normal 5 10 2 2" xfId="40593" xr:uid="{262C156F-800A-41CF-ACD8-4237C4DC7251}"/>
    <cellStyle name="Normal 5 10 2 3" xfId="40594" xr:uid="{C79D06EC-F6B9-437D-B0F3-CFE708CB8887}"/>
    <cellStyle name="Normal 5 10 3" xfId="40595" xr:uid="{50CA3F95-2743-499A-BB88-0DF652DB05C1}"/>
    <cellStyle name="Normal 5 10 4" xfId="40596" xr:uid="{4AE20DB9-16D1-4DF1-A977-C76B21925638}"/>
    <cellStyle name="Normal 5 10 5" xfId="40597" xr:uid="{AC970E7D-E348-409E-B73D-C5C4E5F30E43}"/>
    <cellStyle name="Normal 5 10 6" xfId="40591" xr:uid="{31AA816A-5FA9-4668-89CB-4B7044AB7543}"/>
    <cellStyle name="Normal 5 11" xfId="32556" xr:uid="{8A3EB49A-BCF5-4AAD-B399-87184F60787B}"/>
    <cellStyle name="Normal 5 11 2" xfId="40598" xr:uid="{406724E3-B63C-4952-AB0C-6CFE2FB89CCF}"/>
    <cellStyle name="Normal 5 12" xfId="25644" xr:uid="{00000000-0005-0000-0000-0000AA260000}"/>
    <cellStyle name="Normal 5 2" xfId="823" xr:uid="{00000000-0005-0000-0000-0000AB260000}"/>
    <cellStyle name="Normal 5 2 2" xfId="824" xr:uid="{00000000-0005-0000-0000-0000AC260000}"/>
    <cellStyle name="Normal 5 2 2 10" xfId="40599" xr:uid="{4D669D85-6649-49A2-B722-2F278C9C7647}"/>
    <cellStyle name="Normal 5 2 2 11" xfId="42202" xr:uid="{47D8B7D3-E2FB-4325-BC09-EF5F50F88A46}"/>
    <cellStyle name="Normal 5 2 2 2" xfId="7785" xr:uid="{00000000-0005-0000-0000-0000AD260000}"/>
    <cellStyle name="Normal 5 2 2 2 2" xfId="40601" xr:uid="{5369B046-3C21-47CB-B213-2D4B7CE135F3}"/>
    <cellStyle name="Normal 5 2 2 2 2 2" xfId="40602" xr:uid="{FE552B67-12A0-4937-81DB-C022B514ACF2}"/>
    <cellStyle name="Normal 5 2 2 2 2 2 2" xfId="40603" xr:uid="{088FE9C2-14C9-47CB-A67C-D3716467305B}"/>
    <cellStyle name="Normal 5 2 2 2 2 2 2 2" xfId="40604" xr:uid="{F904C2C0-9BE0-4DBA-9CEC-F9F38095890C}"/>
    <cellStyle name="Normal 5 2 2 2 2 2 2 3" xfId="40605" xr:uid="{FE77C5AD-970C-4653-B98A-FA92863F3C2C}"/>
    <cellStyle name="Normal 5 2 2 2 2 2 3" xfId="40606" xr:uid="{D09B80CA-4BB3-4AB6-93E9-943F4C480EFF}"/>
    <cellStyle name="Normal 5 2 2 2 2 2 4" xfId="40607" xr:uid="{E578DD13-92D0-45A2-A18F-398AF75F01BB}"/>
    <cellStyle name="Normal 5 2 2 2 2 2 5" xfId="40608" xr:uid="{43A06C52-2909-43A5-A8A3-8251D169C627}"/>
    <cellStyle name="Normal 5 2 2 2 2 3" xfId="40609" xr:uid="{6BBE3CB7-52E0-4CCC-AD48-807B04E59D4A}"/>
    <cellStyle name="Normal 5 2 2 2 2 3 2" xfId="40610" xr:uid="{7F4887DD-0D21-4A27-9746-D71C08BADBB2}"/>
    <cellStyle name="Normal 5 2 2 2 2 3 2 2" xfId="40611" xr:uid="{A923A61A-3BF2-4356-B36F-07D272473421}"/>
    <cellStyle name="Normal 5 2 2 2 2 3 2 3" xfId="40612" xr:uid="{B84C71C9-0E31-4719-AE8A-A34EC0DF057C}"/>
    <cellStyle name="Normal 5 2 2 2 2 3 3" xfId="40613" xr:uid="{C44EECA5-39AE-42AE-9539-36D1BF7C0F6E}"/>
    <cellStyle name="Normal 5 2 2 2 2 3 4" xfId="40614" xr:uid="{E96A8249-6FAA-4B9E-AC8D-2300CE3A0CC5}"/>
    <cellStyle name="Normal 5 2 2 2 2 3 5" xfId="40615" xr:uid="{117B26BA-52F8-41CD-A859-9DEDBB04C8A4}"/>
    <cellStyle name="Normal 5 2 2 2 2 4" xfId="40616" xr:uid="{66C4A882-C144-43E8-8295-577B7877FF8D}"/>
    <cellStyle name="Normal 5 2 2 2 2 4 2" xfId="40617" xr:uid="{A86C75D2-C2C8-4A05-BACB-5BF4EC4631F8}"/>
    <cellStyle name="Normal 5 2 2 2 2 4 3" xfId="40618" xr:uid="{E4B09BED-10E5-48AB-9FAB-38F58FD49379}"/>
    <cellStyle name="Normal 5 2 2 2 2 5" xfId="40619" xr:uid="{49EE636A-FDC0-47BD-A996-5F51E9FF1E3B}"/>
    <cellStyle name="Normal 5 2 2 2 2 6" xfId="40620" xr:uid="{630F91E2-3ED3-4FD6-A8F8-9D1AD0DFFAEB}"/>
    <cellStyle name="Normal 5 2 2 2 2 7" xfId="40621" xr:uid="{323502ED-A947-4FD0-8057-71AAFA94C516}"/>
    <cellStyle name="Normal 5 2 2 2 3" xfId="40622" xr:uid="{D9CC3EE4-1745-4BA7-A9E9-19C856F787CB}"/>
    <cellStyle name="Normal 5 2 2 2 3 2" xfId="40623" xr:uid="{0B22F44F-F01E-459A-B725-303F2E93C430}"/>
    <cellStyle name="Normal 5 2 2 2 3 2 2" xfId="40624" xr:uid="{6AFA2401-545A-49ED-8CA0-4099DE405DF9}"/>
    <cellStyle name="Normal 5 2 2 2 3 2 3" xfId="40625" xr:uid="{E4E10380-062D-4327-B0A4-AED15BB716F0}"/>
    <cellStyle name="Normal 5 2 2 2 3 3" xfId="40626" xr:uid="{87293F35-E4AE-4F2B-841C-BDBE68207D7B}"/>
    <cellStyle name="Normal 5 2 2 2 3 4" xfId="40627" xr:uid="{FFA63754-20B1-418A-9090-84DF3849C086}"/>
    <cellStyle name="Normal 5 2 2 2 3 5" xfId="40628" xr:uid="{802F1841-BA59-4CEF-83FD-926F3328E73A}"/>
    <cellStyle name="Normal 5 2 2 2 4" xfId="40629" xr:uid="{D72069AF-04EA-4858-BB87-157A8C550D39}"/>
    <cellStyle name="Normal 5 2 2 2 4 2" xfId="40630" xr:uid="{4E79E279-314A-4CE2-B598-0CCBBD84AA48}"/>
    <cellStyle name="Normal 5 2 2 2 4 2 2" xfId="40631" xr:uid="{7FC6BC62-1613-4535-A20D-72AC6841B867}"/>
    <cellStyle name="Normal 5 2 2 2 4 2 3" xfId="40632" xr:uid="{2E90C20F-1F50-458A-BB1C-89F144C99564}"/>
    <cellStyle name="Normal 5 2 2 2 4 3" xfId="40633" xr:uid="{88ED7023-71EB-4496-AA12-1F7B5D9C9655}"/>
    <cellStyle name="Normal 5 2 2 2 4 4" xfId="40634" xr:uid="{006B7543-F6C6-42E9-A8D6-8F0A2B3D5372}"/>
    <cellStyle name="Normal 5 2 2 2 4 5" xfId="40635" xr:uid="{3FD408B7-883E-44AD-A346-A20B8C4D12D7}"/>
    <cellStyle name="Normal 5 2 2 2 5" xfId="40636" xr:uid="{9253E9D5-E008-4B51-81EC-BF77BCA0B1F4}"/>
    <cellStyle name="Normal 5 2 2 2 5 2" xfId="40637" xr:uid="{CE2620BC-7C7F-43BD-9452-8C824CF6347D}"/>
    <cellStyle name="Normal 5 2 2 2 5 3" xfId="40638" xr:uid="{4036675B-02F1-42C1-88B9-2C2D3F0E91A7}"/>
    <cellStyle name="Normal 5 2 2 2 6" xfId="40639" xr:uid="{B6421C0C-1B29-4285-B33E-CFC54CBD7150}"/>
    <cellStyle name="Normal 5 2 2 2 7" xfId="40640" xr:uid="{7336BD28-7B7C-4A53-89A4-B37C01D9FEA0}"/>
    <cellStyle name="Normal 5 2 2 2 8" xfId="40641" xr:uid="{2E60D802-D12E-4F4E-9701-CC8E939507A6}"/>
    <cellStyle name="Normal 5 2 2 2 9" xfId="40600" xr:uid="{BA0A15CC-9B8C-404F-B9D5-5F78DDDCCDB7}"/>
    <cellStyle name="Normal 5 2 2 3" xfId="40642" xr:uid="{F3709560-E846-4009-90ED-456ED9E2CD23}"/>
    <cellStyle name="Normal 5 2 2 3 2" xfId="40643" xr:uid="{2BDEF744-67C0-4E27-9DB6-E449134BC5D0}"/>
    <cellStyle name="Normal 5 2 2 3 2 2" xfId="40644" xr:uid="{4CFC1ACC-E7CF-4950-B211-5FAB7E936D7D}"/>
    <cellStyle name="Normal 5 2 2 3 2 2 2" xfId="40645" xr:uid="{3BCC3E08-AE4C-4DA8-8073-76C41C9B0780}"/>
    <cellStyle name="Normal 5 2 2 3 2 2 3" xfId="40646" xr:uid="{234C486A-5368-477D-A688-077A83F40BE6}"/>
    <cellStyle name="Normal 5 2 2 3 2 3" xfId="40647" xr:uid="{061F44F0-B61C-4BF2-805A-68527DAD2B06}"/>
    <cellStyle name="Normal 5 2 2 3 2 4" xfId="40648" xr:uid="{141CA740-279E-4871-B453-E6B82E01FB86}"/>
    <cellStyle name="Normal 5 2 2 3 2 5" xfId="40649" xr:uid="{0252B0FF-CE5C-4447-958E-54DAEE5C97F2}"/>
    <cellStyle name="Normal 5 2 2 3 3" xfId="40650" xr:uid="{3FE8032F-B8E3-4983-90A4-87F82B1298C4}"/>
    <cellStyle name="Normal 5 2 2 3 3 2" xfId="40651" xr:uid="{369644ED-5B38-4796-9B6B-3ADF06E50AD8}"/>
    <cellStyle name="Normal 5 2 2 3 3 2 2" xfId="40652" xr:uid="{6E567393-7F03-4F3E-830D-158A485D47BC}"/>
    <cellStyle name="Normal 5 2 2 3 3 2 3" xfId="40653" xr:uid="{A8A972D1-AD03-4B14-92E1-4EA162CD5842}"/>
    <cellStyle name="Normal 5 2 2 3 3 3" xfId="40654" xr:uid="{BF786536-2C7D-4F8F-8DA8-7D0CC8F68441}"/>
    <cellStyle name="Normal 5 2 2 3 3 4" xfId="40655" xr:uid="{C53D4D81-7BD9-4E71-8632-EA071B56F38F}"/>
    <cellStyle name="Normal 5 2 2 3 3 5" xfId="40656" xr:uid="{4B8342FC-2687-444E-83AE-E1D148DB4D51}"/>
    <cellStyle name="Normal 5 2 2 3 4" xfId="40657" xr:uid="{8DBBF394-C8E1-490F-8444-BFD5360174E1}"/>
    <cellStyle name="Normal 5 2 2 3 4 2" xfId="40658" xr:uid="{8EB4E234-E4A7-422F-8567-4D4B2CC49AFF}"/>
    <cellStyle name="Normal 5 2 2 3 4 3" xfId="40659" xr:uid="{E5841C97-C632-44C8-815C-1C517EE50A85}"/>
    <cellStyle name="Normal 5 2 2 3 5" xfId="40660" xr:uid="{66ACE9AF-E25F-4E2D-A8BB-772BEACBE53B}"/>
    <cellStyle name="Normal 5 2 2 3 6" xfId="40661" xr:uid="{9FC9FDDF-B7A8-4C54-99BD-CC148FF6BEB2}"/>
    <cellStyle name="Normal 5 2 2 3 7" xfId="40662" xr:uid="{946F0F47-8DF8-4FA9-8EC1-D2321841EB74}"/>
    <cellStyle name="Normal 5 2 2 4" xfId="40663" xr:uid="{542021BF-14E9-49FE-A895-5C7C220C246A}"/>
    <cellStyle name="Normal 5 2 2 4 2" xfId="40664" xr:uid="{BC3347CD-31F8-4CD5-ABA3-3715AE86571E}"/>
    <cellStyle name="Normal 5 2 2 4 2 2" xfId="40665" xr:uid="{1DADB663-5F0D-4D79-B744-0F37284A07C6}"/>
    <cellStyle name="Normal 5 2 2 4 2 3" xfId="40666" xr:uid="{CBF00479-E887-4EEA-B290-4D4A5EBE0FF7}"/>
    <cellStyle name="Normal 5 2 2 4 3" xfId="40667" xr:uid="{795E23D5-41F6-40ED-94D6-A532B39225E0}"/>
    <cellStyle name="Normal 5 2 2 4 4" xfId="40668" xr:uid="{B8763B6F-6F52-49A3-BDB1-17AC2C0E8DC7}"/>
    <cellStyle name="Normal 5 2 2 4 5" xfId="40669" xr:uid="{4D2203A9-18C5-4A7C-8337-B56E6BEA5328}"/>
    <cellStyle name="Normal 5 2 2 5" xfId="40670" xr:uid="{7D9282E5-4DD4-4454-B01F-D68A4C9FCA8F}"/>
    <cellStyle name="Normal 5 2 2 5 2" xfId="40671" xr:uid="{0FBF2BAC-33A2-40FD-9408-87D772CC3AC4}"/>
    <cellStyle name="Normal 5 2 2 5 2 2" xfId="40672" xr:uid="{35D60AAF-1D97-4457-885B-A338D4DC7278}"/>
    <cellStyle name="Normal 5 2 2 5 2 3" xfId="40673" xr:uid="{55982E8D-6FA3-456F-BFCE-B898521BABFA}"/>
    <cellStyle name="Normal 5 2 2 5 3" xfId="40674" xr:uid="{2BEE4912-A4D5-4C5C-A68F-4A554540328C}"/>
    <cellStyle name="Normal 5 2 2 5 4" xfId="40675" xr:uid="{A0B36841-B6EA-4205-9D3C-BB9DC2FBCD78}"/>
    <cellStyle name="Normal 5 2 2 5 5" xfId="40676" xr:uid="{5455E8AD-B9CF-4089-8927-31641B3E3E48}"/>
    <cellStyle name="Normal 5 2 2 6" xfId="40677" xr:uid="{9B7B66C6-C390-4093-8A8D-B52F9CC9B7C5}"/>
    <cellStyle name="Normal 5 2 2 6 2" xfId="40678" xr:uid="{CF457239-5A3B-4905-AEAF-0954AE8B35E0}"/>
    <cellStyle name="Normal 5 2 2 6 3" xfId="40679" xr:uid="{EB16D927-FA9A-499B-84C2-0FEF98D83F2E}"/>
    <cellStyle name="Normal 5 2 2 7" xfId="40680" xr:uid="{0C6C9BAB-C08B-47F3-9061-C689BEF234BC}"/>
    <cellStyle name="Normal 5 2 2 8" xfId="40681" xr:uid="{D63AD3B8-8F49-4080-A341-3DB151C43C80}"/>
    <cellStyle name="Normal 5 2 2 9" xfId="40682" xr:uid="{60570033-BB6E-496D-8B39-A96BED46CE55}"/>
    <cellStyle name="Normal 5 2 3" xfId="14659" xr:uid="{00000000-0005-0000-0000-0000AE260000}"/>
    <cellStyle name="Normal 5 2 3 10" xfId="40683" xr:uid="{22CC4844-B51D-40C3-97BC-6F9371995270}"/>
    <cellStyle name="Normal 5 2 3 2" xfId="40684" xr:uid="{EDD45652-D6C7-49DC-A02F-9F0588CF781C}"/>
    <cellStyle name="Normal 5 2 3 2 2" xfId="40685" xr:uid="{6CF4FCBC-2FBB-4FE5-A3C1-585F9505FC88}"/>
    <cellStyle name="Normal 5 2 3 2 2 2" xfId="40686" xr:uid="{33443EBA-303B-4268-8CC4-B1CCB8DDDAD3}"/>
    <cellStyle name="Normal 5 2 3 2 2 2 2" xfId="40687" xr:uid="{6EE735FD-89DC-45A4-9311-B1CFC97C5341}"/>
    <cellStyle name="Normal 5 2 3 2 2 2 2 2" xfId="40688" xr:uid="{4062375D-D2FC-4E87-A8EE-958D4DEDABD2}"/>
    <cellStyle name="Normal 5 2 3 2 2 2 2 3" xfId="40689" xr:uid="{7E1F905E-CC3B-474E-9CA8-4CFB2AD90C6F}"/>
    <cellStyle name="Normal 5 2 3 2 2 2 3" xfId="40690" xr:uid="{DA6D54A0-B421-480D-9D0D-C970029C3717}"/>
    <cellStyle name="Normal 5 2 3 2 2 2 4" xfId="40691" xr:uid="{20607364-9748-4EA5-9B93-497A2769B6AC}"/>
    <cellStyle name="Normal 5 2 3 2 2 2 5" xfId="40692" xr:uid="{F368B016-9936-4793-92D8-0DB51F5A72D8}"/>
    <cellStyle name="Normal 5 2 3 2 2 3" xfId="40693" xr:uid="{111EFD80-7AE8-41A7-8075-7B259AB8B761}"/>
    <cellStyle name="Normal 5 2 3 2 2 3 2" xfId="40694" xr:uid="{1B9BA669-BAD2-4795-9CCB-6C8A67135F19}"/>
    <cellStyle name="Normal 5 2 3 2 2 3 2 2" xfId="40695" xr:uid="{B8A6058A-4CFA-468E-969E-5AE6676F7883}"/>
    <cellStyle name="Normal 5 2 3 2 2 3 2 3" xfId="40696" xr:uid="{63815C8C-446B-4319-AAE5-21603BED1CA5}"/>
    <cellStyle name="Normal 5 2 3 2 2 3 3" xfId="40697" xr:uid="{030CEBD6-E6C3-476C-A398-B5F3B47CE15B}"/>
    <cellStyle name="Normal 5 2 3 2 2 3 4" xfId="40698" xr:uid="{A96C2151-D1C8-4AEC-8C4D-07C6F2575311}"/>
    <cellStyle name="Normal 5 2 3 2 2 3 5" xfId="40699" xr:uid="{B4D4952A-C920-47CC-9EB6-CAEB1199AE91}"/>
    <cellStyle name="Normal 5 2 3 2 2 4" xfId="40700" xr:uid="{CFC8EC48-37FE-477C-80F6-4ED4CF0BF6F7}"/>
    <cellStyle name="Normal 5 2 3 2 2 4 2" xfId="40701" xr:uid="{D2A3D636-9A15-482F-ADC7-E68C7B7C3A85}"/>
    <cellStyle name="Normal 5 2 3 2 2 4 3" xfId="40702" xr:uid="{6134E632-7C7C-490E-97C1-F7695D3C3148}"/>
    <cellStyle name="Normal 5 2 3 2 2 5" xfId="40703" xr:uid="{1D6EBCFE-68A8-4180-B8D3-9A99504B3EB3}"/>
    <cellStyle name="Normal 5 2 3 2 2 6" xfId="40704" xr:uid="{7AC52816-9FD6-486A-954E-5FBB580E9B3D}"/>
    <cellStyle name="Normal 5 2 3 2 2 7" xfId="40705" xr:uid="{2A9E1C8D-2FBE-46B9-8916-A7E4CAF99C97}"/>
    <cellStyle name="Normal 5 2 3 2 3" xfId="40706" xr:uid="{7D7E3950-D7B1-4285-A817-166B5F76D134}"/>
    <cellStyle name="Normal 5 2 3 2 3 2" xfId="40707" xr:uid="{61879909-6E06-4BF9-B686-3F7B4E5A5C17}"/>
    <cellStyle name="Normal 5 2 3 2 3 2 2" xfId="40708" xr:uid="{07974831-7503-4ACF-A7A1-455F95919E25}"/>
    <cellStyle name="Normal 5 2 3 2 3 2 3" xfId="40709" xr:uid="{CB2C542C-B988-4A2F-801F-97DBDA3CFE90}"/>
    <cellStyle name="Normal 5 2 3 2 3 3" xfId="40710" xr:uid="{1337F49C-B340-4288-ABAC-1795664F6559}"/>
    <cellStyle name="Normal 5 2 3 2 3 4" xfId="40711" xr:uid="{BB675AD0-8E7A-4613-8B5C-03A1D86C1A79}"/>
    <cellStyle name="Normal 5 2 3 2 3 5" xfId="40712" xr:uid="{52E75777-FC85-44A2-B7EA-C92F8BED6B0E}"/>
    <cellStyle name="Normal 5 2 3 2 4" xfId="40713" xr:uid="{50B2ECA1-5585-41AD-9646-4F131E50F6E8}"/>
    <cellStyle name="Normal 5 2 3 2 4 2" xfId="40714" xr:uid="{A3C6D65D-462B-45E6-BE2F-CE7C5C4BBB57}"/>
    <cellStyle name="Normal 5 2 3 2 4 2 2" xfId="40715" xr:uid="{B5F6C6BC-342E-4BD4-8ABD-F57E4363EE90}"/>
    <cellStyle name="Normal 5 2 3 2 4 2 3" xfId="40716" xr:uid="{57200524-C68F-45FE-9A1D-91754AA983BA}"/>
    <cellStyle name="Normal 5 2 3 2 4 3" xfId="40717" xr:uid="{E5ECD750-7364-408B-9875-850D0248DD07}"/>
    <cellStyle name="Normal 5 2 3 2 4 4" xfId="40718" xr:uid="{73635146-AB34-4C23-89AB-A207C91574CE}"/>
    <cellStyle name="Normal 5 2 3 2 4 5" xfId="40719" xr:uid="{D821D71D-50B2-4847-85BB-56E85002E509}"/>
    <cellStyle name="Normal 5 2 3 2 5" xfId="40720" xr:uid="{088565A4-AC3F-42BB-914A-B420A3ABA96D}"/>
    <cellStyle name="Normal 5 2 3 2 5 2" xfId="40721" xr:uid="{1930D67E-F17A-4318-BE24-57BAF00C32C2}"/>
    <cellStyle name="Normal 5 2 3 2 5 3" xfId="40722" xr:uid="{BD1D3487-BEF1-483C-BDD2-73CC62EF03CA}"/>
    <cellStyle name="Normal 5 2 3 2 6" xfId="40723" xr:uid="{1FF9BEDA-5D26-4735-B52D-8BA41BACC80A}"/>
    <cellStyle name="Normal 5 2 3 2 7" xfId="40724" xr:uid="{381DDFE3-AAA6-43F0-A77C-F2979BB38CA7}"/>
    <cellStyle name="Normal 5 2 3 2 8" xfId="40725" xr:uid="{E579E3AF-ABD0-4C8B-A428-0B5AFB3F32B3}"/>
    <cellStyle name="Normal 5 2 3 3" xfId="40726" xr:uid="{DAFB8260-9AE6-4192-9AF5-7FBC0169EED4}"/>
    <cellStyle name="Normal 5 2 3 3 2" xfId="40727" xr:uid="{CF70B7E9-89B0-4F33-A376-1EA03F391404}"/>
    <cellStyle name="Normal 5 2 3 3 2 2" xfId="40728" xr:uid="{9D1ACE7F-2CCF-4EA3-8EAB-32C7E3D3F3FB}"/>
    <cellStyle name="Normal 5 2 3 3 2 2 2" xfId="40729" xr:uid="{181051BE-0844-4944-99CE-3C62D51751C0}"/>
    <cellStyle name="Normal 5 2 3 3 2 2 3" xfId="40730" xr:uid="{6E8CDEAC-841D-4D36-8E51-66AB2729359B}"/>
    <cellStyle name="Normal 5 2 3 3 2 3" xfId="40731" xr:uid="{FDB47AF6-8431-4964-A835-AD24AB8A40BB}"/>
    <cellStyle name="Normal 5 2 3 3 2 4" xfId="40732" xr:uid="{40C27FC2-70BB-45B7-ACD4-EC00C5A95AD8}"/>
    <cellStyle name="Normal 5 2 3 3 2 5" xfId="40733" xr:uid="{6738F70E-DE3B-4D72-BDEF-084D5342045F}"/>
    <cellStyle name="Normal 5 2 3 3 3" xfId="40734" xr:uid="{DE04613B-5DA9-4362-A001-091D94ADEFEC}"/>
    <cellStyle name="Normal 5 2 3 3 3 2" xfId="40735" xr:uid="{DB3D1779-F2CC-45B9-91E8-90F9BC4E2DC2}"/>
    <cellStyle name="Normal 5 2 3 3 3 2 2" xfId="40736" xr:uid="{79126997-A228-47A9-BAF5-A98BE90C2383}"/>
    <cellStyle name="Normal 5 2 3 3 3 2 3" xfId="40737" xr:uid="{3D118835-97E2-4550-99BF-522E6B89C130}"/>
    <cellStyle name="Normal 5 2 3 3 3 3" xfId="40738" xr:uid="{8F3AC780-7936-4263-B9D2-7D26DEF542EC}"/>
    <cellStyle name="Normal 5 2 3 3 3 4" xfId="40739" xr:uid="{50BB0F59-A91F-4172-9562-54A5665D8ED6}"/>
    <cellStyle name="Normal 5 2 3 3 3 5" xfId="40740" xr:uid="{FB2F6AB1-0602-4738-AB7C-5013F711ACF4}"/>
    <cellStyle name="Normal 5 2 3 3 4" xfId="40741" xr:uid="{714D7ECA-1128-4785-89D3-408537A4D371}"/>
    <cellStyle name="Normal 5 2 3 3 4 2" xfId="40742" xr:uid="{A5E49ECF-20AA-4042-B7D0-97D29714F2DB}"/>
    <cellStyle name="Normal 5 2 3 3 4 3" xfId="40743" xr:uid="{79CD194B-554E-45A9-80D5-6983F4E61255}"/>
    <cellStyle name="Normal 5 2 3 3 5" xfId="40744" xr:uid="{8E83A34A-FC6D-4010-B627-19EB8B4503F8}"/>
    <cellStyle name="Normal 5 2 3 3 6" xfId="40745" xr:uid="{419A878B-ED19-4C3F-86F0-3E630E7B3446}"/>
    <cellStyle name="Normal 5 2 3 3 7" xfId="40746" xr:uid="{4183301D-A51E-4B6B-9514-50C2113C94B4}"/>
    <cellStyle name="Normal 5 2 3 4" xfId="40747" xr:uid="{414F24B7-DD98-44D7-B869-A443EDB73C7C}"/>
    <cellStyle name="Normal 5 2 3 4 2" xfId="40748" xr:uid="{BE106E4D-C6CC-4E3E-8580-BFB2AC85DC86}"/>
    <cellStyle name="Normal 5 2 3 4 2 2" xfId="40749" xr:uid="{7580C57F-5261-4DDF-AFEB-24F0EEAE02AA}"/>
    <cellStyle name="Normal 5 2 3 4 2 3" xfId="40750" xr:uid="{5734F51A-207D-4311-AFD7-B8A5EE182432}"/>
    <cellStyle name="Normal 5 2 3 4 3" xfId="40751" xr:uid="{278E5368-E6C1-4CB4-A7CC-B9F91FF3825B}"/>
    <cellStyle name="Normal 5 2 3 4 4" xfId="40752" xr:uid="{52B40FC1-9D9C-4922-BA4A-5E0F8ED84BFD}"/>
    <cellStyle name="Normal 5 2 3 4 5" xfId="40753" xr:uid="{B54CA50B-77A2-4537-826C-3BC1486FAA5F}"/>
    <cellStyle name="Normal 5 2 3 5" xfId="40754" xr:uid="{F638EB37-AFEF-4010-97AE-F3DF05435154}"/>
    <cellStyle name="Normal 5 2 3 5 2" xfId="40755" xr:uid="{30BDCB04-8390-4C70-95E4-E1677129D9F7}"/>
    <cellStyle name="Normal 5 2 3 5 2 2" xfId="40756" xr:uid="{75DBF3B1-D691-4898-B90E-C2DA7B89C0BD}"/>
    <cellStyle name="Normal 5 2 3 5 2 3" xfId="40757" xr:uid="{198CCA47-4529-403F-A2D5-F93DF6D94ED7}"/>
    <cellStyle name="Normal 5 2 3 5 3" xfId="40758" xr:uid="{86D5230A-BD12-44E9-8374-46998BEAF652}"/>
    <cellStyle name="Normal 5 2 3 5 4" xfId="40759" xr:uid="{EC5FD03F-B9D5-4849-B1FA-80B6453C224F}"/>
    <cellStyle name="Normal 5 2 3 5 5" xfId="40760" xr:uid="{69282BC7-AADC-4583-B73C-D3501F6D927B}"/>
    <cellStyle name="Normal 5 2 3 6" xfId="40761" xr:uid="{A1EBA814-67D0-402C-84F2-0A363A12D9F3}"/>
    <cellStyle name="Normal 5 2 3 6 2" xfId="40762" xr:uid="{187E71D4-A959-4792-AA28-19FAE1D2AC9D}"/>
    <cellStyle name="Normal 5 2 3 6 3" xfId="40763" xr:uid="{1E81FC23-0F29-4F49-A0CF-876A0511EF76}"/>
    <cellStyle name="Normal 5 2 3 7" xfId="40764" xr:uid="{030CD60E-8A95-4D66-B1B7-538CE16CC95D}"/>
    <cellStyle name="Normal 5 2 3 8" xfId="40765" xr:uid="{D9C57C5E-BE69-446E-B60E-0D955D476C53}"/>
    <cellStyle name="Normal 5 2 3 9" xfId="40766" xr:uid="{8CD8DF2E-B417-4BF1-B25A-62B9E761AB84}"/>
    <cellStyle name="Normal 5 2 4" xfId="19355" xr:uid="{00000000-0005-0000-0000-0000AF260000}"/>
    <cellStyle name="Normal 5 2 4 10" xfId="40767" xr:uid="{8DF680B8-7034-47AB-9A92-7ED44BC02998}"/>
    <cellStyle name="Normal 5 2 4 2" xfId="40768" xr:uid="{CF0E2CC7-4F51-4D4A-B3F4-3E7F60337D6D}"/>
    <cellStyle name="Normal 5 2 4 2 2" xfId="40769" xr:uid="{3314ACF5-975A-4402-8A90-B3DD3169CA82}"/>
    <cellStyle name="Normal 5 2 4 2 2 2" xfId="40770" xr:uid="{7470EB05-40CE-4EA0-943A-B1A94588DB9B}"/>
    <cellStyle name="Normal 5 2 4 2 2 2 2" xfId="40771" xr:uid="{843F21D7-5834-4BDF-8328-E4A544744A74}"/>
    <cellStyle name="Normal 5 2 4 2 2 2 2 2" xfId="40772" xr:uid="{8421F323-6C05-47E2-A63F-FE4F73948D02}"/>
    <cellStyle name="Normal 5 2 4 2 2 2 2 3" xfId="40773" xr:uid="{9630C226-D7F4-4751-BB51-08A33CC43521}"/>
    <cellStyle name="Normal 5 2 4 2 2 2 3" xfId="40774" xr:uid="{079BBB12-0A8E-439F-BB30-359C2C7753D9}"/>
    <cellStyle name="Normal 5 2 4 2 2 2 4" xfId="40775" xr:uid="{5DBF1F32-E3F8-4330-9B14-ED2B4498EDC1}"/>
    <cellStyle name="Normal 5 2 4 2 2 2 5" xfId="40776" xr:uid="{34995F6D-F2E6-4676-8FD1-37650D741262}"/>
    <cellStyle name="Normal 5 2 4 2 2 3" xfId="40777" xr:uid="{1B8F1432-A77B-4611-A4AA-EAC270B16A1C}"/>
    <cellStyle name="Normal 5 2 4 2 2 3 2" xfId="40778" xr:uid="{B6B4A19A-CBD3-4DCD-B889-215D0D5ADC2D}"/>
    <cellStyle name="Normal 5 2 4 2 2 3 2 2" xfId="40779" xr:uid="{7DDDD0A3-58AC-4316-8EDF-0D476B4A8A39}"/>
    <cellStyle name="Normal 5 2 4 2 2 3 2 3" xfId="40780" xr:uid="{F8E9EF4E-00AB-42D4-8CA3-65948C915549}"/>
    <cellStyle name="Normal 5 2 4 2 2 3 3" xfId="40781" xr:uid="{1910E57C-7E38-4B01-8666-5E2B6BA954B4}"/>
    <cellStyle name="Normal 5 2 4 2 2 3 4" xfId="40782" xr:uid="{458A07EF-DA2E-4D32-9E3E-2E82F2072EEA}"/>
    <cellStyle name="Normal 5 2 4 2 2 3 5" xfId="40783" xr:uid="{E3DC63D7-24BF-4108-90A5-7C4C916533E8}"/>
    <cellStyle name="Normal 5 2 4 2 2 4" xfId="40784" xr:uid="{CC5A5A26-6EB1-4931-9729-77C98CB0B40E}"/>
    <cellStyle name="Normal 5 2 4 2 2 4 2" xfId="40785" xr:uid="{A71B25C7-BFB4-490E-A08F-8FCBCB78F802}"/>
    <cellStyle name="Normal 5 2 4 2 2 4 3" xfId="40786" xr:uid="{1BAABA59-CBD3-4A1F-A8E6-1352D0CF87B1}"/>
    <cellStyle name="Normal 5 2 4 2 2 5" xfId="40787" xr:uid="{18CD83F1-24A2-4409-B343-5200BA8A1E6A}"/>
    <cellStyle name="Normal 5 2 4 2 2 6" xfId="40788" xr:uid="{D5117886-0739-48E9-9130-DA99995833DB}"/>
    <cellStyle name="Normal 5 2 4 2 2 7" xfId="40789" xr:uid="{C13C915E-0CE5-4BD7-9570-6D5386F5859C}"/>
    <cellStyle name="Normal 5 2 4 2 3" xfId="40790" xr:uid="{F36B15FC-AD39-4D20-B4FA-17F02A2A4F25}"/>
    <cellStyle name="Normal 5 2 4 2 3 2" xfId="40791" xr:uid="{26DE8148-00AF-407F-A128-7E6E7B375182}"/>
    <cellStyle name="Normal 5 2 4 2 3 2 2" xfId="40792" xr:uid="{C121F85F-2696-4458-9553-E2ACE406871F}"/>
    <cellStyle name="Normal 5 2 4 2 3 2 3" xfId="40793" xr:uid="{5D6D6F17-A7FE-469C-9153-F735DB9745C7}"/>
    <cellStyle name="Normal 5 2 4 2 3 3" xfId="40794" xr:uid="{1D219B8F-2DDF-41E3-B2F9-38B6012031F7}"/>
    <cellStyle name="Normal 5 2 4 2 3 4" xfId="40795" xr:uid="{77E708A5-AF6A-4711-BCDF-2973C66DD81F}"/>
    <cellStyle name="Normal 5 2 4 2 3 5" xfId="40796" xr:uid="{A11E493B-B962-496A-8A95-2A5472D6203D}"/>
    <cellStyle name="Normal 5 2 4 2 4" xfId="40797" xr:uid="{AA2AB193-AAA1-47CD-94C8-7FC40427884F}"/>
    <cellStyle name="Normal 5 2 4 2 4 2" xfId="40798" xr:uid="{C43F0739-B92F-4657-92C6-57C5C2DF3C17}"/>
    <cellStyle name="Normal 5 2 4 2 4 2 2" xfId="40799" xr:uid="{7710AEDC-652B-4682-88A3-AFF50C78D06E}"/>
    <cellStyle name="Normal 5 2 4 2 4 2 3" xfId="40800" xr:uid="{B840D16C-B9E8-42A2-A6F5-BAF788963B9D}"/>
    <cellStyle name="Normal 5 2 4 2 4 3" xfId="40801" xr:uid="{60B5550F-8766-40A5-9C9B-DC0F7D948333}"/>
    <cellStyle name="Normal 5 2 4 2 4 4" xfId="40802" xr:uid="{BBFB5E82-FFF2-47C5-9614-7B48F53A83B3}"/>
    <cellStyle name="Normal 5 2 4 2 4 5" xfId="40803" xr:uid="{138C7B00-F345-43E3-B457-AB8DA002AAC8}"/>
    <cellStyle name="Normal 5 2 4 2 5" xfId="40804" xr:uid="{5219B120-DDDD-4A3C-9A9D-12EAF3DDAEBF}"/>
    <cellStyle name="Normal 5 2 4 2 5 2" xfId="40805" xr:uid="{09EC1ABB-28F1-4C4D-A7D3-B8F80148F924}"/>
    <cellStyle name="Normal 5 2 4 2 5 3" xfId="40806" xr:uid="{D2093DB9-764D-4D5F-92ED-F9868677D68D}"/>
    <cellStyle name="Normal 5 2 4 2 6" xfId="40807" xr:uid="{3166F137-0DC7-4EE9-A204-ED8B255CE94E}"/>
    <cellStyle name="Normal 5 2 4 2 7" xfId="40808" xr:uid="{1862F7C7-9BF7-4637-9721-CCC1E0685840}"/>
    <cellStyle name="Normal 5 2 4 2 8" xfId="40809" xr:uid="{6162FD28-B51A-4951-A419-F9E7FCB42450}"/>
    <cellStyle name="Normal 5 2 4 3" xfId="40810" xr:uid="{67B78F0C-4F6C-4377-98C1-88B51198A5E7}"/>
    <cellStyle name="Normal 5 2 4 3 2" xfId="40811" xr:uid="{2D356089-6B4E-438B-AC71-166D1C6AD985}"/>
    <cellStyle name="Normal 5 2 4 3 2 2" xfId="40812" xr:uid="{071207E5-EE48-49DD-9DEE-0E4D933199E1}"/>
    <cellStyle name="Normal 5 2 4 3 2 2 2" xfId="40813" xr:uid="{05D580E2-F6C5-4BA3-9966-DF891F1519E0}"/>
    <cellStyle name="Normal 5 2 4 3 2 2 3" xfId="40814" xr:uid="{624DC5F7-79CC-4BD9-AA65-6F108CAE6B12}"/>
    <cellStyle name="Normal 5 2 4 3 2 3" xfId="40815" xr:uid="{EC90ED7E-69FF-4B6E-92AD-D5186285A6BC}"/>
    <cellStyle name="Normal 5 2 4 3 2 4" xfId="40816" xr:uid="{545DD0B7-8D48-452A-A2EE-1BB462C20386}"/>
    <cellStyle name="Normal 5 2 4 3 2 5" xfId="40817" xr:uid="{ED4ADCC5-F273-44E1-98EF-7B9809EA33D0}"/>
    <cellStyle name="Normal 5 2 4 3 3" xfId="40818" xr:uid="{6224BF44-823A-4970-8390-D2A4FA9BAE69}"/>
    <cellStyle name="Normal 5 2 4 3 3 2" xfId="40819" xr:uid="{360E1F8A-CA61-42CC-83D3-4FEEF706D31A}"/>
    <cellStyle name="Normal 5 2 4 3 3 2 2" xfId="40820" xr:uid="{4B88BE1A-75CF-48AC-9370-EC6CF1507860}"/>
    <cellStyle name="Normal 5 2 4 3 3 2 3" xfId="40821" xr:uid="{7D98447C-025C-468B-B358-D828F4EC39FF}"/>
    <cellStyle name="Normal 5 2 4 3 3 3" xfId="40822" xr:uid="{C11D3FE1-34C8-4BC6-8440-2C7EEB29FB04}"/>
    <cellStyle name="Normal 5 2 4 3 3 4" xfId="40823" xr:uid="{8A2C4A93-8484-4228-9310-8D3E3C4EDCF3}"/>
    <cellStyle name="Normal 5 2 4 3 3 5" xfId="40824" xr:uid="{1D47015A-A520-4A27-B512-288C2903D858}"/>
    <cellStyle name="Normal 5 2 4 3 4" xfId="40825" xr:uid="{629C728E-BF25-4178-80AB-1805B553A293}"/>
    <cellStyle name="Normal 5 2 4 3 4 2" xfId="40826" xr:uid="{E6B10562-DACE-4D3F-B838-F368E8FC80F8}"/>
    <cellStyle name="Normal 5 2 4 3 4 3" xfId="40827" xr:uid="{3B644E36-FBDC-4848-AA86-30B8C611D59B}"/>
    <cellStyle name="Normal 5 2 4 3 5" xfId="40828" xr:uid="{C1CE2678-2EF0-4B52-B701-23EBFBAA8CEC}"/>
    <cellStyle name="Normal 5 2 4 3 6" xfId="40829" xr:uid="{28FF3663-325D-4D91-BB49-E1D38BE4FCA0}"/>
    <cellStyle name="Normal 5 2 4 3 7" xfId="40830" xr:uid="{508949C0-1D27-45A5-AA6A-54825DC6EDBD}"/>
    <cellStyle name="Normal 5 2 4 4" xfId="40831" xr:uid="{F61987E1-787B-4642-AACB-49E5B3FB2B8F}"/>
    <cellStyle name="Normal 5 2 4 4 2" xfId="40832" xr:uid="{5FAD219E-A455-4A25-BCC9-7B9CE10F6299}"/>
    <cellStyle name="Normal 5 2 4 4 2 2" xfId="40833" xr:uid="{842FEA35-C55B-443E-A5B0-732D23596767}"/>
    <cellStyle name="Normal 5 2 4 4 2 3" xfId="40834" xr:uid="{32E39890-1CAA-457F-905B-DE61EB16B667}"/>
    <cellStyle name="Normal 5 2 4 4 3" xfId="40835" xr:uid="{A035EE3A-8129-4261-B89E-6DD1CA1EEFC9}"/>
    <cellStyle name="Normal 5 2 4 4 4" xfId="40836" xr:uid="{A03AA3DA-362F-40EC-9897-31366243379A}"/>
    <cellStyle name="Normal 5 2 4 4 5" xfId="40837" xr:uid="{0061AF66-7170-4E49-865A-5D3AF377D521}"/>
    <cellStyle name="Normal 5 2 4 5" xfId="40838" xr:uid="{E42DFF70-0182-4554-9F97-00F1C0878B88}"/>
    <cellStyle name="Normal 5 2 4 5 2" xfId="40839" xr:uid="{B9EDC356-8D3E-4102-BEB1-AA34E84B45CB}"/>
    <cellStyle name="Normal 5 2 4 5 2 2" xfId="40840" xr:uid="{B6FB097F-8AC2-495C-8642-77F6B72AA381}"/>
    <cellStyle name="Normal 5 2 4 5 2 3" xfId="40841" xr:uid="{4C3C556A-D5FF-4F59-AB87-DC1D9C3438B8}"/>
    <cellStyle name="Normal 5 2 4 5 3" xfId="40842" xr:uid="{28E97FC6-06BF-4692-9EC5-690C0D7F2D5E}"/>
    <cellStyle name="Normal 5 2 4 5 4" xfId="40843" xr:uid="{BA4A1529-562F-4CCA-B3B6-FDEA7633197F}"/>
    <cellStyle name="Normal 5 2 4 5 5" xfId="40844" xr:uid="{432FCEF9-FC29-46B9-9AA9-97E64250E5F8}"/>
    <cellStyle name="Normal 5 2 4 6" xfId="40845" xr:uid="{5DF4D463-3247-4C40-BC3B-0C33AB4EF88F}"/>
    <cellStyle name="Normal 5 2 4 6 2" xfId="40846" xr:uid="{842575F1-78E6-41FF-AF1F-8622E8931DCA}"/>
    <cellStyle name="Normal 5 2 4 6 3" xfId="40847" xr:uid="{250CD9C3-F25D-4E0B-A38F-B7D1D3B847D8}"/>
    <cellStyle name="Normal 5 2 4 7" xfId="40848" xr:uid="{A1FC842B-92AA-4B0B-B023-439BE93DFE76}"/>
    <cellStyle name="Normal 5 2 4 8" xfId="40849" xr:uid="{A6B72F8B-0C1D-4487-B20F-64678D4C3750}"/>
    <cellStyle name="Normal 5 2 4 9" xfId="40850" xr:uid="{E45AAAE0-B02F-4343-8B91-271EECA1DBCF}"/>
    <cellStyle name="Normal 5 2 5" xfId="23850" xr:uid="{00000000-0005-0000-0000-0000B0260000}"/>
    <cellStyle name="Normal 5 2 5 2" xfId="40852" xr:uid="{0C5A5721-5BAF-4CE0-9E80-FD751014C766}"/>
    <cellStyle name="Normal 5 2 5 2 2" xfId="40853" xr:uid="{ED733E76-9CFA-4166-92E6-6A181836BEE7}"/>
    <cellStyle name="Normal 5 2 5 2 2 2" xfId="40854" xr:uid="{B71DAF27-607B-4B99-AA13-4B645F050460}"/>
    <cellStyle name="Normal 5 2 5 2 2 2 2" xfId="40855" xr:uid="{6C36B202-B12A-45E2-9951-C67DD5CD6538}"/>
    <cellStyle name="Normal 5 2 5 2 2 2 3" xfId="40856" xr:uid="{51336315-0EE4-4BFC-9739-CA6FF4F8391C}"/>
    <cellStyle name="Normal 5 2 5 2 2 3" xfId="40857" xr:uid="{640174A7-7545-4D7A-8789-29E447E175CE}"/>
    <cellStyle name="Normal 5 2 5 2 2 4" xfId="40858" xr:uid="{77906DB9-8086-4C5D-8158-2865EA406EBF}"/>
    <cellStyle name="Normal 5 2 5 2 2 5" xfId="40859" xr:uid="{255EBCDC-510E-47EA-A811-47CCFC6742FE}"/>
    <cellStyle name="Normal 5 2 5 2 3" xfId="40860" xr:uid="{B4D55AAB-DFD4-4B00-8ED3-F4F6A0B0262B}"/>
    <cellStyle name="Normal 5 2 5 2 3 2" xfId="40861" xr:uid="{79AA1530-3770-4905-82B5-C6274DB7DBFA}"/>
    <cellStyle name="Normal 5 2 5 2 3 2 2" xfId="40862" xr:uid="{068D98F2-FC07-483E-8E77-B55B4EFD01C9}"/>
    <cellStyle name="Normal 5 2 5 2 3 2 3" xfId="40863" xr:uid="{6DC333BD-A1E1-4BA8-BDFC-EE57D6C55AE5}"/>
    <cellStyle name="Normal 5 2 5 2 3 3" xfId="40864" xr:uid="{45204C86-F580-4E6F-AFDF-92394C8048B8}"/>
    <cellStyle name="Normal 5 2 5 2 3 4" xfId="40865" xr:uid="{366185CC-D744-4915-AC89-9C30464CDC09}"/>
    <cellStyle name="Normal 5 2 5 2 3 5" xfId="40866" xr:uid="{555382E5-9B05-4033-BB4D-C4512F3E9C3F}"/>
    <cellStyle name="Normal 5 2 5 2 4" xfId="40867" xr:uid="{3B729550-AE78-4AFF-8F4F-73F9D1105F77}"/>
    <cellStyle name="Normal 5 2 5 2 4 2" xfId="40868" xr:uid="{68021320-E625-4D0D-8DC0-09A865901C1A}"/>
    <cellStyle name="Normal 5 2 5 2 4 3" xfId="40869" xr:uid="{8D838FE4-62A1-4DDB-BF5D-4ADCBBD0D05F}"/>
    <cellStyle name="Normal 5 2 5 2 5" xfId="40870" xr:uid="{32D0301A-173C-4439-8550-99FC10B2AB4A}"/>
    <cellStyle name="Normal 5 2 5 2 6" xfId="40871" xr:uid="{B5D877A9-80A0-4469-AD50-6FC85E4B9D02}"/>
    <cellStyle name="Normal 5 2 5 2 7" xfId="40872" xr:uid="{03DE095A-FC7A-4EB5-A9C4-25B83B8F3F5D}"/>
    <cellStyle name="Normal 5 2 5 3" xfId="40873" xr:uid="{72BDE1DF-2451-4A66-B2D5-35B6C6C2A574}"/>
    <cellStyle name="Normal 5 2 5 3 2" xfId="40874" xr:uid="{96F3CF4A-474D-4DE8-970E-8E5183E10D98}"/>
    <cellStyle name="Normal 5 2 5 3 2 2" xfId="40875" xr:uid="{299AECF8-5BB3-4226-B4A7-B28023C9EC2B}"/>
    <cellStyle name="Normal 5 2 5 3 2 3" xfId="40876" xr:uid="{BED94F46-0D7A-4D41-9EDE-385211CE0DCA}"/>
    <cellStyle name="Normal 5 2 5 3 3" xfId="40877" xr:uid="{920D874F-DE12-40E0-B828-8EAD8A55667E}"/>
    <cellStyle name="Normal 5 2 5 3 4" xfId="40878" xr:uid="{E1D1D646-50BD-4752-8073-9DE70E8379C1}"/>
    <cellStyle name="Normal 5 2 5 3 5" xfId="40879" xr:uid="{9C89F806-CFEC-48E2-A43F-237F56903B8C}"/>
    <cellStyle name="Normal 5 2 5 4" xfId="40880" xr:uid="{AAED7A1F-CEBE-49EE-A12C-1FA84C336080}"/>
    <cellStyle name="Normal 5 2 5 4 2" xfId="40881" xr:uid="{9D017864-DBB1-481F-8BD8-C50EF90D5817}"/>
    <cellStyle name="Normal 5 2 5 4 2 2" xfId="40882" xr:uid="{2956F613-FA81-444B-8049-71BD16BFC31F}"/>
    <cellStyle name="Normal 5 2 5 4 2 3" xfId="40883" xr:uid="{758D7346-76B0-4508-9377-529F513C0D8F}"/>
    <cellStyle name="Normal 5 2 5 4 3" xfId="40884" xr:uid="{DBB1BC7C-67BD-4FF0-AB65-F5CB235E5256}"/>
    <cellStyle name="Normal 5 2 5 4 4" xfId="40885" xr:uid="{C43F61A9-7011-4336-BE0B-913560F6179B}"/>
    <cellStyle name="Normal 5 2 5 4 5" xfId="40886" xr:uid="{A7AC21C2-6529-4F03-B7CF-FFB45C77AD22}"/>
    <cellStyle name="Normal 5 2 5 5" xfId="40887" xr:uid="{D683FE15-1FD8-45DF-A9FE-183EB6576465}"/>
    <cellStyle name="Normal 5 2 5 5 2" xfId="40888" xr:uid="{264789DA-58EB-4181-9019-224B9CF3605E}"/>
    <cellStyle name="Normal 5 2 5 5 3" xfId="40889" xr:uid="{DDD33BD8-31FF-4D3A-8B28-65CDA8F6C5EE}"/>
    <cellStyle name="Normal 5 2 5 6" xfId="40890" xr:uid="{9CE0025F-2AE8-40CD-9EB9-4B68FF1711F3}"/>
    <cellStyle name="Normal 5 2 5 7" xfId="40891" xr:uid="{0A888290-BE5F-4E0A-8BFD-2C87C3CC97C6}"/>
    <cellStyle name="Normal 5 2 5 8" xfId="40892" xr:uid="{E3B1DD71-2943-42F3-8B0D-4BA8FCEE6217}"/>
    <cellStyle name="Normal 5 2 5 9" xfId="40851" xr:uid="{F9A96B4A-DFF1-4834-8247-96EDC0745087}"/>
    <cellStyle name="Normal 5 2 6" xfId="24142" xr:uid="{00000000-0005-0000-0000-0000B1260000}"/>
    <cellStyle name="Normal 5 2 6 2" xfId="40894" xr:uid="{6DD8F4E7-67B0-48AF-B140-F065AE300BA0}"/>
    <cellStyle name="Normal 5 2 6 2 2" xfId="40895" xr:uid="{D4DD06AF-CA17-4BAC-9FE8-C1F7E078CF0F}"/>
    <cellStyle name="Normal 5 2 6 2 2 2" xfId="40896" xr:uid="{5DBB6333-56FF-492D-8B28-118884E53B8B}"/>
    <cellStyle name="Normal 5 2 6 2 2 3" xfId="40897" xr:uid="{3BAEC025-4FA6-41AE-B9C1-569C2146B07B}"/>
    <cellStyle name="Normal 5 2 6 2 3" xfId="40898" xr:uid="{13C92B25-CD24-4C84-BD34-49740782B395}"/>
    <cellStyle name="Normal 5 2 6 2 4" xfId="40899" xr:uid="{AFDB9285-9FB9-4FCF-946E-ACEFC29F2816}"/>
    <cellStyle name="Normal 5 2 6 2 5" xfId="40900" xr:uid="{07FB60EA-CA71-4F0B-9391-98B2044439EA}"/>
    <cellStyle name="Normal 5 2 6 3" xfId="40901" xr:uid="{2A90A86A-3B67-427E-AC41-9EA74A8EF260}"/>
    <cellStyle name="Normal 5 2 6 3 2" xfId="40902" xr:uid="{F7A23EBA-3C00-4D4F-9F34-B8DE17A866E1}"/>
    <cellStyle name="Normal 5 2 6 3 2 2" xfId="40903" xr:uid="{BE5AFBE0-5E20-4C3C-A226-858CE1BA6A96}"/>
    <cellStyle name="Normal 5 2 6 3 2 3" xfId="40904" xr:uid="{A7BC68FA-78D4-4164-810E-D13F6843D5E5}"/>
    <cellStyle name="Normal 5 2 6 3 3" xfId="40905" xr:uid="{1BB051EF-EB40-4097-B27F-503EB7DFE880}"/>
    <cellStyle name="Normal 5 2 6 3 4" xfId="40906" xr:uid="{3805A828-4FFD-4299-935A-B1FAEEBD8C76}"/>
    <cellStyle name="Normal 5 2 6 3 5" xfId="40907" xr:uid="{17DE19E7-EBE6-4B4B-8AA5-062817B53604}"/>
    <cellStyle name="Normal 5 2 6 4" xfId="40908" xr:uid="{AD1A51AE-8A81-4DDE-8F2A-B3DA77184609}"/>
    <cellStyle name="Normal 5 2 6 4 2" xfId="40909" xr:uid="{BBBAB9A3-1563-4A8E-AF13-4C55F8F73AE7}"/>
    <cellStyle name="Normal 5 2 6 4 3" xfId="40910" xr:uid="{460B7281-7893-4288-A5E4-25BF87CE4ADE}"/>
    <cellStyle name="Normal 5 2 6 5" xfId="40911" xr:uid="{DC0DDB98-21F1-4691-9A69-F50EB9EE001B}"/>
    <cellStyle name="Normal 5 2 6 6" xfId="40912" xr:uid="{134DF6DA-3007-4300-9DEF-3ACCC0A391EE}"/>
    <cellStyle name="Normal 5 2 6 7" xfId="40913" xr:uid="{6EA96663-EF20-4EBF-BBE7-4E702696F9BE}"/>
    <cellStyle name="Normal 5 2 6 8" xfId="40893" xr:uid="{6339D325-E7B8-451F-8DE4-33B13AD64AD2}"/>
    <cellStyle name="Normal 5 2 7" xfId="5246" xr:uid="{00000000-0005-0000-0000-0000B2260000}"/>
    <cellStyle name="Normal 5 2 7 2" xfId="40915" xr:uid="{8AC9C671-9D8C-40D4-AFA6-404DCAB0614F}"/>
    <cellStyle name="Normal 5 2 7 2 2" xfId="40916" xr:uid="{9B9CC9C4-3506-4807-A0A1-5B745366B16A}"/>
    <cellStyle name="Normal 5 2 7 2 2 2" xfId="40917" xr:uid="{4BF66AC3-0E23-4687-99CC-7FAEE6A842EF}"/>
    <cellStyle name="Normal 5 2 7 2 2 3" xfId="40918" xr:uid="{B7C10FEA-1C49-41A2-9C05-B78094DAE9BC}"/>
    <cellStyle name="Normal 5 2 7 2 3" xfId="40919" xr:uid="{33D960AE-97E3-4337-9358-97DEA29F8FF2}"/>
    <cellStyle name="Normal 5 2 7 2 4" xfId="40920" xr:uid="{A8AD0595-ED6B-4B14-9106-3936A80F5E67}"/>
    <cellStyle name="Normal 5 2 7 2 5" xfId="40921" xr:uid="{0FC1236D-20FB-49CB-A22A-A402D9937A3A}"/>
    <cellStyle name="Normal 5 2 7 3" xfId="40922" xr:uid="{4B061EA5-E1DF-4645-B95A-E0516CB4DE0E}"/>
    <cellStyle name="Normal 5 2 7 3 2" xfId="40923" xr:uid="{5173A08F-C1D0-4603-AB21-977935DF1058}"/>
    <cellStyle name="Normal 5 2 7 3 2 2" xfId="40924" xr:uid="{4D06FE6F-F0F9-4DBE-BB4C-74AD7E3C1ECC}"/>
    <cellStyle name="Normal 5 2 7 3 2 3" xfId="40925" xr:uid="{52C44923-8A11-494C-A9FF-D3733A18EF44}"/>
    <cellStyle name="Normal 5 2 7 3 3" xfId="40926" xr:uid="{A67A5224-4E00-4E8C-83BD-678A0C6C7BAD}"/>
    <cellStyle name="Normal 5 2 7 3 4" xfId="40927" xr:uid="{82D950C7-1526-4621-BAA1-606581AFE4CD}"/>
    <cellStyle name="Normal 5 2 7 3 5" xfId="40928" xr:uid="{1228BC94-B9E4-48D1-BB27-8E3BE61A9FD2}"/>
    <cellStyle name="Normal 5 2 7 4" xfId="40929" xr:uid="{551663CF-90D9-4BEB-BF20-6783E255BE2D}"/>
    <cellStyle name="Normal 5 2 7 4 2" xfId="40930" xr:uid="{970487B9-49C6-4601-9EED-A6F422DC5B0F}"/>
    <cellStyle name="Normal 5 2 7 4 3" xfId="40931" xr:uid="{DBD99B2C-C4DD-42DB-BD35-CDC13EF9D9AA}"/>
    <cellStyle name="Normal 5 2 7 5" xfId="40932" xr:uid="{329A627E-13E6-4803-AF68-21E7FFEA38B2}"/>
    <cellStyle name="Normal 5 2 7 6" xfId="40933" xr:uid="{269C0F76-581B-46EC-AB92-D6F41BF43895}"/>
    <cellStyle name="Normal 5 2 7 7" xfId="40934" xr:uid="{52EB4D2C-506D-4BE3-8DA9-AB151C3162C6}"/>
    <cellStyle name="Normal 5 2 7 8" xfId="40914" xr:uid="{CF20B30A-A741-4C28-97C2-38C83DBF1CF6}"/>
    <cellStyle name="Normal 5 2 8" xfId="40935" xr:uid="{B693732A-1351-46D9-AB97-AB4E4C5AA435}"/>
    <cellStyle name="Normal 5 2 8 2" xfId="40936" xr:uid="{9E3D917A-9A69-47CA-88F2-9F00F4E10285}"/>
    <cellStyle name="Normal 5 2 8 2 2" xfId="40937" xr:uid="{FABCDD71-8D97-4604-BA91-4596340B2753}"/>
    <cellStyle name="Normal 5 2 8 2 3" xfId="40938" xr:uid="{72B514D6-DA9B-4B85-B3A3-6AD6DF4BC3A4}"/>
    <cellStyle name="Normal 5 2 8 3" xfId="40939" xr:uid="{62860091-B489-4407-9BD1-45C114387CFF}"/>
    <cellStyle name="Normal 5 2 8 4" xfId="40940" xr:uid="{5163CB5E-0DE0-4076-8707-4DE254CFC4C7}"/>
    <cellStyle name="Normal 5 2 8 5" xfId="40941" xr:uid="{35ABA5C8-23E7-47EF-A241-9A99CD516373}"/>
    <cellStyle name="Normal 5 2 9" xfId="40942" xr:uid="{82B9AE18-4396-4D93-970E-0D336F194425}"/>
    <cellStyle name="Normal 5 2 9 2" xfId="40943" xr:uid="{A0788AEE-F4C8-47A1-A06A-11122ACF0F8E}"/>
    <cellStyle name="Normal 5 2 9 2 2" xfId="40944" xr:uid="{DFEDF6E7-8575-45A0-BAD7-5521DCFC0803}"/>
    <cellStyle name="Normal 5 2 9 2 3" xfId="40945" xr:uid="{B85E61E0-C9C8-45C5-971A-E0F6B06A4BF0}"/>
    <cellStyle name="Normal 5 2 9 3" xfId="40946" xr:uid="{9F551AB8-600C-400D-A5EF-10EA02F6B01D}"/>
    <cellStyle name="Normal 5 2 9 4" xfId="40947" xr:uid="{3D0C0D34-AB53-40AA-B5A6-92B52B31061A}"/>
    <cellStyle name="Normal 5 2 9 5" xfId="40948" xr:uid="{7CC0D0F8-F545-4D33-A242-9F12B2CBCCBC}"/>
    <cellStyle name="Normal 5 28" xfId="40949" xr:uid="{385A87B0-B02C-4176-960C-FC0E9CEE5D95}"/>
    <cellStyle name="Normal 5 28 2" xfId="40950" xr:uid="{02606794-BB53-4523-B483-7BEC9CE6EBC1}"/>
    <cellStyle name="Normal 5 3" xfId="5406" xr:uid="{00000000-0005-0000-0000-0000B3260000}"/>
    <cellStyle name="Normal 5 3 10" xfId="40951" xr:uid="{D7C785C8-E4AC-42F1-89A4-BDBC62733163}"/>
    <cellStyle name="Normal 5 3 2" xfId="40952" xr:uid="{37A97AC3-7F8C-40E5-A6EF-010FB75BDB43}"/>
    <cellStyle name="Normal 5 3 2 2" xfId="40953" xr:uid="{B293E92A-17C1-4D28-A5CA-8D98BA2D34D7}"/>
    <cellStyle name="Normal 5 3 2 2 2" xfId="40954" xr:uid="{1FF6592C-2CA2-47B1-BF90-7205DD30DC5C}"/>
    <cellStyle name="Normal 5 3 2 2 2 2" xfId="40955" xr:uid="{6906FC6C-9502-49CF-AE02-F45D87AE6F5C}"/>
    <cellStyle name="Normal 5 3 2 2 2 2 2" xfId="40956" xr:uid="{52A136D7-E593-47BD-948E-F718C632E169}"/>
    <cellStyle name="Normal 5 3 2 2 2 2 3" xfId="40957" xr:uid="{61C723FB-6D61-42AD-91DD-21DAC7C3FDB2}"/>
    <cellStyle name="Normal 5 3 2 2 2 3" xfId="40958" xr:uid="{44AE337D-1F1D-4ED1-B178-248775797182}"/>
    <cellStyle name="Normal 5 3 2 2 2 4" xfId="40959" xr:uid="{CD66FB50-23E4-4D07-A58C-DA6E6703E979}"/>
    <cellStyle name="Normal 5 3 2 2 2 5" xfId="40960" xr:uid="{2F619DC2-55E4-4541-BD9E-37C55BB0956E}"/>
    <cellStyle name="Normal 5 3 2 2 3" xfId="40961" xr:uid="{27593B02-97AA-4832-8BBA-DD9F53488D09}"/>
    <cellStyle name="Normal 5 3 2 2 3 2" xfId="40962" xr:uid="{9B53A392-1DFA-45F6-9ED8-17F3D6C9132D}"/>
    <cellStyle name="Normal 5 3 2 2 3 2 2" xfId="40963" xr:uid="{D5BCA497-632C-4299-9342-F1DB7DDA5438}"/>
    <cellStyle name="Normal 5 3 2 2 3 2 3" xfId="40964" xr:uid="{16E4F742-112A-4D74-9739-5DDB6EDCF3BD}"/>
    <cellStyle name="Normal 5 3 2 2 3 3" xfId="40965" xr:uid="{55899D86-90B5-4EF5-A4AF-4917F050F7AE}"/>
    <cellStyle name="Normal 5 3 2 2 3 4" xfId="40966" xr:uid="{66CCDCCF-D47B-496A-BEAD-482076FF2D31}"/>
    <cellStyle name="Normal 5 3 2 2 3 5" xfId="40967" xr:uid="{FE2696F8-0C4B-4CAE-AF84-95673D993127}"/>
    <cellStyle name="Normal 5 3 2 2 4" xfId="40968" xr:uid="{6B3EE77B-1983-4128-BB73-4C8AF637279C}"/>
    <cellStyle name="Normal 5 3 2 2 4 2" xfId="40969" xr:uid="{0110DDB9-2EB2-40AB-8A53-708D25B2A4D8}"/>
    <cellStyle name="Normal 5 3 2 2 4 3" xfId="40970" xr:uid="{D39DC422-4510-4DFC-AAB7-3E68B104AC58}"/>
    <cellStyle name="Normal 5 3 2 2 5" xfId="40971" xr:uid="{01B7B08B-9BB9-44AB-803B-7F58452D7982}"/>
    <cellStyle name="Normal 5 3 2 2 6" xfId="40972" xr:uid="{0A2A3A24-59D8-41C2-94FC-088452CFCA22}"/>
    <cellStyle name="Normal 5 3 2 2 7" xfId="40973" xr:uid="{4EA30D25-839C-47E5-AE2F-6000E463613F}"/>
    <cellStyle name="Normal 5 3 2 3" xfId="40974" xr:uid="{2DF04CE8-DCC0-4EAB-A7E0-B89FF173F1AA}"/>
    <cellStyle name="Normal 5 3 2 3 2" xfId="40975" xr:uid="{2FC266CE-7BA8-41D4-A8FC-C6750C12CBFB}"/>
    <cellStyle name="Normal 5 3 2 3 2 2" xfId="40976" xr:uid="{7571F61F-566E-4CF2-833E-D3C962218C62}"/>
    <cellStyle name="Normal 5 3 2 3 2 3" xfId="40977" xr:uid="{BE392E0C-0AB6-4A11-8887-C442625E3950}"/>
    <cellStyle name="Normal 5 3 2 3 3" xfId="40978" xr:uid="{33EC74D3-CC64-4E03-B3B5-50A20B6D10AC}"/>
    <cellStyle name="Normal 5 3 2 3 4" xfId="40979" xr:uid="{7A873CD8-A6BC-486A-A58D-5EF287472859}"/>
    <cellStyle name="Normal 5 3 2 3 5" xfId="40980" xr:uid="{C8ED38A1-63A6-44BF-A2F2-912B9446E717}"/>
    <cellStyle name="Normal 5 3 2 4" xfId="40981" xr:uid="{8F8C943E-270B-466E-8067-0C217D7A479D}"/>
    <cellStyle name="Normal 5 3 2 4 2" xfId="40982" xr:uid="{4D4AFBF0-A25F-4679-B5D5-D55CB96D01F2}"/>
    <cellStyle name="Normal 5 3 2 4 2 2" xfId="40983" xr:uid="{3217D83C-01B2-413B-A636-09D308A6F709}"/>
    <cellStyle name="Normal 5 3 2 4 2 3" xfId="40984" xr:uid="{1B8CD49A-84BD-4927-8ECE-4BC1FD4ED160}"/>
    <cellStyle name="Normal 5 3 2 4 3" xfId="40985" xr:uid="{0E14E7DB-FA3F-4EFC-81A8-C40790600656}"/>
    <cellStyle name="Normal 5 3 2 4 4" xfId="40986" xr:uid="{79BD967C-8EC9-4DD5-AA0A-E28B5FA8476D}"/>
    <cellStyle name="Normal 5 3 2 4 5" xfId="40987" xr:uid="{9DAA4CBB-2B5F-4F23-A2C1-CF6497D6B3F4}"/>
    <cellStyle name="Normal 5 3 2 5" xfId="40988" xr:uid="{ADE3DA83-03C8-4044-9EB9-F02332714444}"/>
    <cellStyle name="Normal 5 3 2 5 2" xfId="40989" xr:uid="{FAA89FB6-D952-4EAA-BE81-452E11F41532}"/>
    <cellStyle name="Normal 5 3 2 5 3" xfId="40990" xr:uid="{5DC74F6C-17A7-4F18-85A7-23EB98281F4A}"/>
    <cellStyle name="Normal 5 3 2 6" xfId="40991" xr:uid="{9B9AB904-F33F-4F19-BD8E-5D2A57B8805A}"/>
    <cellStyle name="Normal 5 3 2 7" xfId="40992" xr:uid="{BBA81B5F-9D10-424F-86CC-AC364E0C4581}"/>
    <cellStyle name="Normal 5 3 2 8" xfId="40993" xr:uid="{33BCCBB6-C692-49B2-972E-178B410EB07C}"/>
    <cellStyle name="Normal 5 3 3" xfId="40994" xr:uid="{A6874EF6-EE20-4991-A13A-A862E343AE02}"/>
    <cellStyle name="Normal 5 3 3 2" xfId="40995" xr:uid="{00C26B7E-9308-424C-BE53-03F902039834}"/>
    <cellStyle name="Normal 5 3 3 2 2" xfId="40996" xr:uid="{0D2B2E81-501B-431B-AA7D-8944606BC45E}"/>
    <cellStyle name="Normal 5 3 3 2 2 2" xfId="40997" xr:uid="{8E4F7C15-0D40-4E94-85E9-106B66AC695C}"/>
    <cellStyle name="Normal 5 3 3 2 2 3" xfId="40998" xr:uid="{E57FA380-C0F2-4D4D-8A81-6BB3A25317FB}"/>
    <cellStyle name="Normal 5 3 3 2 3" xfId="40999" xr:uid="{B49BEB3F-3003-4C75-A844-08B618F9FD48}"/>
    <cellStyle name="Normal 5 3 3 2 4" xfId="41000" xr:uid="{EAFA58D4-4539-452A-A3C2-3DD513263694}"/>
    <cellStyle name="Normal 5 3 3 2 5" xfId="41001" xr:uid="{1DF9CAB7-92C6-4900-B4D8-8C2AC61DAC1E}"/>
    <cellStyle name="Normal 5 3 3 3" xfId="41002" xr:uid="{70CBDBC8-79CC-4A60-9965-32836ECC7198}"/>
    <cellStyle name="Normal 5 3 3 3 2" xfId="41003" xr:uid="{F89B7675-E3F3-40F4-9B73-FA5F4DF8B1AA}"/>
    <cellStyle name="Normal 5 3 3 3 2 2" xfId="41004" xr:uid="{CD979716-82BF-4181-807F-9F54D1AA21E3}"/>
    <cellStyle name="Normal 5 3 3 3 2 3" xfId="41005" xr:uid="{0C0D3F84-493E-49A4-A082-8C1C2543DAA5}"/>
    <cellStyle name="Normal 5 3 3 3 3" xfId="41006" xr:uid="{8CAE2032-A4F6-4A1D-BAD3-1A1D0AE02B7B}"/>
    <cellStyle name="Normal 5 3 3 3 4" xfId="41007" xr:uid="{E458C549-60E9-4ABF-BE22-5A950922DF86}"/>
    <cellStyle name="Normal 5 3 3 3 5" xfId="41008" xr:uid="{34C4DBA6-E935-4085-B64F-20527EC2BCC7}"/>
    <cellStyle name="Normal 5 3 3 4" xfId="41009" xr:uid="{4306FF81-D910-4240-B66D-4BAF1F227E8B}"/>
    <cellStyle name="Normal 5 3 3 4 2" xfId="41010" xr:uid="{B3061C81-4C18-40B3-8C53-800C4567155D}"/>
    <cellStyle name="Normal 5 3 3 4 3" xfId="41011" xr:uid="{0B2FFDFD-A529-4614-ACA5-D1C9E26E1658}"/>
    <cellStyle name="Normal 5 3 3 5" xfId="41012" xr:uid="{2EF4FC70-786D-4B2D-A63B-079B91A69A52}"/>
    <cellStyle name="Normal 5 3 3 6" xfId="41013" xr:uid="{D38B52D3-0D49-4D74-9C92-379A7C34F3FF}"/>
    <cellStyle name="Normal 5 3 3 7" xfId="41014" xr:uid="{A55ED369-C362-4740-B662-D5193183EB66}"/>
    <cellStyle name="Normal 5 3 4" xfId="41015" xr:uid="{6A553A0A-3064-476F-A933-81B0CE1A5C69}"/>
    <cellStyle name="Normal 5 3 4 2" xfId="41016" xr:uid="{6F83FCC2-D290-4FB2-B997-8CEBA527EB9C}"/>
    <cellStyle name="Normal 5 3 4 2 2" xfId="41017" xr:uid="{5BE3C4DC-A625-4EA0-A9EC-37649FBF3AE4}"/>
    <cellStyle name="Normal 5 3 4 2 3" xfId="41018" xr:uid="{0960B269-EE21-4E59-93FF-EC6F1D60D43D}"/>
    <cellStyle name="Normal 5 3 4 3" xfId="41019" xr:uid="{38EC6904-FF6F-436F-B19D-198A8AE2AAB9}"/>
    <cellStyle name="Normal 5 3 4 4" xfId="41020" xr:uid="{F5EC639D-CF8D-4597-B0F4-7314EDCBDEAF}"/>
    <cellStyle name="Normal 5 3 4 5" xfId="41021" xr:uid="{2563F082-E6AA-4FFC-8CC0-EC32FA94299C}"/>
    <cellStyle name="Normal 5 3 5" xfId="41022" xr:uid="{936E4164-4D03-4752-BB85-3A104A00C62B}"/>
    <cellStyle name="Normal 5 3 5 2" xfId="41023" xr:uid="{61BA34A6-42CA-40A4-A1E5-97D03E591926}"/>
    <cellStyle name="Normal 5 3 5 2 2" xfId="41024" xr:uid="{3D328FDD-5BF4-4FB8-8190-D8BC3F4B3D02}"/>
    <cellStyle name="Normal 5 3 5 2 3" xfId="41025" xr:uid="{F6BB439C-F5F2-4B63-B88A-80AD4115214B}"/>
    <cellStyle name="Normal 5 3 5 3" xfId="41026" xr:uid="{1B243FCF-3E31-4AEB-BF10-87AC71E71CF0}"/>
    <cellStyle name="Normal 5 3 5 4" xfId="41027" xr:uid="{7B40078F-0408-4829-AD1B-C1ECC34541BD}"/>
    <cellStyle name="Normal 5 3 5 5" xfId="41028" xr:uid="{A10670BE-72E0-4203-A661-3E0D5962CDCB}"/>
    <cellStyle name="Normal 5 3 6" xfId="41029" xr:uid="{104ADADD-E598-4FA4-8EDC-564067B3DEC3}"/>
    <cellStyle name="Normal 5 3 6 2" xfId="41030" xr:uid="{C62EF0B8-6272-466C-82B1-3472FC42C12D}"/>
    <cellStyle name="Normal 5 3 6 3" xfId="41031" xr:uid="{0F727C16-573B-4996-8281-F03BDB81C6CA}"/>
    <cellStyle name="Normal 5 3 7" xfId="41032" xr:uid="{771DB2CE-6B37-441E-A078-409199D37B60}"/>
    <cellStyle name="Normal 5 3 8" xfId="41033" xr:uid="{4134ABF8-B5DB-45CA-B1E3-8AD47D061B6B}"/>
    <cellStyle name="Normal 5 3 9" xfId="41034" xr:uid="{D0B995A9-13C4-4787-AC9F-7B24E9172B0D}"/>
    <cellStyle name="Normal 5 4" xfId="7654" xr:uid="{00000000-0005-0000-0000-0000B4260000}"/>
    <cellStyle name="Normal 5 4 10" xfId="41035" xr:uid="{441CAA14-2D6C-470C-9395-B379CC43BE8B}"/>
    <cellStyle name="Normal 5 4 11" xfId="25990" xr:uid="{00000000-0005-0000-0000-0000B5260000}"/>
    <cellStyle name="Normal 5 4 2" xfId="41036" xr:uid="{8E50ED5B-1554-4288-A141-5F21D82924DA}"/>
    <cellStyle name="Normal 5 4 2 2" xfId="41037" xr:uid="{B5739920-E56C-485B-B0A6-8B942CD8FFD8}"/>
    <cellStyle name="Normal 5 4 2 2 2" xfId="41038" xr:uid="{05DE1C07-B379-40BD-87CF-8E6A963C8A3A}"/>
    <cellStyle name="Normal 5 4 2 2 2 2" xfId="41039" xr:uid="{2AE09295-2991-4B0A-A40C-99208EAB970B}"/>
    <cellStyle name="Normal 5 4 2 2 2 2 2" xfId="41040" xr:uid="{71724ADD-7A9C-49C3-A128-83901B05E53E}"/>
    <cellStyle name="Normal 5 4 2 2 2 2 3" xfId="41041" xr:uid="{0866F574-9361-4138-A1B7-25289E144919}"/>
    <cellStyle name="Normal 5 4 2 2 2 3" xfId="41042" xr:uid="{915CEAFF-7BA5-4402-9A9C-5CF222791E6F}"/>
    <cellStyle name="Normal 5 4 2 2 2 4" xfId="41043" xr:uid="{2EE77F03-21EB-417F-8576-6825F1CB75C6}"/>
    <cellStyle name="Normal 5 4 2 2 2 5" xfId="41044" xr:uid="{ED2A97C6-964B-4758-B5FC-ED7303581E78}"/>
    <cellStyle name="Normal 5 4 2 2 3" xfId="41045" xr:uid="{937BA5A9-F7E0-4627-96F6-B3FFA5AFA8A0}"/>
    <cellStyle name="Normal 5 4 2 2 3 2" xfId="41046" xr:uid="{BBF66ECE-4562-4324-9A4F-4328BA9CA61B}"/>
    <cellStyle name="Normal 5 4 2 2 3 2 2" xfId="41047" xr:uid="{CFCF322A-28EE-4B93-9594-098284996D40}"/>
    <cellStyle name="Normal 5 4 2 2 3 2 3" xfId="41048" xr:uid="{B1936380-28B8-492D-BAB3-CDCC44CA25F7}"/>
    <cellStyle name="Normal 5 4 2 2 3 3" xfId="41049" xr:uid="{905D57A7-1521-454B-86DE-7D5990024C64}"/>
    <cellStyle name="Normal 5 4 2 2 3 4" xfId="41050" xr:uid="{CE174246-AA13-48F5-9099-8E63711AEB94}"/>
    <cellStyle name="Normal 5 4 2 2 3 5" xfId="41051" xr:uid="{68378154-0573-4B9C-A053-5107135AC3F3}"/>
    <cellStyle name="Normal 5 4 2 2 4" xfId="41052" xr:uid="{9B43B70A-76AC-423A-8C37-7B8153369708}"/>
    <cellStyle name="Normal 5 4 2 2 4 2" xfId="41053" xr:uid="{70848925-89B1-403F-8FCD-4FAB9DABCCA6}"/>
    <cellStyle name="Normal 5 4 2 2 4 3" xfId="41054" xr:uid="{B07FC649-13BC-45AD-87B2-198DF9C830F3}"/>
    <cellStyle name="Normal 5 4 2 2 5" xfId="41055" xr:uid="{0DDB7471-0678-4220-8496-B55B78B9834B}"/>
    <cellStyle name="Normal 5 4 2 2 6" xfId="41056" xr:uid="{A380D612-FCFB-403B-82F9-389CA0F957BC}"/>
    <cellStyle name="Normal 5 4 2 2 7" xfId="41057" xr:uid="{D2B8A931-9F05-4329-9E48-4C83372675CD}"/>
    <cellStyle name="Normal 5 4 2 3" xfId="41058" xr:uid="{9F97AA99-F00D-4022-82CF-8716B253555F}"/>
    <cellStyle name="Normal 5 4 2 3 2" xfId="41059" xr:uid="{4ED8218A-1558-43B5-8B12-93829F0B5C81}"/>
    <cellStyle name="Normal 5 4 2 3 2 2" xfId="41060" xr:uid="{98E81075-AB9E-4A70-83AA-CB4A0002AE96}"/>
    <cellStyle name="Normal 5 4 2 3 2 3" xfId="41061" xr:uid="{AE76C153-4DAE-4682-B3E0-89BDEFE95010}"/>
    <cellStyle name="Normal 5 4 2 3 3" xfId="41062" xr:uid="{F150EA5D-2CE3-4126-BC1C-1E32D1DA5B5E}"/>
    <cellStyle name="Normal 5 4 2 3 4" xfId="41063" xr:uid="{6F532E66-CF3F-4624-BCF6-7A13756DEC30}"/>
    <cellStyle name="Normal 5 4 2 3 5" xfId="41064" xr:uid="{6F31DA0D-04F6-461B-972F-F2F1DC89E69D}"/>
    <cellStyle name="Normal 5 4 2 4" xfId="41065" xr:uid="{1BBF4481-5E3F-4B84-9418-890D0B93A8EB}"/>
    <cellStyle name="Normal 5 4 2 4 2" xfId="41066" xr:uid="{087F3403-55B6-4A1B-B8F6-9EB7C1141CD7}"/>
    <cellStyle name="Normal 5 4 2 4 2 2" xfId="41067" xr:uid="{9565A142-41FF-4413-B8F7-9DB6C5AE1798}"/>
    <cellStyle name="Normal 5 4 2 4 2 3" xfId="41068" xr:uid="{37482652-131E-4EB8-A573-71263352B5CB}"/>
    <cellStyle name="Normal 5 4 2 4 3" xfId="41069" xr:uid="{711300A6-BDA4-43E7-8107-214FD9A628C0}"/>
    <cellStyle name="Normal 5 4 2 4 4" xfId="41070" xr:uid="{638D8F4A-DB95-4985-94A0-9DD4AC9C0B0D}"/>
    <cellStyle name="Normal 5 4 2 4 5" xfId="41071" xr:uid="{5BBFC080-BD39-4751-933A-C355A74C96BD}"/>
    <cellStyle name="Normal 5 4 2 5" xfId="41072" xr:uid="{006D133E-3FC6-4DDE-A18D-E0265F883EE1}"/>
    <cellStyle name="Normal 5 4 2 5 2" xfId="41073" xr:uid="{384E4583-EEE1-4C6A-956B-4F69526EF15D}"/>
    <cellStyle name="Normal 5 4 2 5 3" xfId="41074" xr:uid="{21B2F9D5-BEB8-4B51-9709-F1261AF5513E}"/>
    <cellStyle name="Normal 5 4 2 6" xfId="41075" xr:uid="{F737EFA2-F5A4-4918-8001-FB77A5FB6802}"/>
    <cellStyle name="Normal 5 4 2 7" xfId="41076" xr:uid="{E2D56F21-6C72-436F-B5FF-7C65A822C5F6}"/>
    <cellStyle name="Normal 5 4 2 8" xfId="41077" xr:uid="{8AFA057E-91C4-4554-A3B5-284920CCA6CB}"/>
    <cellStyle name="Normal 5 4 3" xfId="41078" xr:uid="{2CD93734-6B74-4013-B13D-BF839B95C73C}"/>
    <cellStyle name="Normal 5 4 3 2" xfId="41079" xr:uid="{823B52B0-A315-4A8A-B5E6-FAF66043FA15}"/>
    <cellStyle name="Normal 5 4 3 2 2" xfId="41080" xr:uid="{BF89A491-4CA1-4FC7-B9CB-9035AF442C93}"/>
    <cellStyle name="Normal 5 4 3 2 2 2" xfId="41081" xr:uid="{9555A20A-2DF4-4332-8CA1-CE5E1B6A7658}"/>
    <cellStyle name="Normal 5 4 3 2 2 3" xfId="41082" xr:uid="{6388B059-54D0-40B9-809B-FE85775CB54C}"/>
    <cellStyle name="Normal 5 4 3 2 3" xfId="41083" xr:uid="{50FF61C2-E8C7-4F15-97FE-0E97ECD4DDCB}"/>
    <cellStyle name="Normal 5 4 3 2 4" xfId="41084" xr:uid="{093C4B4A-E3F0-49A3-8A6B-90B30AF9B9C1}"/>
    <cellStyle name="Normal 5 4 3 2 5" xfId="41085" xr:uid="{8D776CAD-3EBD-4452-A602-7ED06EFB2EAA}"/>
    <cellStyle name="Normal 5 4 3 3" xfId="41086" xr:uid="{7252BD6B-48F2-4D25-AB4E-247B05F70B6E}"/>
    <cellStyle name="Normal 5 4 3 3 2" xfId="41087" xr:uid="{36A8B75B-78EB-4260-9F88-715C8108B8BA}"/>
    <cellStyle name="Normal 5 4 3 3 2 2" xfId="41088" xr:uid="{7D18FCDA-B4E1-4220-9B8C-FD67BF165F7B}"/>
    <cellStyle name="Normal 5 4 3 3 2 3" xfId="41089" xr:uid="{4C1D3FD4-7CB2-4AC7-BA5C-B6CE0581F774}"/>
    <cellStyle name="Normal 5 4 3 3 3" xfId="41090" xr:uid="{B2D4EEAB-CC3C-4077-BEB0-57DE4BCBC6B9}"/>
    <cellStyle name="Normal 5 4 3 3 4" xfId="41091" xr:uid="{D2B88DB9-3B4A-4735-8D8B-FC53E896AFDA}"/>
    <cellStyle name="Normal 5 4 3 3 5" xfId="41092" xr:uid="{05366C3D-5CFD-4D52-8055-C7C9A888697C}"/>
    <cellStyle name="Normal 5 4 3 4" xfId="41093" xr:uid="{C0BAA101-CA4C-4A86-A0D0-C85B0342661B}"/>
    <cellStyle name="Normal 5 4 3 4 2" xfId="41094" xr:uid="{EFFAAC18-E3C3-4BE3-9F58-E67F2EAD666C}"/>
    <cellStyle name="Normal 5 4 3 4 3" xfId="41095" xr:uid="{94B125A6-B51C-49E7-81A4-DBB253D6189D}"/>
    <cellStyle name="Normal 5 4 3 5" xfId="41096" xr:uid="{905BC6C9-E3BA-417B-8A17-B34C8F2E9111}"/>
    <cellStyle name="Normal 5 4 3 6" xfId="41097" xr:uid="{5A3C3299-3597-406A-A598-F0E5ADC66E2B}"/>
    <cellStyle name="Normal 5 4 3 7" xfId="41098" xr:uid="{CC823053-6D4F-4F68-BCA3-C21454823138}"/>
    <cellStyle name="Normal 5 4 4" xfId="41099" xr:uid="{14D582CD-B797-4F47-ACF1-DEEABEE61B4A}"/>
    <cellStyle name="Normal 5 4 4 2" xfId="41100" xr:uid="{2263BE93-A55F-4195-AE02-52EDFF5C8AF8}"/>
    <cellStyle name="Normal 5 4 4 2 2" xfId="41101" xr:uid="{CD21CA55-323D-42E8-AB7A-C37DB92C33E9}"/>
    <cellStyle name="Normal 5 4 4 2 3" xfId="41102" xr:uid="{D19F333A-DEC3-42EC-AAFD-285CD0DC0939}"/>
    <cellStyle name="Normal 5 4 4 3" xfId="41103" xr:uid="{39C02BF9-64F3-4B65-AA7F-6731F27078DF}"/>
    <cellStyle name="Normal 5 4 4 4" xfId="41104" xr:uid="{763F8425-1610-44F6-9641-04A59E17A032}"/>
    <cellStyle name="Normal 5 4 4 5" xfId="41105" xr:uid="{4FBCAF8A-8E05-4BEF-8C0A-C5D29D60326C}"/>
    <cellStyle name="Normal 5 4 5" xfId="41106" xr:uid="{F8DFC686-DE16-4FE2-8B32-E42901644838}"/>
    <cellStyle name="Normal 5 4 5 2" xfId="41107" xr:uid="{2F3C0251-AC2E-48D1-B58B-BE3FCE9F6163}"/>
    <cellStyle name="Normal 5 4 5 2 2" xfId="41108" xr:uid="{35097039-741F-4C89-B3D5-B2A8A7BEC92C}"/>
    <cellStyle name="Normal 5 4 5 2 3" xfId="41109" xr:uid="{DEC04BB5-74D2-4A44-9921-AE34C57945E8}"/>
    <cellStyle name="Normal 5 4 5 3" xfId="41110" xr:uid="{42FFB953-D6D5-46B9-95A5-A46AB61D2270}"/>
    <cellStyle name="Normal 5 4 5 4" xfId="41111" xr:uid="{254A87C1-ACC8-462D-9FDB-D0BAC7C61BE5}"/>
    <cellStyle name="Normal 5 4 5 5" xfId="41112" xr:uid="{A30A70C8-18F1-4E40-A856-A27895582AA2}"/>
    <cellStyle name="Normal 5 4 6" xfId="41113" xr:uid="{7563B09A-936E-462C-B0E4-1C4ADB664C71}"/>
    <cellStyle name="Normal 5 4 6 2" xfId="41114" xr:uid="{12DA1BA3-E9DC-40BE-9D69-D8C260D95391}"/>
    <cellStyle name="Normal 5 4 6 3" xfId="41115" xr:uid="{CC2A6A16-3E71-45E9-934F-474BD9BF5AFB}"/>
    <cellStyle name="Normal 5 4 7" xfId="41116" xr:uid="{13CAB7E0-6610-4253-BA74-09E242FAEB45}"/>
    <cellStyle name="Normal 5 4 8" xfId="41117" xr:uid="{FC2C38EA-5BA0-4047-B5CF-2FE4312DBFB1}"/>
    <cellStyle name="Normal 5 4 9" xfId="41118" xr:uid="{5615A88D-E648-47EC-A93B-79F749EC7AAF}"/>
    <cellStyle name="Normal 5 5" xfId="14529" xr:uid="{00000000-0005-0000-0000-0000B6260000}"/>
    <cellStyle name="Normal 5 5 10" xfId="41119" xr:uid="{7C710766-76CF-448E-9F03-0244EA39752E}"/>
    <cellStyle name="Normal 5 5 11" xfId="26094" xr:uid="{00000000-0005-0000-0000-0000B7260000}"/>
    <cellStyle name="Normal 5 5 2" xfId="41120" xr:uid="{725BD798-425F-408D-AA4B-5349F23D007A}"/>
    <cellStyle name="Normal 5 5 2 2" xfId="41121" xr:uid="{73BD23A8-A772-4740-BA5F-D929E8C8A6E5}"/>
    <cellStyle name="Normal 5 5 2 2 2" xfId="41122" xr:uid="{E662CC77-0ABC-40E4-9B69-C76CED9ED4D4}"/>
    <cellStyle name="Normal 5 5 2 2 2 2" xfId="41123" xr:uid="{6633617E-C213-41A2-BA24-C8A838A235E4}"/>
    <cellStyle name="Normal 5 5 2 2 2 2 2" xfId="41124" xr:uid="{F63BDA8A-ACF6-4EFB-B021-A31442B64564}"/>
    <cellStyle name="Normal 5 5 2 2 2 2 3" xfId="41125" xr:uid="{02D01AE5-DB24-4B03-A1A2-DD7A16976949}"/>
    <cellStyle name="Normal 5 5 2 2 2 3" xfId="41126" xr:uid="{898755DC-B427-4A42-AAAD-F8DF0541F7BC}"/>
    <cellStyle name="Normal 5 5 2 2 2 4" xfId="41127" xr:uid="{4CACD152-E0EC-431E-B59E-7E9A57DF2582}"/>
    <cellStyle name="Normal 5 5 2 2 2 5" xfId="41128" xr:uid="{9D9FD852-5A07-47F7-AE25-350E98CB0C85}"/>
    <cellStyle name="Normal 5 5 2 2 3" xfId="41129" xr:uid="{F4DDE5A0-529E-4706-886E-E1E4C3FB3628}"/>
    <cellStyle name="Normal 5 5 2 2 3 2" xfId="41130" xr:uid="{D5E7A88E-B145-48B6-9A6D-D8BF91BF84BC}"/>
    <cellStyle name="Normal 5 5 2 2 3 2 2" xfId="41131" xr:uid="{5DB8DDEB-FE63-480B-AEDA-D7EFC085DD78}"/>
    <cellStyle name="Normal 5 5 2 2 3 2 3" xfId="41132" xr:uid="{03F8BAE7-0C48-4749-848F-B259C07C1D2A}"/>
    <cellStyle name="Normal 5 5 2 2 3 3" xfId="41133" xr:uid="{50201F41-DB09-43E6-823A-83BD9ADBD9F2}"/>
    <cellStyle name="Normal 5 5 2 2 3 4" xfId="41134" xr:uid="{0F5BD518-2CD1-4BE3-B284-FDB14DB032C7}"/>
    <cellStyle name="Normal 5 5 2 2 3 5" xfId="41135" xr:uid="{23848FB2-15CB-4A0A-A7BB-C6434FE2DA23}"/>
    <cellStyle name="Normal 5 5 2 2 4" xfId="41136" xr:uid="{63FA23E6-3E1C-48AC-80E9-07DF86C8BFD3}"/>
    <cellStyle name="Normal 5 5 2 2 4 2" xfId="41137" xr:uid="{EF3AC06B-3D66-42D6-B944-A46CF60F64E6}"/>
    <cellStyle name="Normal 5 5 2 2 4 3" xfId="41138" xr:uid="{5510A92D-C6C5-4F4A-BF57-4F5D4F0C1A48}"/>
    <cellStyle name="Normal 5 5 2 2 5" xfId="41139" xr:uid="{9C68A81A-0D2D-40C1-9133-BA7CA8934201}"/>
    <cellStyle name="Normal 5 5 2 2 6" xfId="41140" xr:uid="{BD29B14E-4ADA-4A9E-AC9C-FE70AE07FFD4}"/>
    <cellStyle name="Normal 5 5 2 2 7" xfId="41141" xr:uid="{AB69E9CF-C753-412F-A8DE-3D583CA79D43}"/>
    <cellStyle name="Normal 5 5 2 3" xfId="41142" xr:uid="{44D47700-1792-4C6B-8CA5-385571EDAE99}"/>
    <cellStyle name="Normal 5 5 2 3 2" xfId="41143" xr:uid="{7A4B87B0-B8C7-48C7-A928-39A73747631D}"/>
    <cellStyle name="Normal 5 5 2 3 2 2" xfId="41144" xr:uid="{54E83A8A-A182-4CA6-9178-6F972AD061D0}"/>
    <cellStyle name="Normal 5 5 2 3 2 3" xfId="41145" xr:uid="{2B319C6A-5BA4-4522-8495-5402C90F0C92}"/>
    <cellStyle name="Normal 5 5 2 3 3" xfId="41146" xr:uid="{6C8222B5-8E65-402D-9BEE-2C803A31FD36}"/>
    <cellStyle name="Normal 5 5 2 3 4" xfId="41147" xr:uid="{7EC7E705-DCED-473F-A4DB-FE78687E277F}"/>
    <cellStyle name="Normal 5 5 2 3 5" xfId="41148" xr:uid="{0EF765E4-2903-41F6-A19F-6E4F2388D4DF}"/>
    <cellStyle name="Normal 5 5 2 4" xfId="41149" xr:uid="{118F2B68-215E-47F7-9274-DA5458A196F8}"/>
    <cellStyle name="Normal 5 5 2 4 2" xfId="41150" xr:uid="{BD9661B5-9BD7-4726-A3DD-3D3774C7DD30}"/>
    <cellStyle name="Normal 5 5 2 4 2 2" xfId="41151" xr:uid="{F0ADAB77-E189-4A39-BCFE-0A673AB6C312}"/>
    <cellStyle name="Normal 5 5 2 4 2 3" xfId="41152" xr:uid="{F3B0E892-09E4-441C-AC2E-0D7C4AAEFBF3}"/>
    <cellStyle name="Normal 5 5 2 4 3" xfId="41153" xr:uid="{B0554702-F7BA-4E41-AB21-A9481E9CA6CF}"/>
    <cellStyle name="Normal 5 5 2 4 4" xfId="41154" xr:uid="{5C14BC04-0832-42EB-B450-11D2A8045846}"/>
    <cellStyle name="Normal 5 5 2 4 5" xfId="41155" xr:uid="{1AE85C38-8704-44EA-9BAE-2CFDEF221B2D}"/>
    <cellStyle name="Normal 5 5 2 5" xfId="41156" xr:uid="{0EE79188-940A-46C0-8AA3-2AB330C57DDD}"/>
    <cellStyle name="Normal 5 5 2 5 2" xfId="41157" xr:uid="{CBCE2B9D-E49A-4BDA-997B-DF068763DEB4}"/>
    <cellStyle name="Normal 5 5 2 5 3" xfId="41158" xr:uid="{A0212732-9B84-4AE3-8C8A-F695D4CA16E7}"/>
    <cellStyle name="Normal 5 5 2 6" xfId="41159" xr:uid="{A7256A5E-18D4-45DE-A141-3A918D51F5C1}"/>
    <cellStyle name="Normal 5 5 2 7" xfId="41160" xr:uid="{4713AD03-F473-4C47-9ED8-7C5380277669}"/>
    <cellStyle name="Normal 5 5 2 8" xfId="41161" xr:uid="{71D28F03-0AB9-4D93-813A-24C9AA1F725F}"/>
    <cellStyle name="Normal 5 5 3" xfId="41162" xr:uid="{3BB69CE5-D43E-4D47-BFDD-06E9D46CED67}"/>
    <cellStyle name="Normal 5 5 3 2" xfId="41163" xr:uid="{424503D6-9C86-4674-A811-F4E343DB8BAC}"/>
    <cellStyle name="Normal 5 5 3 2 2" xfId="41164" xr:uid="{A6DB3706-B1F8-4B3B-8BFF-6FAC76FC4C96}"/>
    <cellStyle name="Normal 5 5 3 2 2 2" xfId="41165" xr:uid="{CAA71041-685F-4D04-A8C8-377B3C71FEF2}"/>
    <cellStyle name="Normal 5 5 3 2 2 3" xfId="41166" xr:uid="{342F4A09-7570-4EB2-9ED4-297BC53276A6}"/>
    <cellStyle name="Normal 5 5 3 2 3" xfId="41167" xr:uid="{3A39A8D6-BEC7-4EB9-B517-FD3337B4FCDC}"/>
    <cellStyle name="Normal 5 5 3 2 4" xfId="41168" xr:uid="{8FF62375-23F0-495C-A780-AD0254E1F758}"/>
    <cellStyle name="Normal 5 5 3 2 5" xfId="41169" xr:uid="{251D116F-C794-454A-8CF9-28F2946DF345}"/>
    <cellStyle name="Normal 5 5 3 3" xfId="41170" xr:uid="{743465FB-03A9-47ED-84BF-73382964DE52}"/>
    <cellStyle name="Normal 5 5 3 3 2" xfId="41171" xr:uid="{4BB03C6F-3C06-425B-B7D8-6B4DFE5CDDB1}"/>
    <cellStyle name="Normal 5 5 3 3 2 2" xfId="41172" xr:uid="{D8A1FDC4-56C8-4195-9ABE-18A3C56971BA}"/>
    <cellStyle name="Normal 5 5 3 3 2 3" xfId="41173" xr:uid="{8065C8CD-06D3-45DC-A979-E3C3EB5005E2}"/>
    <cellStyle name="Normal 5 5 3 3 3" xfId="41174" xr:uid="{62B94CBF-90CC-4D02-A472-954866DA902D}"/>
    <cellStyle name="Normal 5 5 3 3 4" xfId="41175" xr:uid="{D6953A6F-F00A-46C6-AB8F-564293B9BC9A}"/>
    <cellStyle name="Normal 5 5 3 3 5" xfId="41176" xr:uid="{91F19DFC-CF16-44BC-B9B6-0E75B88A0336}"/>
    <cellStyle name="Normal 5 5 3 4" xfId="41177" xr:uid="{EA79E211-4FE5-4CF6-9C34-562DFA1138A3}"/>
    <cellStyle name="Normal 5 5 3 4 2" xfId="41178" xr:uid="{A430EA52-E628-498F-87A4-9DF6DBB9A254}"/>
    <cellStyle name="Normal 5 5 3 4 3" xfId="41179" xr:uid="{4C12B85E-0BAD-43A8-84FB-EE85A6DAFE47}"/>
    <cellStyle name="Normal 5 5 3 5" xfId="41180" xr:uid="{B2688C4E-A4C6-4012-8D58-75743E99A3EB}"/>
    <cellStyle name="Normal 5 5 3 6" xfId="41181" xr:uid="{66530253-C04D-4B0E-8285-E10EC1155B5A}"/>
    <cellStyle name="Normal 5 5 3 7" xfId="41182" xr:uid="{9B00ADFD-A0F0-4AE5-9FF1-5AA9CE27BE76}"/>
    <cellStyle name="Normal 5 5 4" xfId="41183" xr:uid="{A10A2E91-5348-4D76-97B5-82C3D9A1AA94}"/>
    <cellStyle name="Normal 5 5 4 2" xfId="41184" xr:uid="{D42A6A78-86E2-4AB0-A5F7-9995ADED3262}"/>
    <cellStyle name="Normal 5 5 4 2 2" xfId="41185" xr:uid="{C0A30E12-E915-450F-BC5A-16AAC9AF2CA9}"/>
    <cellStyle name="Normal 5 5 4 2 3" xfId="41186" xr:uid="{FA222B4B-1E4C-466B-BB51-FCD65423EE7A}"/>
    <cellStyle name="Normal 5 5 4 3" xfId="41187" xr:uid="{CBBB61AD-0CAB-405A-9A89-7FC0E9E85E77}"/>
    <cellStyle name="Normal 5 5 4 4" xfId="41188" xr:uid="{9B8B79A6-2E92-40B4-A6B9-7692D6CEC9A4}"/>
    <cellStyle name="Normal 5 5 4 5" xfId="41189" xr:uid="{BBA89287-670D-4E7B-88A8-8D9848E8B415}"/>
    <cellStyle name="Normal 5 5 5" xfId="41190" xr:uid="{E4BF43C1-4590-4B49-BFFB-DC2722C6FE54}"/>
    <cellStyle name="Normal 5 5 5 2" xfId="41191" xr:uid="{E1A1DCFE-0F21-439E-ADF1-E25509793768}"/>
    <cellStyle name="Normal 5 5 5 2 2" xfId="41192" xr:uid="{786163C2-5323-49BA-9D61-8BE4F9893FAB}"/>
    <cellStyle name="Normal 5 5 5 2 3" xfId="41193" xr:uid="{76FC9457-7F09-4CEC-BBE5-67551519D367}"/>
    <cellStyle name="Normal 5 5 5 3" xfId="41194" xr:uid="{68A482CE-BCDA-4772-9CDB-A902D27F8D2C}"/>
    <cellStyle name="Normal 5 5 5 4" xfId="41195" xr:uid="{3F8B0B54-E6C7-4012-A590-54A029A2CBE2}"/>
    <cellStyle name="Normal 5 5 5 5" xfId="41196" xr:uid="{A94732BB-7D46-4CD5-A840-06F9B38E8FDA}"/>
    <cellStyle name="Normal 5 5 6" xfId="41197" xr:uid="{B2F7177C-1E23-4BB7-9F63-E5988598A4EA}"/>
    <cellStyle name="Normal 5 5 6 2" xfId="41198" xr:uid="{9D81C0BA-FC29-40EE-8153-8756F7D7FBC3}"/>
    <cellStyle name="Normal 5 5 6 3" xfId="41199" xr:uid="{A07C427D-2045-41B2-AF5B-692C0541A27A}"/>
    <cellStyle name="Normal 5 5 7" xfId="41200" xr:uid="{2AE8E676-39B9-4285-A869-08BAB7C2488E}"/>
    <cellStyle name="Normal 5 5 8" xfId="41201" xr:uid="{5C11ED22-ADE4-4830-93E5-A6455D8760BE}"/>
    <cellStyle name="Normal 5 5 9" xfId="41202" xr:uid="{625F970F-9013-4E64-88AA-FE8FC436D382}"/>
    <cellStyle name="Normal 5 6" xfId="19225" xr:uid="{00000000-0005-0000-0000-0000B8260000}"/>
    <cellStyle name="Normal 5 6 2" xfId="41204" xr:uid="{C2169D4C-B542-4AF4-9641-8B6CFF8D9090}"/>
    <cellStyle name="Normal 5 6 2 2" xfId="41205" xr:uid="{1F3BDB6B-EDF1-467A-812F-5AE2844E7067}"/>
    <cellStyle name="Normal 5 6 2 2 2" xfId="41206" xr:uid="{C17B9132-C962-46FC-AB34-BF9B87B94FF1}"/>
    <cellStyle name="Normal 5 6 2 2 2 2" xfId="41207" xr:uid="{5CFE4F06-E292-45F0-8CE9-1166893820E9}"/>
    <cellStyle name="Normal 5 6 2 2 2 3" xfId="41208" xr:uid="{09EE66D4-1B4B-42F6-ABE0-3A69FBC19043}"/>
    <cellStyle name="Normal 5 6 2 2 3" xfId="41209" xr:uid="{A500E694-8E31-4BD3-9D11-95AFE8B8332E}"/>
    <cellStyle name="Normal 5 6 2 2 4" xfId="41210" xr:uid="{91FDB99B-285C-4D51-8EBC-9E0219053B75}"/>
    <cellStyle name="Normal 5 6 2 2 5" xfId="41211" xr:uid="{2D57B1FC-248E-46D0-9727-3B9959C63D58}"/>
    <cellStyle name="Normal 5 6 2 3" xfId="41212" xr:uid="{1E66EDE9-24AD-432F-86F0-C7FABA1894D1}"/>
    <cellStyle name="Normal 5 6 2 3 2" xfId="41213" xr:uid="{F76E2D73-B7B7-4278-8515-C6F9C9FCA447}"/>
    <cellStyle name="Normal 5 6 2 3 2 2" xfId="41214" xr:uid="{875A45E8-543C-46D8-931D-A81897634131}"/>
    <cellStyle name="Normal 5 6 2 3 2 3" xfId="41215" xr:uid="{8C89A9BE-D62B-4C43-8465-94536F2DD23E}"/>
    <cellStyle name="Normal 5 6 2 3 3" xfId="41216" xr:uid="{D510D435-95F1-45F3-B754-4F0F12191D4C}"/>
    <cellStyle name="Normal 5 6 2 3 4" xfId="41217" xr:uid="{3588DB77-D431-4BBA-B6D7-B44E2B712B50}"/>
    <cellStyle name="Normal 5 6 2 3 5" xfId="41218" xr:uid="{76F8126F-FDBA-4A64-B61F-5BA233ACCD20}"/>
    <cellStyle name="Normal 5 6 2 4" xfId="41219" xr:uid="{1BCEDEC7-92F8-4C87-806C-E95986AB842C}"/>
    <cellStyle name="Normal 5 6 2 4 2" xfId="41220" xr:uid="{EC641B49-DBB5-4A73-8885-A46EE69149C2}"/>
    <cellStyle name="Normal 5 6 2 4 3" xfId="41221" xr:uid="{0A95A8B3-87ED-4ED6-B684-CD47E6C72582}"/>
    <cellStyle name="Normal 5 6 2 5" xfId="41222" xr:uid="{9424C73A-E4C8-42CC-A1B4-C578989D1BB9}"/>
    <cellStyle name="Normal 5 6 2 6" xfId="41223" xr:uid="{8BDF90A5-A1B4-468D-883E-817BD6D278D3}"/>
    <cellStyle name="Normal 5 6 2 7" xfId="41224" xr:uid="{06153AFF-5A2D-40CA-9BF0-A9F01959A38B}"/>
    <cellStyle name="Normal 5 6 3" xfId="41225" xr:uid="{9E323C38-F92C-4DE2-925E-59B37CF3AA24}"/>
    <cellStyle name="Normal 5 6 3 2" xfId="41226" xr:uid="{4C692A1B-0679-4DAF-BA90-E06BE6243DAD}"/>
    <cellStyle name="Normal 5 6 3 2 2" xfId="41227" xr:uid="{B748193F-F207-46FF-8004-5B30A19193A2}"/>
    <cellStyle name="Normal 5 6 3 2 3" xfId="41228" xr:uid="{AAED8184-3D81-457B-9B4D-E82D35C473E0}"/>
    <cellStyle name="Normal 5 6 3 3" xfId="41229" xr:uid="{D909B372-5510-4DC2-BD48-73A3115E254E}"/>
    <cellStyle name="Normal 5 6 3 4" xfId="41230" xr:uid="{962BF526-775C-44B7-B4D2-380E90C85CD8}"/>
    <cellStyle name="Normal 5 6 3 5" xfId="41231" xr:uid="{935FE4DD-7C60-4D19-8C13-8FB48F4F5595}"/>
    <cellStyle name="Normal 5 6 4" xfId="41232" xr:uid="{291B74C3-78CF-4FD5-BE91-2F131606FA0E}"/>
    <cellStyle name="Normal 5 6 4 2" xfId="41233" xr:uid="{83BAE18F-17C8-4FAF-8014-55AFB8817F32}"/>
    <cellStyle name="Normal 5 6 4 2 2" xfId="41234" xr:uid="{7E42888C-2B8A-48B4-B2AA-6B59BBB8438C}"/>
    <cellStyle name="Normal 5 6 4 2 3" xfId="41235" xr:uid="{2333D0BF-09B0-4DA0-9712-B5E0219A3BBE}"/>
    <cellStyle name="Normal 5 6 4 3" xfId="41236" xr:uid="{FFDCDD26-A697-4E88-BEEF-F87AB5D3CBC7}"/>
    <cellStyle name="Normal 5 6 4 4" xfId="41237" xr:uid="{BB4BD81F-84F4-41F0-B4D8-30167EB14095}"/>
    <cellStyle name="Normal 5 6 4 5" xfId="41238" xr:uid="{E59011C2-16B3-4475-9885-331450311B5A}"/>
    <cellStyle name="Normal 5 6 5" xfId="41239" xr:uid="{F2A75BDC-21CD-4663-BE36-AE60F1606B82}"/>
    <cellStyle name="Normal 5 6 5 2" xfId="41240" xr:uid="{DA641D9A-5BA3-4CF4-9CCF-BDDC0DEA5E85}"/>
    <cellStyle name="Normal 5 6 5 3" xfId="41241" xr:uid="{6E316527-84E1-4D2E-A2BE-6F75F0F9B642}"/>
    <cellStyle name="Normal 5 6 6" xfId="41242" xr:uid="{0E28349E-0F80-4636-B344-876B5EB3D418}"/>
    <cellStyle name="Normal 5 6 7" xfId="41243" xr:uid="{DD38B929-5536-4790-A625-6286EE856626}"/>
    <cellStyle name="Normal 5 6 8" xfId="41244" xr:uid="{A3E53A48-B568-4D8C-9B74-69BF5C11F69F}"/>
    <cellStyle name="Normal 5 6 9" xfId="41203" xr:uid="{7B55729D-3C16-4A3B-8E01-37E7DEC0C6B0}"/>
    <cellStyle name="Normal 5 7" xfId="23722" xr:uid="{00000000-0005-0000-0000-0000B9260000}"/>
    <cellStyle name="Normal 5 7 2" xfId="41246" xr:uid="{32F2538C-9730-49C7-BBD2-EC68C511A020}"/>
    <cellStyle name="Normal 5 7 2 2" xfId="41247" xr:uid="{CB26C5E2-8342-488A-B62E-7768AF93718D}"/>
    <cellStyle name="Normal 5 7 2 2 2" xfId="41248" xr:uid="{09C38FB7-46AF-44DC-A0C4-F32AEE078D85}"/>
    <cellStyle name="Normal 5 7 2 2 3" xfId="41249" xr:uid="{84010443-4A54-4D0E-B866-40E943164881}"/>
    <cellStyle name="Normal 5 7 2 3" xfId="41250" xr:uid="{61100FD7-C9AA-4AC2-A729-0D700442444E}"/>
    <cellStyle name="Normal 5 7 2 4" xfId="41251" xr:uid="{26873C1C-7229-4504-BA9B-2159565BC132}"/>
    <cellStyle name="Normal 5 7 2 5" xfId="41252" xr:uid="{41189309-FEB5-415C-A7CE-107E6E6A8C14}"/>
    <cellStyle name="Normal 5 7 3" xfId="41253" xr:uid="{1AA17111-1107-4BBB-AD5E-09FDFD442E89}"/>
    <cellStyle name="Normal 5 7 3 2" xfId="41254" xr:uid="{CD48406E-CD15-4C74-B81B-1D279C987211}"/>
    <cellStyle name="Normal 5 7 3 2 2" xfId="41255" xr:uid="{3864F62F-2A29-40B7-9653-B8658262FCB0}"/>
    <cellStyle name="Normal 5 7 3 2 3" xfId="41256" xr:uid="{03E4956C-A586-49A3-A4BD-C6981E8911BC}"/>
    <cellStyle name="Normal 5 7 3 3" xfId="41257" xr:uid="{68993226-8BCE-4273-A437-133AEE287D2E}"/>
    <cellStyle name="Normal 5 7 3 4" xfId="41258" xr:uid="{D3FC6CDB-F561-4CE2-A38D-086B78FE0B06}"/>
    <cellStyle name="Normal 5 7 3 5" xfId="41259" xr:uid="{CC756B07-B47C-40CB-BF79-AAC8D3982A8E}"/>
    <cellStyle name="Normal 5 7 4" xfId="41245" xr:uid="{3A79B631-530A-42F1-BBBB-5434724CA0C9}"/>
    <cellStyle name="Normal 5 8" xfId="24124" xr:uid="{00000000-0005-0000-0000-0000BA260000}"/>
    <cellStyle name="Normal 5 8 2" xfId="41261" xr:uid="{C7A489EF-B6D0-46F9-8554-C649F0D61711}"/>
    <cellStyle name="Normal 5 8 2 2" xfId="41262" xr:uid="{C3DF0019-C0E2-4DFC-977E-3D0643C97CB0}"/>
    <cellStyle name="Normal 5 8 2 2 2" xfId="41263" xr:uid="{EF20D54A-3AAE-4697-91BF-5DF689B10271}"/>
    <cellStyle name="Normal 5 8 2 2 3" xfId="41264" xr:uid="{32EA9A48-4DA1-4645-91D8-35C5DFEC4F51}"/>
    <cellStyle name="Normal 5 8 2 3" xfId="41265" xr:uid="{5ADF748C-E283-46BE-A4A4-ADB1D2D78AC1}"/>
    <cellStyle name="Normal 5 8 2 4" xfId="41266" xr:uid="{2461D8D6-B41F-450B-9322-AE7B9E298E05}"/>
    <cellStyle name="Normal 5 8 2 5" xfId="41267" xr:uid="{CDFB73EF-3FD7-4E4E-B29F-2E03A05ADD28}"/>
    <cellStyle name="Normal 5 8 3" xfId="41268" xr:uid="{5756F6A5-5CFA-4C04-9FE7-F51F9937412A}"/>
    <cellStyle name="Normal 5 8 3 2" xfId="41269" xr:uid="{FE34400B-5894-4835-B7DB-B0F2CF330D79}"/>
    <cellStyle name="Normal 5 8 3 2 2" xfId="41270" xr:uid="{3B4DC05D-8757-407D-8496-F37F8CAB90E4}"/>
    <cellStyle name="Normal 5 8 3 2 3" xfId="41271" xr:uid="{CCA04D97-10D6-4D8E-AE72-062AD1D75F5B}"/>
    <cellStyle name="Normal 5 8 3 3" xfId="41272" xr:uid="{8DBAC1E3-51F0-45AC-B4BA-D6E7FB875A30}"/>
    <cellStyle name="Normal 5 8 3 4" xfId="41273" xr:uid="{4C959C25-B7F3-41B4-B705-92C31ED63CBD}"/>
    <cellStyle name="Normal 5 8 3 5" xfId="41274" xr:uid="{65707AC1-DCF7-44AB-9059-E54CAD66B44D}"/>
    <cellStyle name="Normal 5 8 4" xfId="41275" xr:uid="{A12C3A51-C2B6-4BDD-B566-88A80C96C11D}"/>
    <cellStyle name="Normal 5 8 4 2" xfId="41276" xr:uid="{160D8035-8FC6-4D34-B8B7-708B9250579A}"/>
    <cellStyle name="Normal 5 8 4 3" xfId="41277" xr:uid="{F5A010A5-E2C6-49C7-B58A-432FE6743C2C}"/>
    <cellStyle name="Normal 5 8 5" xfId="41278" xr:uid="{60133994-923E-4CDF-89EF-F70FBC8B0A5C}"/>
    <cellStyle name="Normal 5 8 6" xfId="41279" xr:uid="{0723118B-9514-449B-B27F-F28648920861}"/>
    <cellStyle name="Normal 5 8 7" xfId="41280" xr:uid="{5F7D1FEA-2C98-4EC0-A4BE-27547EC1CF7A}"/>
    <cellStyle name="Normal 5 8 8" xfId="41260" xr:uid="{211BC963-8BE6-4272-A6A6-20756FD3F657}"/>
    <cellStyle name="Normal 5 9" xfId="5116" xr:uid="{00000000-0005-0000-0000-0000BB260000}"/>
    <cellStyle name="Normal 5 9 2" xfId="41282" xr:uid="{4E332ABE-A343-4E63-83F5-674B967197B7}"/>
    <cellStyle name="Normal 5 9 2 2" xfId="41283" xr:uid="{D91A29BB-C041-4C36-81A9-87FCE3DB9282}"/>
    <cellStyle name="Normal 5 9 2 3" xfId="41284" xr:uid="{09B1CA1A-7E03-423B-9094-B09DBBCB723C}"/>
    <cellStyle name="Normal 5 9 3" xfId="41285" xr:uid="{1190D79B-41CF-4620-AD0B-E1C7B9702C8B}"/>
    <cellStyle name="Normal 5 9 4" xfId="41286" xr:uid="{DB9F1165-6CFC-446B-91B5-0B0D10AA96D8}"/>
    <cellStyle name="Normal 5 9 5" xfId="41287" xr:uid="{5F0D54BE-0F0F-4FFA-8F09-20CE8E052361}"/>
    <cellStyle name="Normal 5 9 6" xfId="41281" xr:uid="{DE009886-FB54-47E5-9100-BC8CAE299361}"/>
    <cellStyle name="Normal 50" xfId="825" xr:uid="{00000000-0005-0000-0000-0000BC260000}"/>
    <cellStyle name="Normal 50 2" xfId="2174" xr:uid="{00000000-0005-0000-0000-0000BD260000}"/>
    <cellStyle name="Normal 50 3" xfId="26109" xr:uid="{00000000-0005-0000-0000-0000BE260000}"/>
    <cellStyle name="Normal 51" xfId="826" xr:uid="{00000000-0005-0000-0000-0000BF260000}"/>
    <cellStyle name="Normal 51 2" xfId="2175" xr:uid="{00000000-0005-0000-0000-0000C0260000}"/>
    <cellStyle name="Normal 51 3" xfId="26110" xr:uid="{00000000-0005-0000-0000-0000C1260000}"/>
    <cellStyle name="Normal 52" xfId="827" xr:uid="{00000000-0005-0000-0000-0000C2260000}"/>
    <cellStyle name="Normal 52 2" xfId="2176" xr:uid="{00000000-0005-0000-0000-0000C3260000}"/>
    <cellStyle name="Normal 52 3" xfId="26141" xr:uid="{00000000-0005-0000-0000-0000C4260000}"/>
    <cellStyle name="Normal 53" xfId="828" xr:uid="{00000000-0005-0000-0000-0000C5260000}"/>
    <cellStyle name="Normal 53 2" xfId="2177" xr:uid="{00000000-0005-0000-0000-0000C6260000}"/>
    <cellStyle name="Normal 53 2 2" xfId="41289" xr:uid="{D6A2A37A-F078-4A6B-80C4-F9E565C989A2}"/>
    <cellStyle name="Normal 53 3" xfId="41288" xr:uid="{DAC9AB70-476B-4E58-94B3-89290EE62D09}"/>
    <cellStyle name="Normal 54" xfId="829" xr:uid="{00000000-0005-0000-0000-0000C7260000}"/>
    <cellStyle name="Normal 54 2" xfId="2178" xr:uid="{00000000-0005-0000-0000-0000C8260000}"/>
    <cellStyle name="Normal 55" xfId="830" xr:uid="{00000000-0005-0000-0000-0000C9260000}"/>
    <cellStyle name="Normal 55 2" xfId="2179" xr:uid="{00000000-0005-0000-0000-0000CA260000}"/>
    <cellStyle name="Normal 56" xfId="831" xr:uid="{00000000-0005-0000-0000-0000CB260000}"/>
    <cellStyle name="Normal 56 2" xfId="2180" xr:uid="{00000000-0005-0000-0000-0000CC260000}"/>
    <cellStyle name="Normal 57" xfId="832" xr:uid="{00000000-0005-0000-0000-0000CD260000}"/>
    <cellStyle name="Normal 57 2" xfId="2181" xr:uid="{00000000-0005-0000-0000-0000CE260000}"/>
    <cellStyle name="Normal 58" xfId="833" xr:uid="{00000000-0005-0000-0000-0000CF260000}"/>
    <cellStyle name="Normal 58 2" xfId="2182" xr:uid="{00000000-0005-0000-0000-0000D0260000}"/>
    <cellStyle name="Normal 59" xfId="834" xr:uid="{00000000-0005-0000-0000-0000D1260000}"/>
    <cellStyle name="Normal 59 2" xfId="2183" xr:uid="{00000000-0005-0000-0000-0000D2260000}"/>
    <cellStyle name="Normal 6" xfId="835" xr:uid="{00000000-0005-0000-0000-0000D3260000}"/>
    <cellStyle name="Normal 6 10" xfId="836" xr:uid="{00000000-0005-0000-0000-0000D4260000}"/>
    <cellStyle name="Normal 6 10 2" xfId="837" xr:uid="{00000000-0005-0000-0000-0000D5260000}"/>
    <cellStyle name="Normal 6 10 2 2" xfId="838" xr:uid="{00000000-0005-0000-0000-0000D6260000}"/>
    <cellStyle name="Normal 6 10 2 2 2" xfId="2187" xr:uid="{00000000-0005-0000-0000-0000D7260000}"/>
    <cellStyle name="Normal 6 10 2 2 3" xfId="41906" xr:uid="{7072A943-C7B9-4A27-B9AF-ED1442C37FAE}"/>
    <cellStyle name="Normal 6 10 2 3" xfId="2186" xr:uid="{00000000-0005-0000-0000-0000D8260000}"/>
    <cellStyle name="Normal 6 10 2 4" xfId="26561" xr:uid="{00000000-0005-0000-0000-0000D9260000}"/>
    <cellStyle name="Normal 6 10 2 5" xfId="33204" xr:uid="{7C6F3D6E-C43B-4DA5-A9F1-D4A13483A89B}"/>
    <cellStyle name="Normal 6 10 3" xfId="839" xr:uid="{00000000-0005-0000-0000-0000DA260000}"/>
    <cellStyle name="Normal 6 10 3 2" xfId="2188" xr:uid="{00000000-0005-0000-0000-0000DB260000}"/>
    <cellStyle name="Normal 6 10 3 3" xfId="41690" xr:uid="{BEEA4C87-CC39-4BE1-92C5-94227F7FE54D}"/>
    <cellStyle name="Normal 6 10 4" xfId="2185" xr:uid="{00000000-0005-0000-0000-0000DC260000}"/>
    <cellStyle name="Normal 6 10 5" xfId="23771" xr:uid="{00000000-0005-0000-0000-0000DD260000}"/>
    <cellStyle name="Normal 6 10 6" xfId="26345" xr:uid="{00000000-0005-0000-0000-0000DE260000}"/>
    <cellStyle name="Normal 6 10 7" xfId="32988" xr:uid="{60F1B511-9D47-4309-8249-FF7655B3E52E}"/>
    <cellStyle name="Normal 6 11" xfId="840" xr:uid="{00000000-0005-0000-0000-0000DF260000}"/>
    <cellStyle name="Normal 6 11 2" xfId="841" xr:uid="{00000000-0005-0000-0000-0000E0260000}"/>
    <cellStyle name="Normal 6 11 2 2" xfId="2190" xr:uid="{00000000-0005-0000-0000-0000E1260000}"/>
    <cellStyle name="Normal 6 11 2 3" xfId="41762" xr:uid="{F7344900-5E39-484F-9317-55C02ECC4A85}"/>
    <cellStyle name="Normal 6 11 3" xfId="2189" xr:uid="{00000000-0005-0000-0000-0000E2260000}"/>
    <cellStyle name="Normal 6 11 4" xfId="24131" xr:uid="{00000000-0005-0000-0000-0000E3260000}"/>
    <cellStyle name="Normal 6 11 5" xfId="26417" xr:uid="{00000000-0005-0000-0000-0000E4260000}"/>
    <cellStyle name="Normal 6 11 6" xfId="33060" xr:uid="{1789782C-EC10-4EEC-AD15-58B3BB5688C5}"/>
    <cellStyle name="Normal 6 12" xfId="842" xr:uid="{00000000-0005-0000-0000-0000E5260000}"/>
    <cellStyle name="Normal 6 12 2" xfId="2191" xr:uid="{00000000-0005-0000-0000-0000E6260000}"/>
    <cellStyle name="Normal 6 12 3" xfId="41544" xr:uid="{888206F0-6748-4B2D-B973-9A66B7A48BE4}"/>
    <cellStyle name="Normal 6 13" xfId="1758" xr:uid="{00000000-0005-0000-0000-0000E7260000}"/>
    <cellStyle name="Normal 6 13 2" xfId="2856" xr:uid="{00000000-0005-0000-0000-0000E8260000}"/>
    <cellStyle name="Normal 6 13 3" xfId="26127" xr:uid="{00000000-0005-0000-0000-0000E9260000}"/>
    <cellStyle name="Normal 6 14" xfId="1781" xr:uid="{00000000-0005-0000-0000-0000EA260000}"/>
    <cellStyle name="Normal 6 14 2" xfId="2877" xr:uid="{00000000-0005-0000-0000-0000EB260000}"/>
    <cellStyle name="Normal 6 15" xfId="2184" xr:uid="{00000000-0005-0000-0000-0000EC260000}"/>
    <cellStyle name="Normal 6 16" xfId="5166" xr:uid="{00000000-0005-0000-0000-0000ED260000}"/>
    <cellStyle name="Normal 6 17" xfId="24175" xr:uid="{00000000-0005-0000-0000-0000EE260000}"/>
    <cellStyle name="Normal 6 18" xfId="24918" xr:uid="{00000000-0005-0000-0000-0000EF260000}"/>
    <cellStyle name="Normal 6 19" xfId="32571" xr:uid="{1AF1F876-A748-45DB-92E9-DA30507E17B5}"/>
    <cellStyle name="Normal 6 2" xfId="843" xr:uid="{00000000-0005-0000-0000-0000F0260000}"/>
    <cellStyle name="Normal 6 2 10" xfId="844" xr:uid="{00000000-0005-0000-0000-0000F1260000}"/>
    <cellStyle name="Normal 6 2 10 2" xfId="2192" xr:uid="{00000000-0005-0000-0000-0000F2260000}"/>
    <cellStyle name="Normal 6 2 10 3" xfId="41545" xr:uid="{4C7F1E80-364A-414B-944B-317A835FC527}"/>
    <cellStyle name="Normal 6 2 11" xfId="5248" xr:uid="{00000000-0005-0000-0000-0000F3260000}"/>
    <cellStyle name="Normal 6 2 11 2" xfId="26128" xr:uid="{00000000-0005-0000-0000-0000F4260000}"/>
    <cellStyle name="Normal 6 2 12" xfId="24176" xr:uid="{00000000-0005-0000-0000-0000F5260000}"/>
    <cellStyle name="Normal 6 2 13" xfId="24919" xr:uid="{00000000-0005-0000-0000-0000F6260000}"/>
    <cellStyle name="Normal 6 2 14" xfId="26103" xr:uid="{00000000-0005-0000-0000-0000F7260000}"/>
    <cellStyle name="Normal 6 2 15" xfId="32686" xr:uid="{986181C5-182D-45E6-90E3-53E26CCC9832}"/>
    <cellStyle name="Normal 6 2 2" xfId="845" xr:uid="{00000000-0005-0000-0000-0000F8260000}"/>
    <cellStyle name="Normal 6 2 2 10" xfId="2193" xr:uid="{00000000-0005-0000-0000-0000F9260000}"/>
    <cellStyle name="Normal 6 2 2 11" xfId="5390" xr:uid="{00000000-0005-0000-0000-0000FA260000}"/>
    <cellStyle name="Normal 6 2 2 12" xfId="24177" xr:uid="{00000000-0005-0000-0000-0000FB260000}"/>
    <cellStyle name="Normal 6 2 2 13" xfId="24920" xr:uid="{00000000-0005-0000-0000-0000FC260000}"/>
    <cellStyle name="Normal 6 2 2 14" xfId="26129" xr:uid="{00000000-0005-0000-0000-0000FD260000}"/>
    <cellStyle name="Normal 6 2 2 15" xfId="32687" xr:uid="{5D136CE4-3C24-409B-B0E9-74A808E6B6EE}"/>
    <cellStyle name="Normal 6 2 2 2" xfId="846" xr:uid="{00000000-0005-0000-0000-0000FE260000}"/>
    <cellStyle name="Normal 6 2 2 2 10" xfId="7933" xr:uid="{00000000-0005-0000-0000-0000FF260000}"/>
    <cellStyle name="Normal 6 2 2 2 11" xfId="24178" xr:uid="{00000000-0005-0000-0000-000000270000}"/>
    <cellStyle name="Normal 6 2 2 2 12" xfId="24921" xr:uid="{00000000-0005-0000-0000-000001270000}"/>
    <cellStyle name="Normal 6 2 2 2 13" xfId="26130" xr:uid="{00000000-0005-0000-0000-000002270000}"/>
    <cellStyle name="Normal 6 2 2 2 14" xfId="32688" xr:uid="{C49C8030-A444-4F36-82A7-FBD12152DC37}"/>
    <cellStyle name="Normal 6 2 2 2 2" xfId="847" xr:uid="{00000000-0005-0000-0000-000003270000}"/>
    <cellStyle name="Normal 6 2 2 2 2 10" xfId="32722" xr:uid="{85A2D451-F9AD-4139-9BB3-7626C124CEA0}"/>
    <cellStyle name="Normal 6 2 2 2 2 2" xfId="848" xr:uid="{00000000-0005-0000-0000-000004270000}"/>
    <cellStyle name="Normal 6 2 2 2 2 2 2" xfId="849" xr:uid="{00000000-0005-0000-0000-000005270000}"/>
    <cellStyle name="Normal 6 2 2 2 2 2 2 2" xfId="850" xr:uid="{00000000-0005-0000-0000-000006270000}"/>
    <cellStyle name="Normal 6 2 2 2 2 2 2 2 2" xfId="2198" xr:uid="{00000000-0005-0000-0000-000007270000}"/>
    <cellStyle name="Normal 6 2 2 2 2 2 2 2 2 2" xfId="24883" xr:uid="{00000000-0005-0000-0000-000008270000}"/>
    <cellStyle name="Normal 6 2 2 2 2 2 2 2 2 3" xfId="25606" xr:uid="{00000000-0005-0000-0000-000009270000}"/>
    <cellStyle name="Normal 6 2 2 2 2 2 2 2 3" xfId="24504" xr:uid="{00000000-0005-0000-0000-00000A270000}"/>
    <cellStyle name="Normal 6 2 2 2 2 2 2 2 4" xfId="25249" xr:uid="{00000000-0005-0000-0000-00000B270000}"/>
    <cellStyle name="Normal 6 2 2 2 2 2 2 2 5" xfId="41850" xr:uid="{4B96A637-1371-410A-A67A-892E4D745086}"/>
    <cellStyle name="Normal 6 2 2 2 2 2 2 3" xfId="2197" xr:uid="{00000000-0005-0000-0000-00000C270000}"/>
    <cellStyle name="Normal 6 2 2 2 2 2 2 3 2" xfId="24703" xr:uid="{00000000-0005-0000-0000-00000D270000}"/>
    <cellStyle name="Normal 6 2 2 2 2 2 2 3 3" xfId="25426" xr:uid="{00000000-0005-0000-0000-00000E270000}"/>
    <cellStyle name="Normal 6 2 2 2 2 2 2 4" xfId="24324" xr:uid="{00000000-0005-0000-0000-00000F270000}"/>
    <cellStyle name="Normal 6 2 2 2 2 2 2 5" xfId="25069" xr:uid="{00000000-0005-0000-0000-000010270000}"/>
    <cellStyle name="Normal 6 2 2 2 2 2 2 6" xfId="26505" xr:uid="{00000000-0005-0000-0000-000011270000}"/>
    <cellStyle name="Normal 6 2 2 2 2 2 2 7" xfId="33148" xr:uid="{D2B1BA5A-1B61-4133-8464-F7F040C15FB4}"/>
    <cellStyle name="Normal 6 2 2 2 2 2 3" xfId="851" xr:uid="{00000000-0005-0000-0000-000012270000}"/>
    <cellStyle name="Normal 6 2 2 2 2 2 3 2" xfId="2199" xr:uid="{00000000-0005-0000-0000-000013270000}"/>
    <cellStyle name="Normal 6 2 2 2 2 2 3 2 2" xfId="24795" xr:uid="{00000000-0005-0000-0000-000014270000}"/>
    <cellStyle name="Normal 6 2 2 2 2 2 3 2 3" xfId="25518" xr:uid="{00000000-0005-0000-0000-000015270000}"/>
    <cellStyle name="Normal 6 2 2 2 2 2 3 3" xfId="24416" xr:uid="{00000000-0005-0000-0000-000016270000}"/>
    <cellStyle name="Normal 6 2 2 2 2 2 3 4" xfId="25161" xr:uid="{00000000-0005-0000-0000-000017270000}"/>
    <cellStyle name="Normal 6 2 2 2 2 2 3 5" xfId="41634" xr:uid="{3FB2E797-547B-4C0A-A067-D7A8C5E2D42D}"/>
    <cellStyle name="Normal 6 2 2 2 2 2 4" xfId="2196" xr:uid="{00000000-0005-0000-0000-000018270000}"/>
    <cellStyle name="Normal 6 2 2 2 2 2 4 2" xfId="24615" xr:uid="{00000000-0005-0000-0000-000019270000}"/>
    <cellStyle name="Normal 6 2 2 2 2 2 4 3" xfId="25338" xr:uid="{00000000-0005-0000-0000-00001A270000}"/>
    <cellStyle name="Normal 6 2 2 2 2 2 5" xfId="24236" xr:uid="{00000000-0005-0000-0000-00001B270000}"/>
    <cellStyle name="Normal 6 2 2 2 2 2 6" xfId="24981" xr:uid="{00000000-0005-0000-0000-00001C270000}"/>
    <cellStyle name="Normal 6 2 2 2 2 2 7" xfId="26289" xr:uid="{00000000-0005-0000-0000-00001D270000}"/>
    <cellStyle name="Normal 6 2 2 2 2 2 8" xfId="32926" xr:uid="{381F7034-A86B-4182-A5D5-E462B8E11B89}"/>
    <cellStyle name="Normal 6 2 2 2 2 3" xfId="852" xr:uid="{00000000-0005-0000-0000-00001E270000}"/>
    <cellStyle name="Normal 6 2 2 2 2 3 2" xfId="853" xr:uid="{00000000-0005-0000-0000-00001F270000}"/>
    <cellStyle name="Normal 6 2 2 2 2 3 2 2" xfId="854" xr:uid="{00000000-0005-0000-0000-000020270000}"/>
    <cellStyle name="Normal 6 2 2 2 2 3 2 2 2" xfId="2202" xr:uid="{00000000-0005-0000-0000-000021270000}"/>
    <cellStyle name="Normal 6 2 2 2 2 3 2 2 3" xfId="24839" xr:uid="{00000000-0005-0000-0000-000022270000}"/>
    <cellStyle name="Normal 6 2 2 2 2 3 2 2 4" xfId="25562" xr:uid="{00000000-0005-0000-0000-000023270000}"/>
    <cellStyle name="Normal 6 2 2 2 2 3 2 2 5" xfId="41922" xr:uid="{882C3CA8-527A-4013-966C-70A03823E727}"/>
    <cellStyle name="Normal 6 2 2 2 2 3 2 3" xfId="2201" xr:uid="{00000000-0005-0000-0000-000024270000}"/>
    <cellStyle name="Normal 6 2 2 2 2 3 2 4" xfId="24460" xr:uid="{00000000-0005-0000-0000-000025270000}"/>
    <cellStyle name="Normal 6 2 2 2 2 3 2 5" xfId="25205" xr:uid="{00000000-0005-0000-0000-000026270000}"/>
    <cellStyle name="Normal 6 2 2 2 2 3 2 6" xfId="26577" xr:uid="{00000000-0005-0000-0000-000027270000}"/>
    <cellStyle name="Normal 6 2 2 2 2 3 2 7" xfId="33220" xr:uid="{56DB1A1A-672B-4CF9-9EBC-8C79454DE405}"/>
    <cellStyle name="Normal 6 2 2 2 2 3 3" xfId="855" xr:uid="{00000000-0005-0000-0000-000028270000}"/>
    <cellStyle name="Normal 6 2 2 2 2 3 3 2" xfId="2203" xr:uid="{00000000-0005-0000-0000-000029270000}"/>
    <cellStyle name="Normal 6 2 2 2 2 3 3 3" xfId="24659" xr:uid="{00000000-0005-0000-0000-00002A270000}"/>
    <cellStyle name="Normal 6 2 2 2 2 3 3 4" xfId="25382" xr:uid="{00000000-0005-0000-0000-00002B270000}"/>
    <cellStyle name="Normal 6 2 2 2 2 3 3 5" xfId="41706" xr:uid="{76DC7BB6-ECEE-448E-9345-2C714FC480E3}"/>
    <cellStyle name="Normal 6 2 2 2 2 3 4" xfId="2200" xr:uid="{00000000-0005-0000-0000-00002C270000}"/>
    <cellStyle name="Normal 6 2 2 2 2 3 5" xfId="24280" xr:uid="{00000000-0005-0000-0000-00002D270000}"/>
    <cellStyle name="Normal 6 2 2 2 2 3 6" xfId="25025" xr:uid="{00000000-0005-0000-0000-00002E270000}"/>
    <cellStyle name="Normal 6 2 2 2 2 3 7" xfId="26361" xr:uid="{00000000-0005-0000-0000-00002F270000}"/>
    <cellStyle name="Normal 6 2 2 2 2 3 8" xfId="33004" xr:uid="{7630D906-690C-4498-97F5-F219DA6E97EC}"/>
    <cellStyle name="Normal 6 2 2 2 2 4" xfId="856" xr:uid="{00000000-0005-0000-0000-000030270000}"/>
    <cellStyle name="Normal 6 2 2 2 2 4 2" xfId="857" xr:uid="{00000000-0005-0000-0000-000031270000}"/>
    <cellStyle name="Normal 6 2 2 2 2 4 2 2" xfId="2205" xr:uid="{00000000-0005-0000-0000-000032270000}"/>
    <cellStyle name="Normal 6 2 2 2 2 4 2 3" xfId="24751" xr:uid="{00000000-0005-0000-0000-000033270000}"/>
    <cellStyle name="Normal 6 2 2 2 2 4 2 4" xfId="25474" xr:uid="{00000000-0005-0000-0000-000034270000}"/>
    <cellStyle name="Normal 6 2 2 2 2 4 2 5" xfId="41778" xr:uid="{F0FF74F7-8CA4-4DC5-9203-252D148C5C4B}"/>
    <cellStyle name="Normal 6 2 2 2 2 4 3" xfId="2204" xr:uid="{00000000-0005-0000-0000-000035270000}"/>
    <cellStyle name="Normal 6 2 2 2 2 4 4" xfId="24372" xr:uid="{00000000-0005-0000-0000-000036270000}"/>
    <cellStyle name="Normal 6 2 2 2 2 4 5" xfId="25117" xr:uid="{00000000-0005-0000-0000-000037270000}"/>
    <cellStyle name="Normal 6 2 2 2 2 4 6" xfId="26433" xr:uid="{00000000-0005-0000-0000-000038270000}"/>
    <cellStyle name="Normal 6 2 2 2 2 4 7" xfId="33076" xr:uid="{0F13C800-D00B-45D1-8AEC-687C57E086C6}"/>
    <cellStyle name="Normal 6 2 2 2 2 5" xfId="858" xr:uid="{00000000-0005-0000-0000-000039270000}"/>
    <cellStyle name="Normal 6 2 2 2 2 5 2" xfId="2206" xr:uid="{00000000-0005-0000-0000-00003A270000}"/>
    <cellStyle name="Normal 6 2 2 2 2 5 3" xfId="24571" xr:uid="{00000000-0005-0000-0000-00003B270000}"/>
    <cellStyle name="Normal 6 2 2 2 2 5 4" xfId="25294" xr:uid="{00000000-0005-0000-0000-00003C270000}"/>
    <cellStyle name="Normal 6 2 2 2 2 5 5" xfId="41562" xr:uid="{3E5ACC73-F6AB-414C-B9B5-BA526C3A38E1}"/>
    <cellStyle name="Normal 6 2 2 2 2 6" xfId="2195" xr:uid="{00000000-0005-0000-0000-00003D270000}"/>
    <cellStyle name="Normal 6 2 2 2 2 7" xfId="24192" xr:uid="{00000000-0005-0000-0000-00003E270000}"/>
    <cellStyle name="Normal 6 2 2 2 2 8" xfId="24937" xr:uid="{00000000-0005-0000-0000-00003F270000}"/>
    <cellStyle name="Normal 6 2 2 2 2 9" xfId="26149" xr:uid="{00000000-0005-0000-0000-000040270000}"/>
    <cellStyle name="Normal 6 2 2 2 3" xfId="859" xr:uid="{00000000-0005-0000-0000-000041270000}"/>
    <cellStyle name="Normal 6 2 2 2 3 10" xfId="32735" xr:uid="{2A19653F-D312-4CC2-9B1E-E8DF276746BD}"/>
    <cellStyle name="Normal 6 2 2 2 3 2" xfId="860" xr:uid="{00000000-0005-0000-0000-000042270000}"/>
    <cellStyle name="Normal 6 2 2 2 3 2 2" xfId="861" xr:uid="{00000000-0005-0000-0000-000043270000}"/>
    <cellStyle name="Normal 6 2 2 2 3 2 2 2" xfId="862" xr:uid="{00000000-0005-0000-0000-000044270000}"/>
    <cellStyle name="Normal 6 2 2 2 3 2 2 2 2" xfId="2210" xr:uid="{00000000-0005-0000-0000-000045270000}"/>
    <cellStyle name="Normal 6 2 2 2 3 2 2 2 3" xfId="24870" xr:uid="{00000000-0005-0000-0000-000046270000}"/>
    <cellStyle name="Normal 6 2 2 2 3 2 2 2 4" xfId="25593" xr:uid="{00000000-0005-0000-0000-000047270000}"/>
    <cellStyle name="Normal 6 2 2 2 3 2 2 2 5" xfId="41863" xr:uid="{4A5F7893-AB32-4D73-B7CB-87B305F744F2}"/>
    <cellStyle name="Normal 6 2 2 2 3 2 2 3" xfId="2209" xr:uid="{00000000-0005-0000-0000-000048270000}"/>
    <cellStyle name="Normal 6 2 2 2 3 2 2 4" xfId="24491" xr:uid="{00000000-0005-0000-0000-000049270000}"/>
    <cellStyle name="Normal 6 2 2 2 3 2 2 5" xfId="25236" xr:uid="{00000000-0005-0000-0000-00004A270000}"/>
    <cellStyle name="Normal 6 2 2 2 3 2 2 6" xfId="26518" xr:uid="{00000000-0005-0000-0000-00004B270000}"/>
    <cellStyle name="Normal 6 2 2 2 3 2 2 7" xfId="33161" xr:uid="{67B88F1D-A67F-4A1E-B467-0307AEE735A7}"/>
    <cellStyle name="Normal 6 2 2 2 3 2 3" xfId="863" xr:uid="{00000000-0005-0000-0000-00004C270000}"/>
    <cellStyle name="Normal 6 2 2 2 3 2 3 2" xfId="2211" xr:uid="{00000000-0005-0000-0000-00004D270000}"/>
    <cellStyle name="Normal 6 2 2 2 3 2 3 3" xfId="24690" xr:uid="{00000000-0005-0000-0000-00004E270000}"/>
    <cellStyle name="Normal 6 2 2 2 3 2 3 4" xfId="25413" xr:uid="{00000000-0005-0000-0000-00004F270000}"/>
    <cellStyle name="Normal 6 2 2 2 3 2 3 5" xfId="41647" xr:uid="{A8347203-74F6-4271-8163-06470AF2975D}"/>
    <cellStyle name="Normal 6 2 2 2 3 2 4" xfId="2208" xr:uid="{00000000-0005-0000-0000-000050270000}"/>
    <cellStyle name="Normal 6 2 2 2 3 2 5" xfId="24311" xr:uid="{00000000-0005-0000-0000-000051270000}"/>
    <cellStyle name="Normal 6 2 2 2 3 2 6" xfId="25056" xr:uid="{00000000-0005-0000-0000-000052270000}"/>
    <cellStyle name="Normal 6 2 2 2 3 2 7" xfId="26302" xr:uid="{00000000-0005-0000-0000-000053270000}"/>
    <cellStyle name="Normal 6 2 2 2 3 2 8" xfId="32939" xr:uid="{7A0058C4-2713-4D60-B896-C84EB18A0FA0}"/>
    <cellStyle name="Normal 6 2 2 2 3 3" xfId="864" xr:uid="{00000000-0005-0000-0000-000054270000}"/>
    <cellStyle name="Normal 6 2 2 2 3 3 2" xfId="865" xr:uid="{00000000-0005-0000-0000-000055270000}"/>
    <cellStyle name="Normal 6 2 2 2 3 3 2 2" xfId="866" xr:uid="{00000000-0005-0000-0000-000056270000}"/>
    <cellStyle name="Normal 6 2 2 2 3 3 2 2 2" xfId="2214" xr:uid="{00000000-0005-0000-0000-000057270000}"/>
    <cellStyle name="Normal 6 2 2 2 3 3 2 2 3" xfId="41935" xr:uid="{2CE8D739-55F3-45F2-B585-22F698F1D0E6}"/>
    <cellStyle name="Normal 6 2 2 2 3 3 2 3" xfId="2213" xr:uid="{00000000-0005-0000-0000-000058270000}"/>
    <cellStyle name="Normal 6 2 2 2 3 3 2 4" xfId="24782" xr:uid="{00000000-0005-0000-0000-000059270000}"/>
    <cellStyle name="Normal 6 2 2 2 3 3 2 5" xfId="25505" xr:uid="{00000000-0005-0000-0000-00005A270000}"/>
    <cellStyle name="Normal 6 2 2 2 3 3 2 6" xfId="26590" xr:uid="{00000000-0005-0000-0000-00005B270000}"/>
    <cellStyle name="Normal 6 2 2 2 3 3 2 7" xfId="33233" xr:uid="{5CAE580C-D0F4-4D48-9FFB-117679845E02}"/>
    <cellStyle name="Normal 6 2 2 2 3 3 3" xfId="867" xr:uid="{00000000-0005-0000-0000-00005C270000}"/>
    <cellStyle name="Normal 6 2 2 2 3 3 3 2" xfId="2215" xr:uid="{00000000-0005-0000-0000-00005D270000}"/>
    <cellStyle name="Normal 6 2 2 2 3 3 3 3" xfId="41719" xr:uid="{BB3AD74E-5D3C-4205-82EB-A15FC4EE706A}"/>
    <cellStyle name="Normal 6 2 2 2 3 3 4" xfId="2212" xr:uid="{00000000-0005-0000-0000-00005E270000}"/>
    <cellStyle name="Normal 6 2 2 2 3 3 5" xfId="24403" xr:uid="{00000000-0005-0000-0000-00005F270000}"/>
    <cellStyle name="Normal 6 2 2 2 3 3 6" xfId="25148" xr:uid="{00000000-0005-0000-0000-000060270000}"/>
    <cellStyle name="Normal 6 2 2 2 3 3 7" xfId="26374" xr:uid="{00000000-0005-0000-0000-000061270000}"/>
    <cellStyle name="Normal 6 2 2 2 3 3 8" xfId="33017" xr:uid="{FA45CF38-DBC6-48E2-9D18-F0094AB5C806}"/>
    <cellStyle name="Normal 6 2 2 2 3 4" xfId="868" xr:uid="{00000000-0005-0000-0000-000062270000}"/>
    <cellStyle name="Normal 6 2 2 2 3 4 2" xfId="869" xr:uid="{00000000-0005-0000-0000-000063270000}"/>
    <cellStyle name="Normal 6 2 2 2 3 4 2 2" xfId="2217" xr:uid="{00000000-0005-0000-0000-000064270000}"/>
    <cellStyle name="Normal 6 2 2 2 3 4 2 3" xfId="41791" xr:uid="{0A99D8EE-74B1-4315-9148-B73B40CD62AA}"/>
    <cellStyle name="Normal 6 2 2 2 3 4 3" xfId="2216" xr:uid="{00000000-0005-0000-0000-000065270000}"/>
    <cellStyle name="Normal 6 2 2 2 3 4 4" xfId="24602" xr:uid="{00000000-0005-0000-0000-000066270000}"/>
    <cellStyle name="Normal 6 2 2 2 3 4 5" xfId="25325" xr:uid="{00000000-0005-0000-0000-000067270000}"/>
    <cellStyle name="Normal 6 2 2 2 3 4 6" xfId="26446" xr:uid="{00000000-0005-0000-0000-000068270000}"/>
    <cellStyle name="Normal 6 2 2 2 3 4 7" xfId="33089" xr:uid="{DE6C191A-225F-4286-93A1-0210A9170BBF}"/>
    <cellStyle name="Normal 6 2 2 2 3 5" xfId="870" xr:uid="{00000000-0005-0000-0000-000069270000}"/>
    <cellStyle name="Normal 6 2 2 2 3 5 2" xfId="2218" xr:uid="{00000000-0005-0000-0000-00006A270000}"/>
    <cellStyle name="Normal 6 2 2 2 3 5 3" xfId="41575" xr:uid="{6DAE9A43-7815-4B23-8E13-0C67A86D3BA8}"/>
    <cellStyle name="Normal 6 2 2 2 3 6" xfId="2207" xr:uid="{00000000-0005-0000-0000-00006B270000}"/>
    <cellStyle name="Normal 6 2 2 2 3 7" xfId="24223" xr:uid="{00000000-0005-0000-0000-00006C270000}"/>
    <cellStyle name="Normal 6 2 2 2 3 8" xfId="24968" xr:uid="{00000000-0005-0000-0000-00006D270000}"/>
    <cellStyle name="Normal 6 2 2 2 3 9" xfId="26162" xr:uid="{00000000-0005-0000-0000-00006E270000}"/>
    <cellStyle name="Normal 6 2 2 2 4" xfId="871" xr:uid="{00000000-0005-0000-0000-00006F270000}"/>
    <cellStyle name="Normal 6 2 2 2 4 10" xfId="32873" xr:uid="{7239D455-3B6D-456C-9312-1721FCCD7BB6}"/>
    <cellStyle name="Normal 6 2 2 2 4 2" xfId="872" xr:uid="{00000000-0005-0000-0000-000070270000}"/>
    <cellStyle name="Normal 6 2 2 2 4 2 2" xfId="873" xr:uid="{00000000-0005-0000-0000-000071270000}"/>
    <cellStyle name="Normal 6 2 2 2 4 2 2 2" xfId="874" xr:uid="{00000000-0005-0000-0000-000072270000}"/>
    <cellStyle name="Normal 6 2 2 2 4 2 2 2 2" xfId="2222" xr:uid="{00000000-0005-0000-0000-000073270000}"/>
    <cellStyle name="Normal 6 2 2 2 4 2 2 2 3" xfId="41890" xr:uid="{FCE000CF-7701-4869-BF8E-CFDDAAE0879E}"/>
    <cellStyle name="Normal 6 2 2 2 4 2 2 3" xfId="2221" xr:uid="{00000000-0005-0000-0000-000074270000}"/>
    <cellStyle name="Normal 6 2 2 2 4 2 2 4" xfId="24826" xr:uid="{00000000-0005-0000-0000-000075270000}"/>
    <cellStyle name="Normal 6 2 2 2 4 2 2 5" xfId="25549" xr:uid="{00000000-0005-0000-0000-000076270000}"/>
    <cellStyle name="Normal 6 2 2 2 4 2 2 6" xfId="26545" xr:uid="{00000000-0005-0000-0000-000077270000}"/>
    <cellStyle name="Normal 6 2 2 2 4 2 2 7" xfId="33188" xr:uid="{87C1208F-03A6-4930-BAEA-B79F565DB244}"/>
    <cellStyle name="Normal 6 2 2 2 4 2 3" xfId="875" xr:uid="{00000000-0005-0000-0000-000078270000}"/>
    <cellStyle name="Normal 6 2 2 2 4 2 3 2" xfId="2223" xr:uid="{00000000-0005-0000-0000-000079270000}"/>
    <cellStyle name="Normal 6 2 2 2 4 2 3 3" xfId="41674" xr:uid="{E39B4771-CF9E-4B48-AF6F-5C3610C0F049}"/>
    <cellStyle name="Normal 6 2 2 2 4 2 4" xfId="2220" xr:uid="{00000000-0005-0000-0000-00007A270000}"/>
    <cellStyle name="Normal 6 2 2 2 4 2 5" xfId="24447" xr:uid="{00000000-0005-0000-0000-00007B270000}"/>
    <cellStyle name="Normal 6 2 2 2 4 2 6" xfId="25192" xr:uid="{00000000-0005-0000-0000-00007C270000}"/>
    <cellStyle name="Normal 6 2 2 2 4 2 7" xfId="26329" xr:uid="{00000000-0005-0000-0000-00007D270000}"/>
    <cellStyle name="Normal 6 2 2 2 4 2 8" xfId="32972" xr:uid="{FAFF2CDA-1BF4-4140-8639-1A50265A1F3C}"/>
    <cellStyle name="Normal 6 2 2 2 4 3" xfId="876" xr:uid="{00000000-0005-0000-0000-00007E270000}"/>
    <cellStyle name="Normal 6 2 2 2 4 3 2" xfId="877" xr:uid="{00000000-0005-0000-0000-00007F270000}"/>
    <cellStyle name="Normal 6 2 2 2 4 3 2 2" xfId="878" xr:uid="{00000000-0005-0000-0000-000080270000}"/>
    <cellStyle name="Normal 6 2 2 2 4 3 2 2 2" xfId="2226" xr:uid="{00000000-0005-0000-0000-000081270000}"/>
    <cellStyle name="Normal 6 2 2 2 4 3 2 2 3" xfId="41962" xr:uid="{5AB202EB-E8DD-43FE-B54B-602A08BECAC1}"/>
    <cellStyle name="Normal 6 2 2 2 4 3 2 3" xfId="2225" xr:uid="{00000000-0005-0000-0000-000082270000}"/>
    <cellStyle name="Normal 6 2 2 2 4 3 2 4" xfId="26617" xr:uid="{00000000-0005-0000-0000-000083270000}"/>
    <cellStyle name="Normal 6 2 2 2 4 3 2 5" xfId="33260" xr:uid="{44C38F08-D0BF-4295-8541-C3EF8227D7C0}"/>
    <cellStyle name="Normal 6 2 2 2 4 3 3" xfId="879" xr:uid="{00000000-0005-0000-0000-000084270000}"/>
    <cellStyle name="Normal 6 2 2 2 4 3 3 2" xfId="2227" xr:uid="{00000000-0005-0000-0000-000085270000}"/>
    <cellStyle name="Normal 6 2 2 2 4 3 3 3" xfId="41746" xr:uid="{A4BEAAE3-530B-439D-B195-21DD8C38DF78}"/>
    <cellStyle name="Normal 6 2 2 2 4 3 4" xfId="2224" xr:uid="{00000000-0005-0000-0000-000086270000}"/>
    <cellStyle name="Normal 6 2 2 2 4 3 5" xfId="24646" xr:uid="{00000000-0005-0000-0000-000087270000}"/>
    <cellStyle name="Normal 6 2 2 2 4 3 6" xfId="25369" xr:uid="{00000000-0005-0000-0000-000088270000}"/>
    <cellStyle name="Normal 6 2 2 2 4 3 7" xfId="26401" xr:uid="{00000000-0005-0000-0000-000089270000}"/>
    <cellStyle name="Normal 6 2 2 2 4 3 8" xfId="33044" xr:uid="{20F5EF2D-8571-4513-8F3B-226DB75543F3}"/>
    <cellStyle name="Normal 6 2 2 2 4 4" xfId="880" xr:uid="{00000000-0005-0000-0000-00008A270000}"/>
    <cellStyle name="Normal 6 2 2 2 4 4 2" xfId="881" xr:uid="{00000000-0005-0000-0000-00008B270000}"/>
    <cellStyle name="Normal 6 2 2 2 4 4 2 2" xfId="2229" xr:uid="{00000000-0005-0000-0000-00008C270000}"/>
    <cellStyle name="Normal 6 2 2 2 4 4 2 3" xfId="41818" xr:uid="{BFBD0803-CCE3-4BD3-B636-D29782074702}"/>
    <cellStyle name="Normal 6 2 2 2 4 4 3" xfId="2228" xr:uid="{00000000-0005-0000-0000-00008D270000}"/>
    <cellStyle name="Normal 6 2 2 2 4 4 4" xfId="26473" xr:uid="{00000000-0005-0000-0000-00008E270000}"/>
    <cellStyle name="Normal 6 2 2 2 4 4 5" xfId="33116" xr:uid="{46B0076A-F688-4881-B07E-783D8EE56B18}"/>
    <cellStyle name="Normal 6 2 2 2 4 5" xfId="882" xr:uid="{00000000-0005-0000-0000-00008F270000}"/>
    <cellStyle name="Normal 6 2 2 2 4 5 2" xfId="2230" xr:uid="{00000000-0005-0000-0000-000090270000}"/>
    <cellStyle name="Normal 6 2 2 2 4 5 3" xfId="41602" xr:uid="{0CB5BCCC-9885-4C3C-A829-C997CAEA2B00}"/>
    <cellStyle name="Normal 6 2 2 2 4 6" xfId="2219" xr:uid="{00000000-0005-0000-0000-000091270000}"/>
    <cellStyle name="Normal 6 2 2 2 4 7" xfId="24267" xr:uid="{00000000-0005-0000-0000-000092270000}"/>
    <cellStyle name="Normal 6 2 2 2 4 8" xfId="25012" xr:uid="{00000000-0005-0000-0000-000093270000}"/>
    <cellStyle name="Normal 6 2 2 2 4 9" xfId="26257" xr:uid="{00000000-0005-0000-0000-000094270000}"/>
    <cellStyle name="Normal 6 2 2 2 5" xfId="883" xr:uid="{00000000-0005-0000-0000-000095270000}"/>
    <cellStyle name="Normal 6 2 2 2 5 2" xfId="884" xr:uid="{00000000-0005-0000-0000-000096270000}"/>
    <cellStyle name="Normal 6 2 2 2 5 2 2" xfId="885" xr:uid="{00000000-0005-0000-0000-000097270000}"/>
    <cellStyle name="Normal 6 2 2 2 5 2 2 2" xfId="2233" xr:uid="{00000000-0005-0000-0000-000098270000}"/>
    <cellStyle name="Normal 6 2 2 2 5 2 2 3" xfId="41837" xr:uid="{4F2DDCF5-9B31-407B-8426-5E57DABD128F}"/>
    <cellStyle name="Normal 6 2 2 2 5 2 3" xfId="2232" xr:uid="{00000000-0005-0000-0000-000099270000}"/>
    <cellStyle name="Normal 6 2 2 2 5 2 4" xfId="24736" xr:uid="{00000000-0005-0000-0000-00009A270000}"/>
    <cellStyle name="Normal 6 2 2 2 5 2 5" xfId="25459" xr:uid="{00000000-0005-0000-0000-00009B270000}"/>
    <cellStyle name="Normal 6 2 2 2 5 2 6" xfId="26492" xr:uid="{00000000-0005-0000-0000-00009C270000}"/>
    <cellStyle name="Normal 6 2 2 2 5 2 7" xfId="33135" xr:uid="{AE1FFA44-AB9E-4DC0-A133-84EAE12AFD12}"/>
    <cellStyle name="Normal 6 2 2 2 5 3" xfId="886" xr:uid="{00000000-0005-0000-0000-00009D270000}"/>
    <cellStyle name="Normal 6 2 2 2 5 3 2" xfId="2234" xr:uid="{00000000-0005-0000-0000-00009E270000}"/>
    <cellStyle name="Normal 6 2 2 2 5 3 3" xfId="41621" xr:uid="{8FA80473-4493-4B0F-A084-E972F33F9733}"/>
    <cellStyle name="Normal 6 2 2 2 5 4" xfId="2231" xr:uid="{00000000-0005-0000-0000-00009F270000}"/>
    <cellStyle name="Normal 6 2 2 2 5 5" xfId="24357" xr:uid="{00000000-0005-0000-0000-0000A0270000}"/>
    <cellStyle name="Normal 6 2 2 2 5 6" xfId="25102" xr:uid="{00000000-0005-0000-0000-0000A1270000}"/>
    <cellStyle name="Normal 6 2 2 2 5 7" xfId="26276" xr:uid="{00000000-0005-0000-0000-0000A2270000}"/>
    <cellStyle name="Normal 6 2 2 2 5 8" xfId="32912" xr:uid="{40D11CB7-5C44-4E1F-AA3E-C1185C533866}"/>
    <cellStyle name="Normal 6 2 2 2 6" xfId="887" xr:uid="{00000000-0005-0000-0000-0000A3270000}"/>
    <cellStyle name="Normal 6 2 2 2 6 2" xfId="888" xr:uid="{00000000-0005-0000-0000-0000A4270000}"/>
    <cellStyle name="Normal 6 2 2 2 6 2 2" xfId="889" xr:uid="{00000000-0005-0000-0000-0000A5270000}"/>
    <cellStyle name="Normal 6 2 2 2 6 2 2 2" xfId="2237" xr:uid="{00000000-0005-0000-0000-0000A6270000}"/>
    <cellStyle name="Normal 6 2 2 2 6 2 2 3" xfId="41909" xr:uid="{B429ED42-A420-449F-BD1D-30DA6E9A98FB}"/>
    <cellStyle name="Normal 6 2 2 2 6 2 3" xfId="2236" xr:uid="{00000000-0005-0000-0000-0000A7270000}"/>
    <cellStyle name="Normal 6 2 2 2 6 2 4" xfId="26564" xr:uid="{00000000-0005-0000-0000-0000A8270000}"/>
    <cellStyle name="Normal 6 2 2 2 6 2 5" xfId="33207" xr:uid="{02E2C60A-A891-4289-B624-3B1B48AA84FC}"/>
    <cellStyle name="Normal 6 2 2 2 6 3" xfId="890" xr:uid="{00000000-0005-0000-0000-0000A9270000}"/>
    <cellStyle name="Normal 6 2 2 2 6 3 2" xfId="2238" xr:uid="{00000000-0005-0000-0000-0000AA270000}"/>
    <cellStyle name="Normal 6 2 2 2 6 3 3" xfId="41693" xr:uid="{DA2EEC38-8289-49E0-8EB2-F174163C8E68}"/>
    <cellStyle name="Normal 6 2 2 2 6 4" xfId="2235" xr:uid="{00000000-0005-0000-0000-0000AB270000}"/>
    <cellStyle name="Normal 6 2 2 2 6 5" xfId="24558" xr:uid="{00000000-0005-0000-0000-0000AC270000}"/>
    <cellStyle name="Normal 6 2 2 2 6 6" xfId="25281" xr:uid="{00000000-0005-0000-0000-0000AD270000}"/>
    <cellStyle name="Normal 6 2 2 2 6 7" xfId="26348" xr:uid="{00000000-0005-0000-0000-0000AE270000}"/>
    <cellStyle name="Normal 6 2 2 2 6 8" xfId="32991" xr:uid="{C91333B4-A094-4E10-BEA6-C263F89E2013}"/>
    <cellStyle name="Normal 6 2 2 2 7" xfId="891" xr:uid="{00000000-0005-0000-0000-0000AF270000}"/>
    <cellStyle name="Normal 6 2 2 2 7 2" xfId="892" xr:uid="{00000000-0005-0000-0000-0000B0270000}"/>
    <cellStyle name="Normal 6 2 2 2 7 2 2" xfId="2240" xr:uid="{00000000-0005-0000-0000-0000B1270000}"/>
    <cellStyle name="Normal 6 2 2 2 7 2 3" xfId="41765" xr:uid="{E022738C-7851-4830-82FB-BD7D091FDB18}"/>
    <cellStyle name="Normal 6 2 2 2 7 3" xfId="2239" xr:uid="{00000000-0005-0000-0000-0000B2270000}"/>
    <cellStyle name="Normal 6 2 2 2 7 4" xfId="26420" xr:uid="{00000000-0005-0000-0000-0000B3270000}"/>
    <cellStyle name="Normal 6 2 2 2 7 5" xfId="33063" xr:uid="{FB1FCF7A-4384-45DE-AD2E-2BE7659E0CBD}"/>
    <cellStyle name="Normal 6 2 2 2 8" xfId="893" xr:uid="{00000000-0005-0000-0000-0000B4270000}"/>
    <cellStyle name="Normal 6 2 2 2 8 2" xfId="2241" xr:uid="{00000000-0005-0000-0000-0000B5270000}"/>
    <cellStyle name="Normal 6 2 2 2 8 3" xfId="41547" xr:uid="{0C874DA3-05C3-48BC-8B43-A00E00274098}"/>
    <cellStyle name="Normal 6 2 2 2 9" xfId="2194" xr:uid="{00000000-0005-0000-0000-0000B6270000}"/>
    <cellStyle name="Normal 6 2 2 3" xfId="894" xr:uid="{00000000-0005-0000-0000-0000B7270000}"/>
    <cellStyle name="Normal 6 2 2 3 10" xfId="26148" xr:uid="{00000000-0005-0000-0000-0000B8270000}"/>
    <cellStyle name="Normal 6 2 2 3 11" xfId="32721" xr:uid="{0D4FBBD9-DB76-4DAC-ACFB-356550CF4157}"/>
    <cellStyle name="Normal 6 2 2 3 2" xfId="895" xr:uid="{00000000-0005-0000-0000-0000B9270000}"/>
    <cellStyle name="Normal 6 2 2 3 2 2" xfId="896" xr:uid="{00000000-0005-0000-0000-0000BA270000}"/>
    <cellStyle name="Normal 6 2 2 3 2 2 2" xfId="897" xr:uid="{00000000-0005-0000-0000-0000BB270000}"/>
    <cellStyle name="Normal 6 2 2 3 2 2 2 2" xfId="2245" xr:uid="{00000000-0005-0000-0000-0000BC270000}"/>
    <cellStyle name="Normal 6 2 2 3 2 2 2 2 2" xfId="24882" xr:uid="{00000000-0005-0000-0000-0000BD270000}"/>
    <cellStyle name="Normal 6 2 2 3 2 2 2 2 3" xfId="25605" xr:uid="{00000000-0005-0000-0000-0000BE270000}"/>
    <cellStyle name="Normal 6 2 2 3 2 2 2 3" xfId="24503" xr:uid="{00000000-0005-0000-0000-0000BF270000}"/>
    <cellStyle name="Normal 6 2 2 3 2 2 2 4" xfId="25248" xr:uid="{00000000-0005-0000-0000-0000C0270000}"/>
    <cellStyle name="Normal 6 2 2 3 2 2 2 5" xfId="41849" xr:uid="{D4E05D0C-2276-4E0D-9449-4650AC55A85D}"/>
    <cellStyle name="Normal 6 2 2 3 2 2 3" xfId="2244" xr:uid="{00000000-0005-0000-0000-0000C1270000}"/>
    <cellStyle name="Normal 6 2 2 3 2 2 3 2" xfId="24702" xr:uid="{00000000-0005-0000-0000-0000C2270000}"/>
    <cellStyle name="Normal 6 2 2 3 2 2 3 3" xfId="25425" xr:uid="{00000000-0005-0000-0000-0000C3270000}"/>
    <cellStyle name="Normal 6 2 2 3 2 2 4" xfId="24323" xr:uid="{00000000-0005-0000-0000-0000C4270000}"/>
    <cellStyle name="Normal 6 2 2 3 2 2 5" xfId="25068" xr:uid="{00000000-0005-0000-0000-0000C5270000}"/>
    <cellStyle name="Normal 6 2 2 3 2 2 6" xfId="26504" xr:uid="{00000000-0005-0000-0000-0000C6270000}"/>
    <cellStyle name="Normal 6 2 2 3 2 2 7" xfId="33147" xr:uid="{4E68CF64-AC69-4296-8BE5-57AEFA9B1FE9}"/>
    <cellStyle name="Normal 6 2 2 3 2 3" xfId="898" xr:uid="{00000000-0005-0000-0000-0000C7270000}"/>
    <cellStyle name="Normal 6 2 2 3 2 3 2" xfId="2246" xr:uid="{00000000-0005-0000-0000-0000C8270000}"/>
    <cellStyle name="Normal 6 2 2 3 2 3 2 2" xfId="24794" xr:uid="{00000000-0005-0000-0000-0000C9270000}"/>
    <cellStyle name="Normal 6 2 2 3 2 3 2 3" xfId="25517" xr:uid="{00000000-0005-0000-0000-0000CA270000}"/>
    <cellStyle name="Normal 6 2 2 3 2 3 3" xfId="24415" xr:uid="{00000000-0005-0000-0000-0000CB270000}"/>
    <cellStyle name="Normal 6 2 2 3 2 3 4" xfId="25160" xr:uid="{00000000-0005-0000-0000-0000CC270000}"/>
    <cellStyle name="Normal 6 2 2 3 2 3 5" xfId="41633" xr:uid="{9F94111B-66CE-48A4-83AE-7D1D49EE69D9}"/>
    <cellStyle name="Normal 6 2 2 3 2 4" xfId="2243" xr:uid="{00000000-0005-0000-0000-0000CD270000}"/>
    <cellStyle name="Normal 6 2 2 3 2 4 2" xfId="24614" xr:uid="{00000000-0005-0000-0000-0000CE270000}"/>
    <cellStyle name="Normal 6 2 2 3 2 4 3" xfId="25337" xr:uid="{00000000-0005-0000-0000-0000CF270000}"/>
    <cellStyle name="Normal 6 2 2 3 2 5" xfId="24235" xr:uid="{00000000-0005-0000-0000-0000D0270000}"/>
    <cellStyle name="Normal 6 2 2 3 2 6" xfId="24980" xr:uid="{00000000-0005-0000-0000-0000D1270000}"/>
    <cellStyle name="Normal 6 2 2 3 2 7" xfId="26288" xr:uid="{00000000-0005-0000-0000-0000D2270000}"/>
    <cellStyle name="Normal 6 2 2 3 2 8" xfId="32925" xr:uid="{0F84A134-70ED-4D13-A7F7-B97DF70FAA4A}"/>
    <cellStyle name="Normal 6 2 2 3 3" xfId="899" xr:uid="{00000000-0005-0000-0000-0000D3270000}"/>
    <cellStyle name="Normal 6 2 2 3 3 2" xfId="900" xr:uid="{00000000-0005-0000-0000-0000D4270000}"/>
    <cellStyle name="Normal 6 2 2 3 3 2 2" xfId="901" xr:uid="{00000000-0005-0000-0000-0000D5270000}"/>
    <cellStyle name="Normal 6 2 2 3 3 2 2 2" xfId="2249" xr:uid="{00000000-0005-0000-0000-0000D6270000}"/>
    <cellStyle name="Normal 6 2 2 3 3 2 2 3" xfId="24838" xr:uid="{00000000-0005-0000-0000-0000D7270000}"/>
    <cellStyle name="Normal 6 2 2 3 3 2 2 4" xfId="25561" xr:uid="{00000000-0005-0000-0000-0000D8270000}"/>
    <cellStyle name="Normal 6 2 2 3 3 2 2 5" xfId="41921" xr:uid="{0E668630-B366-40A2-9856-4A87ADF810CE}"/>
    <cellStyle name="Normal 6 2 2 3 3 2 3" xfId="2248" xr:uid="{00000000-0005-0000-0000-0000D9270000}"/>
    <cellStyle name="Normal 6 2 2 3 3 2 4" xfId="24459" xr:uid="{00000000-0005-0000-0000-0000DA270000}"/>
    <cellStyle name="Normal 6 2 2 3 3 2 5" xfId="25204" xr:uid="{00000000-0005-0000-0000-0000DB270000}"/>
    <cellStyle name="Normal 6 2 2 3 3 2 6" xfId="26576" xr:uid="{00000000-0005-0000-0000-0000DC270000}"/>
    <cellStyle name="Normal 6 2 2 3 3 2 7" xfId="33219" xr:uid="{0B08680C-525D-4785-9952-304F065372E0}"/>
    <cellStyle name="Normal 6 2 2 3 3 3" xfId="902" xr:uid="{00000000-0005-0000-0000-0000DD270000}"/>
    <cellStyle name="Normal 6 2 2 3 3 3 2" xfId="2250" xr:uid="{00000000-0005-0000-0000-0000DE270000}"/>
    <cellStyle name="Normal 6 2 2 3 3 3 3" xfId="24658" xr:uid="{00000000-0005-0000-0000-0000DF270000}"/>
    <cellStyle name="Normal 6 2 2 3 3 3 4" xfId="25381" xr:uid="{00000000-0005-0000-0000-0000E0270000}"/>
    <cellStyle name="Normal 6 2 2 3 3 3 5" xfId="41705" xr:uid="{69B6DC24-6D96-41D9-A32D-21D37F7EFFEF}"/>
    <cellStyle name="Normal 6 2 2 3 3 4" xfId="2247" xr:uid="{00000000-0005-0000-0000-0000E1270000}"/>
    <cellStyle name="Normal 6 2 2 3 3 5" xfId="24279" xr:uid="{00000000-0005-0000-0000-0000E2270000}"/>
    <cellStyle name="Normal 6 2 2 3 3 6" xfId="25024" xr:uid="{00000000-0005-0000-0000-0000E3270000}"/>
    <cellStyle name="Normal 6 2 2 3 3 7" xfId="26360" xr:uid="{00000000-0005-0000-0000-0000E4270000}"/>
    <cellStyle name="Normal 6 2 2 3 3 8" xfId="33003" xr:uid="{A5E9EE6E-A88E-42F5-B3D4-A593E5349935}"/>
    <cellStyle name="Normal 6 2 2 3 4" xfId="903" xr:uid="{00000000-0005-0000-0000-0000E5270000}"/>
    <cellStyle name="Normal 6 2 2 3 4 2" xfId="904" xr:uid="{00000000-0005-0000-0000-0000E6270000}"/>
    <cellStyle name="Normal 6 2 2 3 4 2 2" xfId="2252" xr:uid="{00000000-0005-0000-0000-0000E7270000}"/>
    <cellStyle name="Normal 6 2 2 3 4 2 3" xfId="24750" xr:uid="{00000000-0005-0000-0000-0000E8270000}"/>
    <cellStyle name="Normal 6 2 2 3 4 2 4" xfId="25473" xr:uid="{00000000-0005-0000-0000-0000E9270000}"/>
    <cellStyle name="Normal 6 2 2 3 4 2 5" xfId="41777" xr:uid="{5B2E0875-B4B8-4CB2-84D5-4C0855C9E5B5}"/>
    <cellStyle name="Normal 6 2 2 3 4 3" xfId="2251" xr:uid="{00000000-0005-0000-0000-0000EA270000}"/>
    <cellStyle name="Normal 6 2 2 3 4 4" xfId="24371" xr:uid="{00000000-0005-0000-0000-0000EB270000}"/>
    <cellStyle name="Normal 6 2 2 3 4 5" xfId="25116" xr:uid="{00000000-0005-0000-0000-0000EC270000}"/>
    <cellStyle name="Normal 6 2 2 3 4 6" xfId="26432" xr:uid="{00000000-0005-0000-0000-0000ED270000}"/>
    <cellStyle name="Normal 6 2 2 3 4 7" xfId="33075" xr:uid="{1D0E0824-BC19-421B-8086-4481170CCD38}"/>
    <cellStyle name="Normal 6 2 2 3 5" xfId="905" xr:uid="{00000000-0005-0000-0000-0000EE270000}"/>
    <cellStyle name="Normal 6 2 2 3 5 2" xfId="2253" xr:uid="{00000000-0005-0000-0000-0000EF270000}"/>
    <cellStyle name="Normal 6 2 2 3 5 3" xfId="24570" xr:uid="{00000000-0005-0000-0000-0000F0270000}"/>
    <cellStyle name="Normal 6 2 2 3 5 4" xfId="25293" xr:uid="{00000000-0005-0000-0000-0000F1270000}"/>
    <cellStyle name="Normal 6 2 2 3 5 5" xfId="41561" xr:uid="{B1E36AE2-132A-4E5B-978D-2E8EE3018302}"/>
    <cellStyle name="Normal 6 2 2 3 6" xfId="2242" xr:uid="{00000000-0005-0000-0000-0000F2270000}"/>
    <cellStyle name="Normal 6 2 2 3 7" xfId="14807" xr:uid="{00000000-0005-0000-0000-0000F3270000}"/>
    <cellStyle name="Normal 6 2 2 3 8" xfId="24191" xr:uid="{00000000-0005-0000-0000-0000F4270000}"/>
    <cellStyle name="Normal 6 2 2 3 9" xfId="24936" xr:uid="{00000000-0005-0000-0000-0000F5270000}"/>
    <cellStyle name="Normal 6 2 2 4" xfId="906" xr:uid="{00000000-0005-0000-0000-0000F6270000}"/>
    <cellStyle name="Normal 6 2 2 4 10" xfId="26161" xr:uid="{00000000-0005-0000-0000-0000F7270000}"/>
    <cellStyle name="Normal 6 2 2 4 11" xfId="32734" xr:uid="{40CFD205-D458-4288-BFA6-36BD084EDA7B}"/>
    <cellStyle name="Normal 6 2 2 4 2" xfId="907" xr:uid="{00000000-0005-0000-0000-0000F8270000}"/>
    <cellStyle name="Normal 6 2 2 4 2 2" xfId="908" xr:uid="{00000000-0005-0000-0000-0000F9270000}"/>
    <cellStyle name="Normal 6 2 2 4 2 2 2" xfId="909" xr:uid="{00000000-0005-0000-0000-0000FA270000}"/>
    <cellStyle name="Normal 6 2 2 4 2 2 2 2" xfId="2257" xr:uid="{00000000-0005-0000-0000-0000FB270000}"/>
    <cellStyle name="Normal 6 2 2 4 2 2 2 3" xfId="24869" xr:uid="{00000000-0005-0000-0000-0000FC270000}"/>
    <cellStyle name="Normal 6 2 2 4 2 2 2 4" xfId="25592" xr:uid="{00000000-0005-0000-0000-0000FD270000}"/>
    <cellStyle name="Normal 6 2 2 4 2 2 2 5" xfId="41862" xr:uid="{928076B2-9027-4AFA-BAAC-71628840BD69}"/>
    <cellStyle name="Normal 6 2 2 4 2 2 3" xfId="2256" xr:uid="{00000000-0005-0000-0000-0000FE270000}"/>
    <cellStyle name="Normal 6 2 2 4 2 2 4" xfId="24490" xr:uid="{00000000-0005-0000-0000-0000FF270000}"/>
    <cellStyle name="Normal 6 2 2 4 2 2 5" xfId="25235" xr:uid="{00000000-0005-0000-0000-000000280000}"/>
    <cellStyle name="Normal 6 2 2 4 2 2 6" xfId="26517" xr:uid="{00000000-0005-0000-0000-000001280000}"/>
    <cellStyle name="Normal 6 2 2 4 2 2 7" xfId="33160" xr:uid="{4E216477-6FEE-43FA-B105-6DE06053660B}"/>
    <cellStyle name="Normal 6 2 2 4 2 3" xfId="910" xr:uid="{00000000-0005-0000-0000-000002280000}"/>
    <cellStyle name="Normal 6 2 2 4 2 3 2" xfId="2258" xr:uid="{00000000-0005-0000-0000-000003280000}"/>
    <cellStyle name="Normal 6 2 2 4 2 3 3" xfId="24689" xr:uid="{00000000-0005-0000-0000-000004280000}"/>
    <cellStyle name="Normal 6 2 2 4 2 3 4" xfId="25412" xr:uid="{00000000-0005-0000-0000-000005280000}"/>
    <cellStyle name="Normal 6 2 2 4 2 3 5" xfId="41646" xr:uid="{16E75B2D-2FF4-4E5F-99E4-0B9F6D25048D}"/>
    <cellStyle name="Normal 6 2 2 4 2 4" xfId="2255" xr:uid="{00000000-0005-0000-0000-000006280000}"/>
    <cellStyle name="Normal 6 2 2 4 2 5" xfId="24310" xr:uid="{00000000-0005-0000-0000-000007280000}"/>
    <cellStyle name="Normal 6 2 2 4 2 6" xfId="25055" xr:uid="{00000000-0005-0000-0000-000008280000}"/>
    <cellStyle name="Normal 6 2 2 4 2 7" xfId="26301" xr:uid="{00000000-0005-0000-0000-000009280000}"/>
    <cellStyle name="Normal 6 2 2 4 2 8" xfId="32938" xr:uid="{5A5EFEA7-2755-4D7A-AFE6-5C2A9EB72522}"/>
    <cellStyle name="Normal 6 2 2 4 3" xfId="911" xr:uid="{00000000-0005-0000-0000-00000A280000}"/>
    <cellStyle name="Normal 6 2 2 4 3 2" xfId="912" xr:uid="{00000000-0005-0000-0000-00000B280000}"/>
    <cellStyle name="Normal 6 2 2 4 3 2 2" xfId="913" xr:uid="{00000000-0005-0000-0000-00000C280000}"/>
    <cellStyle name="Normal 6 2 2 4 3 2 2 2" xfId="2261" xr:uid="{00000000-0005-0000-0000-00000D280000}"/>
    <cellStyle name="Normal 6 2 2 4 3 2 2 3" xfId="41934" xr:uid="{F17FC46E-D9FE-4F91-8EBC-647EB11A40D7}"/>
    <cellStyle name="Normal 6 2 2 4 3 2 3" xfId="2260" xr:uid="{00000000-0005-0000-0000-00000E280000}"/>
    <cellStyle name="Normal 6 2 2 4 3 2 4" xfId="24781" xr:uid="{00000000-0005-0000-0000-00000F280000}"/>
    <cellStyle name="Normal 6 2 2 4 3 2 5" xfId="25504" xr:uid="{00000000-0005-0000-0000-000010280000}"/>
    <cellStyle name="Normal 6 2 2 4 3 2 6" xfId="26589" xr:uid="{00000000-0005-0000-0000-000011280000}"/>
    <cellStyle name="Normal 6 2 2 4 3 2 7" xfId="33232" xr:uid="{3B59556E-C53B-4E8E-8821-09604C953434}"/>
    <cellStyle name="Normal 6 2 2 4 3 3" xfId="914" xr:uid="{00000000-0005-0000-0000-000012280000}"/>
    <cellStyle name="Normal 6 2 2 4 3 3 2" xfId="2262" xr:uid="{00000000-0005-0000-0000-000013280000}"/>
    <cellStyle name="Normal 6 2 2 4 3 3 3" xfId="41718" xr:uid="{AE321919-ECD2-4B4F-8F06-68ED7D87A61C}"/>
    <cellStyle name="Normal 6 2 2 4 3 4" xfId="2259" xr:uid="{00000000-0005-0000-0000-000014280000}"/>
    <cellStyle name="Normal 6 2 2 4 3 5" xfId="24402" xr:uid="{00000000-0005-0000-0000-000015280000}"/>
    <cellStyle name="Normal 6 2 2 4 3 6" xfId="25147" xr:uid="{00000000-0005-0000-0000-000016280000}"/>
    <cellStyle name="Normal 6 2 2 4 3 7" xfId="26373" xr:uid="{00000000-0005-0000-0000-000017280000}"/>
    <cellStyle name="Normal 6 2 2 4 3 8" xfId="33016" xr:uid="{1AF9B7B3-F888-4C20-AD81-3A97C59901DD}"/>
    <cellStyle name="Normal 6 2 2 4 4" xfId="915" xr:uid="{00000000-0005-0000-0000-000018280000}"/>
    <cellStyle name="Normal 6 2 2 4 4 2" xfId="916" xr:uid="{00000000-0005-0000-0000-000019280000}"/>
    <cellStyle name="Normal 6 2 2 4 4 2 2" xfId="2264" xr:uid="{00000000-0005-0000-0000-00001A280000}"/>
    <cellStyle name="Normal 6 2 2 4 4 2 3" xfId="41790" xr:uid="{E8821B2B-D3B0-4D46-B652-E8ADFA627BC0}"/>
    <cellStyle name="Normal 6 2 2 4 4 3" xfId="2263" xr:uid="{00000000-0005-0000-0000-00001B280000}"/>
    <cellStyle name="Normal 6 2 2 4 4 4" xfId="24601" xr:uid="{00000000-0005-0000-0000-00001C280000}"/>
    <cellStyle name="Normal 6 2 2 4 4 5" xfId="25324" xr:uid="{00000000-0005-0000-0000-00001D280000}"/>
    <cellStyle name="Normal 6 2 2 4 4 6" xfId="26445" xr:uid="{00000000-0005-0000-0000-00001E280000}"/>
    <cellStyle name="Normal 6 2 2 4 4 7" xfId="33088" xr:uid="{771C5170-4A73-48A7-9635-D9F58B6ADDC1}"/>
    <cellStyle name="Normal 6 2 2 4 5" xfId="917" xr:uid="{00000000-0005-0000-0000-00001F280000}"/>
    <cellStyle name="Normal 6 2 2 4 5 2" xfId="2265" xr:uid="{00000000-0005-0000-0000-000020280000}"/>
    <cellStyle name="Normal 6 2 2 4 5 3" xfId="41574" xr:uid="{AAF5F0F8-659C-4804-A606-02D049F5EABD}"/>
    <cellStyle name="Normal 6 2 2 4 6" xfId="2254" xr:uid="{00000000-0005-0000-0000-000021280000}"/>
    <cellStyle name="Normal 6 2 2 4 7" xfId="19503" xr:uid="{00000000-0005-0000-0000-000022280000}"/>
    <cellStyle name="Normal 6 2 2 4 8" xfId="24222" xr:uid="{00000000-0005-0000-0000-000023280000}"/>
    <cellStyle name="Normal 6 2 2 4 9" xfId="24967" xr:uid="{00000000-0005-0000-0000-000024280000}"/>
    <cellStyle name="Normal 6 2 2 5" xfId="918" xr:uid="{00000000-0005-0000-0000-000025280000}"/>
    <cellStyle name="Normal 6 2 2 5 10" xfId="26256" xr:uid="{00000000-0005-0000-0000-000026280000}"/>
    <cellStyle name="Normal 6 2 2 5 11" xfId="32872" xr:uid="{5D9CF7D9-B1FD-4530-8C22-C867B09469FB}"/>
    <cellStyle name="Normal 6 2 2 5 2" xfId="919" xr:uid="{00000000-0005-0000-0000-000027280000}"/>
    <cellStyle name="Normal 6 2 2 5 2 2" xfId="920" xr:uid="{00000000-0005-0000-0000-000028280000}"/>
    <cellStyle name="Normal 6 2 2 5 2 2 2" xfId="921" xr:uid="{00000000-0005-0000-0000-000029280000}"/>
    <cellStyle name="Normal 6 2 2 5 2 2 2 2" xfId="2269" xr:uid="{00000000-0005-0000-0000-00002A280000}"/>
    <cellStyle name="Normal 6 2 2 5 2 2 2 3" xfId="41889" xr:uid="{4493E403-4355-4439-ADED-E339F3DF8E24}"/>
    <cellStyle name="Normal 6 2 2 5 2 2 3" xfId="2268" xr:uid="{00000000-0005-0000-0000-00002B280000}"/>
    <cellStyle name="Normal 6 2 2 5 2 2 4" xfId="24825" xr:uid="{00000000-0005-0000-0000-00002C280000}"/>
    <cellStyle name="Normal 6 2 2 5 2 2 5" xfId="25548" xr:uid="{00000000-0005-0000-0000-00002D280000}"/>
    <cellStyle name="Normal 6 2 2 5 2 2 6" xfId="26544" xr:uid="{00000000-0005-0000-0000-00002E280000}"/>
    <cellStyle name="Normal 6 2 2 5 2 2 7" xfId="33187" xr:uid="{D2F15D2E-AC21-4A95-8D65-DFC7DEB7E69F}"/>
    <cellStyle name="Normal 6 2 2 5 2 3" xfId="922" xr:uid="{00000000-0005-0000-0000-00002F280000}"/>
    <cellStyle name="Normal 6 2 2 5 2 3 2" xfId="2270" xr:uid="{00000000-0005-0000-0000-000030280000}"/>
    <cellStyle name="Normal 6 2 2 5 2 3 3" xfId="41673" xr:uid="{1DD17474-05BF-4523-8C0B-F7C7CA2810B7}"/>
    <cellStyle name="Normal 6 2 2 5 2 4" xfId="2267" xr:uid="{00000000-0005-0000-0000-000031280000}"/>
    <cellStyle name="Normal 6 2 2 5 2 5" xfId="24446" xr:uid="{00000000-0005-0000-0000-000032280000}"/>
    <cellStyle name="Normal 6 2 2 5 2 6" xfId="25191" xr:uid="{00000000-0005-0000-0000-000033280000}"/>
    <cellStyle name="Normal 6 2 2 5 2 7" xfId="26328" xr:uid="{00000000-0005-0000-0000-000034280000}"/>
    <cellStyle name="Normal 6 2 2 5 2 8" xfId="32971" xr:uid="{99690641-1AA4-4A7A-B803-3FB83BE2653C}"/>
    <cellStyle name="Normal 6 2 2 5 3" xfId="923" xr:uid="{00000000-0005-0000-0000-000035280000}"/>
    <cellStyle name="Normal 6 2 2 5 3 2" xfId="924" xr:uid="{00000000-0005-0000-0000-000036280000}"/>
    <cellStyle name="Normal 6 2 2 5 3 2 2" xfId="925" xr:uid="{00000000-0005-0000-0000-000037280000}"/>
    <cellStyle name="Normal 6 2 2 5 3 2 2 2" xfId="2273" xr:uid="{00000000-0005-0000-0000-000038280000}"/>
    <cellStyle name="Normal 6 2 2 5 3 2 2 3" xfId="41961" xr:uid="{0A8B5ADE-830D-4994-9D63-92C32C7CE092}"/>
    <cellStyle name="Normal 6 2 2 5 3 2 3" xfId="2272" xr:uid="{00000000-0005-0000-0000-000039280000}"/>
    <cellStyle name="Normal 6 2 2 5 3 2 4" xfId="26616" xr:uid="{00000000-0005-0000-0000-00003A280000}"/>
    <cellStyle name="Normal 6 2 2 5 3 2 5" xfId="33259" xr:uid="{66D09E40-01F4-458E-B282-B643A7C671BA}"/>
    <cellStyle name="Normal 6 2 2 5 3 3" xfId="926" xr:uid="{00000000-0005-0000-0000-00003B280000}"/>
    <cellStyle name="Normal 6 2 2 5 3 3 2" xfId="2274" xr:uid="{00000000-0005-0000-0000-00003C280000}"/>
    <cellStyle name="Normal 6 2 2 5 3 3 3" xfId="41745" xr:uid="{1BD6DB70-874F-4B11-805F-DFD79286B84A}"/>
    <cellStyle name="Normal 6 2 2 5 3 4" xfId="2271" xr:uid="{00000000-0005-0000-0000-00003D280000}"/>
    <cellStyle name="Normal 6 2 2 5 3 5" xfId="24645" xr:uid="{00000000-0005-0000-0000-00003E280000}"/>
    <cellStyle name="Normal 6 2 2 5 3 6" xfId="25368" xr:uid="{00000000-0005-0000-0000-00003F280000}"/>
    <cellStyle name="Normal 6 2 2 5 3 7" xfId="26400" xr:uid="{00000000-0005-0000-0000-000040280000}"/>
    <cellStyle name="Normal 6 2 2 5 3 8" xfId="33043" xr:uid="{C56224C3-F2B1-4BD9-99FD-696E520037F8}"/>
    <cellStyle name="Normal 6 2 2 5 4" xfId="927" xr:uid="{00000000-0005-0000-0000-000041280000}"/>
    <cellStyle name="Normal 6 2 2 5 4 2" xfId="928" xr:uid="{00000000-0005-0000-0000-000042280000}"/>
    <cellStyle name="Normal 6 2 2 5 4 2 2" xfId="2276" xr:uid="{00000000-0005-0000-0000-000043280000}"/>
    <cellStyle name="Normal 6 2 2 5 4 2 3" xfId="41817" xr:uid="{AA73D661-DBA7-41C4-8ED5-B857E9D697CF}"/>
    <cellStyle name="Normal 6 2 2 5 4 3" xfId="2275" xr:uid="{00000000-0005-0000-0000-000044280000}"/>
    <cellStyle name="Normal 6 2 2 5 4 4" xfId="26472" xr:uid="{00000000-0005-0000-0000-000045280000}"/>
    <cellStyle name="Normal 6 2 2 5 4 5" xfId="33115" xr:uid="{5511CFC9-D291-4CB4-A54D-266024389BD1}"/>
    <cellStyle name="Normal 6 2 2 5 5" xfId="929" xr:uid="{00000000-0005-0000-0000-000046280000}"/>
    <cellStyle name="Normal 6 2 2 5 5 2" xfId="2277" xr:uid="{00000000-0005-0000-0000-000047280000}"/>
    <cellStyle name="Normal 6 2 2 5 5 3" xfId="41601" xr:uid="{12359189-DF84-478D-AA54-3546699360C8}"/>
    <cellStyle name="Normal 6 2 2 5 6" xfId="2266" xr:uid="{00000000-0005-0000-0000-000048280000}"/>
    <cellStyle name="Normal 6 2 2 5 7" xfId="23991" xr:uid="{00000000-0005-0000-0000-000049280000}"/>
    <cellStyle name="Normal 6 2 2 5 8" xfId="24266" xr:uid="{00000000-0005-0000-0000-00004A280000}"/>
    <cellStyle name="Normal 6 2 2 5 9" xfId="25011" xr:uid="{00000000-0005-0000-0000-00004B280000}"/>
    <cellStyle name="Normal 6 2 2 6" xfId="930" xr:uid="{00000000-0005-0000-0000-00004C280000}"/>
    <cellStyle name="Normal 6 2 2 6 2" xfId="931" xr:uid="{00000000-0005-0000-0000-00004D280000}"/>
    <cellStyle name="Normal 6 2 2 6 2 2" xfId="932" xr:uid="{00000000-0005-0000-0000-00004E280000}"/>
    <cellStyle name="Normal 6 2 2 6 2 2 2" xfId="2280" xr:uid="{00000000-0005-0000-0000-00004F280000}"/>
    <cellStyle name="Normal 6 2 2 6 2 2 3" xfId="41836" xr:uid="{3BFB046E-97B7-4A3B-AD9E-BFB24C08CB2D}"/>
    <cellStyle name="Normal 6 2 2 6 2 3" xfId="2279" xr:uid="{00000000-0005-0000-0000-000050280000}"/>
    <cellStyle name="Normal 6 2 2 6 2 4" xfId="24735" xr:uid="{00000000-0005-0000-0000-000051280000}"/>
    <cellStyle name="Normal 6 2 2 6 2 5" xfId="25458" xr:uid="{00000000-0005-0000-0000-000052280000}"/>
    <cellStyle name="Normal 6 2 2 6 2 6" xfId="26491" xr:uid="{00000000-0005-0000-0000-000053280000}"/>
    <cellStyle name="Normal 6 2 2 6 2 7" xfId="33134" xr:uid="{FF8A8599-4F83-401E-A346-9CB85D2BA328}"/>
    <cellStyle name="Normal 6 2 2 6 3" xfId="933" xr:uid="{00000000-0005-0000-0000-000054280000}"/>
    <cellStyle name="Normal 6 2 2 6 3 2" xfId="2281" xr:uid="{00000000-0005-0000-0000-000055280000}"/>
    <cellStyle name="Normal 6 2 2 6 3 3" xfId="41620" xr:uid="{DFAE3C53-ED71-4BB9-825D-DCA2CE9E9849}"/>
    <cellStyle name="Normal 6 2 2 6 4" xfId="2278" xr:uid="{00000000-0005-0000-0000-000056280000}"/>
    <cellStyle name="Normal 6 2 2 6 5" xfId="24356" xr:uid="{00000000-0005-0000-0000-000057280000}"/>
    <cellStyle name="Normal 6 2 2 6 6" xfId="25101" xr:uid="{00000000-0005-0000-0000-000058280000}"/>
    <cellStyle name="Normal 6 2 2 6 7" xfId="26275" xr:uid="{00000000-0005-0000-0000-000059280000}"/>
    <cellStyle name="Normal 6 2 2 6 8" xfId="32911" xr:uid="{40A8776E-9FF7-4730-9585-32B78ABE7DA6}"/>
    <cellStyle name="Normal 6 2 2 7" xfId="934" xr:uid="{00000000-0005-0000-0000-00005A280000}"/>
    <cellStyle name="Normal 6 2 2 7 2" xfId="935" xr:uid="{00000000-0005-0000-0000-00005B280000}"/>
    <cellStyle name="Normal 6 2 2 7 2 2" xfId="936" xr:uid="{00000000-0005-0000-0000-00005C280000}"/>
    <cellStyle name="Normal 6 2 2 7 2 2 2" xfId="2284" xr:uid="{00000000-0005-0000-0000-00005D280000}"/>
    <cellStyle name="Normal 6 2 2 7 2 2 3" xfId="41908" xr:uid="{016BD37E-9A93-4A26-912E-1B779AAA3B66}"/>
    <cellStyle name="Normal 6 2 2 7 2 3" xfId="2283" xr:uid="{00000000-0005-0000-0000-00005E280000}"/>
    <cellStyle name="Normal 6 2 2 7 2 4" xfId="26563" xr:uid="{00000000-0005-0000-0000-00005F280000}"/>
    <cellStyle name="Normal 6 2 2 7 2 5" xfId="33206" xr:uid="{7B4B5832-B5D5-4418-87A7-C2B4E4A034C3}"/>
    <cellStyle name="Normal 6 2 2 7 3" xfId="937" xr:uid="{00000000-0005-0000-0000-000060280000}"/>
    <cellStyle name="Normal 6 2 2 7 3 2" xfId="2285" xr:uid="{00000000-0005-0000-0000-000061280000}"/>
    <cellStyle name="Normal 6 2 2 7 3 3" xfId="41692" xr:uid="{CB8ADB56-4E65-4A28-8962-9A483247C72E}"/>
    <cellStyle name="Normal 6 2 2 7 4" xfId="2282" xr:uid="{00000000-0005-0000-0000-000062280000}"/>
    <cellStyle name="Normal 6 2 2 7 5" xfId="24557" xr:uid="{00000000-0005-0000-0000-000063280000}"/>
    <cellStyle name="Normal 6 2 2 7 6" xfId="25280" xr:uid="{00000000-0005-0000-0000-000064280000}"/>
    <cellStyle name="Normal 6 2 2 7 7" xfId="26347" xr:uid="{00000000-0005-0000-0000-000065280000}"/>
    <cellStyle name="Normal 6 2 2 7 8" xfId="32990" xr:uid="{E3D03E9A-B7E5-4E5F-B377-E9B40AD9D860}"/>
    <cellStyle name="Normal 6 2 2 8" xfId="938" xr:uid="{00000000-0005-0000-0000-000066280000}"/>
    <cellStyle name="Normal 6 2 2 8 2" xfId="939" xr:uid="{00000000-0005-0000-0000-000067280000}"/>
    <cellStyle name="Normal 6 2 2 8 2 2" xfId="2287" xr:uid="{00000000-0005-0000-0000-000068280000}"/>
    <cellStyle name="Normal 6 2 2 8 2 3" xfId="41764" xr:uid="{99248939-38F7-42D8-9F85-C3BD4772FBB2}"/>
    <cellStyle name="Normal 6 2 2 8 3" xfId="2286" xr:uid="{00000000-0005-0000-0000-000069280000}"/>
    <cellStyle name="Normal 6 2 2 8 4" xfId="26419" xr:uid="{00000000-0005-0000-0000-00006A280000}"/>
    <cellStyle name="Normal 6 2 2 8 5" xfId="33062" xr:uid="{40E94388-BC31-47B5-B2C6-EAFE1156732C}"/>
    <cellStyle name="Normal 6 2 2 9" xfId="940" xr:uid="{00000000-0005-0000-0000-00006B280000}"/>
    <cellStyle name="Normal 6 2 2 9 2" xfId="2288" xr:uid="{00000000-0005-0000-0000-00006C280000}"/>
    <cellStyle name="Normal 6 2 2 9 3" xfId="41546" xr:uid="{C86D9B42-A9A4-4B08-943D-EEFEDA6C0F21}"/>
    <cellStyle name="Normal 6 2 3" xfId="941" xr:uid="{00000000-0005-0000-0000-00006D280000}"/>
    <cellStyle name="Normal 6 2 3 10" xfId="7787" xr:uid="{00000000-0005-0000-0000-00006E280000}"/>
    <cellStyle name="Normal 6 2 3 11" xfId="24179" xr:uid="{00000000-0005-0000-0000-00006F280000}"/>
    <cellStyle name="Normal 6 2 3 12" xfId="24922" xr:uid="{00000000-0005-0000-0000-000070280000}"/>
    <cellStyle name="Normal 6 2 3 13" xfId="26131" xr:uid="{00000000-0005-0000-0000-000071280000}"/>
    <cellStyle name="Normal 6 2 3 14" xfId="32689" xr:uid="{DF452D50-89CF-417E-A50A-0D585B0D6B83}"/>
    <cellStyle name="Normal 6 2 3 2" xfId="942" xr:uid="{00000000-0005-0000-0000-000072280000}"/>
    <cellStyle name="Normal 6 2 3 2 10" xfId="32723" xr:uid="{149C9A18-9380-4792-B409-A8818A85FC8B}"/>
    <cellStyle name="Normal 6 2 3 2 2" xfId="943" xr:uid="{00000000-0005-0000-0000-000073280000}"/>
    <cellStyle name="Normal 6 2 3 2 2 2" xfId="944" xr:uid="{00000000-0005-0000-0000-000074280000}"/>
    <cellStyle name="Normal 6 2 3 2 2 2 2" xfId="945" xr:uid="{00000000-0005-0000-0000-000075280000}"/>
    <cellStyle name="Normal 6 2 3 2 2 2 2 2" xfId="2293" xr:uid="{00000000-0005-0000-0000-000076280000}"/>
    <cellStyle name="Normal 6 2 3 2 2 2 2 2 2" xfId="24884" xr:uid="{00000000-0005-0000-0000-000077280000}"/>
    <cellStyle name="Normal 6 2 3 2 2 2 2 2 3" xfId="25607" xr:uid="{00000000-0005-0000-0000-000078280000}"/>
    <cellStyle name="Normal 6 2 3 2 2 2 2 3" xfId="24505" xr:uid="{00000000-0005-0000-0000-000079280000}"/>
    <cellStyle name="Normal 6 2 3 2 2 2 2 4" xfId="25250" xr:uid="{00000000-0005-0000-0000-00007A280000}"/>
    <cellStyle name="Normal 6 2 3 2 2 2 2 5" xfId="41851" xr:uid="{94B52DF9-B2EA-4EF7-A570-7EF21CCA95F6}"/>
    <cellStyle name="Normal 6 2 3 2 2 2 3" xfId="2292" xr:uid="{00000000-0005-0000-0000-00007B280000}"/>
    <cellStyle name="Normal 6 2 3 2 2 2 3 2" xfId="24704" xr:uid="{00000000-0005-0000-0000-00007C280000}"/>
    <cellStyle name="Normal 6 2 3 2 2 2 3 3" xfId="25427" xr:uid="{00000000-0005-0000-0000-00007D280000}"/>
    <cellStyle name="Normal 6 2 3 2 2 2 4" xfId="24325" xr:uid="{00000000-0005-0000-0000-00007E280000}"/>
    <cellStyle name="Normal 6 2 3 2 2 2 5" xfId="25070" xr:uid="{00000000-0005-0000-0000-00007F280000}"/>
    <cellStyle name="Normal 6 2 3 2 2 2 6" xfId="26506" xr:uid="{00000000-0005-0000-0000-000080280000}"/>
    <cellStyle name="Normal 6 2 3 2 2 2 7" xfId="33149" xr:uid="{231BF948-48A0-40FE-B6BE-7E86B03D887B}"/>
    <cellStyle name="Normal 6 2 3 2 2 3" xfId="946" xr:uid="{00000000-0005-0000-0000-000081280000}"/>
    <cellStyle name="Normal 6 2 3 2 2 3 2" xfId="2294" xr:uid="{00000000-0005-0000-0000-000082280000}"/>
    <cellStyle name="Normal 6 2 3 2 2 3 2 2" xfId="24796" xr:uid="{00000000-0005-0000-0000-000083280000}"/>
    <cellStyle name="Normal 6 2 3 2 2 3 2 3" xfId="25519" xr:uid="{00000000-0005-0000-0000-000084280000}"/>
    <cellStyle name="Normal 6 2 3 2 2 3 3" xfId="24417" xr:uid="{00000000-0005-0000-0000-000085280000}"/>
    <cellStyle name="Normal 6 2 3 2 2 3 4" xfId="25162" xr:uid="{00000000-0005-0000-0000-000086280000}"/>
    <cellStyle name="Normal 6 2 3 2 2 3 5" xfId="41635" xr:uid="{3E0F9FB0-EF96-4572-B72F-733B6E2394FF}"/>
    <cellStyle name="Normal 6 2 3 2 2 4" xfId="2291" xr:uid="{00000000-0005-0000-0000-000087280000}"/>
    <cellStyle name="Normal 6 2 3 2 2 4 2" xfId="24616" xr:uid="{00000000-0005-0000-0000-000088280000}"/>
    <cellStyle name="Normal 6 2 3 2 2 4 3" xfId="25339" xr:uid="{00000000-0005-0000-0000-000089280000}"/>
    <cellStyle name="Normal 6 2 3 2 2 5" xfId="24237" xr:uid="{00000000-0005-0000-0000-00008A280000}"/>
    <cellStyle name="Normal 6 2 3 2 2 6" xfId="24982" xr:uid="{00000000-0005-0000-0000-00008B280000}"/>
    <cellStyle name="Normal 6 2 3 2 2 7" xfId="26290" xr:uid="{00000000-0005-0000-0000-00008C280000}"/>
    <cellStyle name="Normal 6 2 3 2 2 8" xfId="32927" xr:uid="{BFFF50AA-359E-4356-9850-F06BED3FB29F}"/>
    <cellStyle name="Normal 6 2 3 2 3" xfId="947" xr:uid="{00000000-0005-0000-0000-00008D280000}"/>
    <cellStyle name="Normal 6 2 3 2 3 2" xfId="948" xr:uid="{00000000-0005-0000-0000-00008E280000}"/>
    <cellStyle name="Normal 6 2 3 2 3 2 2" xfId="949" xr:uid="{00000000-0005-0000-0000-00008F280000}"/>
    <cellStyle name="Normal 6 2 3 2 3 2 2 2" xfId="2297" xr:uid="{00000000-0005-0000-0000-000090280000}"/>
    <cellStyle name="Normal 6 2 3 2 3 2 2 3" xfId="24840" xr:uid="{00000000-0005-0000-0000-000091280000}"/>
    <cellStyle name="Normal 6 2 3 2 3 2 2 4" xfId="25563" xr:uid="{00000000-0005-0000-0000-000092280000}"/>
    <cellStyle name="Normal 6 2 3 2 3 2 2 5" xfId="41923" xr:uid="{FD3A6D91-89B6-4089-9CA8-35D3EFCEEC3B}"/>
    <cellStyle name="Normal 6 2 3 2 3 2 3" xfId="2296" xr:uid="{00000000-0005-0000-0000-000093280000}"/>
    <cellStyle name="Normal 6 2 3 2 3 2 4" xfId="24461" xr:uid="{00000000-0005-0000-0000-000094280000}"/>
    <cellStyle name="Normal 6 2 3 2 3 2 5" xfId="25206" xr:uid="{00000000-0005-0000-0000-000095280000}"/>
    <cellStyle name="Normal 6 2 3 2 3 2 6" xfId="26578" xr:uid="{00000000-0005-0000-0000-000096280000}"/>
    <cellStyle name="Normal 6 2 3 2 3 2 7" xfId="33221" xr:uid="{6D6BF5D3-DB24-4E89-B094-E8B81D1793AB}"/>
    <cellStyle name="Normal 6 2 3 2 3 3" xfId="950" xr:uid="{00000000-0005-0000-0000-000097280000}"/>
    <cellStyle name="Normal 6 2 3 2 3 3 2" xfId="2298" xr:uid="{00000000-0005-0000-0000-000098280000}"/>
    <cellStyle name="Normal 6 2 3 2 3 3 3" xfId="24660" xr:uid="{00000000-0005-0000-0000-000099280000}"/>
    <cellStyle name="Normal 6 2 3 2 3 3 4" xfId="25383" xr:uid="{00000000-0005-0000-0000-00009A280000}"/>
    <cellStyle name="Normal 6 2 3 2 3 3 5" xfId="41707" xr:uid="{081A7B1E-76DE-4C53-828E-F0FD1E4B4B76}"/>
    <cellStyle name="Normal 6 2 3 2 3 4" xfId="2295" xr:uid="{00000000-0005-0000-0000-00009B280000}"/>
    <cellStyle name="Normal 6 2 3 2 3 5" xfId="24281" xr:uid="{00000000-0005-0000-0000-00009C280000}"/>
    <cellStyle name="Normal 6 2 3 2 3 6" xfId="25026" xr:uid="{00000000-0005-0000-0000-00009D280000}"/>
    <cellStyle name="Normal 6 2 3 2 3 7" xfId="26362" xr:uid="{00000000-0005-0000-0000-00009E280000}"/>
    <cellStyle name="Normal 6 2 3 2 3 8" xfId="33005" xr:uid="{C04CA48B-266D-47E6-B43C-BD03D17BFC8D}"/>
    <cellStyle name="Normal 6 2 3 2 4" xfId="951" xr:uid="{00000000-0005-0000-0000-00009F280000}"/>
    <cellStyle name="Normal 6 2 3 2 4 2" xfId="952" xr:uid="{00000000-0005-0000-0000-0000A0280000}"/>
    <cellStyle name="Normal 6 2 3 2 4 2 2" xfId="2300" xr:uid="{00000000-0005-0000-0000-0000A1280000}"/>
    <cellStyle name="Normal 6 2 3 2 4 2 3" xfId="24752" xr:uid="{00000000-0005-0000-0000-0000A2280000}"/>
    <cellStyle name="Normal 6 2 3 2 4 2 4" xfId="25475" xr:uid="{00000000-0005-0000-0000-0000A3280000}"/>
    <cellStyle name="Normal 6 2 3 2 4 2 5" xfId="41779" xr:uid="{E8A6442F-A9FB-4837-B266-86F968498533}"/>
    <cellStyle name="Normal 6 2 3 2 4 3" xfId="2299" xr:uid="{00000000-0005-0000-0000-0000A4280000}"/>
    <cellStyle name="Normal 6 2 3 2 4 4" xfId="24373" xr:uid="{00000000-0005-0000-0000-0000A5280000}"/>
    <cellStyle name="Normal 6 2 3 2 4 5" xfId="25118" xr:uid="{00000000-0005-0000-0000-0000A6280000}"/>
    <cellStyle name="Normal 6 2 3 2 4 6" xfId="26434" xr:uid="{00000000-0005-0000-0000-0000A7280000}"/>
    <cellStyle name="Normal 6 2 3 2 4 7" xfId="33077" xr:uid="{F1F7F8F0-F14E-431D-B9AF-773AA977C971}"/>
    <cellStyle name="Normal 6 2 3 2 5" xfId="953" xr:uid="{00000000-0005-0000-0000-0000A8280000}"/>
    <cellStyle name="Normal 6 2 3 2 5 2" xfId="2301" xr:uid="{00000000-0005-0000-0000-0000A9280000}"/>
    <cellStyle name="Normal 6 2 3 2 5 3" xfId="24572" xr:uid="{00000000-0005-0000-0000-0000AA280000}"/>
    <cellStyle name="Normal 6 2 3 2 5 4" xfId="25295" xr:uid="{00000000-0005-0000-0000-0000AB280000}"/>
    <cellStyle name="Normal 6 2 3 2 5 5" xfId="41563" xr:uid="{9D26C52F-B4AB-4604-860F-B6ECF4DBE193}"/>
    <cellStyle name="Normal 6 2 3 2 6" xfId="2290" xr:uid="{00000000-0005-0000-0000-0000AC280000}"/>
    <cellStyle name="Normal 6 2 3 2 7" xfId="24193" xr:uid="{00000000-0005-0000-0000-0000AD280000}"/>
    <cellStyle name="Normal 6 2 3 2 8" xfId="24938" xr:uid="{00000000-0005-0000-0000-0000AE280000}"/>
    <cellStyle name="Normal 6 2 3 2 9" xfId="26150" xr:uid="{00000000-0005-0000-0000-0000AF280000}"/>
    <cellStyle name="Normal 6 2 3 3" xfId="954" xr:uid="{00000000-0005-0000-0000-0000B0280000}"/>
    <cellStyle name="Normal 6 2 3 3 10" xfId="32736" xr:uid="{B2918977-1CDA-4D2A-9294-0E05663C75BE}"/>
    <cellStyle name="Normal 6 2 3 3 2" xfId="955" xr:uid="{00000000-0005-0000-0000-0000B1280000}"/>
    <cellStyle name="Normal 6 2 3 3 2 2" xfId="956" xr:uid="{00000000-0005-0000-0000-0000B2280000}"/>
    <cellStyle name="Normal 6 2 3 3 2 2 2" xfId="957" xr:uid="{00000000-0005-0000-0000-0000B3280000}"/>
    <cellStyle name="Normal 6 2 3 3 2 2 2 2" xfId="2305" xr:uid="{00000000-0005-0000-0000-0000B4280000}"/>
    <cellStyle name="Normal 6 2 3 3 2 2 2 3" xfId="24871" xr:uid="{00000000-0005-0000-0000-0000B5280000}"/>
    <cellStyle name="Normal 6 2 3 3 2 2 2 4" xfId="25594" xr:uid="{00000000-0005-0000-0000-0000B6280000}"/>
    <cellStyle name="Normal 6 2 3 3 2 2 2 5" xfId="41864" xr:uid="{ABBE1221-F6F7-49DC-AB02-3833D0AEBD76}"/>
    <cellStyle name="Normal 6 2 3 3 2 2 3" xfId="2304" xr:uid="{00000000-0005-0000-0000-0000B7280000}"/>
    <cellStyle name="Normal 6 2 3 3 2 2 4" xfId="24492" xr:uid="{00000000-0005-0000-0000-0000B8280000}"/>
    <cellStyle name="Normal 6 2 3 3 2 2 5" xfId="25237" xr:uid="{00000000-0005-0000-0000-0000B9280000}"/>
    <cellStyle name="Normal 6 2 3 3 2 2 6" xfId="26519" xr:uid="{00000000-0005-0000-0000-0000BA280000}"/>
    <cellStyle name="Normal 6 2 3 3 2 2 7" xfId="33162" xr:uid="{3E1EF858-028F-4832-B975-B9183E1E1E6A}"/>
    <cellStyle name="Normal 6 2 3 3 2 3" xfId="958" xr:uid="{00000000-0005-0000-0000-0000BB280000}"/>
    <cellStyle name="Normal 6 2 3 3 2 3 2" xfId="2306" xr:uid="{00000000-0005-0000-0000-0000BC280000}"/>
    <cellStyle name="Normal 6 2 3 3 2 3 3" xfId="24691" xr:uid="{00000000-0005-0000-0000-0000BD280000}"/>
    <cellStyle name="Normal 6 2 3 3 2 3 4" xfId="25414" xr:uid="{00000000-0005-0000-0000-0000BE280000}"/>
    <cellStyle name="Normal 6 2 3 3 2 3 5" xfId="41648" xr:uid="{AA103FD6-1CC1-4CD6-AFFA-B678147FEA78}"/>
    <cellStyle name="Normal 6 2 3 3 2 4" xfId="2303" xr:uid="{00000000-0005-0000-0000-0000BF280000}"/>
    <cellStyle name="Normal 6 2 3 3 2 5" xfId="24312" xr:uid="{00000000-0005-0000-0000-0000C0280000}"/>
    <cellStyle name="Normal 6 2 3 3 2 6" xfId="25057" xr:uid="{00000000-0005-0000-0000-0000C1280000}"/>
    <cellStyle name="Normal 6 2 3 3 2 7" xfId="26303" xr:uid="{00000000-0005-0000-0000-0000C2280000}"/>
    <cellStyle name="Normal 6 2 3 3 2 8" xfId="32940" xr:uid="{5C7311BA-D437-4A06-A861-A4F053BF9236}"/>
    <cellStyle name="Normal 6 2 3 3 3" xfId="959" xr:uid="{00000000-0005-0000-0000-0000C3280000}"/>
    <cellStyle name="Normal 6 2 3 3 3 2" xfId="960" xr:uid="{00000000-0005-0000-0000-0000C4280000}"/>
    <cellStyle name="Normal 6 2 3 3 3 2 2" xfId="961" xr:uid="{00000000-0005-0000-0000-0000C5280000}"/>
    <cellStyle name="Normal 6 2 3 3 3 2 2 2" xfId="2309" xr:uid="{00000000-0005-0000-0000-0000C6280000}"/>
    <cellStyle name="Normal 6 2 3 3 3 2 2 3" xfId="41936" xr:uid="{38B376D6-5689-4294-AFB3-B92AE6DFB4B3}"/>
    <cellStyle name="Normal 6 2 3 3 3 2 3" xfId="2308" xr:uid="{00000000-0005-0000-0000-0000C7280000}"/>
    <cellStyle name="Normal 6 2 3 3 3 2 4" xfId="24783" xr:uid="{00000000-0005-0000-0000-0000C8280000}"/>
    <cellStyle name="Normal 6 2 3 3 3 2 5" xfId="25506" xr:uid="{00000000-0005-0000-0000-0000C9280000}"/>
    <cellStyle name="Normal 6 2 3 3 3 2 6" xfId="26591" xr:uid="{00000000-0005-0000-0000-0000CA280000}"/>
    <cellStyle name="Normal 6 2 3 3 3 2 7" xfId="33234" xr:uid="{FA0D9AC8-2DEF-4A3E-B2E6-C7396F175978}"/>
    <cellStyle name="Normal 6 2 3 3 3 3" xfId="962" xr:uid="{00000000-0005-0000-0000-0000CB280000}"/>
    <cellStyle name="Normal 6 2 3 3 3 3 2" xfId="2310" xr:uid="{00000000-0005-0000-0000-0000CC280000}"/>
    <cellStyle name="Normal 6 2 3 3 3 3 3" xfId="41720" xr:uid="{D4C2BC26-2EE8-4689-A36D-685EBE7FE390}"/>
    <cellStyle name="Normal 6 2 3 3 3 4" xfId="2307" xr:uid="{00000000-0005-0000-0000-0000CD280000}"/>
    <cellStyle name="Normal 6 2 3 3 3 5" xfId="24404" xr:uid="{00000000-0005-0000-0000-0000CE280000}"/>
    <cellStyle name="Normal 6 2 3 3 3 6" xfId="25149" xr:uid="{00000000-0005-0000-0000-0000CF280000}"/>
    <cellStyle name="Normal 6 2 3 3 3 7" xfId="26375" xr:uid="{00000000-0005-0000-0000-0000D0280000}"/>
    <cellStyle name="Normal 6 2 3 3 3 8" xfId="33018" xr:uid="{FB97C0DA-17BA-4418-B1BD-8D09AC90E22A}"/>
    <cellStyle name="Normal 6 2 3 3 4" xfId="963" xr:uid="{00000000-0005-0000-0000-0000D1280000}"/>
    <cellStyle name="Normal 6 2 3 3 4 2" xfId="964" xr:uid="{00000000-0005-0000-0000-0000D2280000}"/>
    <cellStyle name="Normal 6 2 3 3 4 2 2" xfId="2312" xr:uid="{00000000-0005-0000-0000-0000D3280000}"/>
    <cellStyle name="Normal 6 2 3 3 4 2 3" xfId="41792" xr:uid="{79389FEC-C4C4-478F-AE67-5B3619784BF3}"/>
    <cellStyle name="Normal 6 2 3 3 4 3" xfId="2311" xr:uid="{00000000-0005-0000-0000-0000D4280000}"/>
    <cellStyle name="Normal 6 2 3 3 4 4" xfId="24603" xr:uid="{00000000-0005-0000-0000-0000D5280000}"/>
    <cellStyle name="Normal 6 2 3 3 4 5" xfId="25326" xr:uid="{00000000-0005-0000-0000-0000D6280000}"/>
    <cellStyle name="Normal 6 2 3 3 4 6" xfId="26447" xr:uid="{00000000-0005-0000-0000-0000D7280000}"/>
    <cellStyle name="Normal 6 2 3 3 4 7" xfId="33090" xr:uid="{A307C26F-4A83-4C12-99AE-BA7E0631249D}"/>
    <cellStyle name="Normal 6 2 3 3 5" xfId="965" xr:uid="{00000000-0005-0000-0000-0000D8280000}"/>
    <cellStyle name="Normal 6 2 3 3 5 2" xfId="2313" xr:uid="{00000000-0005-0000-0000-0000D9280000}"/>
    <cellStyle name="Normal 6 2 3 3 5 3" xfId="41576" xr:uid="{F43DDB0A-A3F6-4C9D-B790-8397E88001A5}"/>
    <cellStyle name="Normal 6 2 3 3 6" xfId="2302" xr:uid="{00000000-0005-0000-0000-0000DA280000}"/>
    <cellStyle name="Normal 6 2 3 3 7" xfId="24224" xr:uid="{00000000-0005-0000-0000-0000DB280000}"/>
    <cellStyle name="Normal 6 2 3 3 8" xfId="24969" xr:uid="{00000000-0005-0000-0000-0000DC280000}"/>
    <cellStyle name="Normal 6 2 3 3 9" xfId="26163" xr:uid="{00000000-0005-0000-0000-0000DD280000}"/>
    <cellStyle name="Normal 6 2 3 4" xfId="966" xr:uid="{00000000-0005-0000-0000-0000DE280000}"/>
    <cellStyle name="Normal 6 2 3 4 10" xfId="32874" xr:uid="{A7BE31E4-435A-42B6-9EBA-B46B5B0DC0C0}"/>
    <cellStyle name="Normal 6 2 3 4 2" xfId="967" xr:uid="{00000000-0005-0000-0000-0000DF280000}"/>
    <cellStyle name="Normal 6 2 3 4 2 2" xfId="968" xr:uid="{00000000-0005-0000-0000-0000E0280000}"/>
    <cellStyle name="Normal 6 2 3 4 2 2 2" xfId="969" xr:uid="{00000000-0005-0000-0000-0000E1280000}"/>
    <cellStyle name="Normal 6 2 3 4 2 2 2 2" xfId="2317" xr:uid="{00000000-0005-0000-0000-0000E2280000}"/>
    <cellStyle name="Normal 6 2 3 4 2 2 2 3" xfId="41891" xr:uid="{63102F22-CFE9-4A1E-BE49-97C1C8AE7D19}"/>
    <cellStyle name="Normal 6 2 3 4 2 2 3" xfId="2316" xr:uid="{00000000-0005-0000-0000-0000E3280000}"/>
    <cellStyle name="Normal 6 2 3 4 2 2 4" xfId="24827" xr:uid="{00000000-0005-0000-0000-0000E4280000}"/>
    <cellStyle name="Normal 6 2 3 4 2 2 5" xfId="25550" xr:uid="{00000000-0005-0000-0000-0000E5280000}"/>
    <cellStyle name="Normal 6 2 3 4 2 2 6" xfId="26546" xr:uid="{00000000-0005-0000-0000-0000E6280000}"/>
    <cellStyle name="Normal 6 2 3 4 2 2 7" xfId="33189" xr:uid="{625B8AFB-4408-4A20-B381-AFDE0DC01B7E}"/>
    <cellStyle name="Normal 6 2 3 4 2 3" xfId="970" xr:uid="{00000000-0005-0000-0000-0000E7280000}"/>
    <cellStyle name="Normal 6 2 3 4 2 3 2" xfId="2318" xr:uid="{00000000-0005-0000-0000-0000E8280000}"/>
    <cellStyle name="Normal 6 2 3 4 2 3 3" xfId="41675" xr:uid="{95ABF220-03F9-4F40-9444-3EF931D63155}"/>
    <cellStyle name="Normal 6 2 3 4 2 4" xfId="2315" xr:uid="{00000000-0005-0000-0000-0000E9280000}"/>
    <cellStyle name="Normal 6 2 3 4 2 5" xfId="24448" xr:uid="{00000000-0005-0000-0000-0000EA280000}"/>
    <cellStyle name="Normal 6 2 3 4 2 6" xfId="25193" xr:uid="{00000000-0005-0000-0000-0000EB280000}"/>
    <cellStyle name="Normal 6 2 3 4 2 7" xfId="26330" xr:uid="{00000000-0005-0000-0000-0000EC280000}"/>
    <cellStyle name="Normal 6 2 3 4 2 8" xfId="32973" xr:uid="{50ED4F1C-02C1-48EA-B85B-727CC5067B39}"/>
    <cellStyle name="Normal 6 2 3 4 3" xfId="971" xr:uid="{00000000-0005-0000-0000-0000ED280000}"/>
    <cellStyle name="Normal 6 2 3 4 3 2" xfId="972" xr:uid="{00000000-0005-0000-0000-0000EE280000}"/>
    <cellStyle name="Normal 6 2 3 4 3 2 2" xfId="973" xr:uid="{00000000-0005-0000-0000-0000EF280000}"/>
    <cellStyle name="Normal 6 2 3 4 3 2 2 2" xfId="2321" xr:uid="{00000000-0005-0000-0000-0000F0280000}"/>
    <cellStyle name="Normal 6 2 3 4 3 2 2 3" xfId="41963" xr:uid="{3189E3A0-DDAF-4DD5-9B29-253231AA2FAF}"/>
    <cellStyle name="Normal 6 2 3 4 3 2 3" xfId="2320" xr:uid="{00000000-0005-0000-0000-0000F1280000}"/>
    <cellStyle name="Normal 6 2 3 4 3 2 4" xfId="26618" xr:uid="{00000000-0005-0000-0000-0000F2280000}"/>
    <cellStyle name="Normal 6 2 3 4 3 2 5" xfId="33261" xr:uid="{F233971E-BEAD-4A4C-B1AB-DCC5A0A15036}"/>
    <cellStyle name="Normal 6 2 3 4 3 3" xfId="974" xr:uid="{00000000-0005-0000-0000-0000F3280000}"/>
    <cellStyle name="Normal 6 2 3 4 3 3 2" xfId="2322" xr:uid="{00000000-0005-0000-0000-0000F4280000}"/>
    <cellStyle name="Normal 6 2 3 4 3 3 3" xfId="41747" xr:uid="{C95CE923-001B-4AF3-9EC4-4CA8C7A71C7F}"/>
    <cellStyle name="Normal 6 2 3 4 3 4" xfId="2319" xr:uid="{00000000-0005-0000-0000-0000F5280000}"/>
    <cellStyle name="Normal 6 2 3 4 3 5" xfId="24647" xr:uid="{00000000-0005-0000-0000-0000F6280000}"/>
    <cellStyle name="Normal 6 2 3 4 3 6" xfId="25370" xr:uid="{00000000-0005-0000-0000-0000F7280000}"/>
    <cellStyle name="Normal 6 2 3 4 3 7" xfId="26402" xr:uid="{00000000-0005-0000-0000-0000F8280000}"/>
    <cellStyle name="Normal 6 2 3 4 3 8" xfId="33045" xr:uid="{9DEE56ED-6E9C-46D0-B1FA-6C35624E87FE}"/>
    <cellStyle name="Normal 6 2 3 4 4" xfId="975" xr:uid="{00000000-0005-0000-0000-0000F9280000}"/>
    <cellStyle name="Normal 6 2 3 4 4 2" xfId="976" xr:uid="{00000000-0005-0000-0000-0000FA280000}"/>
    <cellStyle name="Normal 6 2 3 4 4 2 2" xfId="2324" xr:uid="{00000000-0005-0000-0000-0000FB280000}"/>
    <cellStyle name="Normal 6 2 3 4 4 2 3" xfId="41819" xr:uid="{20A81BB5-F9E0-40F0-82D7-19201BB0AAB8}"/>
    <cellStyle name="Normal 6 2 3 4 4 3" xfId="2323" xr:uid="{00000000-0005-0000-0000-0000FC280000}"/>
    <cellStyle name="Normal 6 2 3 4 4 4" xfId="26474" xr:uid="{00000000-0005-0000-0000-0000FD280000}"/>
    <cellStyle name="Normal 6 2 3 4 4 5" xfId="33117" xr:uid="{1CA1EFA2-8DA0-4B5A-83AD-350BD87ADE82}"/>
    <cellStyle name="Normal 6 2 3 4 5" xfId="977" xr:uid="{00000000-0005-0000-0000-0000FE280000}"/>
    <cellStyle name="Normal 6 2 3 4 5 2" xfId="2325" xr:uid="{00000000-0005-0000-0000-0000FF280000}"/>
    <cellStyle name="Normal 6 2 3 4 5 3" xfId="41603" xr:uid="{BF6C57E7-8CFC-4EDC-87FC-9B5E7FEFBA07}"/>
    <cellStyle name="Normal 6 2 3 4 6" xfId="2314" xr:uid="{00000000-0005-0000-0000-000000290000}"/>
    <cellStyle name="Normal 6 2 3 4 7" xfId="24268" xr:uid="{00000000-0005-0000-0000-000001290000}"/>
    <cellStyle name="Normal 6 2 3 4 8" xfId="25013" xr:uid="{00000000-0005-0000-0000-000002290000}"/>
    <cellStyle name="Normal 6 2 3 4 9" xfId="26258" xr:uid="{00000000-0005-0000-0000-000003290000}"/>
    <cellStyle name="Normal 6 2 3 5" xfId="978" xr:uid="{00000000-0005-0000-0000-000004290000}"/>
    <cellStyle name="Normal 6 2 3 5 2" xfId="979" xr:uid="{00000000-0005-0000-0000-000005290000}"/>
    <cellStyle name="Normal 6 2 3 5 2 2" xfId="980" xr:uid="{00000000-0005-0000-0000-000006290000}"/>
    <cellStyle name="Normal 6 2 3 5 2 2 2" xfId="2328" xr:uid="{00000000-0005-0000-0000-000007290000}"/>
    <cellStyle name="Normal 6 2 3 5 2 2 3" xfId="41838" xr:uid="{90CBA00C-2F1D-42D2-8E6D-7C460D3E87D1}"/>
    <cellStyle name="Normal 6 2 3 5 2 3" xfId="2327" xr:uid="{00000000-0005-0000-0000-000008290000}"/>
    <cellStyle name="Normal 6 2 3 5 2 4" xfId="24737" xr:uid="{00000000-0005-0000-0000-000009290000}"/>
    <cellStyle name="Normal 6 2 3 5 2 5" xfId="25460" xr:uid="{00000000-0005-0000-0000-00000A290000}"/>
    <cellStyle name="Normal 6 2 3 5 2 6" xfId="26493" xr:uid="{00000000-0005-0000-0000-00000B290000}"/>
    <cellStyle name="Normal 6 2 3 5 2 7" xfId="33136" xr:uid="{8E3CFEC4-56E1-40D3-9CE0-3E66F78DFAFA}"/>
    <cellStyle name="Normal 6 2 3 5 3" xfId="981" xr:uid="{00000000-0005-0000-0000-00000C290000}"/>
    <cellStyle name="Normal 6 2 3 5 3 2" xfId="2329" xr:uid="{00000000-0005-0000-0000-00000D290000}"/>
    <cellStyle name="Normal 6 2 3 5 3 3" xfId="41622" xr:uid="{68DD667B-4E2C-48A0-B0BA-30CF859741F7}"/>
    <cellStyle name="Normal 6 2 3 5 4" xfId="2326" xr:uid="{00000000-0005-0000-0000-00000E290000}"/>
    <cellStyle name="Normal 6 2 3 5 5" xfId="24358" xr:uid="{00000000-0005-0000-0000-00000F290000}"/>
    <cellStyle name="Normal 6 2 3 5 6" xfId="25103" xr:uid="{00000000-0005-0000-0000-000010290000}"/>
    <cellStyle name="Normal 6 2 3 5 7" xfId="26277" xr:uid="{00000000-0005-0000-0000-000011290000}"/>
    <cellStyle name="Normal 6 2 3 5 8" xfId="32913" xr:uid="{CF9F8C86-5FA8-4BC0-96D8-B83DCEE18B29}"/>
    <cellStyle name="Normal 6 2 3 6" xfId="982" xr:uid="{00000000-0005-0000-0000-000012290000}"/>
    <cellStyle name="Normal 6 2 3 6 2" xfId="983" xr:uid="{00000000-0005-0000-0000-000013290000}"/>
    <cellStyle name="Normal 6 2 3 6 2 2" xfId="984" xr:uid="{00000000-0005-0000-0000-000014290000}"/>
    <cellStyle name="Normal 6 2 3 6 2 2 2" xfId="2332" xr:uid="{00000000-0005-0000-0000-000015290000}"/>
    <cellStyle name="Normal 6 2 3 6 2 2 3" xfId="41910" xr:uid="{3C93C418-157A-4FD6-B8EC-88CE7F3457D4}"/>
    <cellStyle name="Normal 6 2 3 6 2 3" xfId="2331" xr:uid="{00000000-0005-0000-0000-000016290000}"/>
    <cellStyle name="Normal 6 2 3 6 2 4" xfId="26565" xr:uid="{00000000-0005-0000-0000-000017290000}"/>
    <cellStyle name="Normal 6 2 3 6 2 5" xfId="33208" xr:uid="{FFFFA5B0-4CAE-42C7-89DE-1540EF921E20}"/>
    <cellStyle name="Normal 6 2 3 6 3" xfId="985" xr:uid="{00000000-0005-0000-0000-000018290000}"/>
    <cellStyle name="Normal 6 2 3 6 3 2" xfId="2333" xr:uid="{00000000-0005-0000-0000-000019290000}"/>
    <cellStyle name="Normal 6 2 3 6 3 3" xfId="41694" xr:uid="{61836CD6-7876-464A-9909-797E7B409B53}"/>
    <cellStyle name="Normal 6 2 3 6 4" xfId="2330" xr:uid="{00000000-0005-0000-0000-00001A290000}"/>
    <cellStyle name="Normal 6 2 3 6 5" xfId="24559" xr:uid="{00000000-0005-0000-0000-00001B290000}"/>
    <cellStyle name="Normal 6 2 3 6 6" xfId="25282" xr:uid="{00000000-0005-0000-0000-00001C290000}"/>
    <cellStyle name="Normal 6 2 3 6 7" xfId="26349" xr:uid="{00000000-0005-0000-0000-00001D290000}"/>
    <cellStyle name="Normal 6 2 3 6 8" xfId="32992" xr:uid="{EC2497F2-AAF2-4542-A90A-F6497B518148}"/>
    <cellStyle name="Normal 6 2 3 7" xfId="986" xr:uid="{00000000-0005-0000-0000-00001E290000}"/>
    <cellStyle name="Normal 6 2 3 7 2" xfId="987" xr:uid="{00000000-0005-0000-0000-00001F290000}"/>
    <cellStyle name="Normal 6 2 3 7 2 2" xfId="2335" xr:uid="{00000000-0005-0000-0000-000020290000}"/>
    <cellStyle name="Normal 6 2 3 7 2 3" xfId="41766" xr:uid="{2DD93E8C-36FB-4A06-8973-233CB0E74C26}"/>
    <cellStyle name="Normal 6 2 3 7 3" xfId="2334" xr:uid="{00000000-0005-0000-0000-000021290000}"/>
    <cellStyle name="Normal 6 2 3 7 4" xfId="26421" xr:uid="{00000000-0005-0000-0000-000022290000}"/>
    <cellStyle name="Normal 6 2 3 7 5" xfId="33064" xr:uid="{F644BBD8-9F3D-4A00-8DE4-57BEA7110AAA}"/>
    <cellStyle name="Normal 6 2 3 8" xfId="988" xr:uid="{00000000-0005-0000-0000-000023290000}"/>
    <cellStyle name="Normal 6 2 3 8 2" xfId="2336" xr:uid="{00000000-0005-0000-0000-000024290000}"/>
    <cellStyle name="Normal 6 2 3 8 3" xfId="41548" xr:uid="{D372AC8D-F304-4AD7-BFAC-8BEFBFD378A7}"/>
    <cellStyle name="Normal 6 2 3 9" xfId="2289" xr:uid="{00000000-0005-0000-0000-000025290000}"/>
    <cellStyle name="Normal 6 2 4" xfId="989" xr:uid="{00000000-0005-0000-0000-000026290000}"/>
    <cellStyle name="Normal 6 2 4 10" xfId="26147" xr:uid="{00000000-0005-0000-0000-000027290000}"/>
    <cellStyle name="Normal 6 2 4 11" xfId="32720" xr:uid="{05DEAF66-3A9E-47F5-96D1-1BBE70814B1E}"/>
    <cellStyle name="Normal 6 2 4 2" xfId="990" xr:uid="{00000000-0005-0000-0000-000028290000}"/>
    <cellStyle name="Normal 6 2 4 2 2" xfId="991" xr:uid="{00000000-0005-0000-0000-000029290000}"/>
    <cellStyle name="Normal 6 2 4 2 2 2" xfId="992" xr:uid="{00000000-0005-0000-0000-00002A290000}"/>
    <cellStyle name="Normal 6 2 4 2 2 2 2" xfId="2340" xr:uid="{00000000-0005-0000-0000-00002B290000}"/>
    <cellStyle name="Normal 6 2 4 2 2 2 2 2" xfId="24881" xr:uid="{00000000-0005-0000-0000-00002C290000}"/>
    <cellStyle name="Normal 6 2 4 2 2 2 2 3" xfId="25604" xr:uid="{00000000-0005-0000-0000-00002D290000}"/>
    <cellStyle name="Normal 6 2 4 2 2 2 3" xfId="24502" xr:uid="{00000000-0005-0000-0000-00002E290000}"/>
    <cellStyle name="Normal 6 2 4 2 2 2 4" xfId="25247" xr:uid="{00000000-0005-0000-0000-00002F290000}"/>
    <cellStyle name="Normal 6 2 4 2 2 2 5" xfId="41848" xr:uid="{94E927A5-A23A-4F70-957B-493815A12F90}"/>
    <cellStyle name="Normal 6 2 4 2 2 3" xfId="2339" xr:uid="{00000000-0005-0000-0000-000030290000}"/>
    <cellStyle name="Normal 6 2 4 2 2 3 2" xfId="24701" xr:uid="{00000000-0005-0000-0000-000031290000}"/>
    <cellStyle name="Normal 6 2 4 2 2 3 3" xfId="25424" xr:uid="{00000000-0005-0000-0000-000032290000}"/>
    <cellStyle name="Normal 6 2 4 2 2 4" xfId="24322" xr:uid="{00000000-0005-0000-0000-000033290000}"/>
    <cellStyle name="Normal 6 2 4 2 2 5" xfId="25067" xr:uid="{00000000-0005-0000-0000-000034290000}"/>
    <cellStyle name="Normal 6 2 4 2 2 6" xfId="26503" xr:uid="{00000000-0005-0000-0000-000035290000}"/>
    <cellStyle name="Normal 6 2 4 2 2 7" xfId="33146" xr:uid="{F1CC5A53-ABC2-4732-A02B-F5990430AEEE}"/>
    <cellStyle name="Normal 6 2 4 2 3" xfId="993" xr:uid="{00000000-0005-0000-0000-000036290000}"/>
    <cellStyle name="Normal 6 2 4 2 3 2" xfId="2341" xr:uid="{00000000-0005-0000-0000-000037290000}"/>
    <cellStyle name="Normal 6 2 4 2 3 2 2" xfId="24793" xr:uid="{00000000-0005-0000-0000-000038290000}"/>
    <cellStyle name="Normal 6 2 4 2 3 2 3" xfId="25516" xr:uid="{00000000-0005-0000-0000-000039290000}"/>
    <cellStyle name="Normal 6 2 4 2 3 3" xfId="24414" xr:uid="{00000000-0005-0000-0000-00003A290000}"/>
    <cellStyle name="Normal 6 2 4 2 3 4" xfId="25159" xr:uid="{00000000-0005-0000-0000-00003B290000}"/>
    <cellStyle name="Normal 6 2 4 2 3 5" xfId="41632" xr:uid="{243ED10A-8884-4927-8F8F-6727A2D2D01D}"/>
    <cellStyle name="Normal 6 2 4 2 4" xfId="2338" xr:uid="{00000000-0005-0000-0000-00003C290000}"/>
    <cellStyle name="Normal 6 2 4 2 4 2" xfId="24613" xr:uid="{00000000-0005-0000-0000-00003D290000}"/>
    <cellStyle name="Normal 6 2 4 2 4 3" xfId="25336" xr:uid="{00000000-0005-0000-0000-00003E290000}"/>
    <cellStyle name="Normal 6 2 4 2 5" xfId="24234" xr:uid="{00000000-0005-0000-0000-00003F290000}"/>
    <cellStyle name="Normal 6 2 4 2 6" xfId="24979" xr:uid="{00000000-0005-0000-0000-000040290000}"/>
    <cellStyle name="Normal 6 2 4 2 7" xfId="26287" xr:uid="{00000000-0005-0000-0000-000041290000}"/>
    <cellStyle name="Normal 6 2 4 2 8" xfId="32924" xr:uid="{5316B7B9-4523-4B53-9FAB-2BF18F7D8331}"/>
    <cellStyle name="Normal 6 2 4 3" xfId="994" xr:uid="{00000000-0005-0000-0000-000042290000}"/>
    <cellStyle name="Normal 6 2 4 3 2" xfId="995" xr:uid="{00000000-0005-0000-0000-000043290000}"/>
    <cellStyle name="Normal 6 2 4 3 2 2" xfId="996" xr:uid="{00000000-0005-0000-0000-000044290000}"/>
    <cellStyle name="Normal 6 2 4 3 2 2 2" xfId="2344" xr:uid="{00000000-0005-0000-0000-000045290000}"/>
    <cellStyle name="Normal 6 2 4 3 2 2 3" xfId="24837" xr:uid="{00000000-0005-0000-0000-000046290000}"/>
    <cellStyle name="Normal 6 2 4 3 2 2 4" xfId="25560" xr:uid="{00000000-0005-0000-0000-000047290000}"/>
    <cellStyle name="Normal 6 2 4 3 2 2 5" xfId="41920" xr:uid="{EFD2F3DE-E106-4418-84FD-37E09AEE6307}"/>
    <cellStyle name="Normal 6 2 4 3 2 3" xfId="2343" xr:uid="{00000000-0005-0000-0000-000048290000}"/>
    <cellStyle name="Normal 6 2 4 3 2 4" xfId="24458" xr:uid="{00000000-0005-0000-0000-000049290000}"/>
    <cellStyle name="Normal 6 2 4 3 2 5" xfId="25203" xr:uid="{00000000-0005-0000-0000-00004A290000}"/>
    <cellStyle name="Normal 6 2 4 3 2 6" xfId="26575" xr:uid="{00000000-0005-0000-0000-00004B290000}"/>
    <cellStyle name="Normal 6 2 4 3 2 7" xfId="33218" xr:uid="{65D2B3BF-C204-481E-B7A6-7BC599BBDC8B}"/>
    <cellStyle name="Normal 6 2 4 3 3" xfId="997" xr:uid="{00000000-0005-0000-0000-00004C290000}"/>
    <cellStyle name="Normal 6 2 4 3 3 2" xfId="2345" xr:uid="{00000000-0005-0000-0000-00004D290000}"/>
    <cellStyle name="Normal 6 2 4 3 3 3" xfId="24657" xr:uid="{00000000-0005-0000-0000-00004E290000}"/>
    <cellStyle name="Normal 6 2 4 3 3 4" xfId="25380" xr:uid="{00000000-0005-0000-0000-00004F290000}"/>
    <cellStyle name="Normal 6 2 4 3 3 5" xfId="41704" xr:uid="{F64234B2-03C1-443D-9256-9720C5EF288A}"/>
    <cellStyle name="Normal 6 2 4 3 4" xfId="2342" xr:uid="{00000000-0005-0000-0000-000050290000}"/>
    <cellStyle name="Normal 6 2 4 3 5" xfId="24278" xr:uid="{00000000-0005-0000-0000-000051290000}"/>
    <cellStyle name="Normal 6 2 4 3 6" xfId="25023" xr:uid="{00000000-0005-0000-0000-000052290000}"/>
    <cellStyle name="Normal 6 2 4 3 7" xfId="26359" xr:uid="{00000000-0005-0000-0000-000053290000}"/>
    <cellStyle name="Normal 6 2 4 3 8" xfId="33002" xr:uid="{1B683A3F-E6CB-4FFD-9BC4-AF54DDBC1BE3}"/>
    <cellStyle name="Normal 6 2 4 4" xfId="998" xr:uid="{00000000-0005-0000-0000-000054290000}"/>
    <cellStyle name="Normal 6 2 4 4 2" xfId="999" xr:uid="{00000000-0005-0000-0000-000055290000}"/>
    <cellStyle name="Normal 6 2 4 4 2 2" xfId="2347" xr:uid="{00000000-0005-0000-0000-000056290000}"/>
    <cellStyle name="Normal 6 2 4 4 2 3" xfId="24749" xr:uid="{00000000-0005-0000-0000-000057290000}"/>
    <cellStyle name="Normal 6 2 4 4 2 4" xfId="25472" xr:uid="{00000000-0005-0000-0000-000058290000}"/>
    <cellStyle name="Normal 6 2 4 4 2 5" xfId="41776" xr:uid="{F40229B4-8D35-4888-912F-EFDF5C8335F2}"/>
    <cellStyle name="Normal 6 2 4 4 3" xfId="2346" xr:uid="{00000000-0005-0000-0000-000059290000}"/>
    <cellStyle name="Normal 6 2 4 4 4" xfId="24370" xr:uid="{00000000-0005-0000-0000-00005A290000}"/>
    <cellStyle name="Normal 6 2 4 4 5" xfId="25115" xr:uid="{00000000-0005-0000-0000-00005B290000}"/>
    <cellStyle name="Normal 6 2 4 4 6" xfId="26431" xr:uid="{00000000-0005-0000-0000-00005C290000}"/>
    <cellStyle name="Normal 6 2 4 4 7" xfId="33074" xr:uid="{BA910092-F8DB-4466-9988-EB86B2549AD6}"/>
    <cellStyle name="Normal 6 2 4 5" xfId="1000" xr:uid="{00000000-0005-0000-0000-00005D290000}"/>
    <cellStyle name="Normal 6 2 4 5 2" xfId="2348" xr:uid="{00000000-0005-0000-0000-00005E290000}"/>
    <cellStyle name="Normal 6 2 4 5 3" xfId="24569" xr:uid="{00000000-0005-0000-0000-00005F290000}"/>
    <cellStyle name="Normal 6 2 4 5 4" xfId="25292" xr:uid="{00000000-0005-0000-0000-000060290000}"/>
    <cellStyle name="Normal 6 2 4 5 5" xfId="41560" xr:uid="{87F35318-1537-46DE-BF50-E4E2EC1504E1}"/>
    <cellStyle name="Normal 6 2 4 6" xfId="2337" xr:uid="{00000000-0005-0000-0000-000061290000}"/>
    <cellStyle name="Normal 6 2 4 7" xfId="14661" xr:uid="{00000000-0005-0000-0000-000062290000}"/>
    <cellStyle name="Normal 6 2 4 8" xfId="24190" xr:uid="{00000000-0005-0000-0000-000063290000}"/>
    <cellStyle name="Normal 6 2 4 9" xfId="24935" xr:uid="{00000000-0005-0000-0000-000064290000}"/>
    <cellStyle name="Normal 6 2 5" xfId="1001" xr:uid="{00000000-0005-0000-0000-000065290000}"/>
    <cellStyle name="Normal 6 2 5 2" xfId="1002" xr:uid="{00000000-0005-0000-0000-000066290000}"/>
    <cellStyle name="Normal 6 2 5 2 2" xfId="1003" xr:uid="{00000000-0005-0000-0000-000067290000}"/>
    <cellStyle name="Normal 6 2 5 2 2 2" xfId="1004" xr:uid="{00000000-0005-0000-0000-000068290000}"/>
    <cellStyle name="Normal 6 2 5 2 2 2 2" xfId="2351" xr:uid="{00000000-0005-0000-0000-000069290000}"/>
    <cellStyle name="Normal 6 2 5 2 2 2 3" xfId="41861" xr:uid="{7FA30AF5-4DFC-47AF-AB1E-89CE25716029}"/>
    <cellStyle name="Normal 6 2 5 2 2 3" xfId="2350" xr:uid="{00000000-0005-0000-0000-00006A290000}"/>
    <cellStyle name="Normal 6 2 5 2 2 4" xfId="26516" xr:uid="{00000000-0005-0000-0000-00006B290000}"/>
    <cellStyle name="Normal 6 2 5 2 2 5" xfId="33159" xr:uid="{63E76608-4EA9-4324-BB12-0AFCD999C060}"/>
    <cellStyle name="Normal 6 2 5 2 3" xfId="1005" xr:uid="{00000000-0005-0000-0000-00006C290000}"/>
    <cellStyle name="Normal 6 2 5 2 3 2" xfId="2352" xr:uid="{00000000-0005-0000-0000-00006D290000}"/>
    <cellStyle name="Normal 6 2 5 2 3 3" xfId="41645" xr:uid="{566E48C0-F33E-475C-9205-410C0C947D3C}"/>
    <cellStyle name="Normal 6 2 5 2 4" xfId="2349" xr:uid="{00000000-0005-0000-0000-00006E290000}"/>
    <cellStyle name="Normal 6 2 5 2 5" xfId="26300" xr:uid="{00000000-0005-0000-0000-00006F290000}"/>
    <cellStyle name="Normal 6 2 5 2 6" xfId="32937" xr:uid="{76E77027-3698-44D6-87FF-A22C815DB374}"/>
    <cellStyle name="Normal 6 2 5 3" xfId="1006" xr:uid="{00000000-0005-0000-0000-000070290000}"/>
    <cellStyle name="Normal 6 2 5 3 2" xfId="1007" xr:uid="{00000000-0005-0000-0000-000071290000}"/>
    <cellStyle name="Normal 6 2 5 3 2 2" xfId="1008" xr:uid="{00000000-0005-0000-0000-000072290000}"/>
    <cellStyle name="Normal 6 2 5 3 2 2 2" xfId="2355" xr:uid="{00000000-0005-0000-0000-000073290000}"/>
    <cellStyle name="Normal 6 2 5 3 2 2 3" xfId="41933" xr:uid="{2D740D2B-77B3-4B47-87A0-F17EBFC19C7A}"/>
    <cellStyle name="Normal 6 2 5 3 2 3" xfId="2354" xr:uid="{00000000-0005-0000-0000-000074290000}"/>
    <cellStyle name="Normal 6 2 5 3 2 4" xfId="26588" xr:uid="{00000000-0005-0000-0000-000075290000}"/>
    <cellStyle name="Normal 6 2 5 3 2 5" xfId="33231" xr:uid="{E2C91EB9-6CA8-41ED-93CF-1A82671CBF6E}"/>
    <cellStyle name="Normal 6 2 5 3 3" xfId="1009" xr:uid="{00000000-0005-0000-0000-000076290000}"/>
    <cellStyle name="Normal 6 2 5 3 3 2" xfId="2356" xr:uid="{00000000-0005-0000-0000-000077290000}"/>
    <cellStyle name="Normal 6 2 5 3 3 3" xfId="41717" xr:uid="{681AC2B2-E773-4185-A9DC-8677754A884C}"/>
    <cellStyle name="Normal 6 2 5 3 4" xfId="2353" xr:uid="{00000000-0005-0000-0000-000078290000}"/>
    <cellStyle name="Normal 6 2 5 3 5" xfId="26372" xr:uid="{00000000-0005-0000-0000-000079290000}"/>
    <cellStyle name="Normal 6 2 5 3 6" xfId="33015" xr:uid="{1FCD88EC-D6EB-44F7-AD13-9727F6D6E366}"/>
    <cellStyle name="Normal 6 2 5 4" xfId="1010" xr:uid="{00000000-0005-0000-0000-00007A290000}"/>
    <cellStyle name="Normal 6 2 5 4 2" xfId="1011" xr:uid="{00000000-0005-0000-0000-00007B290000}"/>
    <cellStyle name="Normal 6 2 5 4 2 2" xfId="2358" xr:uid="{00000000-0005-0000-0000-00007C290000}"/>
    <cellStyle name="Normal 6 2 5 4 2 3" xfId="41789" xr:uid="{17FDE619-FDCC-45F5-A224-1266498F430C}"/>
    <cellStyle name="Normal 6 2 5 4 3" xfId="2357" xr:uid="{00000000-0005-0000-0000-00007D290000}"/>
    <cellStyle name="Normal 6 2 5 4 4" xfId="26444" xr:uid="{00000000-0005-0000-0000-00007E290000}"/>
    <cellStyle name="Normal 6 2 5 4 5" xfId="33087" xr:uid="{9417819B-4040-4AA7-AF53-A66764C5585D}"/>
    <cellStyle name="Normal 6 2 5 5" xfId="1012" xr:uid="{00000000-0005-0000-0000-00007F290000}"/>
    <cellStyle name="Normal 6 2 5 5 2" xfId="2359" xr:uid="{00000000-0005-0000-0000-000080290000}"/>
    <cellStyle name="Normal 6 2 5 5 3" xfId="41573" xr:uid="{CB821B22-2663-4F86-B69B-56798B698820}"/>
    <cellStyle name="Normal 6 2 5 6" xfId="1013" xr:uid="{00000000-0005-0000-0000-000081290000}"/>
    <cellStyle name="Normal 6 2 5 6 2" xfId="2360" xr:uid="{00000000-0005-0000-0000-000082290000}"/>
    <cellStyle name="Normal 6 2 5 7" xfId="19357" xr:uid="{00000000-0005-0000-0000-000083290000}"/>
    <cellStyle name="Normal 6 2 5 8" xfId="26160" xr:uid="{00000000-0005-0000-0000-000084290000}"/>
    <cellStyle name="Normal 6 2 5 9" xfId="32733" xr:uid="{5448DD68-0B33-46B1-ABFD-6B8F9DF957FA}"/>
    <cellStyle name="Normal 6 2 6" xfId="1014" xr:uid="{00000000-0005-0000-0000-000085290000}"/>
    <cellStyle name="Normal 6 2 6 10" xfId="26255" xr:uid="{00000000-0005-0000-0000-000086290000}"/>
    <cellStyle name="Normal 6 2 6 11" xfId="32871" xr:uid="{3539846F-6B54-4A09-A4AF-E7FAA68C1FCD}"/>
    <cellStyle name="Normal 6 2 6 2" xfId="1015" xr:uid="{00000000-0005-0000-0000-000087290000}"/>
    <cellStyle name="Normal 6 2 6 2 2" xfId="1016" xr:uid="{00000000-0005-0000-0000-000088290000}"/>
    <cellStyle name="Normal 6 2 6 2 2 2" xfId="1017" xr:uid="{00000000-0005-0000-0000-000089290000}"/>
    <cellStyle name="Normal 6 2 6 2 2 2 2" xfId="2364" xr:uid="{00000000-0005-0000-0000-00008A290000}"/>
    <cellStyle name="Normal 6 2 6 2 2 2 3" xfId="24868" xr:uid="{00000000-0005-0000-0000-00008B290000}"/>
    <cellStyle name="Normal 6 2 6 2 2 2 4" xfId="25591" xr:uid="{00000000-0005-0000-0000-00008C290000}"/>
    <cellStyle name="Normal 6 2 6 2 2 2 5" xfId="41888" xr:uid="{65EC4116-F9BE-40D9-A845-4C8BCB288F1F}"/>
    <cellStyle name="Normal 6 2 6 2 2 3" xfId="2363" xr:uid="{00000000-0005-0000-0000-00008D290000}"/>
    <cellStyle name="Normal 6 2 6 2 2 4" xfId="24489" xr:uid="{00000000-0005-0000-0000-00008E290000}"/>
    <cellStyle name="Normal 6 2 6 2 2 5" xfId="25234" xr:uid="{00000000-0005-0000-0000-00008F290000}"/>
    <cellStyle name="Normal 6 2 6 2 2 6" xfId="26543" xr:uid="{00000000-0005-0000-0000-000090290000}"/>
    <cellStyle name="Normal 6 2 6 2 2 7" xfId="33186" xr:uid="{0E97FCF6-97D1-4151-AC8D-F7B37EEC118B}"/>
    <cellStyle name="Normal 6 2 6 2 3" xfId="1018" xr:uid="{00000000-0005-0000-0000-000091290000}"/>
    <cellStyle name="Normal 6 2 6 2 3 2" xfId="2365" xr:uid="{00000000-0005-0000-0000-000092290000}"/>
    <cellStyle name="Normal 6 2 6 2 3 3" xfId="24688" xr:uid="{00000000-0005-0000-0000-000093290000}"/>
    <cellStyle name="Normal 6 2 6 2 3 4" xfId="25411" xr:uid="{00000000-0005-0000-0000-000094290000}"/>
    <cellStyle name="Normal 6 2 6 2 3 5" xfId="41672" xr:uid="{6E9D5FCB-0C57-43D9-A18C-3B7206877210}"/>
    <cellStyle name="Normal 6 2 6 2 4" xfId="2362" xr:uid="{00000000-0005-0000-0000-000095290000}"/>
    <cellStyle name="Normal 6 2 6 2 5" xfId="24309" xr:uid="{00000000-0005-0000-0000-000096290000}"/>
    <cellStyle name="Normal 6 2 6 2 6" xfId="25054" xr:uid="{00000000-0005-0000-0000-000097290000}"/>
    <cellStyle name="Normal 6 2 6 2 7" xfId="26327" xr:uid="{00000000-0005-0000-0000-000098290000}"/>
    <cellStyle name="Normal 6 2 6 2 8" xfId="32970" xr:uid="{F8C71877-3719-4389-80E4-4AB4BC085AC2}"/>
    <cellStyle name="Normal 6 2 6 3" xfId="1019" xr:uid="{00000000-0005-0000-0000-000099290000}"/>
    <cellStyle name="Normal 6 2 6 3 2" xfId="1020" xr:uid="{00000000-0005-0000-0000-00009A290000}"/>
    <cellStyle name="Normal 6 2 6 3 2 2" xfId="1021" xr:uid="{00000000-0005-0000-0000-00009B290000}"/>
    <cellStyle name="Normal 6 2 6 3 2 2 2" xfId="2368" xr:uid="{00000000-0005-0000-0000-00009C290000}"/>
    <cellStyle name="Normal 6 2 6 3 2 2 3" xfId="41960" xr:uid="{17CBD1A0-9EFE-4F09-9BCD-B2A1ECCE199D}"/>
    <cellStyle name="Normal 6 2 6 3 2 3" xfId="2367" xr:uid="{00000000-0005-0000-0000-00009D290000}"/>
    <cellStyle name="Normal 6 2 6 3 2 4" xfId="24780" xr:uid="{00000000-0005-0000-0000-00009E290000}"/>
    <cellStyle name="Normal 6 2 6 3 2 5" xfId="25503" xr:uid="{00000000-0005-0000-0000-00009F290000}"/>
    <cellStyle name="Normal 6 2 6 3 2 6" xfId="26615" xr:uid="{00000000-0005-0000-0000-0000A0290000}"/>
    <cellStyle name="Normal 6 2 6 3 2 7" xfId="33258" xr:uid="{0514433A-5452-4BC8-ADC0-A6FF2AD0836E}"/>
    <cellStyle name="Normal 6 2 6 3 3" xfId="1022" xr:uid="{00000000-0005-0000-0000-0000A1290000}"/>
    <cellStyle name="Normal 6 2 6 3 3 2" xfId="2369" xr:uid="{00000000-0005-0000-0000-0000A2290000}"/>
    <cellStyle name="Normal 6 2 6 3 3 3" xfId="41744" xr:uid="{AA121E85-B239-4B8B-BAE8-98A51F381E6C}"/>
    <cellStyle name="Normal 6 2 6 3 4" xfId="2366" xr:uid="{00000000-0005-0000-0000-0000A3290000}"/>
    <cellStyle name="Normal 6 2 6 3 5" xfId="24401" xr:uid="{00000000-0005-0000-0000-0000A4290000}"/>
    <cellStyle name="Normal 6 2 6 3 6" xfId="25146" xr:uid="{00000000-0005-0000-0000-0000A5290000}"/>
    <cellStyle name="Normal 6 2 6 3 7" xfId="26399" xr:uid="{00000000-0005-0000-0000-0000A6290000}"/>
    <cellStyle name="Normal 6 2 6 3 8" xfId="33042" xr:uid="{C0D8F5B6-9C64-4A35-B411-46AD0CE46865}"/>
    <cellStyle name="Normal 6 2 6 4" xfId="1023" xr:uid="{00000000-0005-0000-0000-0000A7290000}"/>
    <cellStyle name="Normal 6 2 6 4 2" xfId="1024" xr:uid="{00000000-0005-0000-0000-0000A8290000}"/>
    <cellStyle name="Normal 6 2 6 4 2 2" xfId="2371" xr:uid="{00000000-0005-0000-0000-0000A9290000}"/>
    <cellStyle name="Normal 6 2 6 4 2 3" xfId="41816" xr:uid="{B5A10D94-DB0B-4576-8AB9-AFCEB55D92AD}"/>
    <cellStyle name="Normal 6 2 6 4 3" xfId="2370" xr:uid="{00000000-0005-0000-0000-0000AA290000}"/>
    <cellStyle name="Normal 6 2 6 4 4" xfId="24600" xr:uid="{00000000-0005-0000-0000-0000AB290000}"/>
    <cellStyle name="Normal 6 2 6 4 5" xfId="25323" xr:uid="{00000000-0005-0000-0000-0000AC290000}"/>
    <cellStyle name="Normal 6 2 6 4 6" xfId="26471" xr:uid="{00000000-0005-0000-0000-0000AD290000}"/>
    <cellStyle name="Normal 6 2 6 4 7" xfId="33114" xr:uid="{6E362601-964F-4CB2-9E91-8C0D428FAD88}"/>
    <cellStyle name="Normal 6 2 6 5" xfId="1025" xr:uid="{00000000-0005-0000-0000-0000AE290000}"/>
    <cellStyle name="Normal 6 2 6 5 2" xfId="2372" xr:uid="{00000000-0005-0000-0000-0000AF290000}"/>
    <cellStyle name="Normal 6 2 6 5 3" xfId="41600" xr:uid="{0E4CFAB8-1DFA-483C-9EC9-03943E5A530F}"/>
    <cellStyle name="Normal 6 2 6 6" xfId="2361" xr:uid="{00000000-0005-0000-0000-0000B0290000}"/>
    <cellStyle name="Normal 6 2 6 7" xfId="23852" xr:uid="{00000000-0005-0000-0000-0000B1290000}"/>
    <cellStyle name="Normal 6 2 6 8" xfId="24221" xr:uid="{00000000-0005-0000-0000-0000B2290000}"/>
    <cellStyle name="Normal 6 2 6 9" xfId="24966" xr:uid="{00000000-0005-0000-0000-0000B3290000}"/>
    <cellStyle name="Normal 6 2 7" xfId="1026" xr:uid="{00000000-0005-0000-0000-0000B4290000}"/>
    <cellStyle name="Normal 6 2 7 2" xfId="1027" xr:uid="{00000000-0005-0000-0000-0000B5290000}"/>
    <cellStyle name="Normal 6 2 7 2 2" xfId="1028" xr:uid="{00000000-0005-0000-0000-0000B6290000}"/>
    <cellStyle name="Normal 6 2 7 2 2 2" xfId="2375" xr:uid="{00000000-0005-0000-0000-0000B7290000}"/>
    <cellStyle name="Normal 6 2 7 2 2 3" xfId="24824" xr:uid="{00000000-0005-0000-0000-0000B8290000}"/>
    <cellStyle name="Normal 6 2 7 2 2 4" xfId="25547" xr:uid="{00000000-0005-0000-0000-0000B9290000}"/>
    <cellStyle name="Normal 6 2 7 2 2 5" xfId="41835" xr:uid="{93D7D934-B672-46D3-88B1-DECFCEE4FB3D}"/>
    <cellStyle name="Normal 6 2 7 2 3" xfId="2374" xr:uid="{00000000-0005-0000-0000-0000BA290000}"/>
    <cellStyle name="Normal 6 2 7 2 4" xfId="24445" xr:uid="{00000000-0005-0000-0000-0000BB290000}"/>
    <cellStyle name="Normal 6 2 7 2 5" xfId="25190" xr:uid="{00000000-0005-0000-0000-0000BC290000}"/>
    <cellStyle name="Normal 6 2 7 2 6" xfId="26490" xr:uid="{00000000-0005-0000-0000-0000BD290000}"/>
    <cellStyle name="Normal 6 2 7 2 7" xfId="33133" xr:uid="{9EC55ADB-8CCF-4CBB-B2FE-0E93529FE07C}"/>
    <cellStyle name="Normal 6 2 7 3" xfId="1029" xr:uid="{00000000-0005-0000-0000-0000BE290000}"/>
    <cellStyle name="Normal 6 2 7 3 2" xfId="2376" xr:uid="{00000000-0005-0000-0000-0000BF290000}"/>
    <cellStyle name="Normal 6 2 7 3 3" xfId="24644" xr:uid="{00000000-0005-0000-0000-0000C0290000}"/>
    <cellStyle name="Normal 6 2 7 3 4" xfId="25367" xr:uid="{00000000-0005-0000-0000-0000C1290000}"/>
    <cellStyle name="Normal 6 2 7 3 5" xfId="41619" xr:uid="{CED8F4DB-A01F-4B6C-9F86-95270A3C2C12}"/>
    <cellStyle name="Normal 6 2 7 4" xfId="2373" xr:uid="{00000000-0005-0000-0000-0000C2290000}"/>
    <cellStyle name="Normal 6 2 7 5" xfId="24144" xr:uid="{00000000-0005-0000-0000-0000C3290000}"/>
    <cellStyle name="Normal 6 2 7 6" xfId="24265" xr:uid="{00000000-0005-0000-0000-0000C4290000}"/>
    <cellStyle name="Normal 6 2 7 7" xfId="25010" xr:uid="{00000000-0005-0000-0000-0000C5290000}"/>
    <cellStyle name="Normal 6 2 7 8" xfId="26274" xr:uid="{00000000-0005-0000-0000-0000C6290000}"/>
    <cellStyle name="Normal 6 2 7 9" xfId="32910" xr:uid="{694C59AB-9A16-4754-AB41-63A8F1B67A27}"/>
    <cellStyle name="Normal 6 2 8" xfId="1030" xr:uid="{00000000-0005-0000-0000-0000C7290000}"/>
    <cellStyle name="Normal 6 2 8 2" xfId="1031" xr:uid="{00000000-0005-0000-0000-0000C8290000}"/>
    <cellStyle name="Normal 6 2 8 2 2" xfId="1032" xr:uid="{00000000-0005-0000-0000-0000C9290000}"/>
    <cellStyle name="Normal 6 2 8 2 2 2" xfId="2379" xr:uid="{00000000-0005-0000-0000-0000CA290000}"/>
    <cellStyle name="Normal 6 2 8 2 2 3" xfId="41907" xr:uid="{E3942794-2BA5-48A7-876A-469E5B89F315}"/>
    <cellStyle name="Normal 6 2 8 2 3" xfId="2378" xr:uid="{00000000-0005-0000-0000-0000CB290000}"/>
    <cellStyle name="Normal 6 2 8 2 4" xfId="24734" xr:uid="{00000000-0005-0000-0000-0000CC290000}"/>
    <cellStyle name="Normal 6 2 8 2 5" xfId="25457" xr:uid="{00000000-0005-0000-0000-0000CD290000}"/>
    <cellStyle name="Normal 6 2 8 2 6" xfId="26562" xr:uid="{00000000-0005-0000-0000-0000CE290000}"/>
    <cellStyle name="Normal 6 2 8 2 7" xfId="33205" xr:uid="{7705935B-F540-4273-9936-84589CA3F969}"/>
    <cellStyle name="Normal 6 2 8 3" xfId="1033" xr:uid="{00000000-0005-0000-0000-0000CF290000}"/>
    <cellStyle name="Normal 6 2 8 3 2" xfId="2380" xr:uid="{00000000-0005-0000-0000-0000D0290000}"/>
    <cellStyle name="Normal 6 2 8 3 3" xfId="41691" xr:uid="{4E34ED2A-6CA9-4D90-AA39-CE9F08A00A9A}"/>
    <cellStyle name="Normal 6 2 8 4" xfId="2377" xr:uid="{00000000-0005-0000-0000-0000D1290000}"/>
    <cellStyle name="Normal 6 2 8 5" xfId="24355" xr:uid="{00000000-0005-0000-0000-0000D2290000}"/>
    <cellStyle name="Normal 6 2 8 6" xfId="25100" xr:uid="{00000000-0005-0000-0000-0000D3290000}"/>
    <cellStyle name="Normal 6 2 8 7" xfId="26346" xr:uid="{00000000-0005-0000-0000-0000D4290000}"/>
    <cellStyle name="Normal 6 2 8 8" xfId="32989" xr:uid="{E966C0C0-CB58-49A5-AD98-D0C6566CCAE8}"/>
    <cellStyle name="Normal 6 2 9" xfId="1034" xr:uid="{00000000-0005-0000-0000-0000D5290000}"/>
    <cellStyle name="Normal 6 2 9 2" xfId="1035" xr:uid="{00000000-0005-0000-0000-0000D6290000}"/>
    <cellStyle name="Normal 6 2 9 2 2" xfId="2382" xr:uid="{00000000-0005-0000-0000-0000D7290000}"/>
    <cellStyle name="Normal 6 2 9 2 3" xfId="41763" xr:uid="{3A3E08F8-27A0-4FEB-8F0C-8DD160C30746}"/>
    <cellStyle name="Normal 6 2 9 3" xfId="2381" xr:uid="{00000000-0005-0000-0000-0000D8290000}"/>
    <cellStyle name="Normal 6 2 9 4" xfId="24556" xr:uid="{00000000-0005-0000-0000-0000D9290000}"/>
    <cellStyle name="Normal 6 2 9 5" xfId="25279" xr:uid="{00000000-0005-0000-0000-0000DA290000}"/>
    <cellStyle name="Normal 6 2 9 6" xfId="26418" xr:uid="{00000000-0005-0000-0000-0000DB290000}"/>
    <cellStyle name="Normal 6 2 9 7" xfId="33061" xr:uid="{2155B0EA-C27D-450A-9B66-25EA12FE5D15}"/>
    <cellStyle name="Normal 6 3" xfId="1036" xr:uid="{00000000-0005-0000-0000-0000DC290000}"/>
    <cellStyle name="Normal 6 3 10" xfId="5391" xr:uid="{00000000-0005-0000-0000-0000DD290000}"/>
    <cellStyle name="Normal 6 3 10 2" xfId="26132" xr:uid="{00000000-0005-0000-0000-0000DE290000}"/>
    <cellStyle name="Normal 6 3 11" xfId="24180" xr:uid="{00000000-0005-0000-0000-0000DF290000}"/>
    <cellStyle name="Normal 6 3 12" xfId="24923" xr:uid="{00000000-0005-0000-0000-0000E0290000}"/>
    <cellStyle name="Normal 6 3 13" xfId="26096" xr:uid="{00000000-0005-0000-0000-0000E1290000}"/>
    <cellStyle name="Normal 6 3 14" xfId="32690" xr:uid="{57C88C0B-D444-4F03-A628-38A87E2A2425}"/>
    <cellStyle name="Normal 6 3 2" xfId="1037" xr:uid="{00000000-0005-0000-0000-0000E2290000}"/>
    <cellStyle name="Normal 6 3 2 10" xfId="5392" xr:uid="{00000000-0005-0000-0000-0000E3290000}"/>
    <cellStyle name="Normal 6 3 2 11" xfId="24181" xr:uid="{00000000-0005-0000-0000-0000E4290000}"/>
    <cellStyle name="Normal 6 3 2 12" xfId="24924" xr:uid="{00000000-0005-0000-0000-0000E5290000}"/>
    <cellStyle name="Normal 6 3 2 13" xfId="26133" xr:uid="{00000000-0005-0000-0000-0000E6290000}"/>
    <cellStyle name="Normal 6 3 2 14" xfId="32691" xr:uid="{C26CBCD2-730A-47AC-A4BA-73700E83344B}"/>
    <cellStyle name="Normal 6 3 2 2" xfId="1038" xr:uid="{00000000-0005-0000-0000-0000E7290000}"/>
    <cellStyle name="Normal 6 3 2 2 10" xfId="26152" xr:uid="{00000000-0005-0000-0000-0000E8290000}"/>
    <cellStyle name="Normal 6 3 2 2 11" xfId="32725" xr:uid="{756423B0-69E5-4D7F-A2F8-B234EBB29A46}"/>
    <cellStyle name="Normal 6 3 2 2 2" xfId="1039" xr:uid="{00000000-0005-0000-0000-0000E9290000}"/>
    <cellStyle name="Normal 6 3 2 2 2 2" xfId="1040" xr:uid="{00000000-0005-0000-0000-0000EA290000}"/>
    <cellStyle name="Normal 6 3 2 2 2 2 2" xfId="1041" xr:uid="{00000000-0005-0000-0000-0000EB290000}"/>
    <cellStyle name="Normal 6 3 2 2 2 2 2 2" xfId="2387" xr:uid="{00000000-0005-0000-0000-0000EC290000}"/>
    <cellStyle name="Normal 6 3 2 2 2 2 2 2 2" xfId="24886" xr:uid="{00000000-0005-0000-0000-0000ED290000}"/>
    <cellStyle name="Normal 6 3 2 2 2 2 2 2 3" xfId="25609" xr:uid="{00000000-0005-0000-0000-0000EE290000}"/>
    <cellStyle name="Normal 6 3 2 2 2 2 2 3" xfId="24507" xr:uid="{00000000-0005-0000-0000-0000EF290000}"/>
    <cellStyle name="Normal 6 3 2 2 2 2 2 4" xfId="25252" xr:uid="{00000000-0005-0000-0000-0000F0290000}"/>
    <cellStyle name="Normal 6 3 2 2 2 2 2 5" xfId="41853" xr:uid="{6B703452-BC7F-4FD7-80BB-652E489B624C}"/>
    <cellStyle name="Normal 6 3 2 2 2 2 3" xfId="2386" xr:uid="{00000000-0005-0000-0000-0000F1290000}"/>
    <cellStyle name="Normal 6 3 2 2 2 2 3 2" xfId="24706" xr:uid="{00000000-0005-0000-0000-0000F2290000}"/>
    <cellStyle name="Normal 6 3 2 2 2 2 3 3" xfId="25429" xr:uid="{00000000-0005-0000-0000-0000F3290000}"/>
    <cellStyle name="Normal 6 3 2 2 2 2 4" xfId="24327" xr:uid="{00000000-0005-0000-0000-0000F4290000}"/>
    <cellStyle name="Normal 6 3 2 2 2 2 5" xfId="25072" xr:uid="{00000000-0005-0000-0000-0000F5290000}"/>
    <cellStyle name="Normal 6 3 2 2 2 2 6" xfId="26508" xr:uid="{00000000-0005-0000-0000-0000F6290000}"/>
    <cellStyle name="Normal 6 3 2 2 2 2 7" xfId="33151" xr:uid="{8F41BEB7-9620-41C0-91CD-BEBF59D58530}"/>
    <cellStyle name="Normal 6 3 2 2 2 3" xfId="1042" xr:uid="{00000000-0005-0000-0000-0000F7290000}"/>
    <cellStyle name="Normal 6 3 2 2 2 3 2" xfId="2388" xr:uid="{00000000-0005-0000-0000-0000F8290000}"/>
    <cellStyle name="Normal 6 3 2 2 2 3 2 2" xfId="24798" xr:uid="{00000000-0005-0000-0000-0000F9290000}"/>
    <cellStyle name="Normal 6 3 2 2 2 3 2 3" xfId="25521" xr:uid="{00000000-0005-0000-0000-0000FA290000}"/>
    <cellStyle name="Normal 6 3 2 2 2 3 3" xfId="24419" xr:uid="{00000000-0005-0000-0000-0000FB290000}"/>
    <cellStyle name="Normal 6 3 2 2 2 3 4" xfId="25164" xr:uid="{00000000-0005-0000-0000-0000FC290000}"/>
    <cellStyle name="Normal 6 3 2 2 2 3 5" xfId="41637" xr:uid="{8E79BEBE-15A3-4C38-81B0-DF89AD701F78}"/>
    <cellStyle name="Normal 6 3 2 2 2 4" xfId="2385" xr:uid="{00000000-0005-0000-0000-0000FD290000}"/>
    <cellStyle name="Normal 6 3 2 2 2 4 2" xfId="24618" xr:uid="{00000000-0005-0000-0000-0000FE290000}"/>
    <cellStyle name="Normal 6 3 2 2 2 4 3" xfId="25341" xr:uid="{00000000-0005-0000-0000-0000FF290000}"/>
    <cellStyle name="Normal 6 3 2 2 2 5" xfId="24239" xr:uid="{00000000-0005-0000-0000-0000002A0000}"/>
    <cellStyle name="Normal 6 3 2 2 2 6" xfId="24984" xr:uid="{00000000-0005-0000-0000-0000012A0000}"/>
    <cellStyle name="Normal 6 3 2 2 2 7" xfId="26292" xr:uid="{00000000-0005-0000-0000-0000022A0000}"/>
    <cellStyle name="Normal 6 3 2 2 2 8" xfId="32929" xr:uid="{1A9AF24E-A3A7-4640-8A8F-1EEA01698AB5}"/>
    <cellStyle name="Normal 6 3 2 2 3" xfId="1043" xr:uid="{00000000-0005-0000-0000-0000032A0000}"/>
    <cellStyle name="Normal 6 3 2 2 3 2" xfId="1044" xr:uid="{00000000-0005-0000-0000-0000042A0000}"/>
    <cellStyle name="Normal 6 3 2 2 3 2 2" xfId="1045" xr:uid="{00000000-0005-0000-0000-0000052A0000}"/>
    <cellStyle name="Normal 6 3 2 2 3 2 2 2" xfId="2391" xr:uid="{00000000-0005-0000-0000-0000062A0000}"/>
    <cellStyle name="Normal 6 3 2 2 3 2 2 3" xfId="24842" xr:uid="{00000000-0005-0000-0000-0000072A0000}"/>
    <cellStyle name="Normal 6 3 2 2 3 2 2 4" xfId="25565" xr:uid="{00000000-0005-0000-0000-0000082A0000}"/>
    <cellStyle name="Normal 6 3 2 2 3 2 2 5" xfId="41925" xr:uid="{10691F2D-72AF-43ED-9619-6C5CB352414E}"/>
    <cellStyle name="Normal 6 3 2 2 3 2 3" xfId="2390" xr:uid="{00000000-0005-0000-0000-0000092A0000}"/>
    <cellStyle name="Normal 6 3 2 2 3 2 4" xfId="24463" xr:uid="{00000000-0005-0000-0000-00000A2A0000}"/>
    <cellStyle name="Normal 6 3 2 2 3 2 5" xfId="25208" xr:uid="{00000000-0005-0000-0000-00000B2A0000}"/>
    <cellStyle name="Normal 6 3 2 2 3 2 6" xfId="26580" xr:uid="{00000000-0005-0000-0000-00000C2A0000}"/>
    <cellStyle name="Normal 6 3 2 2 3 2 7" xfId="33223" xr:uid="{C38B1515-DFB9-4353-BA99-F95498C9961A}"/>
    <cellStyle name="Normal 6 3 2 2 3 3" xfId="1046" xr:uid="{00000000-0005-0000-0000-00000D2A0000}"/>
    <cellStyle name="Normal 6 3 2 2 3 3 2" xfId="2392" xr:uid="{00000000-0005-0000-0000-00000E2A0000}"/>
    <cellStyle name="Normal 6 3 2 2 3 3 3" xfId="24662" xr:uid="{00000000-0005-0000-0000-00000F2A0000}"/>
    <cellStyle name="Normal 6 3 2 2 3 3 4" xfId="25385" xr:uid="{00000000-0005-0000-0000-0000102A0000}"/>
    <cellStyle name="Normal 6 3 2 2 3 3 5" xfId="41709" xr:uid="{71B1268F-1FC9-4EB0-B9F1-13A521C3E878}"/>
    <cellStyle name="Normal 6 3 2 2 3 4" xfId="2389" xr:uid="{00000000-0005-0000-0000-0000112A0000}"/>
    <cellStyle name="Normal 6 3 2 2 3 5" xfId="24283" xr:uid="{00000000-0005-0000-0000-0000122A0000}"/>
    <cellStyle name="Normal 6 3 2 2 3 6" xfId="25028" xr:uid="{00000000-0005-0000-0000-0000132A0000}"/>
    <cellStyle name="Normal 6 3 2 2 3 7" xfId="26364" xr:uid="{00000000-0005-0000-0000-0000142A0000}"/>
    <cellStyle name="Normal 6 3 2 2 3 8" xfId="33007" xr:uid="{11EB26A8-0B41-4BD7-B1CB-888F0D0E60B4}"/>
    <cellStyle name="Normal 6 3 2 2 4" xfId="1047" xr:uid="{00000000-0005-0000-0000-0000152A0000}"/>
    <cellStyle name="Normal 6 3 2 2 4 2" xfId="1048" xr:uid="{00000000-0005-0000-0000-0000162A0000}"/>
    <cellStyle name="Normal 6 3 2 2 4 2 2" xfId="2394" xr:uid="{00000000-0005-0000-0000-0000172A0000}"/>
    <cellStyle name="Normal 6 3 2 2 4 2 3" xfId="24754" xr:uid="{00000000-0005-0000-0000-0000182A0000}"/>
    <cellStyle name="Normal 6 3 2 2 4 2 4" xfId="25477" xr:uid="{00000000-0005-0000-0000-0000192A0000}"/>
    <cellStyle name="Normal 6 3 2 2 4 2 5" xfId="41781" xr:uid="{319E2CE0-D482-4B1A-B0CB-084D66FC6636}"/>
    <cellStyle name="Normal 6 3 2 2 4 3" xfId="2393" xr:uid="{00000000-0005-0000-0000-00001A2A0000}"/>
    <cellStyle name="Normal 6 3 2 2 4 4" xfId="24375" xr:uid="{00000000-0005-0000-0000-00001B2A0000}"/>
    <cellStyle name="Normal 6 3 2 2 4 5" xfId="25120" xr:uid="{00000000-0005-0000-0000-00001C2A0000}"/>
    <cellStyle name="Normal 6 3 2 2 4 6" xfId="26436" xr:uid="{00000000-0005-0000-0000-00001D2A0000}"/>
    <cellStyle name="Normal 6 3 2 2 4 7" xfId="33079" xr:uid="{1DA24784-E108-4CD1-AEBF-9D7195528870}"/>
    <cellStyle name="Normal 6 3 2 2 5" xfId="1049" xr:uid="{00000000-0005-0000-0000-00001E2A0000}"/>
    <cellStyle name="Normal 6 3 2 2 5 2" xfId="2395" xr:uid="{00000000-0005-0000-0000-00001F2A0000}"/>
    <cellStyle name="Normal 6 3 2 2 5 3" xfId="24574" xr:uid="{00000000-0005-0000-0000-0000202A0000}"/>
    <cellStyle name="Normal 6 3 2 2 5 4" xfId="25297" xr:uid="{00000000-0005-0000-0000-0000212A0000}"/>
    <cellStyle name="Normal 6 3 2 2 5 5" xfId="41565" xr:uid="{6C878B6D-54CD-479F-9AC4-AEE49CF037BB}"/>
    <cellStyle name="Normal 6 3 2 2 6" xfId="2384" xr:uid="{00000000-0005-0000-0000-0000222A0000}"/>
    <cellStyle name="Normal 6 3 2 2 7" xfId="7935" xr:uid="{00000000-0005-0000-0000-0000232A0000}"/>
    <cellStyle name="Normal 6 3 2 2 8" xfId="24195" xr:uid="{00000000-0005-0000-0000-0000242A0000}"/>
    <cellStyle name="Normal 6 3 2 2 9" xfId="24940" xr:uid="{00000000-0005-0000-0000-0000252A0000}"/>
    <cellStyle name="Normal 6 3 2 3" xfId="1050" xr:uid="{00000000-0005-0000-0000-0000262A0000}"/>
    <cellStyle name="Normal 6 3 2 3 10" xfId="26165" xr:uid="{00000000-0005-0000-0000-0000272A0000}"/>
    <cellStyle name="Normal 6 3 2 3 11" xfId="32738" xr:uid="{763538FB-BA29-42C4-8BBC-C79F1516A69A}"/>
    <cellStyle name="Normal 6 3 2 3 2" xfId="1051" xr:uid="{00000000-0005-0000-0000-0000282A0000}"/>
    <cellStyle name="Normal 6 3 2 3 2 2" xfId="1052" xr:uid="{00000000-0005-0000-0000-0000292A0000}"/>
    <cellStyle name="Normal 6 3 2 3 2 2 2" xfId="1053" xr:uid="{00000000-0005-0000-0000-00002A2A0000}"/>
    <cellStyle name="Normal 6 3 2 3 2 2 2 2" xfId="2399" xr:uid="{00000000-0005-0000-0000-00002B2A0000}"/>
    <cellStyle name="Normal 6 3 2 3 2 2 2 3" xfId="24873" xr:uid="{00000000-0005-0000-0000-00002C2A0000}"/>
    <cellStyle name="Normal 6 3 2 3 2 2 2 4" xfId="25596" xr:uid="{00000000-0005-0000-0000-00002D2A0000}"/>
    <cellStyle name="Normal 6 3 2 3 2 2 2 5" xfId="41866" xr:uid="{89530A1C-3326-49DC-8E8B-8AA07E1B0676}"/>
    <cellStyle name="Normal 6 3 2 3 2 2 3" xfId="2398" xr:uid="{00000000-0005-0000-0000-00002E2A0000}"/>
    <cellStyle name="Normal 6 3 2 3 2 2 4" xfId="24494" xr:uid="{00000000-0005-0000-0000-00002F2A0000}"/>
    <cellStyle name="Normal 6 3 2 3 2 2 5" xfId="25239" xr:uid="{00000000-0005-0000-0000-0000302A0000}"/>
    <cellStyle name="Normal 6 3 2 3 2 2 6" xfId="26521" xr:uid="{00000000-0005-0000-0000-0000312A0000}"/>
    <cellStyle name="Normal 6 3 2 3 2 2 7" xfId="33164" xr:uid="{4126B8CB-31D9-422E-B52B-FE5594D586A2}"/>
    <cellStyle name="Normal 6 3 2 3 2 3" xfId="1054" xr:uid="{00000000-0005-0000-0000-0000322A0000}"/>
    <cellStyle name="Normal 6 3 2 3 2 3 2" xfId="2400" xr:uid="{00000000-0005-0000-0000-0000332A0000}"/>
    <cellStyle name="Normal 6 3 2 3 2 3 3" xfId="24693" xr:uid="{00000000-0005-0000-0000-0000342A0000}"/>
    <cellStyle name="Normal 6 3 2 3 2 3 4" xfId="25416" xr:uid="{00000000-0005-0000-0000-0000352A0000}"/>
    <cellStyle name="Normal 6 3 2 3 2 3 5" xfId="41650" xr:uid="{8CBA64F7-9E19-43A5-A1AA-C40679D2B5A0}"/>
    <cellStyle name="Normal 6 3 2 3 2 4" xfId="2397" xr:uid="{00000000-0005-0000-0000-0000362A0000}"/>
    <cellStyle name="Normal 6 3 2 3 2 5" xfId="24314" xr:uid="{00000000-0005-0000-0000-0000372A0000}"/>
    <cellStyle name="Normal 6 3 2 3 2 6" xfId="25059" xr:uid="{00000000-0005-0000-0000-0000382A0000}"/>
    <cellStyle name="Normal 6 3 2 3 2 7" xfId="26305" xr:uid="{00000000-0005-0000-0000-0000392A0000}"/>
    <cellStyle name="Normal 6 3 2 3 2 8" xfId="32942" xr:uid="{6F1F0D64-5C90-4840-9648-E3D7BDB5FEA9}"/>
    <cellStyle name="Normal 6 3 2 3 3" xfId="1055" xr:uid="{00000000-0005-0000-0000-00003A2A0000}"/>
    <cellStyle name="Normal 6 3 2 3 3 2" xfId="1056" xr:uid="{00000000-0005-0000-0000-00003B2A0000}"/>
    <cellStyle name="Normal 6 3 2 3 3 2 2" xfId="1057" xr:uid="{00000000-0005-0000-0000-00003C2A0000}"/>
    <cellStyle name="Normal 6 3 2 3 3 2 2 2" xfId="2403" xr:uid="{00000000-0005-0000-0000-00003D2A0000}"/>
    <cellStyle name="Normal 6 3 2 3 3 2 2 3" xfId="41938" xr:uid="{A9A500DB-C6C3-4CF5-874E-EE9A99223669}"/>
    <cellStyle name="Normal 6 3 2 3 3 2 3" xfId="2402" xr:uid="{00000000-0005-0000-0000-00003E2A0000}"/>
    <cellStyle name="Normal 6 3 2 3 3 2 4" xfId="24785" xr:uid="{00000000-0005-0000-0000-00003F2A0000}"/>
    <cellStyle name="Normal 6 3 2 3 3 2 5" xfId="25508" xr:uid="{00000000-0005-0000-0000-0000402A0000}"/>
    <cellStyle name="Normal 6 3 2 3 3 2 6" xfId="26593" xr:uid="{00000000-0005-0000-0000-0000412A0000}"/>
    <cellStyle name="Normal 6 3 2 3 3 2 7" xfId="33236" xr:uid="{B5A30034-7DBB-4702-8D0E-71923E795207}"/>
    <cellStyle name="Normal 6 3 2 3 3 3" xfId="1058" xr:uid="{00000000-0005-0000-0000-0000422A0000}"/>
    <cellStyle name="Normal 6 3 2 3 3 3 2" xfId="2404" xr:uid="{00000000-0005-0000-0000-0000432A0000}"/>
    <cellStyle name="Normal 6 3 2 3 3 3 3" xfId="41722" xr:uid="{E84D66D6-13F5-4E48-BC58-1D120B5C69EB}"/>
    <cellStyle name="Normal 6 3 2 3 3 4" xfId="2401" xr:uid="{00000000-0005-0000-0000-0000442A0000}"/>
    <cellStyle name="Normal 6 3 2 3 3 5" xfId="24406" xr:uid="{00000000-0005-0000-0000-0000452A0000}"/>
    <cellStyle name="Normal 6 3 2 3 3 6" xfId="25151" xr:uid="{00000000-0005-0000-0000-0000462A0000}"/>
    <cellStyle name="Normal 6 3 2 3 3 7" xfId="26377" xr:uid="{00000000-0005-0000-0000-0000472A0000}"/>
    <cellStyle name="Normal 6 3 2 3 3 8" xfId="33020" xr:uid="{2794B29F-BC00-4667-AD61-0EB1DAF2CE08}"/>
    <cellStyle name="Normal 6 3 2 3 4" xfId="1059" xr:uid="{00000000-0005-0000-0000-0000482A0000}"/>
    <cellStyle name="Normal 6 3 2 3 4 2" xfId="1060" xr:uid="{00000000-0005-0000-0000-0000492A0000}"/>
    <cellStyle name="Normal 6 3 2 3 4 2 2" xfId="2406" xr:uid="{00000000-0005-0000-0000-00004A2A0000}"/>
    <cellStyle name="Normal 6 3 2 3 4 2 3" xfId="41794" xr:uid="{7E30C411-05C8-496E-B969-63FA1980BA1A}"/>
    <cellStyle name="Normal 6 3 2 3 4 3" xfId="2405" xr:uid="{00000000-0005-0000-0000-00004B2A0000}"/>
    <cellStyle name="Normal 6 3 2 3 4 4" xfId="24605" xr:uid="{00000000-0005-0000-0000-00004C2A0000}"/>
    <cellStyle name="Normal 6 3 2 3 4 5" xfId="25328" xr:uid="{00000000-0005-0000-0000-00004D2A0000}"/>
    <cellStyle name="Normal 6 3 2 3 4 6" xfId="26449" xr:uid="{00000000-0005-0000-0000-00004E2A0000}"/>
    <cellStyle name="Normal 6 3 2 3 4 7" xfId="33092" xr:uid="{9A3139DD-A797-4881-BACE-D995B4248C7F}"/>
    <cellStyle name="Normal 6 3 2 3 5" xfId="1061" xr:uid="{00000000-0005-0000-0000-00004F2A0000}"/>
    <cellStyle name="Normal 6 3 2 3 5 2" xfId="2407" xr:uid="{00000000-0005-0000-0000-0000502A0000}"/>
    <cellStyle name="Normal 6 3 2 3 5 3" xfId="41578" xr:uid="{2E3E24C1-1137-4265-8B25-213A40BCEFE3}"/>
    <cellStyle name="Normal 6 3 2 3 6" xfId="2396" xr:uid="{00000000-0005-0000-0000-0000512A0000}"/>
    <cellStyle name="Normal 6 3 2 3 7" xfId="14809" xr:uid="{00000000-0005-0000-0000-0000522A0000}"/>
    <cellStyle name="Normal 6 3 2 3 8" xfId="24226" xr:uid="{00000000-0005-0000-0000-0000532A0000}"/>
    <cellStyle name="Normal 6 3 2 3 9" xfId="24971" xr:uid="{00000000-0005-0000-0000-0000542A0000}"/>
    <cellStyle name="Normal 6 3 2 4" xfId="1062" xr:uid="{00000000-0005-0000-0000-0000552A0000}"/>
    <cellStyle name="Normal 6 3 2 4 10" xfId="26260" xr:uid="{00000000-0005-0000-0000-0000562A0000}"/>
    <cellStyle name="Normal 6 3 2 4 11" xfId="32876" xr:uid="{8DC037B3-0C97-4C2A-B3DE-3CCBFFD7240C}"/>
    <cellStyle name="Normal 6 3 2 4 2" xfId="1063" xr:uid="{00000000-0005-0000-0000-0000572A0000}"/>
    <cellStyle name="Normal 6 3 2 4 2 2" xfId="1064" xr:uid="{00000000-0005-0000-0000-0000582A0000}"/>
    <cellStyle name="Normal 6 3 2 4 2 2 2" xfId="1065" xr:uid="{00000000-0005-0000-0000-0000592A0000}"/>
    <cellStyle name="Normal 6 3 2 4 2 2 2 2" xfId="2411" xr:uid="{00000000-0005-0000-0000-00005A2A0000}"/>
    <cellStyle name="Normal 6 3 2 4 2 2 2 3" xfId="41893" xr:uid="{7918E8C3-A3D9-4D71-9246-470A5F0ABADE}"/>
    <cellStyle name="Normal 6 3 2 4 2 2 3" xfId="2410" xr:uid="{00000000-0005-0000-0000-00005B2A0000}"/>
    <cellStyle name="Normal 6 3 2 4 2 2 4" xfId="24829" xr:uid="{00000000-0005-0000-0000-00005C2A0000}"/>
    <cellStyle name="Normal 6 3 2 4 2 2 5" xfId="25552" xr:uid="{00000000-0005-0000-0000-00005D2A0000}"/>
    <cellStyle name="Normal 6 3 2 4 2 2 6" xfId="26548" xr:uid="{00000000-0005-0000-0000-00005E2A0000}"/>
    <cellStyle name="Normal 6 3 2 4 2 2 7" xfId="33191" xr:uid="{D462956E-F72E-4F8A-B5F9-AB28E00D74C6}"/>
    <cellStyle name="Normal 6 3 2 4 2 3" xfId="1066" xr:uid="{00000000-0005-0000-0000-00005F2A0000}"/>
    <cellStyle name="Normal 6 3 2 4 2 3 2" xfId="2412" xr:uid="{00000000-0005-0000-0000-0000602A0000}"/>
    <cellStyle name="Normal 6 3 2 4 2 3 3" xfId="41677" xr:uid="{322450C8-EEFA-4A20-A0B0-98CEB1B70BF5}"/>
    <cellStyle name="Normal 6 3 2 4 2 4" xfId="2409" xr:uid="{00000000-0005-0000-0000-0000612A0000}"/>
    <cellStyle name="Normal 6 3 2 4 2 5" xfId="24450" xr:uid="{00000000-0005-0000-0000-0000622A0000}"/>
    <cellStyle name="Normal 6 3 2 4 2 6" xfId="25195" xr:uid="{00000000-0005-0000-0000-0000632A0000}"/>
    <cellStyle name="Normal 6 3 2 4 2 7" xfId="26332" xr:uid="{00000000-0005-0000-0000-0000642A0000}"/>
    <cellStyle name="Normal 6 3 2 4 2 8" xfId="32975" xr:uid="{994EA72F-95A2-4EFB-8B95-D6BECCC1892D}"/>
    <cellStyle name="Normal 6 3 2 4 3" xfId="1067" xr:uid="{00000000-0005-0000-0000-0000652A0000}"/>
    <cellStyle name="Normal 6 3 2 4 3 2" xfId="1068" xr:uid="{00000000-0005-0000-0000-0000662A0000}"/>
    <cellStyle name="Normal 6 3 2 4 3 2 2" xfId="1069" xr:uid="{00000000-0005-0000-0000-0000672A0000}"/>
    <cellStyle name="Normal 6 3 2 4 3 2 2 2" xfId="2415" xr:uid="{00000000-0005-0000-0000-0000682A0000}"/>
    <cellStyle name="Normal 6 3 2 4 3 2 2 3" xfId="41965" xr:uid="{2EA1187D-3FBB-439D-8398-D2C72C952360}"/>
    <cellStyle name="Normal 6 3 2 4 3 2 3" xfId="2414" xr:uid="{00000000-0005-0000-0000-0000692A0000}"/>
    <cellStyle name="Normal 6 3 2 4 3 2 4" xfId="26620" xr:uid="{00000000-0005-0000-0000-00006A2A0000}"/>
    <cellStyle name="Normal 6 3 2 4 3 2 5" xfId="33263" xr:uid="{554ADE0A-0DA8-47F5-A4DE-3A66DE68BC34}"/>
    <cellStyle name="Normal 6 3 2 4 3 3" xfId="1070" xr:uid="{00000000-0005-0000-0000-00006B2A0000}"/>
    <cellStyle name="Normal 6 3 2 4 3 3 2" xfId="2416" xr:uid="{00000000-0005-0000-0000-00006C2A0000}"/>
    <cellStyle name="Normal 6 3 2 4 3 3 3" xfId="41749" xr:uid="{66A804C3-A2D9-4E1F-9BF7-622D8C93E53C}"/>
    <cellStyle name="Normal 6 3 2 4 3 4" xfId="2413" xr:uid="{00000000-0005-0000-0000-00006D2A0000}"/>
    <cellStyle name="Normal 6 3 2 4 3 5" xfId="24649" xr:uid="{00000000-0005-0000-0000-00006E2A0000}"/>
    <cellStyle name="Normal 6 3 2 4 3 6" xfId="25372" xr:uid="{00000000-0005-0000-0000-00006F2A0000}"/>
    <cellStyle name="Normal 6 3 2 4 3 7" xfId="26404" xr:uid="{00000000-0005-0000-0000-0000702A0000}"/>
    <cellStyle name="Normal 6 3 2 4 3 8" xfId="33047" xr:uid="{75098CFF-BCE7-4186-BAA0-75E87534E299}"/>
    <cellStyle name="Normal 6 3 2 4 4" xfId="1071" xr:uid="{00000000-0005-0000-0000-0000712A0000}"/>
    <cellStyle name="Normal 6 3 2 4 4 2" xfId="1072" xr:uid="{00000000-0005-0000-0000-0000722A0000}"/>
    <cellStyle name="Normal 6 3 2 4 4 2 2" xfId="2418" xr:uid="{00000000-0005-0000-0000-0000732A0000}"/>
    <cellStyle name="Normal 6 3 2 4 4 2 3" xfId="41821" xr:uid="{FC8FD76A-B6B6-4317-9516-33FBC65E39C4}"/>
    <cellStyle name="Normal 6 3 2 4 4 3" xfId="2417" xr:uid="{00000000-0005-0000-0000-0000742A0000}"/>
    <cellStyle name="Normal 6 3 2 4 4 4" xfId="26476" xr:uid="{00000000-0005-0000-0000-0000752A0000}"/>
    <cellStyle name="Normal 6 3 2 4 4 5" xfId="33119" xr:uid="{586D16BC-9999-40B8-A2C5-61CEB151DBBA}"/>
    <cellStyle name="Normal 6 3 2 4 5" xfId="1073" xr:uid="{00000000-0005-0000-0000-0000762A0000}"/>
    <cellStyle name="Normal 6 3 2 4 5 2" xfId="2419" xr:uid="{00000000-0005-0000-0000-0000772A0000}"/>
    <cellStyle name="Normal 6 3 2 4 5 3" xfId="41605" xr:uid="{9DD0618D-EF50-472E-87A9-C63262205B13}"/>
    <cellStyle name="Normal 6 3 2 4 6" xfId="2408" xr:uid="{00000000-0005-0000-0000-0000782A0000}"/>
    <cellStyle name="Normal 6 3 2 4 7" xfId="19505" xr:uid="{00000000-0005-0000-0000-0000792A0000}"/>
    <cellStyle name="Normal 6 3 2 4 8" xfId="24270" xr:uid="{00000000-0005-0000-0000-00007A2A0000}"/>
    <cellStyle name="Normal 6 3 2 4 9" xfId="25015" xr:uid="{00000000-0005-0000-0000-00007B2A0000}"/>
    <cellStyle name="Normal 6 3 2 5" xfId="1074" xr:uid="{00000000-0005-0000-0000-00007C2A0000}"/>
    <cellStyle name="Normal 6 3 2 5 2" xfId="1075" xr:uid="{00000000-0005-0000-0000-00007D2A0000}"/>
    <cellStyle name="Normal 6 3 2 5 2 2" xfId="1076" xr:uid="{00000000-0005-0000-0000-00007E2A0000}"/>
    <cellStyle name="Normal 6 3 2 5 2 2 2" xfId="2422" xr:uid="{00000000-0005-0000-0000-00007F2A0000}"/>
    <cellStyle name="Normal 6 3 2 5 2 2 3" xfId="41840" xr:uid="{DFE7B1B4-7D5A-4EA6-819D-0CD8B6AD6C0E}"/>
    <cellStyle name="Normal 6 3 2 5 2 3" xfId="2421" xr:uid="{00000000-0005-0000-0000-0000802A0000}"/>
    <cellStyle name="Normal 6 3 2 5 2 4" xfId="24739" xr:uid="{00000000-0005-0000-0000-0000812A0000}"/>
    <cellStyle name="Normal 6 3 2 5 2 5" xfId="25462" xr:uid="{00000000-0005-0000-0000-0000822A0000}"/>
    <cellStyle name="Normal 6 3 2 5 2 6" xfId="26495" xr:uid="{00000000-0005-0000-0000-0000832A0000}"/>
    <cellStyle name="Normal 6 3 2 5 2 7" xfId="33138" xr:uid="{C1DF16DD-B436-4588-8ECC-DB23A4B406D1}"/>
    <cellStyle name="Normal 6 3 2 5 3" xfId="1077" xr:uid="{00000000-0005-0000-0000-0000842A0000}"/>
    <cellStyle name="Normal 6 3 2 5 3 2" xfId="2423" xr:uid="{00000000-0005-0000-0000-0000852A0000}"/>
    <cellStyle name="Normal 6 3 2 5 3 3" xfId="41624" xr:uid="{16ED60A9-C0FF-4D6D-BCC0-FF96B7B13396}"/>
    <cellStyle name="Normal 6 3 2 5 4" xfId="2420" xr:uid="{00000000-0005-0000-0000-0000862A0000}"/>
    <cellStyle name="Normal 6 3 2 5 5" xfId="23993" xr:uid="{00000000-0005-0000-0000-0000872A0000}"/>
    <cellStyle name="Normal 6 3 2 5 6" xfId="24360" xr:uid="{00000000-0005-0000-0000-0000882A0000}"/>
    <cellStyle name="Normal 6 3 2 5 7" xfId="25105" xr:uid="{00000000-0005-0000-0000-0000892A0000}"/>
    <cellStyle name="Normal 6 3 2 5 8" xfId="26279" xr:uid="{00000000-0005-0000-0000-00008A2A0000}"/>
    <cellStyle name="Normal 6 3 2 5 9" xfId="32915" xr:uid="{9CECE68A-C308-4E7D-9A79-54D7A8955314}"/>
    <cellStyle name="Normal 6 3 2 6" xfId="1078" xr:uid="{00000000-0005-0000-0000-00008B2A0000}"/>
    <cellStyle name="Normal 6 3 2 6 2" xfId="1079" xr:uid="{00000000-0005-0000-0000-00008C2A0000}"/>
    <cellStyle name="Normal 6 3 2 6 2 2" xfId="1080" xr:uid="{00000000-0005-0000-0000-00008D2A0000}"/>
    <cellStyle name="Normal 6 3 2 6 2 2 2" xfId="2426" xr:uid="{00000000-0005-0000-0000-00008E2A0000}"/>
    <cellStyle name="Normal 6 3 2 6 2 2 3" xfId="41912" xr:uid="{31C731BB-D4D1-49F1-A0AB-37F85F441357}"/>
    <cellStyle name="Normal 6 3 2 6 2 3" xfId="2425" xr:uid="{00000000-0005-0000-0000-00008F2A0000}"/>
    <cellStyle name="Normal 6 3 2 6 2 4" xfId="26567" xr:uid="{00000000-0005-0000-0000-0000902A0000}"/>
    <cellStyle name="Normal 6 3 2 6 2 5" xfId="33210" xr:uid="{12AC0F7E-BD23-4CA7-9111-AC660A08A344}"/>
    <cellStyle name="Normal 6 3 2 6 3" xfId="1081" xr:uid="{00000000-0005-0000-0000-0000912A0000}"/>
    <cellStyle name="Normal 6 3 2 6 3 2" xfId="2427" xr:uid="{00000000-0005-0000-0000-0000922A0000}"/>
    <cellStyle name="Normal 6 3 2 6 3 3" xfId="41696" xr:uid="{A5EDABD9-75D1-40FB-AA5D-07D1832E3787}"/>
    <cellStyle name="Normal 6 3 2 6 4" xfId="2424" xr:uid="{00000000-0005-0000-0000-0000932A0000}"/>
    <cellStyle name="Normal 6 3 2 6 5" xfId="24561" xr:uid="{00000000-0005-0000-0000-0000942A0000}"/>
    <cellStyle name="Normal 6 3 2 6 6" xfId="25284" xr:uid="{00000000-0005-0000-0000-0000952A0000}"/>
    <cellStyle name="Normal 6 3 2 6 7" xfId="26351" xr:uid="{00000000-0005-0000-0000-0000962A0000}"/>
    <cellStyle name="Normal 6 3 2 6 8" xfId="32994" xr:uid="{971141D7-6184-4E6D-A075-48B7CDDFB35C}"/>
    <cellStyle name="Normal 6 3 2 7" xfId="1082" xr:uid="{00000000-0005-0000-0000-0000972A0000}"/>
    <cellStyle name="Normal 6 3 2 7 2" xfId="1083" xr:uid="{00000000-0005-0000-0000-0000982A0000}"/>
    <cellStyle name="Normal 6 3 2 7 2 2" xfId="2429" xr:uid="{00000000-0005-0000-0000-0000992A0000}"/>
    <cellStyle name="Normal 6 3 2 7 2 3" xfId="41768" xr:uid="{1A116147-C7C9-480C-A00C-E28FA799D609}"/>
    <cellStyle name="Normal 6 3 2 7 3" xfId="2428" xr:uid="{00000000-0005-0000-0000-00009A2A0000}"/>
    <cellStyle name="Normal 6 3 2 7 4" xfId="26423" xr:uid="{00000000-0005-0000-0000-00009B2A0000}"/>
    <cellStyle name="Normal 6 3 2 7 5" xfId="33066" xr:uid="{D989A3B5-77F9-4EC1-ADD6-3A91E3CE6521}"/>
    <cellStyle name="Normal 6 3 2 8" xfId="1084" xr:uid="{00000000-0005-0000-0000-00009C2A0000}"/>
    <cellStyle name="Normal 6 3 2 8 2" xfId="2430" xr:uid="{00000000-0005-0000-0000-00009D2A0000}"/>
    <cellStyle name="Normal 6 3 2 8 3" xfId="41550" xr:uid="{F14FAFE3-68C0-43B6-BEFE-6B19B8380349}"/>
    <cellStyle name="Normal 6 3 2 9" xfId="2383" xr:uid="{00000000-0005-0000-0000-00009E2A0000}"/>
    <cellStyle name="Normal 6 3 3" xfId="1085" xr:uid="{00000000-0005-0000-0000-00009F2A0000}"/>
    <cellStyle name="Normal 6 3 3 10" xfId="26151" xr:uid="{00000000-0005-0000-0000-0000A02A0000}"/>
    <cellStyle name="Normal 6 3 3 11" xfId="32724" xr:uid="{941C0F50-EA28-40F6-82B7-8F43339D50B6}"/>
    <cellStyle name="Normal 6 3 3 2" xfId="1086" xr:uid="{00000000-0005-0000-0000-0000A12A0000}"/>
    <cellStyle name="Normal 6 3 3 2 2" xfId="1087" xr:uid="{00000000-0005-0000-0000-0000A22A0000}"/>
    <cellStyle name="Normal 6 3 3 2 2 2" xfId="1088" xr:uid="{00000000-0005-0000-0000-0000A32A0000}"/>
    <cellStyle name="Normal 6 3 3 2 2 2 2" xfId="2434" xr:uid="{00000000-0005-0000-0000-0000A42A0000}"/>
    <cellStyle name="Normal 6 3 3 2 2 2 2 2" xfId="24885" xr:uid="{00000000-0005-0000-0000-0000A52A0000}"/>
    <cellStyle name="Normal 6 3 3 2 2 2 2 3" xfId="25608" xr:uid="{00000000-0005-0000-0000-0000A62A0000}"/>
    <cellStyle name="Normal 6 3 3 2 2 2 3" xfId="24506" xr:uid="{00000000-0005-0000-0000-0000A72A0000}"/>
    <cellStyle name="Normal 6 3 3 2 2 2 4" xfId="25251" xr:uid="{00000000-0005-0000-0000-0000A82A0000}"/>
    <cellStyle name="Normal 6 3 3 2 2 2 5" xfId="41852" xr:uid="{DB9F3205-2B1C-4C86-B40E-680C50738B43}"/>
    <cellStyle name="Normal 6 3 3 2 2 3" xfId="2433" xr:uid="{00000000-0005-0000-0000-0000A92A0000}"/>
    <cellStyle name="Normal 6 3 3 2 2 3 2" xfId="24705" xr:uid="{00000000-0005-0000-0000-0000AA2A0000}"/>
    <cellStyle name="Normal 6 3 3 2 2 3 3" xfId="25428" xr:uid="{00000000-0005-0000-0000-0000AB2A0000}"/>
    <cellStyle name="Normal 6 3 3 2 2 4" xfId="24326" xr:uid="{00000000-0005-0000-0000-0000AC2A0000}"/>
    <cellStyle name="Normal 6 3 3 2 2 5" xfId="25071" xr:uid="{00000000-0005-0000-0000-0000AD2A0000}"/>
    <cellStyle name="Normal 6 3 3 2 2 6" xfId="26507" xr:uid="{00000000-0005-0000-0000-0000AE2A0000}"/>
    <cellStyle name="Normal 6 3 3 2 2 7" xfId="33150" xr:uid="{03C0C15D-54E0-4FB3-A211-3C0346D6302E}"/>
    <cellStyle name="Normal 6 3 3 2 3" xfId="1089" xr:uid="{00000000-0005-0000-0000-0000AF2A0000}"/>
    <cellStyle name="Normal 6 3 3 2 3 2" xfId="2435" xr:uid="{00000000-0005-0000-0000-0000B02A0000}"/>
    <cellStyle name="Normal 6 3 3 2 3 2 2" xfId="24797" xr:uid="{00000000-0005-0000-0000-0000B12A0000}"/>
    <cellStyle name="Normal 6 3 3 2 3 2 3" xfId="25520" xr:uid="{00000000-0005-0000-0000-0000B22A0000}"/>
    <cellStyle name="Normal 6 3 3 2 3 3" xfId="24418" xr:uid="{00000000-0005-0000-0000-0000B32A0000}"/>
    <cellStyle name="Normal 6 3 3 2 3 4" xfId="25163" xr:uid="{00000000-0005-0000-0000-0000B42A0000}"/>
    <cellStyle name="Normal 6 3 3 2 3 5" xfId="41636" xr:uid="{602798BA-4EA9-4F66-BCBC-5518F346D34A}"/>
    <cellStyle name="Normal 6 3 3 2 4" xfId="2432" xr:uid="{00000000-0005-0000-0000-0000B52A0000}"/>
    <cellStyle name="Normal 6 3 3 2 4 2" xfId="24617" xr:uid="{00000000-0005-0000-0000-0000B62A0000}"/>
    <cellStyle name="Normal 6 3 3 2 4 3" xfId="25340" xr:uid="{00000000-0005-0000-0000-0000B72A0000}"/>
    <cellStyle name="Normal 6 3 3 2 5" xfId="24238" xr:uid="{00000000-0005-0000-0000-0000B82A0000}"/>
    <cellStyle name="Normal 6 3 3 2 6" xfId="24983" xr:uid="{00000000-0005-0000-0000-0000B92A0000}"/>
    <cellStyle name="Normal 6 3 3 2 7" xfId="26291" xr:uid="{00000000-0005-0000-0000-0000BA2A0000}"/>
    <cellStyle name="Normal 6 3 3 2 8" xfId="32928" xr:uid="{E8199304-98DB-4A65-8BA4-04A42AEC0D07}"/>
    <cellStyle name="Normal 6 3 3 3" xfId="1090" xr:uid="{00000000-0005-0000-0000-0000BB2A0000}"/>
    <cellStyle name="Normal 6 3 3 3 2" xfId="1091" xr:uid="{00000000-0005-0000-0000-0000BC2A0000}"/>
    <cellStyle name="Normal 6 3 3 3 2 2" xfId="1092" xr:uid="{00000000-0005-0000-0000-0000BD2A0000}"/>
    <cellStyle name="Normal 6 3 3 3 2 2 2" xfId="2438" xr:uid="{00000000-0005-0000-0000-0000BE2A0000}"/>
    <cellStyle name="Normal 6 3 3 3 2 2 3" xfId="24841" xr:uid="{00000000-0005-0000-0000-0000BF2A0000}"/>
    <cellStyle name="Normal 6 3 3 3 2 2 4" xfId="25564" xr:uid="{00000000-0005-0000-0000-0000C02A0000}"/>
    <cellStyle name="Normal 6 3 3 3 2 2 5" xfId="41924" xr:uid="{22D01AC7-B162-458C-8787-91587F9C1D74}"/>
    <cellStyle name="Normal 6 3 3 3 2 3" xfId="2437" xr:uid="{00000000-0005-0000-0000-0000C12A0000}"/>
    <cellStyle name="Normal 6 3 3 3 2 4" xfId="24462" xr:uid="{00000000-0005-0000-0000-0000C22A0000}"/>
    <cellStyle name="Normal 6 3 3 3 2 5" xfId="25207" xr:uid="{00000000-0005-0000-0000-0000C32A0000}"/>
    <cellStyle name="Normal 6 3 3 3 2 6" xfId="26579" xr:uid="{00000000-0005-0000-0000-0000C42A0000}"/>
    <cellStyle name="Normal 6 3 3 3 2 7" xfId="33222" xr:uid="{D02CA9DD-4EF1-41F1-A4A7-ABC04CB2A5A5}"/>
    <cellStyle name="Normal 6 3 3 3 3" xfId="1093" xr:uid="{00000000-0005-0000-0000-0000C52A0000}"/>
    <cellStyle name="Normal 6 3 3 3 3 2" xfId="2439" xr:uid="{00000000-0005-0000-0000-0000C62A0000}"/>
    <cellStyle name="Normal 6 3 3 3 3 3" xfId="24661" xr:uid="{00000000-0005-0000-0000-0000C72A0000}"/>
    <cellStyle name="Normal 6 3 3 3 3 4" xfId="25384" xr:uid="{00000000-0005-0000-0000-0000C82A0000}"/>
    <cellStyle name="Normal 6 3 3 3 3 5" xfId="41708" xr:uid="{6AD0F158-4396-437F-B231-4FD0C00D8AC1}"/>
    <cellStyle name="Normal 6 3 3 3 4" xfId="2436" xr:uid="{00000000-0005-0000-0000-0000C92A0000}"/>
    <cellStyle name="Normal 6 3 3 3 5" xfId="24282" xr:uid="{00000000-0005-0000-0000-0000CA2A0000}"/>
    <cellStyle name="Normal 6 3 3 3 6" xfId="25027" xr:uid="{00000000-0005-0000-0000-0000CB2A0000}"/>
    <cellStyle name="Normal 6 3 3 3 7" xfId="26363" xr:uid="{00000000-0005-0000-0000-0000CC2A0000}"/>
    <cellStyle name="Normal 6 3 3 3 8" xfId="33006" xr:uid="{A696EBDA-0F85-4E32-8EBB-0F9F0FC21C9C}"/>
    <cellStyle name="Normal 6 3 3 4" xfId="1094" xr:uid="{00000000-0005-0000-0000-0000CD2A0000}"/>
    <cellStyle name="Normal 6 3 3 4 2" xfId="1095" xr:uid="{00000000-0005-0000-0000-0000CE2A0000}"/>
    <cellStyle name="Normal 6 3 3 4 2 2" xfId="2441" xr:uid="{00000000-0005-0000-0000-0000CF2A0000}"/>
    <cellStyle name="Normal 6 3 3 4 2 3" xfId="24753" xr:uid="{00000000-0005-0000-0000-0000D02A0000}"/>
    <cellStyle name="Normal 6 3 3 4 2 4" xfId="25476" xr:uid="{00000000-0005-0000-0000-0000D12A0000}"/>
    <cellStyle name="Normal 6 3 3 4 2 5" xfId="41780" xr:uid="{3E0CF464-4C65-49B4-BA66-6A6A8F58023F}"/>
    <cellStyle name="Normal 6 3 3 4 3" xfId="2440" xr:uid="{00000000-0005-0000-0000-0000D22A0000}"/>
    <cellStyle name="Normal 6 3 3 4 4" xfId="24374" xr:uid="{00000000-0005-0000-0000-0000D32A0000}"/>
    <cellStyle name="Normal 6 3 3 4 5" xfId="25119" xr:uid="{00000000-0005-0000-0000-0000D42A0000}"/>
    <cellStyle name="Normal 6 3 3 4 6" xfId="26435" xr:uid="{00000000-0005-0000-0000-0000D52A0000}"/>
    <cellStyle name="Normal 6 3 3 4 7" xfId="33078" xr:uid="{1B2F4DC0-88B8-4F48-BF1B-AA6BE92EFE36}"/>
    <cellStyle name="Normal 6 3 3 5" xfId="1096" xr:uid="{00000000-0005-0000-0000-0000D62A0000}"/>
    <cellStyle name="Normal 6 3 3 5 2" xfId="2442" xr:uid="{00000000-0005-0000-0000-0000D72A0000}"/>
    <cellStyle name="Normal 6 3 3 5 3" xfId="24573" xr:uid="{00000000-0005-0000-0000-0000D82A0000}"/>
    <cellStyle name="Normal 6 3 3 5 4" xfId="25296" xr:uid="{00000000-0005-0000-0000-0000D92A0000}"/>
    <cellStyle name="Normal 6 3 3 5 5" xfId="41564" xr:uid="{9B86F639-80BF-4BAA-9D89-EA3DDD4067CD}"/>
    <cellStyle name="Normal 6 3 3 6" xfId="2431" xr:uid="{00000000-0005-0000-0000-0000DA2A0000}"/>
    <cellStyle name="Normal 6 3 3 7" xfId="7934" xr:uid="{00000000-0005-0000-0000-0000DB2A0000}"/>
    <cellStyle name="Normal 6 3 3 8" xfId="24194" xr:uid="{00000000-0005-0000-0000-0000DC2A0000}"/>
    <cellStyle name="Normal 6 3 3 9" xfId="24939" xr:uid="{00000000-0005-0000-0000-0000DD2A0000}"/>
    <cellStyle name="Normal 6 3 4" xfId="1097" xr:uid="{00000000-0005-0000-0000-0000DE2A0000}"/>
    <cellStyle name="Normal 6 3 4 10" xfId="26164" xr:uid="{00000000-0005-0000-0000-0000DF2A0000}"/>
    <cellStyle name="Normal 6 3 4 11" xfId="32737" xr:uid="{9103E6E0-7E71-455A-93E8-33A2B0E47AF1}"/>
    <cellStyle name="Normal 6 3 4 2" xfId="1098" xr:uid="{00000000-0005-0000-0000-0000E02A0000}"/>
    <cellStyle name="Normal 6 3 4 2 2" xfId="1099" xr:uid="{00000000-0005-0000-0000-0000E12A0000}"/>
    <cellStyle name="Normal 6 3 4 2 2 2" xfId="1100" xr:uid="{00000000-0005-0000-0000-0000E22A0000}"/>
    <cellStyle name="Normal 6 3 4 2 2 2 2" xfId="2446" xr:uid="{00000000-0005-0000-0000-0000E32A0000}"/>
    <cellStyle name="Normal 6 3 4 2 2 2 3" xfId="24872" xr:uid="{00000000-0005-0000-0000-0000E42A0000}"/>
    <cellStyle name="Normal 6 3 4 2 2 2 4" xfId="25595" xr:uid="{00000000-0005-0000-0000-0000E52A0000}"/>
    <cellStyle name="Normal 6 3 4 2 2 2 5" xfId="41865" xr:uid="{0D4F5D44-32D6-41AB-A797-CD0F8C1ADFBE}"/>
    <cellStyle name="Normal 6 3 4 2 2 3" xfId="2445" xr:uid="{00000000-0005-0000-0000-0000E62A0000}"/>
    <cellStyle name="Normal 6 3 4 2 2 4" xfId="24493" xr:uid="{00000000-0005-0000-0000-0000E72A0000}"/>
    <cellStyle name="Normal 6 3 4 2 2 5" xfId="25238" xr:uid="{00000000-0005-0000-0000-0000E82A0000}"/>
    <cellStyle name="Normal 6 3 4 2 2 6" xfId="26520" xr:uid="{00000000-0005-0000-0000-0000E92A0000}"/>
    <cellStyle name="Normal 6 3 4 2 2 7" xfId="33163" xr:uid="{541412E7-22A9-4FB9-AC33-C7E81AE6772A}"/>
    <cellStyle name="Normal 6 3 4 2 3" xfId="1101" xr:uid="{00000000-0005-0000-0000-0000EA2A0000}"/>
    <cellStyle name="Normal 6 3 4 2 3 2" xfId="2447" xr:uid="{00000000-0005-0000-0000-0000EB2A0000}"/>
    <cellStyle name="Normal 6 3 4 2 3 3" xfId="24692" xr:uid="{00000000-0005-0000-0000-0000EC2A0000}"/>
    <cellStyle name="Normal 6 3 4 2 3 4" xfId="25415" xr:uid="{00000000-0005-0000-0000-0000ED2A0000}"/>
    <cellStyle name="Normal 6 3 4 2 3 5" xfId="41649" xr:uid="{9D3C411D-3CF5-4786-8672-A60A79FE30E8}"/>
    <cellStyle name="Normal 6 3 4 2 4" xfId="2444" xr:uid="{00000000-0005-0000-0000-0000EE2A0000}"/>
    <cellStyle name="Normal 6 3 4 2 5" xfId="24313" xr:uid="{00000000-0005-0000-0000-0000EF2A0000}"/>
    <cellStyle name="Normal 6 3 4 2 6" xfId="25058" xr:uid="{00000000-0005-0000-0000-0000F02A0000}"/>
    <cellStyle name="Normal 6 3 4 2 7" xfId="26304" xr:uid="{00000000-0005-0000-0000-0000F12A0000}"/>
    <cellStyle name="Normal 6 3 4 2 8" xfId="32941" xr:uid="{5E2D0DA7-EDE1-4834-A194-50C7B92E4FAF}"/>
    <cellStyle name="Normal 6 3 4 3" xfId="1102" xr:uid="{00000000-0005-0000-0000-0000F22A0000}"/>
    <cellStyle name="Normal 6 3 4 3 2" xfId="1103" xr:uid="{00000000-0005-0000-0000-0000F32A0000}"/>
    <cellStyle name="Normal 6 3 4 3 2 2" xfId="1104" xr:uid="{00000000-0005-0000-0000-0000F42A0000}"/>
    <cellStyle name="Normal 6 3 4 3 2 2 2" xfId="2450" xr:uid="{00000000-0005-0000-0000-0000F52A0000}"/>
    <cellStyle name="Normal 6 3 4 3 2 2 3" xfId="41937" xr:uid="{022CE24E-4B0F-49EA-9217-BE698937796D}"/>
    <cellStyle name="Normal 6 3 4 3 2 3" xfId="2449" xr:uid="{00000000-0005-0000-0000-0000F62A0000}"/>
    <cellStyle name="Normal 6 3 4 3 2 4" xfId="24784" xr:uid="{00000000-0005-0000-0000-0000F72A0000}"/>
    <cellStyle name="Normal 6 3 4 3 2 5" xfId="25507" xr:uid="{00000000-0005-0000-0000-0000F82A0000}"/>
    <cellStyle name="Normal 6 3 4 3 2 6" xfId="26592" xr:uid="{00000000-0005-0000-0000-0000F92A0000}"/>
    <cellStyle name="Normal 6 3 4 3 2 7" xfId="33235" xr:uid="{7700FE35-113D-4950-B02E-E9B33106B090}"/>
    <cellStyle name="Normal 6 3 4 3 3" xfId="1105" xr:uid="{00000000-0005-0000-0000-0000FA2A0000}"/>
    <cellStyle name="Normal 6 3 4 3 3 2" xfId="2451" xr:uid="{00000000-0005-0000-0000-0000FB2A0000}"/>
    <cellStyle name="Normal 6 3 4 3 3 3" xfId="41721" xr:uid="{C4D054FA-6561-47FB-9EBF-104491110381}"/>
    <cellStyle name="Normal 6 3 4 3 4" xfId="2448" xr:uid="{00000000-0005-0000-0000-0000FC2A0000}"/>
    <cellStyle name="Normal 6 3 4 3 5" xfId="24405" xr:uid="{00000000-0005-0000-0000-0000FD2A0000}"/>
    <cellStyle name="Normal 6 3 4 3 6" xfId="25150" xr:uid="{00000000-0005-0000-0000-0000FE2A0000}"/>
    <cellStyle name="Normal 6 3 4 3 7" xfId="26376" xr:uid="{00000000-0005-0000-0000-0000FF2A0000}"/>
    <cellStyle name="Normal 6 3 4 3 8" xfId="33019" xr:uid="{F0588DE4-7DEC-420E-8EB4-5944B53FB658}"/>
    <cellStyle name="Normal 6 3 4 4" xfId="1106" xr:uid="{00000000-0005-0000-0000-0000002B0000}"/>
    <cellStyle name="Normal 6 3 4 4 2" xfId="1107" xr:uid="{00000000-0005-0000-0000-0000012B0000}"/>
    <cellStyle name="Normal 6 3 4 4 2 2" xfId="2453" xr:uid="{00000000-0005-0000-0000-0000022B0000}"/>
    <cellStyle name="Normal 6 3 4 4 2 3" xfId="41793" xr:uid="{BD12E61B-9DBE-4C11-8B1D-C37919DC59ED}"/>
    <cellStyle name="Normal 6 3 4 4 3" xfId="2452" xr:uid="{00000000-0005-0000-0000-0000032B0000}"/>
    <cellStyle name="Normal 6 3 4 4 4" xfId="24604" xr:uid="{00000000-0005-0000-0000-0000042B0000}"/>
    <cellStyle name="Normal 6 3 4 4 5" xfId="25327" xr:uid="{00000000-0005-0000-0000-0000052B0000}"/>
    <cellStyle name="Normal 6 3 4 4 6" xfId="26448" xr:uid="{00000000-0005-0000-0000-0000062B0000}"/>
    <cellStyle name="Normal 6 3 4 4 7" xfId="33091" xr:uid="{C26336FC-D503-4BE9-BA97-3BF772623098}"/>
    <cellStyle name="Normal 6 3 4 5" xfId="1108" xr:uid="{00000000-0005-0000-0000-0000072B0000}"/>
    <cellStyle name="Normal 6 3 4 5 2" xfId="2454" xr:uid="{00000000-0005-0000-0000-0000082B0000}"/>
    <cellStyle name="Normal 6 3 4 5 3" xfId="41577" xr:uid="{03A36D78-3EFE-405F-8048-A0F64562C7F0}"/>
    <cellStyle name="Normal 6 3 4 6" xfId="2443" xr:uid="{00000000-0005-0000-0000-0000092B0000}"/>
    <cellStyle name="Normal 6 3 4 7" xfId="14808" xr:uid="{00000000-0005-0000-0000-00000A2B0000}"/>
    <cellStyle name="Normal 6 3 4 8" xfId="24225" xr:uid="{00000000-0005-0000-0000-00000B2B0000}"/>
    <cellStyle name="Normal 6 3 4 9" xfId="24970" xr:uid="{00000000-0005-0000-0000-00000C2B0000}"/>
    <cellStyle name="Normal 6 3 5" xfId="1109" xr:uid="{00000000-0005-0000-0000-00000D2B0000}"/>
    <cellStyle name="Normal 6 3 5 10" xfId="26259" xr:uid="{00000000-0005-0000-0000-00000E2B0000}"/>
    <cellStyle name="Normal 6 3 5 11" xfId="32875" xr:uid="{B4518F79-6F86-43C0-8A76-BCC02ADA23F4}"/>
    <cellStyle name="Normal 6 3 5 2" xfId="1110" xr:uid="{00000000-0005-0000-0000-00000F2B0000}"/>
    <cellStyle name="Normal 6 3 5 2 2" xfId="1111" xr:uid="{00000000-0005-0000-0000-0000102B0000}"/>
    <cellStyle name="Normal 6 3 5 2 2 2" xfId="1112" xr:uid="{00000000-0005-0000-0000-0000112B0000}"/>
    <cellStyle name="Normal 6 3 5 2 2 2 2" xfId="2458" xr:uid="{00000000-0005-0000-0000-0000122B0000}"/>
    <cellStyle name="Normal 6 3 5 2 2 2 3" xfId="41892" xr:uid="{FA9D15DA-DCDE-4342-A4D3-E4A24D3C696F}"/>
    <cellStyle name="Normal 6 3 5 2 2 3" xfId="2457" xr:uid="{00000000-0005-0000-0000-0000132B0000}"/>
    <cellStyle name="Normal 6 3 5 2 2 4" xfId="24828" xr:uid="{00000000-0005-0000-0000-0000142B0000}"/>
    <cellStyle name="Normal 6 3 5 2 2 5" xfId="25551" xr:uid="{00000000-0005-0000-0000-0000152B0000}"/>
    <cellStyle name="Normal 6 3 5 2 2 6" xfId="26547" xr:uid="{00000000-0005-0000-0000-0000162B0000}"/>
    <cellStyle name="Normal 6 3 5 2 2 7" xfId="33190" xr:uid="{A69A8A5C-0236-4EA1-A85C-4A12560AAA2F}"/>
    <cellStyle name="Normal 6 3 5 2 3" xfId="1113" xr:uid="{00000000-0005-0000-0000-0000172B0000}"/>
    <cellStyle name="Normal 6 3 5 2 3 2" xfId="2459" xr:uid="{00000000-0005-0000-0000-0000182B0000}"/>
    <cellStyle name="Normal 6 3 5 2 3 3" xfId="41676" xr:uid="{8758DBFF-2BF8-4D6F-B9FA-46471E0970EC}"/>
    <cellStyle name="Normal 6 3 5 2 4" xfId="2456" xr:uid="{00000000-0005-0000-0000-0000192B0000}"/>
    <cellStyle name="Normal 6 3 5 2 5" xfId="24449" xr:uid="{00000000-0005-0000-0000-00001A2B0000}"/>
    <cellStyle name="Normal 6 3 5 2 6" xfId="25194" xr:uid="{00000000-0005-0000-0000-00001B2B0000}"/>
    <cellStyle name="Normal 6 3 5 2 7" xfId="26331" xr:uid="{00000000-0005-0000-0000-00001C2B0000}"/>
    <cellStyle name="Normal 6 3 5 2 8" xfId="32974" xr:uid="{369A0AB5-EA50-4A7D-A206-413D189BB290}"/>
    <cellStyle name="Normal 6 3 5 3" xfId="1114" xr:uid="{00000000-0005-0000-0000-00001D2B0000}"/>
    <cellStyle name="Normal 6 3 5 3 2" xfId="1115" xr:uid="{00000000-0005-0000-0000-00001E2B0000}"/>
    <cellStyle name="Normal 6 3 5 3 2 2" xfId="1116" xr:uid="{00000000-0005-0000-0000-00001F2B0000}"/>
    <cellStyle name="Normal 6 3 5 3 2 2 2" xfId="2462" xr:uid="{00000000-0005-0000-0000-0000202B0000}"/>
    <cellStyle name="Normal 6 3 5 3 2 2 3" xfId="41964" xr:uid="{23051666-79F1-4E85-B4E5-0358A1C0A134}"/>
    <cellStyle name="Normal 6 3 5 3 2 3" xfId="2461" xr:uid="{00000000-0005-0000-0000-0000212B0000}"/>
    <cellStyle name="Normal 6 3 5 3 2 4" xfId="26619" xr:uid="{00000000-0005-0000-0000-0000222B0000}"/>
    <cellStyle name="Normal 6 3 5 3 2 5" xfId="33262" xr:uid="{FC92DE04-8F76-4FC5-B2F3-FF359E9B0228}"/>
    <cellStyle name="Normal 6 3 5 3 3" xfId="1117" xr:uid="{00000000-0005-0000-0000-0000232B0000}"/>
    <cellStyle name="Normal 6 3 5 3 3 2" xfId="2463" xr:uid="{00000000-0005-0000-0000-0000242B0000}"/>
    <cellStyle name="Normal 6 3 5 3 3 3" xfId="41748" xr:uid="{42CB058E-55B6-436B-9CEE-8B2A8E0D9B67}"/>
    <cellStyle name="Normal 6 3 5 3 4" xfId="2460" xr:uid="{00000000-0005-0000-0000-0000252B0000}"/>
    <cellStyle name="Normal 6 3 5 3 5" xfId="24648" xr:uid="{00000000-0005-0000-0000-0000262B0000}"/>
    <cellStyle name="Normal 6 3 5 3 6" xfId="25371" xr:uid="{00000000-0005-0000-0000-0000272B0000}"/>
    <cellStyle name="Normal 6 3 5 3 7" xfId="26403" xr:uid="{00000000-0005-0000-0000-0000282B0000}"/>
    <cellStyle name="Normal 6 3 5 3 8" xfId="33046" xr:uid="{3F4CCD9F-B1E5-4DFB-A919-F5F24E08810A}"/>
    <cellStyle name="Normal 6 3 5 4" xfId="1118" xr:uid="{00000000-0005-0000-0000-0000292B0000}"/>
    <cellStyle name="Normal 6 3 5 4 2" xfId="1119" xr:uid="{00000000-0005-0000-0000-00002A2B0000}"/>
    <cellStyle name="Normal 6 3 5 4 2 2" xfId="2465" xr:uid="{00000000-0005-0000-0000-00002B2B0000}"/>
    <cellStyle name="Normal 6 3 5 4 2 3" xfId="41820" xr:uid="{39D4AE5F-4883-488F-97B6-3CF092BE678D}"/>
    <cellStyle name="Normal 6 3 5 4 3" xfId="2464" xr:uid="{00000000-0005-0000-0000-00002C2B0000}"/>
    <cellStyle name="Normal 6 3 5 4 4" xfId="26475" xr:uid="{00000000-0005-0000-0000-00002D2B0000}"/>
    <cellStyle name="Normal 6 3 5 4 5" xfId="33118" xr:uid="{394C4761-DB26-4A56-9077-491CDD0D0B31}"/>
    <cellStyle name="Normal 6 3 5 5" xfId="1120" xr:uid="{00000000-0005-0000-0000-00002E2B0000}"/>
    <cellStyle name="Normal 6 3 5 5 2" xfId="2466" xr:uid="{00000000-0005-0000-0000-00002F2B0000}"/>
    <cellStyle name="Normal 6 3 5 5 3" xfId="41604" xr:uid="{CBF2EAC4-56EC-4E44-AF43-99B5EF46C160}"/>
    <cellStyle name="Normal 6 3 5 6" xfId="2455" xr:uid="{00000000-0005-0000-0000-0000302B0000}"/>
    <cellStyle name="Normal 6 3 5 7" xfId="19504" xr:uid="{00000000-0005-0000-0000-0000312B0000}"/>
    <cellStyle name="Normal 6 3 5 8" xfId="24269" xr:uid="{00000000-0005-0000-0000-0000322B0000}"/>
    <cellStyle name="Normal 6 3 5 9" xfId="25014" xr:uid="{00000000-0005-0000-0000-0000332B0000}"/>
    <cellStyle name="Normal 6 3 6" xfId="1121" xr:uid="{00000000-0005-0000-0000-0000342B0000}"/>
    <cellStyle name="Normal 6 3 6 2" xfId="1122" xr:uid="{00000000-0005-0000-0000-0000352B0000}"/>
    <cellStyle name="Normal 6 3 6 2 2" xfId="1123" xr:uid="{00000000-0005-0000-0000-0000362B0000}"/>
    <cellStyle name="Normal 6 3 6 2 2 2" xfId="2469" xr:uid="{00000000-0005-0000-0000-0000372B0000}"/>
    <cellStyle name="Normal 6 3 6 2 2 3" xfId="41839" xr:uid="{952F2FF7-1863-450F-8797-09DC9666EEB0}"/>
    <cellStyle name="Normal 6 3 6 2 3" xfId="2468" xr:uid="{00000000-0005-0000-0000-0000382B0000}"/>
    <cellStyle name="Normal 6 3 6 2 4" xfId="24738" xr:uid="{00000000-0005-0000-0000-0000392B0000}"/>
    <cellStyle name="Normal 6 3 6 2 5" xfId="25461" xr:uid="{00000000-0005-0000-0000-00003A2B0000}"/>
    <cellStyle name="Normal 6 3 6 2 6" xfId="26494" xr:uid="{00000000-0005-0000-0000-00003B2B0000}"/>
    <cellStyle name="Normal 6 3 6 2 7" xfId="33137" xr:uid="{C3F797C4-4DFF-4487-A9FE-65191E8A6C91}"/>
    <cellStyle name="Normal 6 3 6 3" xfId="1124" xr:uid="{00000000-0005-0000-0000-00003C2B0000}"/>
    <cellStyle name="Normal 6 3 6 3 2" xfId="2470" xr:uid="{00000000-0005-0000-0000-00003D2B0000}"/>
    <cellStyle name="Normal 6 3 6 3 3" xfId="41623" xr:uid="{58A0AECA-0478-4B3F-90DA-59434AB675D2}"/>
    <cellStyle name="Normal 6 3 6 4" xfId="2467" xr:uid="{00000000-0005-0000-0000-00003E2B0000}"/>
    <cellStyle name="Normal 6 3 6 5" xfId="23992" xr:uid="{00000000-0005-0000-0000-00003F2B0000}"/>
    <cellStyle name="Normal 6 3 6 6" xfId="24359" xr:uid="{00000000-0005-0000-0000-0000402B0000}"/>
    <cellStyle name="Normal 6 3 6 7" xfId="25104" xr:uid="{00000000-0005-0000-0000-0000412B0000}"/>
    <cellStyle name="Normal 6 3 6 8" xfId="26278" xr:uid="{00000000-0005-0000-0000-0000422B0000}"/>
    <cellStyle name="Normal 6 3 6 9" xfId="32914" xr:uid="{37641691-CC8D-47F7-8646-C781277F827B}"/>
    <cellStyle name="Normal 6 3 7" xfId="1125" xr:uid="{00000000-0005-0000-0000-0000432B0000}"/>
    <cellStyle name="Normal 6 3 7 2" xfId="1126" xr:uid="{00000000-0005-0000-0000-0000442B0000}"/>
    <cellStyle name="Normal 6 3 7 2 2" xfId="1127" xr:uid="{00000000-0005-0000-0000-0000452B0000}"/>
    <cellStyle name="Normal 6 3 7 2 2 2" xfId="2473" xr:uid="{00000000-0005-0000-0000-0000462B0000}"/>
    <cellStyle name="Normal 6 3 7 2 2 3" xfId="41911" xr:uid="{979E4948-F1F2-454C-8329-FDE511635229}"/>
    <cellStyle name="Normal 6 3 7 2 3" xfId="2472" xr:uid="{00000000-0005-0000-0000-0000472B0000}"/>
    <cellStyle name="Normal 6 3 7 2 4" xfId="26566" xr:uid="{00000000-0005-0000-0000-0000482B0000}"/>
    <cellStyle name="Normal 6 3 7 2 5" xfId="33209" xr:uid="{7D2E9136-6FB8-4A34-94C7-3D742CF35CDF}"/>
    <cellStyle name="Normal 6 3 7 3" xfId="1128" xr:uid="{00000000-0005-0000-0000-0000492B0000}"/>
    <cellStyle name="Normal 6 3 7 3 2" xfId="2474" xr:uid="{00000000-0005-0000-0000-00004A2B0000}"/>
    <cellStyle name="Normal 6 3 7 3 3" xfId="41695" xr:uid="{645DCC1C-66F3-461F-909D-18BF5AED9F44}"/>
    <cellStyle name="Normal 6 3 7 4" xfId="2471" xr:uid="{00000000-0005-0000-0000-00004B2B0000}"/>
    <cellStyle name="Normal 6 3 7 5" xfId="24560" xr:uid="{00000000-0005-0000-0000-00004C2B0000}"/>
    <cellStyle name="Normal 6 3 7 6" xfId="25283" xr:uid="{00000000-0005-0000-0000-00004D2B0000}"/>
    <cellStyle name="Normal 6 3 7 7" xfId="26350" xr:uid="{00000000-0005-0000-0000-00004E2B0000}"/>
    <cellStyle name="Normal 6 3 7 8" xfId="32993" xr:uid="{6DB8AE99-7134-4021-9BCA-0257B65AEA44}"/>
    <cellStyle name="Normal 6 3 8" xfId="1129" xr:uid="{00000000-0005-0000-0000-00004F2B0000}"/>
    <cellStyle name="Normal 6 3 8 2" xfId="1130" xr:uid="{00000000-0005-0000-0000-0000502B0000}"/>
    <cellStyle name="Normal 6 3 8 2 2" xfId="2476" xr:uid="{00000000-0005-0000-0000-0000512B0000}"/>
    <cellStyle name="Normal 6 3 8 2 3" xfId="41767" xr:uid="{7E701FB1-DFC7-40BA-8070-406824E78196}"/>
    <cellStyle name="Normal 6 3 8 3" xfId="2475" xr:uid="{00000000-0005-0000-0000-0000522B0000}"/>
    <cellStyle name="Normal 6 3 8 4" xfId="26422" xr:uid="{00000000-0005-0000-0000-0000532B0000}"/>
    <cellStyle name="Normal 6 3 8 5" xfId="33065" xr:uid="{E7CA68C1-6A65-45A7-A899-75B6069C8298}"/>
    <cellStyle name="Normal 6 3 9" xfId="1131" xr:uid="{00000000-0005-0000-0000-0000542B0000}"/>
    <cellStyle name="Normal 6 3 9 2" xfId="2477" xr:uid="{00000000-0005-0000-0000-0000552B0000}"/>
    <cellStyle name="Normal 6 3 9 3" xfId="41549" xr:uid="{9C48175F-A5CF-4516-A252-FC02F55A961E}"/>
    <cellStyle name="Normal 6 4" xfId="1132" xr:uid="{00000000-0005-0000-0000-0000562B0000}"/>
    <cellStyle name="Normal 6 4 10" xfId="5393" xr:uid="{00000000-0005-0000-0000-0000572B0000}"/>
    <cellStyle name="Normal 6 4 11" xfId="24182" xr:uid="{00000000-0005-0000-0000-0000582B0000}"/>
    <cellStyle name="Normal 6 4 12" xfId="24925" xr:uid="{00000000-0005-0000-0000-0000592B0000}"/>
    <cellStyle name="Normal 6 4 13" xfId="26134" xr:uid="{00000000-0005-0000-0000-00005A2B0000}"/>
    <cellStyle name="Normal 6 4 14" xfId="32692" xr:uid="{5803DD85-6D72-4837-BDDF-65009F768D81}"/>
    <cellStyle name="Normal 6 4 2" xfId="1133" xr:uid="{00000000-0005-0000-0000-00005B2B0000}"/>
    <cellStyle name="Normal 6 4 2 10" xfId="26153" xr:uid="{00000000-0005-0000-0000-00005C2B0000}"/>
    <cellStyle name="Normal 6 4 2 11" xfId="32726" xr:uid="{69779C01-CBC5-4F35-AD7E-5C96EA0C2DF5}"/>
    <cellStyle name="Normal 6 4 2 2" xfId="1134" xr:uid="{00000000-0005-0000-0000-00005D2B0000}"/>
    <cellStyle name="Normal 6 4 2 2 2" xfId="1135" xr:uid="{00000000-0005-0000-0000-00005E2B0000}"/>
    <cellStyle name="Normal 6 4 2 2 2 2" xfId="1136" xr:uid="{00000000-0005-0000-0000-00005F2B0000}"/>
    <cellStyle name="Normal 6 4 2 2 2 2 2" xfId="2482" xr:uid="{00000000-0005-0000-0000-0000602B0000}"/>
    <cellStyle name="Normal 6 4 2 2 2 2 2 2" xfId="24887" xr:uid="{00000000-0005-0000-0000-0000612B0000}"/>
    <cellStyle name="Normal 6 4 2 2 2 2 2 3" xfId="25610" xr:uid="{00000000-0005-0000-0000-0000622B0000}"/>
    <cellStyle name="Normal 6 4 2 2 2 2 3" xfId="24508" xr:uid="{00000000-0005-0000-0000-0000632B0000}"/>
    <cellStyle name="Normal 6 4 2 2 2 2 4" xfId="25253" xr:uid="{00000000-0005-0000-0000-0000642B0000}"/>
    <cellStyle name="Normal 6 4 2 2 2 2 5" xfId="41854" xr:uid="{D36CEE1C-A051-4ABC-A66A-8FEDA470D714}"/>
    <cellStyle name="Normal 6 4 2 2 2 3" xfId="2481" xr:uid="{00000000-0005-0000-0000-0000652B0000}"/>
    <cellStyle name="Normal 6 4 2 2 2 3 2" xfId="24707" xr:uid="{00000000-0005-0000-0000-0000662B0000}"/>
    <cellStyle name="Normal 6 4 2 2 2 3 3" xfId="25430" xr:uid="{00000000-0005-0000-0000-0000672B0000}"/>
    <cellStyle name="Normal 6 4 2 2 2 4" xfId="24328" xr:uid="{00000000-0005-0000-0000-0000682B0000}"/>
    <cellStyle name="Normal 6 4 2 2 2 5" xfId="25073" xr:uid="{00000000-0005-0000-0000-0000692B0000}"/>
    <cellStyle name="Normal 6 4 2 2 2 6" xfId="26509" xr:uid="{00000000-0005-0000-0000-00006A2B0000}"/>
    <cellStyle name="Normal 6 4 2 2 2 7" xfId="33152" xr:uid="{D2DADC4D-C1E4-4EDE-BCB3-C22974A032E9}"/>
    <cellStyle name="Normal 6 4 2 2 3" xfId="1137" xr:uid="{00000000-0005-0000-0000-00006B2B0000}"/>
    <cellStyle name="Normal 6 4 2 2 3 2" xfId="2483" xr:uid="{00000000-0005-0000-0000-00006C2B0000}"/>
    <cellStyle name="Normal 6 4 2 2 3 2 2" xfId="24799" xr:uid="{00000000-0005-0000-0000-00006D2B0000}"/>
    <cellStyle name="Normal 6 4 2 2 3 2 3" xfId="25522" xr:uid="{00000000-0005-0000-0000-00006E2B0000}"/>
    <cellStyle name="Normal 6 4 2 2 3 3" xfId="24420" xr:uid="{00000000-0005-0000-0000-00006F2B0000}"/>
    <cellStyle name="Normal 6 4 2 2 3 4" xfId="25165" xr:uid="{00000000-0005-0000-0000-0000702B0000}"/>
    <cellStyle name="Normal 6 4 2 2 3 5" xfId="41638" xr:uid="{7C628DC6-0785-472F-BACA-601D00B52F4C}"/>
    <cellStyle name="Normal 6 4 2 2 4" xfId="2480" xr:uid="{00000000-0005-0000-0000-0000712B0000}"/>
    <cellStyle name="Normal 6 4 2 2 4 2" xfId="24619" xr:uid="{00000000-0005-0000-0000-0000722B0000}"/>
    <cellStyle name="Normal 6 4 2 2 4 3" xfId="25342" xr:uid="{00000000-0005-0000-0000-0000732B0000}"/>
    <cellStyle name="Normal 6 4 2 2 5" xfId="7937" xr:uid="{00000000-0005-0000-0000-0000742B0000}"/>
    <cellStyle name="Normal 6 4 2 2 6" xfId="24240" xr:uid="{00000000-0005-0000-0000-0000752B0000}"/>
    <cellStyle name="Normal 6 4 2 2 7" xfId="24985" xr:uid="{00000000-0005-0000-0000-0000762B0000}"/>
    <cellStyle name="Normal 6 4 2 2 8" xfId="26293" xr:uid="{00000000-0005-0000-0000-0000772B0000}"/>
    <cellStyle name="Normal 6 4 2 2 9" xfId="32930" xr:uid="{DC97A27E-67BB-470C-B231-B58F17726155}"/>
    <cellStyle name="Normal 6 4 2 3" xfId="1138" xr:uid="{00000000-0005-0000-0000-0000782B0000}"/>
    <cellStyle name="Normal 6 4 2 3 2" xfId="1139" xr:uid="{00000000-0005-0000-0000-0000792B0000}"/>
    <cellStyle name="Normal 6 4 2 3 2 2" xfId="1140" xr:uid="{00000000-0005-0000-0000-00007A2B0000}"/>
    <cellStyle name="Normal 6 4 2 3 2 2 2" xfId="2486" xr:uid="{00000000-0005-0000-0000-00007B2B0000}"/>
    <cellStyle name="Normal 6 4 2 3 2 2 3" xfId="24843" xr:uid="{00000000-0005-0000-0000-00007C2B0000}"/>
    <cellStyle name="Normal 6 4 2 3 2 2 4" xfId="25566" xr:uid="{00000000-0005-0000-0000-00007D2B0000}"/>
    <cellStyle name="Normal 6 4 2 3 2 2 5" xfId="41926" xr:uid="{67F4D5C5-57C5-4A02-9B3C-0C2EE0C2C189}"/>
    <cellStyle name="Normal 6 4 2 3 2 3" xfId="2485" xr:uid="{00000000-0005-0000-0000-00007E2B0000}"/>
    <cellStyle name="Normal 6 4 2 3 2 4" xfId="24464" xr:uid="{00000000-0005-0000-0000-00007F2B0000}"/>
    <cellStyle name="Normal 6 4 2 3 2 5" xfId="25209" xr:uid="{00000000-0005-0000-0000-0000802B0000}"/>
    <cellStyle name="Normal 6 4 2 3 2 6" xfId="26581" xr:uid="{00000000-0005-0000-0000-0000812B0000}"/>
    <cellStyle name="Normal 6 4 2 3 2 7" xfId="33224" xr:uid="{C3540DE5-636C-424A-A163-1098727F0AC2}"/>
    <cellStyle name="Normal 6 4 2 3 3" xfId="1141" xr:uid="{00000000-0005-0000-0000-0000822B0000}"/>
    <cellStyle name="Normal 6 4 2 3 3 2" xfId="2487" xr:uid="{00000000-0005-0000-0000-0000832B0000}"/>
    <cellStyle name="Normal 6 4 2 3 3 3" xfId="24663" xr:uid="{00000000-0005-0000-0000-0000842B0000}"/>
    <cellStyle name="Normal 6 4 2 3 3 4" xfId="25386" xr:uid="{00000000-0005-0000-0000-0000852B0000}"/>
    <cellStyle name="Normal 6 4 2 3 3 5" xfId="41710" xr:uid="{8D26607E-A044-41DF-8293-3DFA4996B0CF}"/>
    <cellStyle name="Normal 6 4 2 3 4" xfId="2484" xr:uid="{00000000-0005-0000-0000-0000862B0000}"/>
    <cellStyle name="Normal 6 4 2 3 5" xfId="14811" xr:uid="{00000000-0005-0000-0000-0000872B0000}"/>
    <cellStyle name="Normal 6 4 2 3 6" xfId="24284" xr:uid="{00000000-0005-0000-0000-0000882B0000}"/>
    <cellStyle name="Normal 6 4 2 3 7" xfId="25029" xr:uid="{00000000-0005-0000-0000-0000892B0000}"/>
    <cellStyle name="Normal 6 4 2 3 8" xfId="26365" xr:uid="{00000000-0005-0000-0000-00008A2B0000}"/>
    <cellStyle name="Normal 6 4 2 3 9" xfId="33008" xr:uid="{8CCCBE8C-9BB0-482E-A501-95039C39D4E9}"/>
    <cellStyle name="Normal 6 4 2 4" xfId="1142" xr:uid="{00000000-0005-0000-0000-00008B2B0000}"/>
    <cellStyle name="Normal 6 4 2 4 2" xfId="1143" xr:uid="{00000000-0005-0000-0000-00008C2B0000}"/>
    <cellStyle name="Normal 6 4 2 4 2 2" xfId="2489" xr:uid="{00000000-0005-0000-0000-00008D2B0000}"/>
    <cellStyle name="Normal 6 4 2 4 2 3" xfId="24755" xr:uid="{00000000-0005-0000-0000-00008E2B0000}"/>
    <cellStyle name="Normal 6 4 2 4 2 4" xfId="25478" xr:uid="{00000000-0005-0000-0000-00008F2B0000}"/>
    <cellStyle name="Normal 6 4 2 4 2 5" xfId="41782" xr:uid="{E80F3341-E3EF-4814-AB35-179CDA8B6DCE}"/>
    <cellStyle name="Normal 6 4 2 4 3" xfId="2488" xr:uid="{00000000-0005-0000-0000-0000902B0000}"/>
    <cellStyle name="Normal 6 4 2 4 4" xfId="19507" xr:uid="{00000000-0005-0000-0000-0000912B0000}"/>
    <cellStyle name="Normal 6 4 2 4 5" xfId="24376" xr:uid="{00000000-0005-0000-0000-0000922B0000}"/>
    <cellStyle name="Normal 6 4 2 4 6" xfId="25121" xr:uid="{00000000-0005-0000-0000-0000932B0000}"/>
    <cellStyle name="Normal 6 4 2 4 7" xfId="26437" xr:uid="{00000000-0005-0000-0000-0000942B0000}"/>
    <cellStyle name="Normal 6 4 2 4 8" xfId="33080" xr:uid="{F471A7E2-C257-4F38-8DF4-F89D7C9D7343}"/>
    <cellStyle name="Normal 6 4 2 5" xfId="1144" xr:uid="{00000000-0005-0000-0000-0000952B0000}"/>
    <cellStyle name="Normal 6 4 2 5 2" xfId="2490" xr:uid="{00000000-0005-0000-0000-0000962B0000}"/>
    <cellStyle name="Normal 6 4 2 5 3" xfId="23995" xr:uid="{00000000-0005-0000-0000-0000972B0000}"/>
    <cellStyle name="Normal 6 4 2 5 4" xfId="24575" xr:uid="{00000000-0005-0000-0000-0000982B0000}"/>
    <cellStyle name="Normal 6 4 2 5 5" xfId="25298" xr:uid="{00000000-0005-0000-0000-0000992B0000}"/>
    <cellStyle name="Normal 6 4 2 5 6" xfId="41566" xr:uid="{E7E39819-7769-42FD-AC09-C563A82F3C80}"/>
    <cellStyle name="Normal 6 4 2 6" xfId="2479" xr:uid="{00000000-0005-0000-0000-00009A2B0000}"/>
    <cellStyle name="Normal 6 4 2 7" xfId="5394" xr:uid="{00000000-0005-0000-0000-00009B2B0000}"/>
    <cellStyle name="Normal 6 4 2 8" xfId="24196" xr:uid="{00000000-0005-0000-0000-00009C2B0000}"/>
    <cellStyle name="Normal 6 4 2 9" xfId="24941" xr:uid="{00000000-0005-0000-0000-00009D2B0000}"/>
    <cellStyle name="Normal 6 4 3" xfId="1145" xr:uid="{00000000-0005-0000-0000-00009E2B0000}"/>
    <cellStyle name="Normal 6 4 3 10" xfId="26166" xr:uid="{00000000-0005-0000-0000-00009F2B0000}"/>
    <cellStyle name="Normal 6 4 3 11" xfId="32739" xr:uid="{A4C7383C-BEF7-4D6D-8EE4-F5694278AC59}"/>
    <cellStyle name="Normal 6 4 3 2" xfId="1146" xr:uid="{00000000-0005-0000-0000-0000A02B0000}"/>
    <cellStyle name="Normal 6 4 3 2 2" xfId="1147" xr:uid="{00000000-0005-0000-0000-0000A12B0000}"/>
    <cellStyle name="Normal 6 4 3 2 2 2" xfId="1148" xr:uid="{00000000-0005-0000-0000-0000A22B0000}"/>
    <cellStyle name="Normal 6 4 3 2 2 2 2" xfId="2494" xr:uid="{00000000-0005-0000-0000-0000A32B0000}"/>
    <cellStyle name="Normal 6 4 3 2 2 2 3" xfId="24874" xr:uid="{00000000-0005-0000-0000-0000A42B0000}"/>
    <cellStyle name="Normal 6 4 3 2 2 2 4" xfId="25597" xr:uid="{00000000-0005-0000-0000-0000A52B0000}"/>
    <cellStyle name="Normal 6 4 3 2 2 2 5" xfId="41867" xr:uid="{79EB6DC6-5337-4484-A429-6761A34C9FC8}"/>
    <cellStyle name="Normal 6 4 3 2 2 3" xfId="2493" xr:uid="{00000000-0005-0000-0000-0000A62B0000}"/>
    <cellStyle name="Normal 6 4 3 2 2 4" xfId="24495" xr:uid="{00000000-0005-0000-0000-0000A72B0000}"/>
    <cellStyle name="Normal 6 4 3 2 2 5" xfId="25240" xr:uid="{00000000-0005-0000-0000-0000A82B0000}"/>
    <cellStyle name="Normal 6 4 3 2 2 6" xfId="26522" xr:uid="{00000000-0005-0000-0000-0000A92B0000}"/>
    <cellStyle name="Normal 6 4 3 2 2 7" xfId="33165" xr:uid="{85C8641A-74CD-4EBC-AD19-5CF449DC8E60}"/>
    <cellStyle name="Normal 6 4 3 2 3" xfId="1149" xr:uid="{00000000-0005-0000-0000-0000AA2B0000}"/>
    <cellStyle name="Normal 6 4 3 2 3 2" xfId="2495" xr:uid="{00000000-0005-0000-0000-0000AB2B0000}"/>
    <cellStyle name="Normal 6 4 3 2 3 3" xfId="24694" xr:uid="{00000000-0005-0000-0000-0000AC2B0000}"/>
    <cellStyle name="Normal 6 4 3 2 3 4" xfId="25417" xr:uid="{00000000-0005-0000-0000-0000AD2B0000}"/>
    <cellStyle name="Normal 6 4 3 2 3 5" xfId="41651" xr:uid="{634BAA20-FE37-40F7-89A3-AAC4B1FCC8AB}"/>
    <cellStyle name="Normal 6 4 3 2 4" xfId="2492" xr:uid="{00000000-0005-0000-0000-0000AE2B0000}"/>
    <cellStyle name="Normal 6 4 3 2 5" xfId="24315" xr:uid="{00000000-0005-0000-0000-0000AF2B0000}"/>
    <cellStyle name="Normal 6 4 3 2 6" xfId="25060" xr:uid="{00000000-0005-0000-0000-0000B02B0000}"/>
    <cellStyle name="Normal 6 4 3 2 7" xfId="26306" xr:uid="{00000000-0005-0000-0000-0000B12B0000}"/>
    <cellStyle name="Normal 6 4 3 2 8" xfId="32943" xr:uid="{709CD3F7-E420-4EF9-8EBB-06A14864C716}"/>
    <cellStyle name="Normal 6 4 3 3" xfId="1150" xr:uid="{00000000-0005-0000-0000-0000B22B0000}"/>
    <cellStyle name="Normal 6 4 3 3 2" xfId="1151" xr:uid="{00000000-0005-0000-0000-0000B32B0000}"/>
    <cellStyle name="Normal 6 4 3 3 2 2" xfId="1152" xr:uid="{00000000-0005-0000-0000-0000B42B0000}"/>
    <cellStyle name="Normal 6 4 3 3 2 2 2" xfId="2498" xr:uid="{00000000-0005-0000-0000-0000B52B0000}"/>
    <cellStyle name="Normal 6 4 3 3 2 2 3" xfId="41939" xr:uid="{D4C62B4A-6E67-45F7-85A9-28057AE2CF27}"/>
    <cellStyle name="Normal 6 4 3 3 2 3" xfId="2497" xr:uid="{00000000-0005-0000-0000-0000B62B0000}"/>
    <cellStyle name="Normal 6 4 3 3 2 4" xfId="24786" xr:uid="{00000000-0005-0000-0000-0000B72B0000}"/>
    <cellStyle name="Normal 6 4 3 3 2 5" xfId="25509" xr:uid="{00000000-0005-0000-0000-0000B82B0000}"/>
    <cellStyle name="Normal 6 4 3 3 2 6" xfId="26594" xr:uid="{00000000-0005-0000-0000-0000B92B0000}"/>
    <cellStyle name="Normal 6 4 3 3 2 7" xfId="33237" xr:uid="{7759E0DA-4EAD-48A9-B13D-FD99620F2323}"/>
    <cellStyle name="Normal 6 4 3 3 3" xfId="1153" xr:uid="{00000000-0005-0000-0000-0000BA2B0000}"/>
    <cellStyle name="Normal 6 4 3 3 3 2" xfId="2499" xr:uid="{00000000-0005-0000-0000-0000BB2B0000}"/>
    <cellStyle name="Normal 6 4 3 3 3 3" xfId="41723" xr:uid="{3D8353EF-ED25-4730-904C-09AB90DED2BE}"/>
    <cellStyle name="Normal 6 4 3 3 4" xfId="2496" xr:uid="{00000000-0005-0000-0000-0000BC2B0000}"/>
    <cellStyle name="Normal 6 4 3 3 5" xfId="24407" xr:uid="{00000000-0005-0000-0000-0000BD2B0000}"/>
    <cellStyle name="Normal 6 4 3 3 6" xfId="25152" xr:uid="{00000000-0005-0000-0000-0000BE2B0000}"/>
    <cellStyle name="Normal 6 4 3 3 7" xfId="26378" xr:uid="{00000000-0005-0000-0000-0000BF2B0000}"/>
    <cellStyle name="Normal 6 4 3 3 8" xfId="33021" xr:uid="{D4F5BE77-12A9-424C-8ABB-89E0EC2E25B4}"/>
    <cellStyle name="Normal 6 4 3 4" xfId="1154" xr:uid="{00000000-0005-0000-0000-0000C02B0000}"/>
    <cellStyle name="Normal 6 4 3 4 2" xfId="1155" xr:uid="{00000000-0005-0000-0000-0000C12B0000}"/>
    <cellStyle name="Normal 6 4 3 4 2 2" xfId="2501" xr:uid="{00000000-0005-0000-0000-0000C22B0000}"/>
    <cellStyle name="Normal 6 4 3 4 2 3" xfId="41795" xr:uid="{C1A369EF-5691-446B-8506-4147230A5803}"/>
    <cellStyle name="Normal 6 4 3 4 3" xfId="2500" xr:uid="{00000000-0005-0000-0000-0000C32B0000}"/>
    <cellStyle name="Normal 6 4 3 4 4" xfId="24606" xr:uid="{00000000-0005-0000-0000-0000C42B0000}"/>
    <cellStyle name="Normal 6 4 3 4 5" xfId="25329" xr:uid="{00000000-0005-0000-0000-0000C52B0000}"/>
    <cellStyle name="Normal 6 4 3 4 6" xfId="26450" xr:uid="{00000000-0005-0000-0000-0000C62B0000}"/>
    <cellStyle name="Normal 6 4 3 4 7" xfId="33093" xr:uid="{96AB6AF6-B64F-4D27-BD03-0510AF779FD0}"/>
    <cellStyle name="Normal 6 4 3 5" xfId="1156" xr:uid="{00000000-0005-0000-0000-0000C72B0000}"/>
    <cellStyle name="Normal 6 4 3 5 2" xfId="2502" xr:uid="{00000000-0005-0000-0000-0000C82B0000}"/>
    <cellStyle name="Normal 6 4 3 5 3" xfId="41579" xr:uid="{C31EC2B4-DA2E-4B70-B038-F71C0B8D0043}"/>
    <cellStyle name="Normal 6 4 3 6" xfId="2491" xr:uid="{00000000-0005-0000-0000-0000C92B0000}"/>
    <cellStyle name="Normal 6 4 3 7" xfId="7936" xr:uid="{00000000-0005-0000-0000-0000CA2B0000}"/>
    <cellStyle name="Normal 6 4 3 8" xfId="24227" xr:uid="{00000000-0005-0000-0000-0000CB2B0000}"/>
    <cellStyle name="Normal 6 4 3 9" xfId="24972" xr:uid="{00000000-0005-0000-0000-0000CC2B0000}"/>
    <cellStyle name="Normal 6 4 4" xfId="1157" xr:uid="{00000000-0005-0000-0000-0000CD2B0000}"/>
    <cellStyle name="Normal 6 4 4 10" xfId="26261" xr:uid="{00000000-0005-0000-0000-0000CE2B0000}"/>
    <cellStyle name="Normal 6 4 4 11" xfId="32877" xr:uid="{E50D0FE6-0867-44C7-8216-2D0CAAAC91F9}"/>
    <cellStyle name="Normal 6 4 4 2" xfId="1158" xr:uid="{00000000-0005-0000-0000-0000CF2B0000}"/>
    <cellStyle name="Normal 6 4 4 2 2" xfId="1159" xr:uid="{00000000-0005-0000-0000-0000D02B0000}"/>
    <cellStyle name="Normal 6 4 4 2 2 2" xfId="1160" xr:uid="{00000000-0005-0000-0000-0000D12B0000}"/>
    <cellStyle name="Normal 6 4 4 2 2 2 2" xfId="2506" xr:uid="{00000000-0005-0000-0000-0000D22B0000}"/>
    <cellStyle name="Normal 6 4 4 2 2 2 3" xfId="41894" xr:uid="{137C98A3-7E73-4A7F-9442-BAAC690876A5}"/>
    <cellStyle name="Normal 6 4 4 2 2 3" xfId="2505" xr:uid="{00000000-0005-0000-0000-0000D32B0000}"/>
    <cellStyle name="Normal 6 4 4 2 2 4" xfId="24830" xr:uid="{00000000-0005-0000-0000-0000D42B0000}"/>
    <cellStyle name="Normal 6 4 4 2 2 5" xfId="25553" xr:uid="{00000000-0005-0000-0000-0000D52B0000}"/>
    <cellStyle name="Normal 6 4 4 2 2 6" xfId="26549" xr:uid="{00000000-0005-0000-0000-0000D62B0000}"/>
    <cellStyle name="Normal 6 4 4 2 2 7" xfId="33192" xr:uid="{E0129450-8C5C-4C65-83EB-3C14E37A63F2}"/>
    <cellStyle name="Normal 6 4 4 2 3" xfId="1161" xr:uid="{00000000-0005-0000-0000-0000D72B0000}"/>
    <cellStyle name="Normal 6 4 4 2 3 2" xfId="2507" xr:uid="{00000000-0005-0000-0000-0000D82B0000}"/>
    <cellStyle name="Normal 6 4 4 2 3 3" xfId="41678" xr:uid="{4163724E-5361-49E1-91E6-F283BA44D4CE}"/>
    <cellStyle name="Normal 6 4 4 2 4" xfId="2504" xr:uid="{00000000-0005-0000-0000-0000D92B0000}"/>
    <cellStyle name="Normal 6 4 4 2 5" xfId="24451" xr:uid="{00000000-0005-0000-0000-0000DA2B0000}"/>
    <cellStyle name="Normal 6 4 4 2 6" xfId="25196" xr:uid="{00000000-0005-0000-0000-0000DB2B0000}"/>
    <cellStyle name="Normal 6 4 4 2 7" xfId="26333" xr:uid="{00000000-0005-0000-0000-0000DC2B0000}"/>
    <cellStyle name="Normal 6 4 4 2 8" xfId="32976" xr:uid="{043D2488-2A09-4082-AAE0-6C79C0E41975}"/>
    <cellStyle name="Normal 6 4 4 3" xfId="1162" xr:uid="{00000000-0005-0000-0000-0000DD2B0000}"/>
    <cellStyle name="Normal 6 4 4 3 2" xfId="1163" xr:uid="{00000000-0005-0000-0000-0000DE2B0000}"/>
    <cellStyle name="Normal 6 4 4 3 2 2" xfId="1164" xr:uid="{00000000-0005-0000-0000-0000DF2B0000}"/>
    <cellStyle name="Normal 6 4 4 3 2 2 2" xfId="2510" xr:uid="{00000000-0005-0000-0000-0000E02B0000}"/>
    <cellStyle name="Normal 6 4 4 3 2 2 3" xfId="41966" xr:uid="{D8433D57-A0CA-4FF7-8B6C-030EE64D3A57}"/>
    <cellStyle name="Normal 6 4 4 3 2 3" xfId="2509" xr:uid="{00000000-0005-0000-0000-0000E12B0000}"/>
    <cellStyle name="Normal 6 4 4 3 2 4" xfId="26621" xr:uid="{00000000-0005-0000-0000-0000E22B0000}"/>
    <cellStyle name="Normal 6 4 4 3 2 5" xfId="33264" xr:uid="{A7B13CDB-9BD5-4F9D-9DD8-58CB50ABCDD7}"/>
    <cellStyle name="Normal 6 4 4 3 3" xfId="1165" xr:uid="{00000000-0005-0000-0000-0000E32B0000}"/>
    <cellStyle name="Normal 6 4 4 3 3 2" xfId="2511" xr:uid="{00000000-0005-0000-0000-0000E42B0000}"/>
    <cellStyle name="Normal 6 4 4 3 3 3" xfId="41750" xr:uid="{BCE547C1-4917-4420-9570-DDE8B1AA4F0A}"/>
    <cellStyle name="Normal 6 4 4 3 4" xfId="2508" xr:uid="{00000000-0005-0000-0000-0000E52B0000}"/>
    <cellStyle name="Normal 6 4 4 3 5" xfId="24650" xr:uid="{00000000-0005-0000-0000-0000E62B0000}"/>
    <cellStyle name="Normal 6 4 4 3 6" xfId="25373" xr:uid="{00000000-0005-0000-0000-0000E72B0000}"/>
    <cellStyle name="Normal 6 4 4 3 7" xfId="26405" xr:uid="{00000000-0005-0000-0000-0000E82B0000}"/>
    <cellStyle name="Normal 6 4 4 3 8" xfId="33048" xr:uid="{C7BF8BD0-720C-43E8-A6B5-39A2356CD53F}"/>
    <cellStyle name="Normal 6 4 4 4" xfId="1166" xr:uid="{00000000-0005-0000-0000-0000E92B0000}"/>
    <cellStyle name="Normal 6 4 4 4 2" xfId="1167" xr:uid="{00000000-0005-0000-0000-0000EA2B0000}"/>
    <cellStyle name="Normal 6 4 4 4 2 2" xfId="2513" xr:uid="{00000000-0005-0000-0000-0000EB2B0000}"/>
    <cellStyle name="Normal 6 4 4 4 2 3" xfId="41822" xr:uid="{2B94B91E-7316-4374-8F8C-F74E388E7FCF}"/>
    <cellStyle name="Normal 6 4 4 4 3" xfId="2512" xr:uid="{00000000-0005-0000-0000-0000EC2B0000}"/>
    <cellStyle name="Normal 6 4 4 4 4" xfId="26477" xr:uid="{00000000-0005-0000-0000-0000ED2B0000}"/>
    <cellStyle name="Normal 6 4 4 4 5" xfId="33120" xr:uid="{A7F9BB60-04C9-442F-B76C-86022E4E2510}"/>
    <cellStyle name="Normal 6 4 4 5" xfId="1168" xr:uid="{00000000-0005-0000-0000-0000EE2B0000}"/>
    <cellStyle name="Normal 6 4 4 5 2" xfId="2514" xr:uid="{00000000-0005-0000-0000-0000EF2B0000}"/>
    <cellStyle name="Normal 6 4 4 5 3" xfId="41606" xr:uid="{A29637A2-22FF-4CE1-85F7-FE3950DD83F7}"/>
    <cellStyle name="Normal 6 4 4 6" xfId="2503" xr:uid="{00000000-0005-0000-0000-0000F02B0000}"/>
    <cellStyle name="Normal 6 4 4 7" xfId="14810" xr:uid="{00000000-0005-0000-0000-0000F12B0000}"/>
    <cellStyle name="Normal 6 4 4 8" xfId="24271" xr:uid="{00000000-0005-0000-0000-0000F22B0000}"/>
    <cellStyle name="Normal 6 4 4 9" xfId="25016" xr:uid="{00000000-0005-0000-0000-0000F32B0000}"/>
    <cellStyle name="Normal 6 4 5" xfId="1169" xr:uid="{00000000-0005-0000-0000-0000F42B0000}"/>
    <cellStyle name="Normal 6 4 5 2" xfId="1170" xr:uid="{00000000-0005-0000-0000-0000F52B0000}"/>
    <cellStyle name="Normal 6 4 5 2 2" xfId="1171" xr:uid="{00000000-0005-0000-0000-0000F62B0000}"/>
    <cellStyle name="Normal 6 4 5 2 2 2" xfId="2517" xr:uid="{00000000-0005-0000-0000-0000F72B0000}"/>
    <cellStyle name="Normal 6 4 5 2 2 3" xfId="41841" xr:uid="{BF04C137-8BF8-454F-9F75-1AD3B0C4B5E8}"/>
    <cellStyle name="Normal 6 4 5 2 3" xfId="2516" xr:uid="{00000000-0005-0000-0000-0000F82B0000}"/>
    <cellStyle name="Normal 6 4 5 2 4" xfId="24740" xr:uid="{00000000-0005-0000-0000-0000F92B0000}"/>
    <cellStyle name="Normal 6 4 5 2 5" xfId="25463" xr:uid="{00000000-0005-0000-0000-0000FA2B0000}"/>
    <cellStyle name="Normal 6 4 5 2 6" xfId="26496" xr:uid="{00000000-0005-0000-0000-0000FB2B0000}"/>
    <cellStyle name="Normal 6 4 5 2 7" xfId="33139" xr:uid="{62CCB94C-1DF1-4C31-820A-CFB306583BC1}"/>
    <cellStyle name="Normal 6 4 5 3" xfId="1172" xr:uid="{00000000-0005-0000-0000-0000FC2B0000}"/>
    <cellStyle name="Normal 6 4 5 3 2" xfId="2518" xr:uid="{00000000-0005-0000-0000-0000FD2B0000}"/>
    <cellStyle name="Normal 6 4 5 3 3" xfId="41625" xr:uid="{95E70F61-0E5D-4FD5-8D7A-52CF92765B3D}"/>
    <cellStyle name="Normal 6 4 5 4" xfId="2515" xr:uid="{00000000-0005-0000-0000-0000FE2B0000}"/>
    <cellStyle name="Normal 6 4 5 5" xfId="19506" xr:uid="{00000000-0005-0000-0000-0000FF2B0000}"/>
    <cellStyle name="Normal 6 4 5 6" xfId="24361" xr:uid="{00000000-0005-0000-0000-0000002C0000}"/>
    <cellStyle name="Normal 6 4 5 7" xfId="25106" xr:uid="{00000000-0005-0000-0000-0000012C0000}"/>
    <cellStyle name="Normal 6 4 5 8" xfId="26280" xr:uid="{00000000-0005-0000-0000-0000022C0000}"/>
    <cellStyle name="Normal 6 4 5 9" xfId="32916" xr:uid="{421E5408-5670-47A6-AD16-2DF84A1A1224}"/>
    <cellStyle name="Normal 6 4 6" xfId="1173" xr:uid="{00000000-0005-0000-0000-0000032C0000}"/>
    <cellStyle name="Normal 6 4 6 2" xfId="1174" xr:uid="{00000000-0005-0000-0000-0000042C0000}"/>
    <cellStyle name="Normal 6 4 6 2 2" xfId="1175" xr:uid="{00000000-0005-0000-0000-0000052C0000}"/>
    <cellStyle name="Normal 6 4 6 2 2 2" xfId="2521" xr:uid="{00000000-0005-0000-0000-0000062C0000}"/>
    <cellStyle name="Normal 6 4 6 2 2 3" xfId="41913" xr:uid="{D77E2979-79A3-45FC-8FC9-6E58C33E463B}"/>
    <cellStyle name="Normal 6 4 6 2 3" xfId="2520" xr:uid="{00000000-0005-0000-0000-0000072C0000}"/>
    <cellStyle name="Normal 6 4 6 2 4" xfId="26568" xr:uid="{00000000-0005-0000-0000-0000082C0000}"/>
    <cellStyle name="Normal 6 4 6 2 5" xfId="33211" xr:uid="{6CA1B2AE-B015-42BA-9762-007EBC2B006B}"/>
    <cellStyle name="Normal 6 4 6 3" xfId="1176" xr:uid="{00000000-0005-0000-0000-0000092C0000}"/>
    <cellStyle name="Normal 6 4 6 3 2" xfId="2522" xr:uid="{00000000-0005-0000-0000-00000A2C0000}"/>
    <cellStyle name="Normal 6 4 6 3 3" xfId="41697" xr:uid="{CE6B2032-E6B3-4465-B5D6-4B0A1D239201}"/>
    <cellStyle name="Normal 6 4 6 4" xfId="2519" xr:uid="{00000000-0005-0000-0000-00000B2C0000}"/>
    <cellStyle name="Normal 6 4 6 5" xfId="23994" xr:uid="{00000000-0005-0000-0000-00000C2C0000}"/>
    <cellStyle name="Normal 6 4 6 6" xfId="24562" xr:uid="{00000000-0005-0000-0000-00000D2C0000}"/>
    <cellStyle name="Normal 6 4 6 7" xfId="25285" xr:uid="{00000000-0005-0000-0000-00000E2C0000}"/>
    <cellStyle name="Normal 6 4 6 8" xfId="26352" xr:uid="{00000000-0005-0000-0000-00000F2C0000}"/>
    <cellStyle name="Normal 6 4 6 9" xfId="32995" xr:uid="{D351AA6B-0AC1-4E10-917D-9EFF88664472}"/>
    <cellStyle name="Normal 6 4 7" xfId="1177" xr:uid="{00000000-0005-0000-0000-0000102C0000}"/>
    <cellStyle name="Normal 6 4 7 2" xfId="1178" xr:uid="{00000000-0005-0000-0000-0000112C0000}"/>
    <cellStyle name="Normal 6 4 7 2 2" xfId="2524" xr:uid="{00000000-0005-0000-0000-0000122C0000}"/>
    <cellStyle name="Normal 6 4 7 2 3" xfId="41769" xr:uid="{B6210A48-8D03-40A0-A40D-DE03DD820241}"/>
    <cellStyle name="Normal 6 4 7 3" xfId="2523" xr:uid="{00000000-0005-0000-0000-0000132C0000}"/>
    <cellStyle name="Normal 6 4 7 4" xfId="26424" xr:uid="{00000000-0005-0000-0000-0000142C0000}"/>
    <cellStyle name="Normal 6 4 7 5" xfId="33067" xr:uid="{81F5BD82-6E93-48C9-BD89-5E5B191E497F}"/>
    <cellStyle name="Normal 6 4 8" xfId="1179" xr:uid="{00000000-0005-0000-0000-0000152C0000}"/>
    <cellStyle name="Normal 6 4 8 2" xfId="2525" xr:uid="{00000000-0005-0000-0000-0000162C0000}"/>
    <cellStyle name="Normal 6 4 8 3" xfId="41551" xr:uid="{17972A02-7FEB-40DF-88B6-4660AA87A05F}"/>
    <cellStyle name="Normal 6 4 9" xfId="2478" xr:uid="{00000000-0005-0000-0000-0000172C0000}"/>
    <cellStyle name="Normal 6 5" xfId="1180" xr:uid="{00000000-0005-0000-0000-0000182C0000}"/>
    <cellStyle name="Normal 6 5 10" xfId="26146" xr:uid="{00000000-0005-0000-0000-0000192C0000}"/>
    <cellStyle name="Normal 6 5 11" xfId="32719" xr:uid="{C40E04A2-A49A-4D5E-9C99-F92A94138514}"/>
    <cellStyle name="Normal 6 5 2" xfId="1181" xr:uid="{00000000-0005-0000-0000-00001A2C0000}"/>
    <cellStyle name="Normal 6 5 2 2" xfId="1182" xr:uid="{00000000-0005-0000-0000-00001B2C0000}"/>
    <cellStyle name="Normal 6 5 2 2 2" xfId="1183" xr:uid="{00000000-0005-0000-0000-00001C2C0000}"/>
    <cellStyle name="Normal 6 5 2 2 2 2" xfId="2529" xr:uid="{00000000-0005-0000-0000-00001D2C0000}"/>
    <cellStyle name="Normal 6 5 2 2 2 2 2" xfId="24880" xr:uid="{00000000-0005-0000-0000-00001E2C0000}"/>
    <cellStyle name="Normal 6 5 2 2 2 2 3" xfId="25603" xr:uid="{00000000-0005-0000-0000-00001F2C0000}"/>
    <cellStyle name="Normal 6 5 2 2 2 3" xfId="24501" xr:uid="{00000000-0005-0000-0000-0000202C0000}"/>
    <cellStyle name="Normal 6 5 2 2 2 4" xfId="25246" xr:uid="{00000000-0005-0000-0000-0000212C0000}"/>
    <cellStyle name="Normal 6 5 2 2 2 5" xfId="41847" xr:uid="{9D69F4E7-129D-4ECD-BF31-82E44ACAF9CF}"/>
    <cellStyle name="Normal 6 5 2 2 3" xfId="2528" xr:uid="{00000000-0005-0000-0000-0000222C0000}"/>
    <cellStyle name="Normal 6 5 2 2 3 2" xfId="24700" xr:uid="{00000000-0005-0000-0000-0000232C0000}"/>
    <cellStyle name="Normal 6 5 2 2 3 3" xfId="25423" xr:uid="{00000000-0005-0000-0000-0000242C0000}"/>
    <cellStyle name="Normal 6 5 2 2 4" xfId="24321" xr:uid="{00000000-0005-0000-0000-0000252C0000}"/>
    <cellStyle name="Normal 6 5 2 2 5" xfId="25066" xr:uid="{00000000-0005-0000-0000-0000262C0000}"/>
    <cellStyle name="Normal 6 5 2 2 6" xfId="26502" xr:uid="{00000000-0005-0000-0000-0000272C0000}"/>
    <cellStyle name="Normal 6 5 2 2 7" xfId="33145" xr:uid="{DDB5411A-5328-4208-87D1-F293DCC7A0EC}"/>
    <cellStyle name="Normal 6 5 2 3" xfId="1184" xr:uid="{00000000-0005-0000-0000-0000282C0000}"/>
    <cellStyle name="Normal 6 5 2 3 2" xfId="2530" xr:uid="{00000000-0005-0000-0000-0000292C0000}"/>
    <cellStyle name="Normal 6 5 2 3 2 2" xfId="24792" xr:uid="{00000000-0005-0000-0000-00002A2C0000}"/>
    <cellStyle name="Normal 6 5 2 3 2 3" xfId="25515" xr:uid="{00000000-0005-0000-0000-00002B2C0000}"/>
    <cellStyle name="Normal 6 5 2 3 3" xfId="24413" xr:uid="{00000000-0005-0000-0000-00002C2C0000}"/>
    <cellStyle name="Normal 6 5 2 3 4" xfId="25158" xr:uid="{00000000-0005-0000-0000-00002D2C0000}"/>
    <cellStyle name="Normal 6 5 2 3 5" xfId="41631" xr:uid="{A936E95A-D8B4-4697-A726-130BA483C19B}"/>
    <cellStyle name="Normal 6 5 2 4" xfId="2527" xr:uid="{00000000-0005-0000-0000-00002E2C0000}"/>
    <cellStyle name="Normal 6 5 2 4 2" xfId="24612" xr:uid="{00000000-0005-0000-0000-00002F2C0000}"/>
    <cellStyle name="Normal 6 5 2 4 3" xfId="25335" xr:uid="{00000000-0005-0000-0000-0000302C0000}"/>
    <cellStyle name="Normal 6 5 2 5" xfId="7938" xr:uid="{00000000-0005-0000-0000-0000312C0000}"/>
    <cellStyle name="Normal 6 5 2 6" xfId="24233" xr:uid="{00000000-0005-0000-0000-0000322C0000}"/>
    <cellStyle name="Normal 6 5 2 7" xfId="24978" xr:uid="{00000000-0005-0000-0000-0000332C0000}"/>
    <cellStyle name="Normal 6 5 2 8" xfId="26286" xr:uid="{00000000-0005-0000-0000-0000342C0000}"/>
    <cellStyle name="Normal 6 5 2 9" xfId="32923" xr:uid="{6AD85C0D-B939-4B94-80D2-A46A12132202}"/>
    <cellStyle name="Normal 6 5 3" xfId="1185" xr:uid="{00000000-0005-0000-0000-0000352C0000}"/>
    <cellStyle name="Normal 6 5 3 2" xfId="1186" xr:uid="{00000000-0005-0000-0000-0000362C0000}"/>
    <cellStyle name="Normal 6 5 3 2 2" xfId="1187" xr:uid="{00000000-0005-0000-0000-0000372C0000}"/>
    <cellStyle name="Normal 6 5 3 2 2 2" xfId="2533" xr:uid="{00000000-0005-0000-0000-0000382C0000}"/>
    <cellStyle name="Normal 6 5 3 2 2 3" xfId="24836" xr:uid="{00000000-0005-0000-0000-0000392C0000}"/>
    <cellStyle name="Normal 6 5 3 2 2 4" xfId="25559" xr:uid="{00000000-0005-0000-0000-00003A2C0000}"/>
    <cellStyle name="Normal 6 5 3 2 2 5" xfId="41919" xr:uid="{0B50EF44-FF42-4A08-9D2A-62F57A383E8B}"/>
    <cellStyle name="Normal 6 5 3 2 3" xfId="2532" xr:uid="{00000000-0005-0000-0000-00003B2C0000}"/>
    <cellStyle name="Normal 6 5 3 2 4" xfId="24457" xr:uid="{00000000-0005-0000-0000-00003C2C0000}"/>
    <cellStyle name="Normal 6 5 3 2 5" xfId="25202" xr:uid="{00000000-0005-0000-0000-00003D2C0000}"/>
    <cellStyle name="Normal 6 5 3 2 6" xfId="26574" xr:uid="{00000000-0005-0000-0000-00003E2C0000}"/>
    <cellStyle name="Normal 6 5 3 2 7" xfId="33217" xr:uid="{7D028190-74FE-4403-9E12-79A1108D9953}"/>
    <cellStyle name="Normal 6 5 3 3" xfId="1188" xr:uid="{00000000-0005-0000-0000-00003F2C0000}"/>
    <cellStyle name="Normal 6 5 3 3 2" xfId="2534" xr:uid="{00000000-0005-0000-0000-0000402C0000}"/>
    <cellStyle name="Normal 6 5 3 3 3" xfId="24656" xr:uid="{00000000-0005-0000-0000-0000412C0000}"/>
    <cellStyle name="Normal 6 5 3 3 4" xfId="25379" xr:uid="{00000000-0005-0000-0000-0000422C0000}"/>
    <cellStyle name="Normal 6 5 3 3 5" xfId="41703" xr:uid="{A437B39D-CFEE-48C3-AD7F-1728F049B1AC}"/>
    <cellStyle name="Normal 6 5 3 4" xfId="2531" xr:uid="{00000000-0005-0000-0000-0000432C0000}"/>
    <cellStyle name="Normal 6 5 3 5" xfId="14812" xr:uid="{00000000-0005-0000-0000-0000442C0000}"/>
    <cellStyle name="Normal 6 5 3 6" xfId="24277" xr:uid="{00000000-0005-0000-0000-0000452C0000}"/>
    <cellStyle name="Normal 6 5 3 7" xfId="25022" xr:uid="{00000000-0005-0000-0000-0000462C0000}"/>
    <cellStyle name="Normal 6 5 3 8" xfId="26358" xr:uid="{00000000-0005-0000-0000-0000472C0000}"/>
    <cellStyle name="Normal 6 5 3 9" xfId="33001" xr:uid="{2F42374E-3FC2-46AD-B7E0-DB7560AD22FF}"/>
    <cellStyle name="Normal 6 5 4" xfId="1189" xr:uid="{00000000-0005-0000-0000-0000482C0000}"/>
    <cellStyle name="Normal 6 5 4 2" xfId="1190" xr:uid="{00000000-0005-0000-0000-0000492C0000}"/>
    <cellStyle name="Normal 6 5 4 2 2" xfId="2536" xr:uid="{00000000-0005-0000-0000-00004A2C0000}"/>
    <cellStyle name="Normal 6 5 4 2 3" xfId="24748" xr:uid="{00000000-0005-0000-0000-00004B2C0000}"/>
    <cellStyle name="Normal 6 5 4 2 4" xfId="25471" xr:uid="{00000000-0005-0000-0000-00004C2C0000}"/>
    <cellStyle name="Normal 6 5 4 2 5" xfId="41775" xr:uid="{8700E618-50D7-4D58-9F5C-FB038DB2EFA1}"/>
    <cellStyle name="Normal 6 5 4 3" xfId="2535" xr:uid="{00000000-0005-0000-0000-00004D2C0000}"/>
    <cellStyle name="Normal 6 5 4 4" xfId="19508" xr:uid="{00000000-0005-0000-0000-00004E2C0000}"/>
    <cellStyle name="Normal 6 5 4 5" xfId="24369" xr:uid="{00000000-0005-0000-0000-00004F2C0000}"/>
    <cellStyle name="Normal 6 5 4 6" xfId="25114" xr:uid="{00000000-0005-0000-0000-0000502C0000}"/>
    <cellStyle name="Normal 6 5 4 7" xfId="26430" xr:uid="{00000000-0005-0000-0000-0000512C0000}"/>
    <cellStyle name="Normal 6 5 4 8" xfId="33073" xr:uid="{4D1E2D1C-E871-486F-972B-86347C641959}"/>
    <cellStyle name="Normal 6 5 5" xfId="1191" xr:uid="{00000000-0005-0000-0000-0000522C0000}"/>
    <cellStyle name="Normal 6 5 5 2" xfId="2537" xr:uid="{00000000-0005-0000-0000-0000532C0000}"/>
    <cellStyle name="Normal 6 5 5 3" xfId="23996" xr:uid="{00000000-0005-0000-0000-0000542C0000}"/>
    <cellStyle name="Normal 6 5 5 4" xfId="24568" xr:uid="{00000000-0005-0000-0000-0000552C0000}"/>
    <cellStyle name="Normal 6 5 5 5" xfId="25291" xr:uid="{00000000-0005-0000-0000-0000562C0000}"/>
    <cellStyle name="Normal 6 5 5 6" xfId="41559" xr:uid="{0B74944C-1F4F-4013-9AB3-B1F294932FB7}"/>
    <cellStyle name="Normal 6 5 6" xfId="2526" xr:uid="{00000000-0005-0000-0000-0000572C0000}"/>
    <cellStyle name="Normal 6 5 7" xfId="5395" xr:uid="{00000000-0005-0000-0000-0000582C0000}"/>
    <cellStyle name="Normal 6 5 8" xfId="24189" xr:uid="{00000000-0005-0000-0000-0000592C0000}"/>
    <cellStyle name="Normal 6 5 9" xfId="24934" xr:uid="{00000000-0005-0000-0000-00005A2C0000}"/>
    <cellStyle name="Normal 6 6" xfId="1192" xr:uid="{00000000-0005-0000-0000-00005B2C0000}"/>
    <cellStyle name="Normal 6 6 10" xfId="26159" xr:uid="{00000000-0005-0000-0000-00005C2C0000}"/>
    <cellStyle name="Normal 6 6 11" xfId="32732" xr:uid="{C4C237ED-6206-4B70-A32F-55844376903B}"/>
    <cellStyle name="Normal 6 6 2" xfId="1193" xr:uid="{00000000-0005-0000-0000-00005D2C0000}"/>
    <cellStyle name="Normal 6 6 2 2" xfId="1194" xr:uid="{00000000-0005-0000-0000-00005E2C0000}"/>
    <cellStyle name="Normal 6 6 2 2 2" xfId="1195" xr:uid="{00000000-0005-0000-0000-00005F2C0000}"/>
    <cellStyle name="Normal 6 6 2 2 2 2" xfId="2541" xr:uid="{00000000-0005-0000-0000-0000602C0000}"/>
    <cellStyle name="Normal 6 6 2 2 2 3" xfId="24867" xr:uid="{00000000-0005-0000-0000-0000612C0000}"/>
    <cellStyle name="Normal 6 6 2 2 2 4" xfId="25590" xr:uid="{00000000-0005-0000-0000-0000622C0000}"/>
    <cellStyle name="Normal 6 6 2 2 2 5" xfId="41860" xr:uid="{0D84D363-8370-4454-8796-39969BC44BF7}"/>
    <cellStyle name="Normal 6 6 2 2 3" xfId="2540" xr:uid="{00000000-0005-0000-0000-0000632C0000}"/>
    <cellStyle name="Normal 6 6 2 2 4" xfId="24488" xr:uid="{00000000-0005-0000-0000-0000642C0000}"/>
    <cellStyle name="Normal 6 6 2 2 5" xfId="25233" xr:uid="{00000000-0005-0000-0000-0000652C0000}"/>
    <cellStyle name="Normal 6 6 2 2 6" xfId="26515" xr:uid="{00000000-0005-0000-0000-0000662C0000}"/>
    <cellStyle name="Normal 6 6 2 2 7" xfId="33158" xr:uid="{4BD93497-8137-445E-854D-44DED901B236}"/>
    <cellStyle name="Normal 6 6 2 3" xfId="1196" xr:uid="{00000000-0005-0000-0000-0000672C0000}"/>
    <cellStyle name="Normal 6 6 2 3 2" xfId="2542" xr:uid="{00000000-0005-0000-0000-0000682C0000}"/>
    <cellStyle name="Normal 6 6 2 3 3" xfId="24687" xr:uid="{00000000-0005-0000-0000-0000692C0000}"/>
    <cellStyle name="Normal 6 6 2 3 4" xfId="25410" xr:uid="{00000000-0005-0000-0000-00006A2C0000}"/>
    <cellStyle name="Normal 6 6 2 3 5" xfId="41644" xr:uid="{4535585F-F3F4-4168-9A4D-5D66383648B1}"/>
    <cellStyle name="Normal 6 6 2 4" xfId="2539" xr:uid="{00000000-0005-0000-0000-00006B2C0000}"/>
    <cellStyle name="Normal 6 6 2 5" xfId="24308" xr:uid="{00000000-0005-0000-0000-00006C2C0000}"/>
    <cellStyle name="Normal 6 6 2 6" xfId="25053" xr:uid="{00000000-0005-0000-0000-00006D2C0000}"/>
    <cellStyle name="Normal 6 6 2 7" xfId="26299" xr:uid="{00000000-0005-0000-0000-00006E2C0000}"/>
    <cellStyle name="Normal 6 6 2 8" xfId="32936" xr:uid="{C2C03FC7-777F-495F-AFAC-2CFCF7B1E38C}"/>
    <cellStyle name="Normal 6 6 3" xfId="1197" xr:uid="{00000000-0005-0000-0000-00006F2C0000}"/>
    <cellStyle name="Normal 6 6 3 2" xfId="1198" xr:uid="{00000000-0005-0000-0000-0000702C0000}"/>
    <cellStyle name="Normal 6 6 3 2 2" xfId="1199" xr:uid="{00000000-0005-0000-0000-0000712C0000}"/>
    <cellStyle name="Normal 6 6 3 2 2 2" xfId="2545" xr:uid="{00000000-0005-0000-0000-0000722C0000}"/>
    <cellStyle name="Normal 6 6 3 2 2 3" xfId="41932" xr:uid="{D5D730AD-272A-426A-B04F-CC756F113D4E}"/>
    <cellStyle name="Normal 6 6 3 2 3" xfId="2544" xr:uid="{00000000-0005-0000-0000-0000732C0000}"/>
    <cellStyle name="Normal 6 6 3 2 4" xfId="24779" xr:uid="{00000000-0005-0000-0000-0000742C0000}"/>
    <cellStyle name="Normal 6 6 3 2 5" xfId="25502" xr:uid="{00000000-0005-0000-0000-0000752C0000}"/>
    <cellStyle name="Normal 6 6 3 2 6" xfId="26587" xr:uid="{00000000-0005-0000-0000-0000762C0000}"/>
    <cellStyle name="Normal 6 6 3 2 7" xfId="33230" xr:uid="{330F0E8C-D70E-403B-AEC2-2D9890345262}"/>
    <cellStyle name="Normal 6 6 3 3" xfId="1200" xr:uid="{00000000-0005-0000-0000-0000772C0000}"/>
    <cellStyle name="Normal 6 6 3 3 2" xfId="2546" xr:uid="{00000000-0005-0000-0000-0000782C0000}"/>
    <cellStyle name="Normal 6 6 3 3 3" xfId="41716" xr:uid="{2A980D87-C2DB-4C9B-9751-EA19A42B6E7A}"/>
    <cellStyle name="Normal 6 6 3 4" xfId="2543" xr:uid="{00000000-0005-0000-0000-0000792C0000}"/>
    <cellStyle name="Normal 6 6 3 5" xfId="24400" xr:uid="{00000000-0005-0000-0000-00007A2C0000}"/>
    <cellStyle name="Normal 6 6 3 6" xfId="25145" xr:uid="{00000000-0005-0000-0000-00007B2C0000}"/>
    <cellStyle name="Normal 6 6 3 7" xfId="26371" xr:uid="{00000000-0005-0000-0000-00007C2C0000}"/>
    <cellStyle name="Normal 6 6 3 8" xfId="33014" xr:uid="{9500C487-2DDB-4190-AD71-BE8CF3D8DAD5}"/>
    <cellStyle name="Normal 6 6 4" xfId="1201" xr:uid="{00000000-0005-0000-0000-00007D2C0000}"/>
    <cellStyle name="Normal 6 6 4 2" xfId="1202" xr:uid="{00000000-0005-0000-0000-00007E2C0000}"/>
    <cellStyle name="Normal 6 6 4 2 2" xfId="2548" xr:uid="{00000000-0005-0000-0000-00007F2C0000}"/>
    <cellStyle name="Normal 6 6 4 2 3" xfId="41788" xr:uid="{39B1E0A4-C567-48DC-B846-3288FAFFEBC9}"/>
    <cellStyle name="Normal 6 6 4 3" xfId="2547" xr:uid="{00000000-0005-0000-0000-0000802C0000}"/>
    <cellStyle name="Normal 6 6 4 4" xfId="24599" xr:uid="{00000000-0005-0000-0000-0000812C0000}"/>
    <cellStyle name="Normal 6 6 4 5" xfId="25322" xr:uid="{00000000-0005-0000-0000-0000822C0000}"/>
    <cellStyle name="Normal 6 6 4 6" xfId="26443" xr:uid="{00000000-0005-0000-0000-0000832C0000}"/>
    <cellStyle name="Normal 6 6 4 7" xfId="33086" xr:uid="{2EA67D35-D630-4D20-979A-B42D683D08E7}"/>
    <cellStyle name="Normal 6 6 5" xfId="1203" xr:uid="{00000000-0005-0000-0000-0000842C0000}"/>
    <cellStyle name="Normal 6 6 5 2" xfId="2549" xr:uid="{00000000-0005-0000-0000-0000852C0000}"/>
    <cellStyle name="Normal 6 6 5 3" xfId="41572" xr:uid="{8B896F72-B5E2-48AF-9C55-D12F9600B80A}"/>
    <cellStyle name="Normal 6 6 6" xfId="2538" xr:uid="{00000000-0005-0000-0000-0000862C0000}"/>
    <cellStyle name="Normal 6 6 7" xfId="5407" xr:uid="{00000000-0005-0000-0000-0000872C0000}"/>
    <cellStyle name="Normal 6 6 8" xfId="24220" xr:uid="{00000000-0005-0000-0000-0000882C0000}"/>
    <cellStyle name="Normal 6 6 9" xfId="24965" xr:uid="{00000000-0005-0000-0000-0000892C0000}"/>
    <cellStyle name="Normal 6 7" xfId="1204" xr:uid="{00000000-0005-0000-0000-00008A2C0000}"/>
    <cellStyle name="Normal 6 7 2" xfId="1205" xr:uid="{00000000-0005-0000-0000-00008B2C0000}"/>
    <cellStyle name="Normal 6 7 2 2" xfId="24823" xr:uid="{00000000-0005-0000-0000-00008C2C0000}"/>
    <cellStyle name="Normal 6 7 2 2 2" xfId="25546" xr:uid="{00000000-0005-0000-0000-00008D2C0000}"/>
    <cellStyle name="Normal 6 7 2 3" xfId="24444" xr:uid="{00000000-0005-0000-0000-00008E2C0000}"/>
    <cellStyle name="Normal 6 7 2 4" xfId="25189" xr:uid="{00000000-0005-0000-0000-00008F2C0000}"/>
    <cellStyle name="Normal 6 7 3" xfId="2550" xr:uid="{00000000-0005-0000-0000-0000902C0000}"/>
    <cellStyle name="Normal 6 7 3 2" xfId="24643" xr:uid="{00000000-0005-0000-0000-0000912C0000}"/>
    <cellStyle name="Normal 6 7 3 3" xfId="25366" xr:uid="{00000000-0005-0000-0000-0000922C0000}"/>
    <cellStyle name="Normal 6 7 4" xfId="7704" xr:uid="{00000000-0005-0000-0000-0000932C0000}"/>
    <cellStyle name="Normal 6 7 5" xfId="24264" xr:uid="{00000000-0005-0000-0000-0000942C0000}"/>
    <cellStyle name="Normal 6 7 6" xfId="25009" xr:uid="{00000000-0005-0000-0000-0000952C0000}"/>
    <cellStyle name="Normal 6 8" xfId="1206" xr:uid="{00000000-0005-0000-0000-0000962C0000}"/>
    <cellStyle name="Normal 6 8 10" xfId="26254" xr:uid="{00000000-0005-0000-0000-0000972C0000}"/>
    <cellStyle name="Normal 6 8 11" xfId="32870" xr:uid="{35EC583E-8C63-43FB-8DC5-0E4E9620F3BE}"/>
    <cellStyle name="Normal 6 8 2" xfId="1207" xr:uid="{00000000-0005-0000-0000-0000982C0000}"/>
    <cellStyle name="Normal 6 8 2 2" xfId="1208" xr:uid="{00000000-0005-0000-0000-0000992C0000}"/>
    <cellStyle name="Normal 6 8 2 2 2" xfId="1209" xr:uid="{00000000-0005-0000-0000-00009A2C0000}"/>
    <cellStyle name="Normal 6 8 2 2 2 2" xfId="2554" xr:uid="{00000000-0005-0000-0000-00009B2C0000}"/>
    <cellStyle name="Normal 6 8 2 2 2 3" xfId="41887" xr:uid="{C8108D20-E2D0-4271-A2F4-51888B034472}"/>
    <cellStyle name="Normal 6 8 2 2 3" xfId="2553" xr:uid="{00000000-0005-0000-0000-00009C2C0000}"/>
    <cellStyle name="Normal 6 8 2 2 4" xfId="26542" xr:uid="{00000000-0005-0000-0000-00009D2C0000}"/>
    <cellStyle name="Normal 6 8 2 2 5" xfId="33185" xr:uid="{75DBF481-330C-4578-8E0B-932F83892D91}"/>
    <cellStyle name="Normal 6 8 2 3" xfId="1210" xr:uid="{00000000-0005-0000-0000-00009E2C0000}"/>
    <cellStyle name="Normal 6 8 2 3 2" xfId="2555" xr:uid="{00000000-0005-0000-0000-00009F2C0000}"/>
    <cellStyle name="Normal 6 8 2 3 3" xfId="41671" xr:uid="{E8C5AC25-41A8-4F95-9FEA-A068F262387C}"/>
    <cellStyle name="Normal 6 8 2 4" xfId="2552" xr:uid="{00000000-0005-0000-0000-0000A02C0000}"/>
    <cellStyle name="Normal 6 8 2 5" xfId="24733" xr:uid="{00000000-0005-0000-0000-0000A12C0000}"/>
    <cellStyle name="Normal 6 8 2 6" xfId="25456" xr:uid="{00000000-0005-0000-0000-0000A22C0000}"/>
    <cellStyle name="Normal 6 8 2 7" xfId="26326" xr:uid="{00000000-0005-0000-0000-0000A32C0000}"/>
    <cellStyle name="Normal 6 8 2 8" xfId="32969" xr:uid="{D653D7A0-8BB8-4112-A664-DB195E5DD1E7}"/>
    <cellStyle name="Normal 6 8 3" xfId="1211" xr:uid="{00000000-0005-0000-0000-0000A42C0000}"/>
    <cellStyle name="Normal 6 8 3 2" xfId="1212" xr:uid="{00000000-0005-0000-0000-0000A52C0000}"/>
    <cellStyle name="Normal 6 8 3 2 2" xfId="1213" xr:uid="{00000000-0005-0000-0000-0000A62C0000}"/>
    <cellStyle name="Normal 6 8 3 2 2 2" xfId="2558" xr:uid="{00000000-0005-0000-0000-0000A72C0000}"/>
    <cellStyle name="Normal 6 8 3 2 2 3" xfId="41959" xr:uid="{7C39C155-FCE4-4028-B5D0-7C5285DCAAF5}"/>
    <cellStyle name="Normal 6 8 3 2 3" xfId="2557" xr:uid="{00000000-0005-0000-0000-0000A82C0000}"/>
    <cellStyle name="Normal 6 8 3 2 4" xfId="26614" xr:uid="{00000000-0005-0000-0000-0000A92C0000}"/>
    <cellStyle name="Normal 6 8 3 2 5" xfId="33257" xr:uid="{2B919B10-BC61-4A45-912D-34F97D67E5A7}"/>
    <cellStyle name="Normal 6 8 3 3" xfId="1214" xr:uid="{00000000-0005-0000-0000-0000AA2C0000}"/>
    <cellStyle name="Normal 6 8 3 3 2" xfId="2559" xr:uid="{00000000-0005-0000-0000-0000AB2C0000}"/>
    <cellStyle name="Normal 6 8 3 3 3" xfId="41743" xr:uid="{5DC70888-4F88-49DB-A68F-2986B49A9FD3}"/>
    <cellStyle name="Normal 6 8 3 4" xfId="2556" xr:uid="{00000000-0005-0000-0000-0000AC2C0000}"/>
    <cellStyle name="Normal 6 8 3 5" xfId="26398" xr:uid="{00000000-0005-0000-0000-0000AD2C0000}"/>
    <cellStyle name="Normal 6 8 3 6" xfId="33041" xr:uid="{37E04FD1-2486-4B6C-BC0B-5EB4AC702183}"/>
    <cellStyle name="Normal 6 8 4" xfId="1215" xr:uid="{00000000-0005-0000-0000-0000AE2C0000}"/>
    <cellStyle name="Normal 6 8 4 2" xfId="1216" xr:uid="{00000000-0005-0000-0000-0000AF2C0000}"/>
    <cellStyle name="Normal 6 8 4 2 2" xfId="2561" xr:uid="{00000000-0005-0000-0000-0000B02C0000}"/>
    <cellStyle name="Normal 6 8 4 2 3" xfId="41815" xr:uid="{24C77E78-5E7E-47DC-88C2-BA45807A5E7A}"/>
    <cellStyle name="Normal 6 8 4 3" xfId="2560" xr:uid="{00000000-0005-0000-0000-0000B12C0000}"/>
    <cellStyle name="Normal 6 8 4 4" xfId="26470" xr:uid="{00000000-0005-0000-0000-0000B22C0000}"/>
    <cellStyle name="Normal 6 8 4 5" xfId="33113" xr:uid="{4C281166-6317-49AC-B959-7DD02D3EB178}"/>
    <cellStyle name="Normal 6 8 5" xfId="1217" xr:uid="{00000000-0005-0000-0000-0000B32C0000}"/>
    <cellStyle name="Normal 6 8 5 2" xfId="2562" xr:uid="{00000000-0005-0000-0000-0000B42C0000}"/>
    <cellStyle name="Normal 6 8 5 3" xfId="41599" xr:uid="{57206784-1A67-41DB-B6DD-72423E6773E3}"/>
    <cellStyle name="Normal 6 8 6" xfId="2551" xr:uid="{00000000-0005-0000-0000-0000B52C0000}"/>
    <cellStyle name="Normal 6 8 7" xfId="14579" xr:uid="{00000000-0005-0000-0000-0000B62C0000}"/>
    <cellStyle name="Normal 6 8 8" xfId="24354" xr:uid="{00000000-0005-0000-0000-0000B72C0000}"/>
    <cellStyle name="Normal 6 8 9" xfId="25099" xr:uid="{00000000-0005-0000-0000-0000B82C0000}"/>
    <cellStyle name="Normal 6 9" xfId="1218" xr:uid="{00000000-0005-0000-0000-0000B92C0000}"/>
    <cellStyle name="Normal 6 9 2" xfId="1219" xr:uid="{00000000-0005-0000-0000-0000BA2C0000}"/>
    <cellStyle name="Normal 6 9 2 2" xfId="1220" xr:uid="{00000000-0005-0000-0000-0000BB2C0000}"/>
    <cellStyle name="Normal 6 9 2 2 2" xfId="2565" xr:uid="{00000000-0005-0000-0000-0000BC2C0000}"/>
    <cellStyle name="Normal 6 9 2 2 3" xfId="41834" xr:uid="{D71D0B7A-0FB7-49FA-A6CE-12DCD1A6A9F4}"/>
    <cellStyle name="Normal 6 9 2 3" xfId="2564" xr:uid="{00000000-0005-0000-0000-0000BD2C0000}"/>
    <cellStyle name="Normal 6 9 2 4" xfId="26489" xr:uid="{00000000-0005-0000-0000-0000BE2C0000}"/>
    <cellStyle name="Normal 6 9 2 5" xfId="33132" xr:uid="{F6902293-5B9A-47BE-8808-C3735CFC4739}"/>
    <cellStyle name="Normal 6 9 3" xfId="1221" xr:uid="{00000000-0005-0000-0000-0000BF2C0000}"/>
    <cellStyle name="Normal 6 9 3 2" xfId="2566" xr:uid="{00000000-0005-0000-0000-0000C02C0000}"/>
    <cellStyle name="Normal 6 9 3 3" xfId="41618" xr:uid="{F6E5BDB7-0AB6-4832-A0F6-8CF91CAE1F63}"/>
    <cellStyle name="Normal 6 9 4" xfId="2563" xr:uid="{00000000-0005-0000-0000-0000C12C0000}"/>
    <cellStyle name="Normal 6 9 5" xfId="19275" xr:uid="{00000000-0005-0000-0000-0000C22C0000}"/>
    <cellStyle name="Normal 6 9 6" xfId="24555" xr:uid="{00000000-0005-0000-0000-0000C32C0000}"/>
    <cellStyle name="Normal 6 9 7" xfId="25278" xr:uid="{00000000-0005-0000-0000-0000C42C0000}"/>
    <cellStyle name="Normal 6 9 8" xfId="26273" xr:uid="{00000000-0005-0000-0000-0000C52C0000}"/>
    <cellStyle name="Normal 6 9 9" xfId="32909" xr:uid="{140B589B-3184-488F-8718-D697424E2C18}"/>
    <cellStyle name="Normal 60" xfId="1222" xr:uid="{00000000-0005-0000-0000-0000C62C0000}"/>
    <cellStyle name="Normal 60 2" xfId="2567" xr:uid="{00000000-0005-0000-0000-0000C72C0000}"/>
    <cellStyle name="Normal 61" xfId="1223" xr:uid="{00000000-0005-0000-0000-0000C82C0000}"/>
    <cellStyle name="Normal 61 2" xfId="2568" xr:uid="{00000000-0005-0000-0000-0000C92C0000}"/>
    <cellStyle name="Normal 62" xfId="1224" xr:uid="{00000000-0005-0000-0000-0000CA2C0000}"/>
    <cellStyle name="Normal 62 2" xfId="2569" xr:uid="{00000000-0005-0000-0000-0000CB2C0000}"/>
    <cellStyle name="Normal 63" xfId="1225" xr:uid="{00000000-0005-0000-0000-0000CC2C0000}"/>
    <cellStyle name="Normal 63 2" xfId="2570" xr:uid="{00000000-0005-0000-0000-0000CD2C0000}"/>
    <cellStyle name="Normal 64" xfId="1226" xr:uid="{00000000-0005-0000-0000-0000CE2C0000}"/>
    <cellStyle name="Normal 64 2" xfId="2571" xr:uid="{00000000-0005-0000-0000-0000CF2C0000}"/>
    <cellStyle name="Normal 65" xfId="1227" xr:uid="{00000000-0005-0000-0000-0000D02C0000}"/>
    <cellStyle name="Normal 65 2" xfId="2572" xr:uid="{00000000-0005-0000-0000-0000D12C0000}"/>
    <cellStyle name="Normal 66" xfId="1228" xr:uid="{00000000-0005-0000-0000-0000D22C0000}"/>
    <cellStyle name="Normal 66 2" xfId="2573" xr:uid="{00000000-0005-0000-0000-0000D32C0000}"/>
    <cellStyle name="Normal 67" xfId="1229" xr:uid="{00000000-0005-0000-0000-0000D42C0000}"/>
    <cellStyle name="Normal 67 2" xfId="2574" xr:uid="{00000000-0005-0000-0000-0000D52C0000}"/>
    <cellStyle name="Normal 68" xfId="1230" xr:uid="{00000000-0005-0000-0000-0000D62C0000}"/>
    <cellStyle name="Normal 68 2" xfId="1759" xr:uid="{00000000-0005-0000-0000-0000D72C0000}"/>
    <cellStyle name="Normal 68 3" xfId="2575" xr:uid="{00000000-0005-0000-0000-0000D82C0000}"/>
    <cellStyle name="Normal 69" xfId="1231" xr:uid="{00000000-0005-0000-0000-0000D92C0000}"/>
    <cellStyle name="Normal 69 2" xfId="2576" xr:uid="{00000000-0005-0000-0000-0000DA2C0000}"/>
    <cellStyle name="Normal 69 2 2" xfId="32563" xr:uid="{3BFC6188-8F48-48E0-99D8-826DDE859815}"/>
    <cellStyle name="Normal 69 2 2 2" xfId="32538" xr:uid="{74635EAB-0A7C-453A-9707-BFA96506BA85}"/>
    <cellStyle name="Normal 69 2 2 2 2 2" xfId="32544" xr:uid="{14C046F9-48B9-4445-A20F-B73558CC1303}"/>
    <cellStyle name="Normal 69 2 2 2 2 3" xfId="32549" xr:uid="{11ACACEB-01AE-4780-98E9-580E894FB5FA}"/>
    <cellStyle name="Normal 69 3 2" xfId="41981" xr:uid="{1AC5DEAF-5520-4371-B47F-6ABA0A48D8DE}"/>
    <cellStyle name="Normal 69 3 2 2" xfId="32551" xr:uid="{521246DF-EDD5-4E7F-8411-7A3B0E07E9BF}"/>
    <cellStyle name="Normal 69 3 2 3" xfId="32564" xr:uid="{65074E64-D0B1-4794-9861-5ACFB6DA06EF}"/>
    <cellStyle name="Normal 7" xfId="1232" xr:uid="{00000000-0005-0000-0000-0000DB2C0000}"/>
    <cellStyle name="Normal 7 10" xfId="32576" xr:uid="{03221FEF-1201-48C0-8B66-F33C557CEAF5}"/>
    <cellStyle name="Normal 7 11" xfId="32693" xr:uid="{FC787E71-A40F-4B5C-A2C3-60F19B2446AE}"/>
    <cellStyle name="Normal 7 2" xfId="1233" xr:uid="{00000000-0005-0000-0000-0000DC2C0000}"/>
    <cellStyle name="Normal 7 2 2" xfId="1234" xr:uid="{00000000-0005-0000-0000-0000DD2C0000}"/>
    <cellStyle name="Normal 7 2 2 2" xfId="5268" xr:uid="{00000000-0005-0000-0000-0000DE2C0000}"/>
    <cellStyle name="Normal 7 2 2 2 2" xfId="5273" xr:uid="{00000000-0005-0000-0000-0000DF2C0000}"/>
    <cellStyle name="Normal 7 2 2 2 2 2" xfId="5275" xr:uid="{00000000-0005-0000-0000-0000E02C0000}"/>
    <cellStyle name="Normal 7 2 2 2 2 2 2" xfId="7815" xr:uid="{00000000-0005-0000-0000-0000E12C0000}"/>
    <cellStyle name="Normal 7 2 2 2 2 2 3" xfId="14689" xr:uid="{00000000-0005-0000-0000-0000E22C0000}"/>
    <cellStyle name="Normal 7 2 2 2 2 2 4" xfId="19385" xr:uid="{00000000-0005-0000-0000-0000E32C0000}"/>
    <cellStyle name="Normal 7 2 2 2 2 2 5" xfId="23876" xr:uid="{00000000-0005-0000-0000-0000E42C0000}"/>
    <cellStyle name="Normal 7 2 2 2 2 3" xfId="7813" xr:uid="{00000000-0005-0000-0000-0000E52C0000}"/>
    <cellStyle name="Normal 7 2 2 2 2 4" xfId="14687" xr:uid="{00000000-0005-0000-0000-0000E62C0000}"/>
    <cellStyle name="Normal 7 2 2 2 2 5" xfId="19383" xr:uid="{00000000-0005-0000-0000-0000E72C0000}"/>
    <cellStyle name="Normal 7 2 2 2 2 6" xfId="23874" xr:uid="{00000000-0005-0000-0000-0000E82C0000}"/>
    <cellStyle name="Normal 7 2 2 2 2 7" xfId="41292" xr:uid="{F094FEFD-B20E-4BC5-8639-8F371175695C}"/>
    <cellStyle name="Normal 7 2 2 2 3" xfId="7808" xr:uid="{00000000-0005-0000-0000-0000E92C0000}"/>
    <cellStyle name="Normal 7 2 2 2 3 2" xfId="41293" xr:uid="{3FA75CC0-6600-48A2-B401-37DD44B11D3A}"/>
    <cellStyle name="Normal 7 2 2 2 4" xfId="14682" xr:uid="{00000000-0005-0000-0000-0000EA2C0000}"/>
    <cellStyle name="Normal 7 2 2 2 5" xfId="19378" xr:uid="{00000000-0005-0000-0000-0000EB2C0000}"/>
    <cellStyle name="Normal 7 2 2 2 6" xfId="23869" xr:uid="{00000000-0005-0000-0000-0000EC2C0000}"/>
    <cellStyle name="Normal 7 2 2 2 7" xfId="41291" xr:uid="{C8C88E85-DFAF-4D64-AECA-9C4B6050193D}"/>
    <cellStyle name="Normal 7 2 2 3" xfId="7810" xr:uid="{00000000-0005-0000-0000-0000ED2C0000}"/>
    <cellStyle name="Normal 7 2 2 3 2" xfId="41294" xr:uid="{1EB6F029-A087-48A2-BFF8-CB69245CAEC2}"/>
    <cellStyle name="Normal 7 2 2 4" xfId="14684" xr:uid="{00000000-0005-0000-0000-0000EE2C0000}"/>
    <cellStyle name="Normal 7 2 2 4 2" xfId="41295" xr:uid="{1928A39D-2719-4F72-A06A-597E43113AAE}"/>
    <cellStyle name="Normal 7 2 2 5" xfId="19380" xr:uid="{00000000-0005-0000-0000-0000EF2C0000}"/>
    <cellStyle name="Normal 7 2 2 5 2" xfId="41296" xr:uid="{4766636E-1AF6-4C4E-913B-B60276F2D532}"/>
    <cellStyle name="Normal 7 2 2 6" xfId="23871" xr:uid="{00000000-0005-0000-0000-0000F02C0000}"/>
    <cellStyle name="Normal 7 2 2 7" xfId="5270" xr:uid="{00000000-0005-0000-0000-0000F12C0000}"/>
    <cellStyle name="Normal 7 2 2 8" xfId="41290" xr:uid="{3F7298B2-A2F8-464A-923D-B666D1C81DFE}"/>
    <cellStyle name="Normal 7 2 3" xfId="7709" xr:uid="{00000000-0005-0000-0000-0000F22C0000}"/>
    <cellStyle name="Normal 7 2 3 2" xfId="26171" xr:uid="{00000000-0005-0000-0000-0000F32C0000}"/>
    <cellStyle name="Normal 7 2 4" xfId="14584" xr:uid="{00000000-0005-0000-0000-0000F42C0000}"/>
    <cellStyle name="Normal 7 2 5" xfId="19280" xr:uid="{00000000-0005-0000-0000-0000F52C0000}"/>
    <cellStyle name="Normal 7 2 6" xfId="23776" xr:uid="{00000000-0005-0000-0000-0000F62C0000}"/>
    <cellStyle name="Normal 7 2 7" xfId="24134" xr:uid="{00000000-0005-0000-0000-0000F72C0000}"/>
    <cellStyle name="Normal 7 2 8" xfId="5170" xr:uid="{00000000-0005-0000-0000-0000F82C0000}"/>
    <cellStyle name="Normal 7 2 9" xfId="26085" xr:uid="{00000000-0005-0000-0000-0000F92C0000}"/>
    <cellStyle name="Normal 7 3" xfId="1760" xr:uid="{00000000-0005-0000-0000-0000FA2C0000}"/>
    <cellStyle name="Normal 7 3 2" xfId="2857" xr:uid="{00000000-0005-0000-0000-0000FB2C0000}"/>
    <cellStyle name="Normal 7 3 2 2" xfId="41299" xr:uid="{F9BBB1C0-390D-410A-BDE5-381FC755A0C6}"/>
    <cellStyle name="Normal 7 3 2 3" xfId="41300" xr:uid="{3401B5B7-1230-467C-8B83-96E9308E5FBB}"/>
    <cellStyle name="Normal 7 3 2 4" xfId="41298" xr:uid="{4DE920B8-B699-47B4-9DA7-29D50279BE99}"/>
    <cellStyle name="Normal 7 3 3" xfId="5408" xr:uid="{00000000-0005-0000-0000-0000FC2C0000}"/>
    <cellStyle name="Normal 7 3 3 2" xfId="41301" xr:uid="{AC8B004A-EA5B-49BA-8A0D-47C319A2B6D3}"/>
    <cellStyle name="Normal 7 3 4" xfId="41302" xr:uid="{DC310F94-9872-4820-AED0-2A7B3531EC36}"/>
    <cellStyle name="Normal 7 3 5" xfId="41303" xr:uid="{7BE9982D-141A-4DB2-A6CE-735785961C11}"/>
    <cellStyle name="Normal 7 3 6" xfId="41297" xr:uid="{D06B5471-ADE5-4DFC-A22F-07D53F25A7F9}"/>
    <cellStyle name="Normal 7 4" xfId="1782" xr:uid="{00000000-0005-0000-0000-0000FD2C0000}"/>
    <cellStyle name="Normal 7 4 2" xfId="2878" xr:uid="{00000000-0005-0000-0000-0000FE2C0000}"/>
    <cellStyle name="Normal 7 4 3" xfId="7706" xr:uid="{00000000-0005-0000-0000-0000FF2C0000}"/>
    <cellStyle name="Normal 7 4 4" xfId="41304" xr:uid="{9630527D-AB09-4353-844E-CB5912A280DB}"/>
    <cellStyle name="Normal 7 4 5" xfId="42201" xr:uid="{F47CEF04-BF34-4FB1-B39B-B8DABA3DA807}"/>
    <cellStyle name="Normal 7 5" xfId="2577" xr:uid="{00000000-0005-0000-0000-0000002D0000}"/>
    <cellStyle name="Normal 7 5 2" xfId="14581" xr:uid="{00000000-0005-0000-0000-0000012D0000}"/>
    <cellStyle name="Normal 7 5 3" xfId="26135" xr:uid="{00000000-0005-0000-0000-0000022D0000}"/>
    <cellStyle name="Normal 7 6" xfId="19277" xr:uid="{00000000-0005-0000-0000-0000032D0000}"/>
    <cellStyle name="Normal 7 7" xfId="23773" xr:uid="{00000000-0005-0000-0000-0000042D0000}"/>
    <cellStyle name="Normal 7 8" xfId="24132" xr:uid="{00000000-0005-0000-0000-0000052D0000}"/>
    <cellStyle name="Normal 7 9" xfId="5167" xr:uid="{00000000-0005-0000-0000-0000062D0000}"/>
    <cellStyle name="Normal 70" xfId="1235" xr:uid="{00000000-0005-0000-0000-0000072D0000}"/>
    <cellStyle name="Normal 70 2" xfId="2578" xr:uid="{00000000-0005-0000-0000-0000082D0000}"/>
    <cellStyle name="Normal 71" xfId="1236" xr:uid="{00000000-0005-0000-0000-0000092D0000}"/>
    <cellStyle name="Normal 71 2" xfId="2579" xr:uid="{00000000-0005-0000-0000-00000A2D0000}"/>
    <cellStyle name="Normal 72" xfId="1237" xr:uid="{00000000-0005-0000-0000-00000B2D0000}"/>
    <cellStyle name="Normal 72 2" xfId="2580" xr:uid="{00000000-0005-0000-0000-00000C2D0000}"/>
    <cellStyle name="Normal 73" xfId="1238" xr:uid="{00000000-0005-0000-0000-00000D2D0000}"/>
    <cellStyle name="Normal 73 2" xfId="2581" xr:uid="{00000000-0005-0000-0000-00000E2D0000}"/>
    <cellStyle name="Normal 74" xfId="1239" xr:uid="{00000000-0005-0000-0000-00000F2D0000}"/>
    <cellStyle name="Normal 74 2" xfId="2582" xr:uid="{00000000-0005-0000-0000-0000102D0000}"/>
    <cellStyle name="Normal 75" xfId="1240" xr:uid="{00000000-0005-0000-0000-0000112D0000}"/>
    <cellStyle name="Normal 75 2" xfId="2583" xr:uid="{00000000-0005-0000-0000-0000122D0000}"/>
    <cellStyle name="Normal 76" xfId="1241" xr:uid="{00000000-0005-0000-0000-0000132D0000}"/>
    <cellStyle name="Normal 76 2" xfId="2584" xr:uid="{00000000-0005-0000-0000-0000142D0000}"/>
    <cellStyle name="Normal 76 3" xfId="26068" xr:uid="{00000000-0005-0000-0000-0000152D0000}"/>
    <cellStyle name="Normal 77" xfId="1242" xr:uid="{00000000-0005-0000-0000-0000162D0000}"/>
    <cellStyle name="Normal 77 2" xfId="2585" xr:uid="{00000000-0005-0000-0000-0000172D0000}"/>
    <cellStyle name="Normal 78" xfId="1243" xr:uid="{00000000-0005-0000-0000-0000182D0000}"/>
    <cellStyle name="Normal 78 2" xfId="2586" xr:uid="{00000000-0005-0000-0000-0000192D0000}"/>
    <cellStyle name="Normal 79" xfId="1244" xr:uid="{00000000-0005-0000-0000-00001A2D0000}"/>
    <cellStyle name="Normal 8" xfId="1245" xr:uid="{00000000-0005-0000-0000-00001B2D0000}"/>
    <cellStyle name="Normal 8 10" xfId="1246" xr:uid="{00000000-0005-0000-0000-00001C2D0000}"/>
    <cellStyle name="Normal 8 10 2" xfId="1247" xr:uid="{00000000-0005-0000-0000-00001D2D0000}"/>
    <cellStyle name="Normal 8 11" xfId="1248" xr:uid="{00000000-0005-0000-0000-00001E2D0000}"/>
    <cellStyle name="Normal 8 12" xfId="1249" xr:uid="{00000000-0005-0000-0000-00001F2D0000}"/>
    <cellStyle name="Normal 8 13" xfId="1250" xr:uid="{00000000-0005-0000-0000-0000202D0000}"/>
    <cellStyle name="Normal 8 13 2" xfId="1251" xr:uid="{00000000-0005-0000-0000-0000212D0000}"/>
    <cellStyle name="Normal 8 13 2 2" xfId="1252" xr:uid="{00000000-0005-0000-0000-0000222D0000}"/>
    <cellStyle name="Normal 8 13 2 2 2" xfId="1253" xr:uid="{00000000-0005-0000-0000-0000232D0000}"/>
    <cellStyle name="Normal 8 13 2 2 2 2" xfId="2590" xr:uid="{00000000-0005-0000-0000-0000242D0000}"/>
    <cellStyle name="Normal 8 13 2 2 2 3" xfId="41895" xr:uid="{2C9130CB-5B2D-4182-BF15-0D951F78C66A}"/>
    <cellStyle name="Normal 8 13 2 2 3" xfId="2589" xr:uid="{00000000-0005-0000-0000-0000252D0000}"/>
    <cellStyle name="Normal 8 13 2 2 4" xfId="26550" xr:uid="{00000000-0005-0000-0000-0000262D0000}"/>
    <cellStyle name="Normal 8 13 2 2 5" xfId="33193" xr:uid="{BCB43A06-C6E2-4177-9A93-133A3FD67511}"/>
    <cellStyle name="Normal 8 13 2 3" xfId="1254" xr:uid="{00000000-0005-0000-0000-0000272D0000}"/>
    <cellStyle name="Normal 8 13 2 3 2" xfId="2591" xr:uid="{00000000-0005-0000-0000-0000282D0000}"/>
    <cellStyle name="Normal 8 13 2 3 3" xfId="41679" xr:uid="{93790FE1-47C0-472F-912D-B1DD20DB9D14}"/>
    <cellStyle name="Normal 8 13 2 4" xfId="2588" xr:uid="{00000000-0005-0000-0000-0000292D0000}"/>
    <cellStyle name="Normal 8 13 2 5" xfId="26334" xr:uid="{00000000-0005-0000-0000-00002A2D0000}"/>
    <cellStyle name="Normal 8 13 2 6" xfId="32977" xr:uid="{9D3B897C-D065-4BDC-BEAE-55A355B99FCC}"/>
    <cellStyle name="Normal 8 13 3" xfId="1255" xr:uid="{00000000-0005-0000-0000-00002B2D0000}"/>
    <cellStyle name="Normal 8 13 3 2" xfId="1256" xr:uid="{00000000-0005-0000-0000-00002C2D0000}"/>
    <cellStyle name="Normal 8 13 3 2 2" xfId="1257" xr:uid="{00000000-0005-0000-0000-00002D2D0000}"/>
    <cellStyle name="Normal 8 13 3 2 2 2" xfId="2594" xr:uid="{00000000-0005-0000-0000-00002E2D0000}"/>
    <cellStyle name="Normal 8 13 3 2 2 3" xfId="41967" xr:uid="{97778F43-B361-4DE3-8603-3222079DF72F}"/>
    <cellStyle name="Normal 8 13 3 2 3" xfId="2593" xr:uid="{00000000-0005-0000-0000-00002F2D0000}"/>
    <cellStyle name="Normal 8 13 3 2 4" xfId="26622" xr:uid="{00000000-0005-0000-0000-0000302D0000}"/>
    <cellStyle name="Normal 8 13 3 2 5" xfId="33265" xr:uid="{B9B97A08-A544-420E-B564-1F5AD061266B}"/>
    <cellStyle name="Normal 8 13 3 3" xfId="1258" xr:uid="{00000000-0005-0000-0000-0000312D0000}"/>
    <cellStyle name="Normal 8 13 3 3 2" xfId="2595" xr:uid="{00000000-0005-0000-0000-0000322D0000}"/>
    <cellStyle name="Normal 8 13 3 3 3" xfId="41751" xr:uid="{E2850C5C-681B-498F-9F68-F04DA1F2831C}"/>
    <cellStyle name="Normal 8 13 3 4" xfId="2592" xr:uid="{00000000-0005-0000-0000-0000332D0000}"/>
    <cellStyle name="Normal 8 13 3 5" xfId="26406" xr:uid="{00000000-0005-0000-0000-0000342D0000}"/>
    <cellStyle name="Normal 8 13 3 6" xfId="33049" xr:uid="{BFB168C8-473E-45BD-9094-1630B8EB7B2F}"/>
    <cellStyle name="Normal 8 13 4" xfId="1259" xr:uid="{00000000-0005-0000-0000-0000352D0000}"/>
    <cellStyle name="Normal 8 13 4 2" xfId="1260" xr:uid="{00000000-0005-0000-0000-0000362D0000}"/>
    <cellStyle name="Normal 8 13 4 2 2" xfId="2597" xr:uid="{00000000-0005-0000-0000-0000372D0000}"/>
    <cellStyle name="Normal 8 13 4 2 3" xfId="41823" xr:uid="{649242AF-FFF8-43B2-A07C-E3B07C5A37DC}"/>
    <cellStyle name="Normal 8 13 4 3" xfId="2596" xr:uid="{00000000-0005-0000-0000-0000382D0000}"/>
    <cellStyle name="Normal 8 13 4 4" xfId="26478" xr:uid="{00000000-0005-0000-0000-0000392D0000}"/>
    <cellStyle name="Normal 8 13 4 5" xfId="33121" xr:uid="{38A3186D-0196-452F-9D69-1E01C517A75B}"/>
    <cellStyle name="Normal 8 13 5" xfId="1261" xr:uid="{00000000-0005-0000-0000-00003A2D0000}"/>
    <cellStyle name="Normal 8 13 5 2" xfId="2598" xr:uid="{00000000-0005-0000-0000-00003B2D0000}"/>
    <cellStyle name="Normal 8 13 5 3" xfId="41607" xr:uid="{BE70BADB-959F-4C02-A3DB-5D9529F81A19}"/>
    <cellStyle name="Normal 8 13 6" xfId="2587" xr:uid="{00000000-0005-0000-0000-00003C2D0000}"/>
    <cellStyle name="Normal 8 13 7" xfId="26262" xr:uid="{00000000-0005-0000-0000-00003D2D0000}"/>
    <cellStyle name="Normal 8 13 8" xfId="32878" xr:uid="{880E85C1-B85B-4AA8-8D73-9A59E90FE33D}"/>
    <cellStyle name="Normal 8 14" xfId="1262" xr:uid="{00000000-0005-0000-0000-00003E2D0000}"/>
    <cellStyle name="Normal 8 14 2" xfId="1263" xr:uid="{00000000-0005-0000-0000-00003F2D0000}"/>
    <cellStyle name="Normal 8 14 2 2" xfId="1264" xr:uid="{00000000-0005-0000-0000-0000402D0000}"/>
    <cellStyle name="Normal 8 14 2 2 2" xfId="2601" xr:uid="{00000000-0005-0000-0000-0000412D0000}"/>
    <cellStyle name="Normal 8 14 2 2 3" xfId="41842" xr:uid="{06D6A08D-47AE-455B-B2C2-1FD02C223C91}"/>
    <cellStyle name="Normal 8 14 2 3" xfId="2600" xr:uid="{00000000-0005-0000-0000-0000422D0000}"/>
    <cellStyle name="Normal 8 14 2 4" xfId="26497" xr:uid="{00000000-0005-0000-0000-0000432D0000}"/>
    <cellStyle name="Normal 8 14 2 5" xfId="33140" xr:uid="{08A5DB37-3A94-4A70-ADF5-56756CEFDF6C}"/>
    <cellStyle name="Normal 8 14 3" xfId="1265" xr:uid="{00000000-0005-0000-0000-0000442D0000}"/>
    <cellStyle name="Normal 8 14 3 2" xfId="2602" xr:uid="{00000000-0005-0000-0000-0000452D0000}"/>
    <cellStyle name="Normal 8 14 3 3" xfId="41626" xr:uid="{28FAB511-C079-45B0-A6BE-16CC5D433D0D}"/>
    <cellStyle name="Normal 8 14 4" xfId="2599" xr:uid="{00000000-0005-0000-0000-0000462D0000}"/>
    <cellStyle name="Normal 8 14 5" xfId="26281" xr:uid="{00000000-0005-0000-0000-0000472D0000}"/>
    <cellStyle name="Normal 8 14 6" xfId="32917" xr:uid="{9CAAA1A2-279F-42CA-93CA-1AD1D1D90B63}"/>
    <cellStyle name="Normal 8 15" xfId="1266" xr:uid="{00000000-0005-0000-0000-0000482D0000}"/>
    <cellStyle name="Normal 8 15 2" xfId="1267" xr:uid="{00000000-0005-0000-0000-0000492D0000}"/>
    <cellStyle name="Normal 8 15 2 2" xfId="1268" xr:uid="{00000000-0005-0000-0000-00004A2D0000}"/>
    <cellStyle name="Normal 8 15 2 2 2" xfId="2605" xr:uid="{00000000-0005-0000-0000-00004B2D0000}"/>
    <cellStyle name="Normal 8 15 2 2 3" xfId="41914" xr:uid="{18B0B70D-5A4F-48B8-B1DA-E536631B42D5}"/>
    <cellStyle name="Normal 8 15 2 3" xfId="2604" xr:uid="{00000000-0005-0000-0000-00004C2D0000}"/>
    <cellStyle name="Normal 8 15 2 4" xfId="26569" xr:uid="{00000000-0005-0000-0000-00004D2D0000}"/>
    <cellStyle name="Normal 8 15 2 5" xfId="33212" xr:uid="{812AFDD3-3C34-482B-8BFB-44D4E02FCDE2}"/>
    <cellStyle name="Normal 8 15 3" xfId="1269" xr:uid="{00000000-0005-0000-0000-00004E2D0000}"/>
    <cellStyle name="Normal 8 15 3 2" xfId="2606" xr:uid="{00000000-0005-0000-0000-00004F2D0000}"/>
    <cellStyle name="Normal 8 15 3 3" xfId="41698" xr:uid="{67F5C17A-8A86-43E3-AA50-F1F9E113ED9B}"/>
    <cellStyle name="Normal 8 15 4" xfId="2603" xr:uid="{00000000-0005-0000-0000-0000502D0000}"/>
    <cellStyle name="Normal 8 15 5" xfId="26353" xr:uid="{00000000-0005-0000-0000-0000512D0000}"/>
    <cellStyle name="Normal 8 15 6" xfId="32996" xr:uid="{95BFF8A7-48AB-4F41-82B3-F26F22259937}"/>
    <cellStyle name="Normal 8 16" xfId="1270" xr:uid="{00000000-0005-0000-0000-0000522D0000}"/>
    <cellStyle name="Normal 8 16 2" xfId="1271" xr:uid="{00000000-0005-0000-0000-0000532D0000}"/>
    <cellStyle name="Normal 8 16 2 2" xfId="2608" xr:uid="{00000000-0005-0000-0000-0000542D0000}"/>
    <cellStyle name="Normal 8 16 2 3" xfId="41770" xr:uid="{F021E363-F35B-4F8F-8E5A-216146A743CA}"/>
    <cellStyle name="Normal 8 16 3" xfId="2607" xr:uid="{00000000-0005-0000-0000-0000552D0000}"/>
    <cellStyle name="Normal 8 16 4" xfId="26425" xr:uid="{00000000-0005-0000-0000-0000562D0000}"/>
    <cellStyle name="Normal 8 16 5" xfId="33068" xr:uid="{3DDB0B0D-58F5-4BF6-9A73-1779216A2489}"/>
    <cellStyle name="Normal 8 17" xfId="1272" xr:uid="{00000000-0005-0000-0000-0000572D0000}"/>
    <cellStyle name="Normal 8 17 2" xfId="2609" xr:uid="{00000000-0005-0000-0000-0000582D0000}"/>
    <cellStyle name="Normal 8 17 3" xfId="41552" xr:uid="{BC229555-B871-4862-AC65-ACB9C423097A}"/>
    <cellStyle name="Normal 8 18" xfId="5271" xr:uid="{00000000-0005-0000-0000-0000592D0000}"/>
    <cellStyle name="Normal 8 18 2" xfId="26136" xr:uid="{00000000-0005-0000-0000-00005A2D0000}"/>
    <cellStyle name="Normal 8 19" xfId="24183" xr:uid="{00000000-0005-0000-0000-00005B2D0000}"/>
    <cellStyle name="Normal 8 2" xfId="1273" xr:uid="{00000000-0005-0000-0000-00005C2D0000}"/>
    <cellStyle name="Normal 8 2 10" xfId="1274" xr:uid="{00000000-0005-0000-0000-00005D2D0000}"/>
    <cellStyle name="Normal 8 2 10 2" xfId="1275" xr:uid="{00000000-0005-0000-0000-00005E2D0000}"/>
    <cellStyle name="Normal 8 2 10 2 2" xfId="2612" xr:uid="{00000000-0005-0000-0000-00005F2D0000}"/>
    <cellStyle name="Normal 8 2 10 2 3" xfId="41771" xr:uid="{198FFD09-FB47-4056-9DBD-D6AD091538DC}"/>
    <cellStyle name="Normal 8 2 10 3" xfId="2611" xr:uid="{00000000-0005-0000-0000-0000602D0000}"/>
    <cellStyle name="Normal 8 2 10 4" xfId="26426" xr:uid="{00000000-0005-0000-0000-0000612D0000}"/>
    <cellStyle name="Normal 8 2 10 5" xfId="33069" xr:uid="{CEF2EB59-A114-47D5-867C-D5F0780D5DCF}"/>
    <cellStyle name="Normal 8 2 11" xfId="1276" xr:uid="{00000000-0005-0000-0000-0000622D0000}"/>
    <cellStyle name="Normal 8 2 11 2" xfId="2613" xr:uid="{00000000-0005-0000-0000-0000632D0000}"/>
    <cellStyle name="Normal 8 2 11 3" xfId="41553" xr:uid="{B42041FD-DF86-4044-95FE-03D5F2C829ED}"/>
    <cellStyle name="Normal 8 2 12" xfId="2610" xr:uid="{00000000-0005-0000-0000-0000642D0000}"/>
    <cellStyle name="Normal 8 2 13" xfId="5409" xr:uid="{00000000-0005-0000-0000-0000652D0000}"/>
    <cellStyle name="Normal 8 2 14" xfId="24184" xr:uid="{00000000-0005-0000-0000-0000662D0000}"/>
    <cellStyle name="Normal 8 2 15" xfId="24927" xr:uid="{00000000-0005-0000-0000-0000672D0000}"/>
    <cellStyle name="Normal 8 2 16" xfId="26137" xr:uid="{00000000-0005-0000-0000-0000682D0000}"/>
    <cellStyle name="Normal 8 2 17" xfId="32695" xr:uid="{442DBB19-5F80-421E-B18F-9199F3CC1682}"/>
    <cellStyle name="Normal 8 2 2" xfId="1277" xr:uid="{00000000-0005-0000-0000-0000692D0000}"/>
    <cellStyle name="Normal 8 2 2 10" xfId="26155" xr:uid="{00000000-0005-0000-0000-00006A2D0000}"/>
    <cellStyle name="Normal 8 2 2 11" xfId="32728" xr:uid="{C16FF82C-7FE0-4F3F-8F60-CF9944E699FA}"/>
    <cellStyle name="Normal 8 2 2 2" xfId="1278" xr:uid="{00000000-0005-0000-0000-00006B2D0000}"/>
    <cellStyle name="Normal 8 2 2 2 2" xfId="1279" xr:uid="{00000000-0005-0000-0000-00006C2D0000}"/>
    <cellStyle name="Normal 8 2 2 2 2 2" xfId="2616" xr:uid="{00000000-0005-0000-0000-00006D2D0000}"/>
    <cellStyle name="Normal 8 2 2 2 2 2 2" xfId="24889" xr:uid="{00000000-0005-0000-0000-00006E2D0000}"/>
    <cellStyle name="Normal 8 2 2 2 2 2 2 2" xfId="25612" xr:uid="{00000000-0005-0000-0000-00006F2D0000}"/>
    <cellStyle name="Normal 8 2 2 2 2 2 3" xfId="24510" xr:uid="{00000000-0005-0000-0000-0000702D0000}"/>
    <cellStyle name="Normal 8 2 2 2 2 2 4" xfId="25255" xr:uid="{00000000-0005-0000-0000-0000712D0000}"/>
    <cellStyle name="Normal 8 2 2 2 2 3" xfId="24709" xr:uid="{00000000-0005-0000-0000-0000722D0000}"/>
    <cellStyle name="Normal 8 2 2 2 2 3 2" xfId="25432" xr:uid="{00000000-0005-0000-0000-0000732D0000}"/>
    <cellStyle name="Normal 8 2 2 2 2 4" xfId="24330" xr:uid="{00000000-0005-0000-0000-0000742D0000}"/>
    <cellStyle name="Normal 8 2 2 2 2 5" xfId="25075" xr:uid="{00000000-0005-0000-0000-0000752D0000}"/>
    <cellStyle name="Normal 8 2 2 2 3" xfId="1280" xr:uid="{00000000-0005-0000-0000-0000762D0000}"/>
    <cellStyle name="Normal 8 2 2 2 3 2" xfId="24801" xr:uid="{00000000-0005-0000-0000-0000772D0000}"/>
    <cellStyle name="Normal 8 2 2 2 3 2 2" xfId="25524" xr:uid="{00000000-0005-0000-0000-0000782D0000}"/>
    <cellStyle name="Normal 8 2 2 2 3 3" xfId="24422" xr:uid="{00000000-0005-0000-0000-0000792D0000}"/>
    <cellStyle name="Normal 8 2 2 2 3 4" xfId="25167" xr:uid="{00000000-0005-0000-0000-00007A2D0000}"/>
    <cellStyle name="Normal 8 2 2 2 4" xfId="2615" xr:uid="{00000000-0005-0000-0000-00007B2D0000}"/>
    <cellStyle name="Normal 8 2 2 2 4 2" xfId="24621" xr:uid="{00000000-0005-0000-0000-00007C2D0000}"/>
    <cellStyle name="Normal 8 2 2 2 4 3" xfId="25344" xr:uid="{00000000-0005-0000-0000-00007D2D0000}"/>
    <cellStyle name="Normal 8 2 2 2 5" xfId="24242" xr:uid="{00000000-0005-0000-0000-00007E2D0000}"/>
    <cellStyle name="Normal 8 2 2 2 6" xfId="24987" xr:uid="{00000000-0005-0000-0000-00007F2D0000}"/>
    <cellStyle name="Normal 8 2 2 3" xfId="1281" xr:uid="{00000000-0005-0000-0000-0000802D0000}"/>
    <cellStyle name="Normal 8 2 2 3 2" xfId="1282" xr:uid="{00000000-0005-0000-0000-0000812D0000}"/>
    <cellStyle name="Normal 8 2 2 3 2 2" xfId="1283" xr:uid="{00000000-0005-0000-0000-0000822D0000}"/>
    <cellStyle name="Normal 8 2 2 3 2 2 2" xfId="2619" xr:uid="{00000000-0005-0000-0000-0000832D0000}"/>
    <cellStyle name="Normal 8 2 2 3 2 2 3" xfId="24845" xr:uid="{00000000-0005-0000-0000-0000842D0000}"/>
    <cellStyle name="Normal 8 2 2 3 2 2 4" xfId="25568" xr:uid="{00000000-0005-0000-0000-0000852D0000}"/>
    <cellStyle name="Normal 8 2 2 3 2 2 5" xfId="41856" xr:uid="{22199030-7B68-4C30-87F8-66634A5163D5}"/>
    <cellStyle name="Normal 8 2 2 3 2 3" xfId="2618" xr:uid="{00000000-0005-0000-0000-0000862D0000}"/>
    <cellStyle name="Normal 8 2 2 3 2 4" xfId="24466" xr:uid="{00000000-0005-0000-0000-0000872D0000}"/>
    <cellStyle name="Normal 8 2 2 3 2 5" xfId="25211" xr:uid="{00000000-0005-0000-0000-0000882D0000}"/>
    <cellStyle name="Normal 8 2 2 3 2 6" xfId="26511" xr:uid="{00000000-0005-0000-0000-0000892D0000}"/>
    <cellStyle name="Normal 8 2 2 3 2 7" xfId="33154" xr:uid="{9F00C1B4-DF60-41E0-8ED7-FCED32404A75}"/>
    <cellStyle name="Normal 8 2 2 3 3" xfId="1284" xr:uid="{00000000-0005-0000-0000-00008A2D0000}"/>
    <cellStyle name="Normal 8 2 2 3 3 2" xfId="2620" xr:uid="{00000000-0005-0000-0000-00008B2D0000}"/>
    <cellStyle name="Normal 8 2 2 3 3 3" xfId="24665" xr:uid="{00000000-0005-0000-0000-00008C2D0000}"/>
    <cellStyle name="Normal 8 2 2 3 3 4" xfId="25388" xr:uid="{00000000-0005-0000-0000-00008D2D0000}"/>
    <cellStyle name="Normal 8 2 2 3 3 5" xfId="41640" xr:uid="{FF694122-F7F8-4990-A7A6-A49B66F4D396}"/>
    <cellStyle name="Normal 8 2 2 3 4" xfId="2617" xr:uid="{00000000-0005-0000-0000-00008E2D0000}"/>
    <cellStyle name="Normal 8 2 2 3 5" xfId="24286" xr:uid="{00000000-0005-0000-0000-00008F2D0000}"/>
    <cellStyle name="Normal 8 2 2 3 6" xfId="25031" xr:uid="{00000000-0005-0000-0000-0000902D0000}"/>
    <cellStyle name="Normal 8 2 2 3 7" xfId="26295" xr:uid="{00000000-0005-0000-0000-0000912D0000}"/>
    <cellStyle name="Normal 8 2 2 3 8" xfId="32932" xr:uid="{7F5661E9-6BBE-49CC-93A2-98D157E28AAD}"/>
    <cellStyle name="Normal 8 2 2 4" xfId="1285" xr:uid="{00000000-0005-0000-0000-0000922D0000}"/>
    <cellStyle name="Normal 8 2 2 4 2" xfId="1286" xr:uid="{00000000-0005-0000-0000-0000932D0000}"/>
    <cellStyle name="Normal 8 2 2 4 2 2" xfId="1287" xr:uid="{00000000-0005-0000-0000-0000942D0000}"/>
    <cellStyle name="Normal 8 2 2 4 2 2 2" xfId="2623" xr:uid="{00000000-0005-0000-0000-0000952D0000}"/>
    <cellStyle name="Normal 8 2 2 4 2 2 3" xfId="41928" xr:uid="{9DED3F15-24E5-4921-BAEA-5E2443EB4156}"/>
    <cellStyle name="Normal 8 2 2 4 2 3" xfId="2622" xr:uid="{00000000-0005-0000-0000-0000962D0000}"/>
    <cellStyle name="Normal 8 2 2 4 2 4" xfId="24757" xr:uid="{00000000-0005-0000-0000-0000972D0000}"/>
    <cellStyle name="Normal 8 2 2 4 2 5" xfId="25480" xr:uid="{00000000-0005-0000-0000-0000982D0000}"/>
    <cellStyle name="Normal 8 2 2 4 2 6" xfId="26583" xr:uid="{00000000-0005-0000-0000-0000992D0000}"/>
    <cellStyle name="Normal 8 2 2 4 2 7" xfId="33226" xr:uid="{1628E3B2-FEF3-4850-A926-F9CF3CB37FB4}"/>
    <cellStyle name="Normal 8 2 2 4 3" xfId="1288" xr:uid="{00000000-0005-0000-0000-00009A2D0000}"/>
    <cellStyle name="Normal 8 2 2 4 3 2" xfId="2624" xr:uid="{00000000-0005-0000-0000-00009B2D0000}"/>
    <cellStyle name="Normal 8 2 2 4 3 3" xfId="41712" xr:uid="{1DDF37CD-35AC-44DC-9F93-E8245EE3FFEC}"/>
    <cellStyle name="Normal 8 2 2 4 4" xfId="2621" xr:uid="{00000000-0005-0000-0000-00009C2D0000}"/>
    <cellStyle name="Normal 8 2 2 4 5" xfId="24378" xr:uid="{00000000-0005-0000-0000-00009D2D0000}"/>
    <cellStyle name="Normal 8 2 2 4 6" xfId="25123" xr:uid="{00000000-0005-0000-0000-00009E2D0000}"/>
    <cellStyle name="Normal 8 2 2 4 7" xfId="26367" xr:uid="{00000000-0005-0000-0000-00009F2D0000}"/>
    <cellStyle name="Normal 8 2 2 4 8" xfId="33010" xr:uid="{B01FB0AE-6CDC-4E5A-948E-62FCD3EDC65B}"/>
    <cellStyle name="Normal 8 2 2 5" xfId="1289" xr:uid="{00000000-0005-0000-0000-0000A02D0000}"/>
    <cellStyle name="Normal 8 2 2 5 2" xfId="1290" xr:uid="{00000000-0005-0000-0000-0000A12D0000}"/>
    <cellStyle name="Normal 8 2 2 5 2 2" xfId="2626" xr:uid="{00000000-0005-0000-0000-0000A22D0000}"/>
    <cellStyle name="Normal 8 2 2 5 2 3" xfId="41784" xr:uid="{892F2279-78EE-4FCF-BB2C-161FC09241D5}"/>
    <cellStyle name="Normal 8 2 2 5 3" xfId="2625" xr:uid="{00000000-0005-0000-0000-0000A32D0000}"/>
    <cellStyle name="Normal 8 2 2 5 4" xfId="24577" xr:uid="{00000000-0005-0000-0000-0000A42D0000}"/>
    <cellStyle name="Normal 8 2 2 5 5" xfId="25300" xr:uid="{00000000-0005-0000-0000-0000A52D0000}"/>
    <cellStyle name="Normal 8 2 2 5 6" xfId="26439" xr:uid="{00000000-0005-0000-0000-0000A62D0000}"/>
    <cellStyle name="Normal 8 2 2 5 7" xfId="33082" xr:uid="{EAA4BC21-EC5E-4B25-B0C7-BF92A00DA040}"/>
    <cellStyle name="Normal 8 2 2 6" xfId="1291" xr:uid="{00000000-0005-0000-0000-0000A72D0000}"/>
    <cellStyle name="Normal 8 2 2 6 2" xfId="2627" xr:uid="{00000000-0005-0000-0000-0000A82D0000}"/>
    <cellStyle name="Normal 8 2 2 6 3" xfId="41568" xr:uid="{D7763AF1-0E57-468F-BCB1-B929409E84E5}"/>
    <cellStyle name="Normal 8 2 2 7" xfId="2614" xr:uid="{00000000-0005-0000-0000-0000A92D0000}"/>
    <cellStyle name="Normal 8 2 2 8" xfId="24198" xr:uid="{00000000-0005-0000-0000-0000AA2D0000}"/>
    <cellStyle name="Normal 8 2 2 9" xfId="24943" xr:uid="{00000000-0005-0000-0000-0000AB2D0000}"/>
    <cellStyle name="Normal 8 2 3" xfId="1292" xr:uid="{00000000-0005-0000-0000-0000AC2D0000}"/>
    <cellStyle name="Normal 8 2 3 10" xfId="26168" xr:uid="{00000000-0005-0000-0000-0000AD2D0000}"/>
    <cellStyle name="Normal 8 2 3 11" xfId="32741" xr:uid="{6A30A47B-DB73-40D5-8AE1-24444688D86E}"/>
    <cellStyle name="Normal 8 2 3 2" xfId="1293" xr:uid="{00000000-0005-0000-0000-0000AE2D0000}"/>
    <cellStyle name="Normal 8 2 3 2 2" xfId="1294" xr:uid="{00000000-0005-0000-0000-0000AF2D0000}"/>
    <cellStyle name="Normal 8 2 3 2 2 2" xfId="24876" xr:uid="{00000000-0005-0000-0000-0000B02D0000}"/>
    <cellStyle name="Normal 8 2 3 2 2 2 2" xfId="25599" xr:uid="{00000000-0005-0000-0000-0000B12D0000}"/>
    <cellStyle name="Normal 8 2 3 2 2 3" xfId="24497" xr:uid="{00000000-0005-0000-0000-0000B22D0000}"/>
    <cellStyle name="Normal 8 2 3 2 2 4" xfId="25242" xr:uid="{00000000-0005-0000-0000-0000B32D0000}"/>
    <cellStyle name="Normal 8 2 3 2 3" xfId="2629" xr:uid="{00000000-0005-0000-0000-0000B42D0000}"/>
    <cellStyle name="Normal 8 2 3 2 3 2" xfId="24696" xr:uid="{00000000-0005-0000-0000-0000B52D0000}"/>
    <cellStyle name="Normal 8 2 3 2 3 3" xfId="25419" xr:uid="{00000000-0005-0000-0000-0000B62D0000}"/>
    <cellStyle name="Normal 8 2 3 2 4" xfId="24317" xr:uid="{00000000-0005-0000-0000-0000B72D0000}"/>
    <cellStyle name="Normal 8 2 3 2 5" xfId="25062" xr:uid="{00000000-0005-0000-0000-0000B82D0000}"/>
    <cellStyle name="Normal 8 2 3 3" xfId="1295" xr:uid="{00000000-0005-0000-0000-0000B92D0000}"/>
    <cellStyle name="Normal 8 2 3 3 2" xfId="1296" xr:uid="{00000000-0005-0000-0000-0000BA2D0000}"/>
    <cellStyle name="Normal 8 2 3 3 2 2" xfId="1297" xr:uid="{00000000-0005-0000-0000-0000BB2D0000}"/>
    <cellStyle name="Normal 8 2 3 3 2 2 2" xfId="2632" xr:uid="{00000000-0005-0000-0000-0000BC2D0000}"/>
    <cellStyle name="Normal 8 2 3 3 2 2 3" xfId="41869" xr:uid="{91A6A1A5-F0BB-4291-91C3-8449C11E9195}"/>
    <cellStyle name="Normal 8 2 3 3 2 3" xfId="2631" xr:uid="{00000000-0005-0000-0000-0000BD2D0000}"/>
    <cellStyle name="Normal 8 2 3 3 2 4" xfId="24788" xr:uid="{00000000-0005-0000-0000-0000BE2D0000}"/>
    <cellStyle name="Normal 8 2 3 3 2 5" xfId="25511" xr:uid="{00000000-0005-0000-0000-0000BF2D0000}"/>
    <cellStyle name="Normal 8 2 3 3 2 6" xfId="26524" xr:uid="{00000000-0005-0000-0000-0000C02D0000}"/>
    <cellStyle name="Normal 8 2 3 3 2 7" xfId="33167" xr:uid="{C385C540-1421-4C97-97F3-3AC268E0B304}"/>
    <cellStyle name="Normal 8 2 3 3 3" xfId="1298" xr:uid="{00000000-0005-0000-0000-0000C12D0000}"/>
    <cellStyle name="Normal 8 2 3 3 3 2" xfId="2633" xr:uid="{00000000-0005-0000-0000-0000C22D0000}"/>
    <cellStyle name="Normal 8 2 3 3 3 3" xfId="41653" xr:uid="{37126A7B-7642-4908-88A2-93EF0E0C4EE3}"/>
    <cellStyle name="Normal 8 2 3 3 4" xfId="2630" xr:uid="{00000000-0005-0000-0000-0000C32D0000}"/>
    <cellStyle name="Normal 8 2 3 3 5" xfId="24409" xr:uid="{00000000-0005-0000-0000-0000C42D0000}"/>
    <cellStyle name="Normal 8 2 3 3 6" xfId="25154" xr:uid="{00000000-0005-0000-0000-0000C52D0000}"/>
    <cellStyle name="Normal 8 2 3 3 7" xfId="26308" xr:uid="{00000000-0005-0000-0000-0000C62D0000}"/>
    <cellStyle name="Normal 8 2 3 3 8" xfId="32945" xr:uid="{F3677D7E-7AFA-4D28-A972-F5AF49D520D3}"/>
    <cellStyle name="Normal 8 2 3 4" xfId="1299" xr:uid="{00000000-0005-0000-0000-0000C72D0000}"/>
    <cellStyle name="Normal 8 2 3 4 2" xfId="1300" xr:uid="{00000000-0005-0000-0000-0000C82D0000}"/>
    <cellStyle name="Normal 8 2 3 4 2 2" xfId="1301" xr:uid="{00000000-0005-0000-0000-0000C92D0000}"/>
    <cellStyle name="Normal 8 2 3 4 2 2 2" xfId="2636" xr:uid="{00000000-0005-0000-0000-0000CA2D0000}"/>
    <cellStyle name="Normal 8 2 3 4 2 2 3" xfId="41941" xr:uid="{2CC3E837-DFEA-46AB-8D72-1E19C7A43C52}"/>
    <cellStyle name="Normal 8 2 3 4 2 3" xfId="2635" xr:uid="{00000000-0005-0000-0000-0000CB2D0000}"/>
    <cellStyle name="Normal 8 2 3 4 2 4" xfId="26596" xr:uid="{00000000-0005-0000-0000-0000CC2D0000}"/>
    <cellStyle name="Normal 8 2 3 4 2 5" xfId="33239" xr:uid="{E51D180A-9227-4CDF-B698-289AE9D461E9}"/>
    <cellStyle name="Normal 8 2 3 4 3" xfId="1302" xr:uid="{00000000-0005-0000-0000-0000CD2D0000}"/>
    <cellStyle name="Normal 8 2 3 4 3 2" xfId="2637" xr:uid="{00000000-0005-0000-0000-0000CE2D0000}"/>
    <cellStyle name="Normal 8 2 3 4 3 3" xfId="41725" xr:uid="{C47D247B-1A55-4AC6-B5DE-C7A90B36EB56}"/>
    <cellStyle name="Normal 8 2 3 4 4" xfId="2634" xr:uid="{00000000-0005-0000-0000-0000CF2D0000}"/>
    <cellStyle name="Normal 8 2 3 4 5" xfId="24608" xr:uid="{00000000-0005-0000-0000-0000D02D0000}"/>
    <cellStyle name="Normal 8 2 3 4 6" xfId="25331" xr:uid="{00000000-0005-0000-0000-0000D12D0000}"/>
    <cellStyle name="Normal 8 2 3 4 7" xfId="26380" xr:uid="{00000000-0005-0000-0000-0000D22D0000}"/>
    <cellStyle name="Normal 8 2 3 4 8" xfId="33023" xr:uid="{FA488F5B-A6E8-47F2-984E-750AA11E51A0}"/>
    <cellStyle name="Normal 8 2 3 5" xfId="1303" xr:uid="{00000000-0005-0000-0000-0000D32D0000}"/>
    <cellStyle name="Normal 8 2 3 5 2" xfId="1304" xr:uid="{00000000-0005-0000-0000-0000D42D0000}"/>
    <cellStyle name="Normal 8 2 3 5 2 2" xfId="2639" xr:uid="{00000000-0005-0000-0000-0000D52D0000}"/>
    <cellStyle name="Normal 8 2 3 5 2 3" xfId="41797" xr:uid="{39425D66-CE83-444F-8C1E-88C914C202FF}"/>
    <cellStyle name="Normal 8 2 3 5 3" xfId="2638" xr:uid="{00000000-0005-0000-0000-0000D62D0000}"/>
    <cellStyle name="Normal 8 2 3 5 4" xfId="26452" xr:uid="{00000000-0005-0000-0000-0000D72D0000}"/>
    <cellStyle name="Normal 8 2 3 5 5" xfId="33095" xr:uid="{C30B78EC-A3B6-4122-BF73-778824388390}"/>
    <cellStyle name="Normal 8 2 3 6" xfId="1305" xr:uid="{00000000-0005-0000-0000-0000D82D0000}"/>
    <cellStyle name="Normal 8 2 3 6 2" xfId="2640" xr:uid="{00000000-0005-0000-0000-0000D92D0000}"/>
    <cellStyle name="Normal 8 2 3 6 3" xfId="41581" xr:uid="{242171D6-801D-45CB-9314-CE448BE118B3}"/>
    <cellStyle name="Normal 8 2 3 7" xfId="2628" xr:uid="{00000000-0005-0000-0000-0000DA2D0000}"/>
    <cellStyle name="Normal 8 2 3 8" xfId="24229" xr:uid="{00000000-0005-0000-0000-0000DB2D0000}"/>
    <cellStyle name="Normal 8 2 3 9" xfId="24974" xr:uid="{00000000-0005-0000-0000-0000DC2D0000}"/>
    <cellStyle name="Normal 8 2 4" xfId="1306" xr:uid="{00000000-0005-0000-0000-0000DD2D0000}"/>
    <cellStyle name="Normal 8 2 4 2" xfId="1307" xr:uid="{00000000-0005-0000-0000-0000DE2D0000}"/>
    <cellStyle name="Normal 8 2 4 2 2" xfId="24832" xr:uid="{00000000-0005-0000-0000-0000DF2D0000}"/>
    <cellStyle name="Normal 8 2 4 2 2 2" xfId="25555" xr:uid="{00000000-0005-0000-0000-0000E02D0000}"/>
    <cellStyle name="Normal 8 2 4 2 3" xfId="24453" xr:uid="{00000000-0005-0000-0000-0000E12D0000}"/>
    <cellStyle name="Normal 8 2 4 2 4" xfId="25198" xr:uid="{00000000-0005-0000-0000-0000E22D0000}"/>
    <cellStyle name="Normal 8 2 4 3" xfId="1308" xr:uid="{00000000-0005-0000-0000-0000E32D0000}"/>
    <cellStyle name="Normal 8 2 4 3 2" xfId="24652" xr:uid="{00000000-0005-0000-0000-0000E42D0000}"/>
    <cellStyle name="Normal 8 2 4 3 3" xfId="25375" xr:uid="{00000000-0005-0000-0000-0000E52D0000}"/>
    <cellStyle name="Normal 8 2 4 4" xfId="2641" xr:uid="{00000000-0005-0000-0000-0000E62D0000}"/>
    <cellStyle name="Normal 8 2 4 5" xfId="24273" xr:uid="{00000000-0005-0000-0000-0000E72D0000}"/>
    <cellStyle name="Normal 8 2 4 6" xfId="25018" xr:uid="{00000000-0005-0000-0000-0000E82D0000}"/>
    <cellStyle name="Normal 8 2 5" xfId="1309" xr:uid="{00000000-0005-0000-0000-0000E92D0000}"/>
    <cellStyle name="Normal 8 2 5 2" xfId="24742" xr:uid="{00000000-0005-0000-0000-0000EA2D0000}"/>
    <cellStyle name="Normal 8 2 5 2 2" xfId="25465" xr:uid="{00000000-0005-0000-0000-0000EB2D0000}"/>
    <cellStyle name="Normal 8 2 5 3" xfId="24363" xr:uid="{00000000-0005-0000-0000-0000EC2D0000}"/>
    <cellStyle name="Normal 8 2 5 4" xfId="25108" xr:uid="{00000000-0005-0000-0000-0000ED2D0000}"/>
    <cellStyle name="Normal 8 2 6" xfId="1310" xr:uid="{00000000-0005-0000-0000-0000EE2D0000}"/>
    <cellStyle name="Normal 8 2 6 2" xfId="24564" xr:uid="{00000000-0005-0000-0000-0000EF2D0000}"/>
    <cellStyle name="Normal 8 2 6 3" xfId="25287" xr:uid="{00000000-0005-0000-0000-0000F02D0000}"/>
    <cellStyle name="Normal 8 2 7" xfId="1311" xr:uid="{00000000-0005-0000-0000-0000F12D0000}"/>
    <cellStyle name="Normal 8 2 7 2" xfId="1312" xr:uid="{00000000-0005-0000-0000-0000F22D0000}"/>
    <cellStyle name="Normal 8 2 7 2 2" xfId="1313" xr:uid="{00000000-0005-0000-0000-0000F32D0000}"/>
    <cellStyle name="Normal 8 2 7 2 2 2" xfId="1314" xr:uid="{00000000-0005-0000-0000-0000F42D0000}"/>
    <cellStyle name="Normal 8 2 7 2 2 2 2" xfId="2645" xr:uid="{00000000-0005-0000-0000-0000F52D0000}"/>
    <cellStyle name="Normal 8 2 7 2 2 2 3" xfId="41896" xr:uid="{C6315B4F-D75C-4567-98B2-1789253EBE67}"/>
    <cellStyle name="Normal 8 2 7 2 2 3" xfId="2644" xr:uid="{00000000-0005-0000-0000-0000F62D0000}"/>
    <cellStyle name="Normal 8 2 7 2 2 4" xfId="26551" xr:uid="{00000000-0005-0000-0000-0000F72D0000}"/>
    <cellStyle name="Normal 8 2 7 2 2 5" xfId="33194" xr:uid="{364B322D-377E-470E-B0A4-C2E0B7BC178F}"/>
    <cellStyle name="Normal 8 2 7 2 3" xfId="1315" xr:uid="{00000000-0005-0000-0000-0000F82D0000}"/>
    <cellStyle name="Normal 8 2 7 2 3 2" xfId="2646" xr:uid="{00000000-0005-0000-0000-0000F92D0000}"/>
    <cellStyle name="Normal 8 2 7 2 3 3" xfId="41680" xr:uid="{AF8B76CB-401B-4E7F-AAD0-FE8058D120D4}"/>
    <cellStyle name="Normal 8 2 7 2 4" xfId="2643" xr:uid="{00000000-0005-0000-0000-0000FA2D0000}"/>
    <cellStyle name="Normal 8 2 7 2 5" xfId="26335" xr:uid="{00000000-0005-0000-0000-0000FB2D0000}"/>
    <cellStyle name="Normal 8 2 7 2 6" xfId="32978" xr:uid="{0F8E5848-42D1-4F79-B79D-0961CF5ADFF8}"/>
    <cellStyle name="Normal 8 2 7 3" xfId="1316" xr:uid="{00000000-0005-0000-0000-0000FC2D0000}"/>
    <cellStyle name="Normal 8 2 7 3 2" xfId="1317" xr:uid="{00000000-0005-0000-0000-0000FD2D0000}"/>
    <cellStyle name="Normal 8 2 7 3 2 2" xfId="1318" xr:uid="{00000000-0005-0000-0000-0000FE2D0000}"/>
    <cellStyle name="Normal 8 2 7 3 2 2 2" xfId="2649" xr:uid="{00000000-0005-0000-0000-0000FF2D0000}"/>
    <cellStyle name="Normal 8 2 7 3 2 2 3" xfId="41968" xr:uid="{EF474A64-B065-457E-8804-3250BC5F1C44}"/>
    <cellStyle name="Normal 8 2 7 3 2 3" xfId="2648" xr:uid="{00000000-0005-0000-0000-0000002E0000}"/>
    <cellStyle name="Normal 8 2 7 3 2 4" xfId="26623" xr:uid="{00000000-0005-0000-0000-0000012E0000}"/>
    <cellStyle name="Normal 8 2 7 3 2 5" xfId="33266" xr:uid="{6C04C212-7B54-41C0-BC2D-B18D0103AB3A}"/>
    <cellStyle name="Normal 8 2 7 3 3" xfId="1319" xr:uid="{00000000-0005-0000-0000-0000022E0000}"/>
    <cellStyle name="Normal 8 2 7 3 3 2" xfId="2650" xr:uid="{00000000-0005-0000-0000-0000032E0000}"/>
    <cellStyle name="Normal 8 2 7 3 3 3" xfId="41752" xr:uid="{BD76E45A-199E-43F8-A981-DC572C27E928}"/>
    <cellStyle name="Normal 8 2 7 3 4" xfId="2647" xr:uid="{00000000-0005-0000-0000-0000042E0000}"/>
    <cellStyle name="Normal 8 2 7 3 5" xfId="26407" xr:uid="{00000000-0005-0000-0000-0000052E0000}"/>
    <cellStyle name="Normal 8 2 7 3 6" xfId="33050" xr:uid="{E844D4AD-42EB-4841-BFA4-B7A85D181C07}"/>
    <cellStyle name="Normal 8 2 7 4" xfId="1320" xr:uid="{00000000-0005-0000-0000-0000062E0000}"/>
    <cellStyle name="Normal 8 2 7 4 2" xfId="1321" xr:uid="{00000000-0005-0000-0000-0000072E0000}"/>
    <cellStyle name="Normal 8 2 7 4 2 2" xfId="2652" xr:uid="{00000000-0005-0000-0000-0000082E0000}"/>
    <cellStyle name="Normal 8 2 7 4 2 3" xfId="41824" xr:uid="{A3DA38BF-33E6-4043-936C-7D4C0408FD95}"/>
    <cellStyle name="Normal 8 2 7 4 3" xfId="2651" xr:uid="{00000000-0005-0000-0000-0000092E0000}"/>
    <cellStyle name="Normal 8 2 7 4 4" xfId="26479" xr:uid="{00000000-0005-0000-0000-00000A2E0000}"/>
    <cellStyle name="Normal 8 2 7 4 5" xfId="33122" xr:uid="{D8C1B8C6-3595-470E-A924-5C7BA158AE51}"/>
    <cellStyle name="Normal 8 2 7 5" xfId="1322" xr:uid="{00000000-0005-0000-0000-00000B2E0000}"/>
    <cellStyle name="Normal 8 2 7 5 2" xfId="2653" xr:uid="{00000000-0005-0000-0000-00000C2E0000}"/>
    <cellStyle name="Normal 8 2 7 5 3" xfId="41608" xr:uid="{1E73BCE0-39C6-4BA7-B50C-DB43D54EE245}"/>
    <cellStyle name="Normal 8 2 7 6" xfId="2642" xr:uid="{00000000-0005-0000-0000-00000D2E0000}"/>
    <cellStyle name="Normal 8 2 7 7" xfId="26263" xr:uid="{00000000-0005-0000-0000-00000E2E0000}"/>
    <cellStyle name="Normal 8 2 7 8" xfId="32879" xr:uid="{FADC5ACD-0347-4947-B718-D15AB6FCB55B}"/>
    <cellStyle name="Normal 8 2 8" xfId="1323" xr:uid="{00000000-0005-0000-0000-00000F2E0000}"/>
    <cellStyle name="Normal 8 2 8 2" xfId="1324" xr:uid="{00000000-0005-0000-0000-0000102E0000}"/>
    <cellStyle name="Normal 8 2 8 2 2" xfId="1325" xr:uid="{00000000-0005-0000-0000-0000112E0000}"/>
    <cellStyle name="Normal 8 2 8 2 2 2" xfId="2656" xr:uid="{00000000-0005-0000-0000-0000122E0000}"/>
    <cellStyle name="Normal 8 2 8 2 2 3" xfId="41843" xr:uid="{10BF4F3A-3D77-493E-BF75-4CD878126507}"/>
    <cellStyle name="Normal 8 2 8 2 3" xfId="2655" xr:uid="{00000000-0005-0000-0000-0000132E0000}"/>
    <cellStyle name="Normal 8 2 8 2 4" xfId="26498" xr:uid="{00000000-0005-0000-0000-0000142E0000}"/>
    <cellStyle name="Normal 8 2 8 2 5" xfId="33141" xr:uid="{E26EB612-2F07-422A-A543-08BEF7DDFFD0}"/>
    <cellStyle name="Normal 8 2 8 3" xfId="1326" xr:uid="{00000000-0005-0000-0000-0000152E0000}"/>
    <cellStyle name="Normal 8 2 8 3 2" xfId="2657" xr:uid="{00000000-0005-0000-0000-0000162E0000}"/>
    <cellStyle name="Normal 8 2 8 3 3" xfId="41627" xr:uid="{51190590-6517-443D-BF05-B64E552F50A1}"/>
    <cellStyle name="Normal 8 2 8 4" xfId="2654" xr:uid="{00000000-0005-0000-0000-0000172E0000}"/>
    <cellStyle name="Normal 8 2 8 5" xfId="26282" xr:uid="{00000000-0005-0000-0000-0000182E0000}"/>
    <cellStyle name="Normal 8 2 8 6" xfId="32918" xr:uid="{960643A5-4B2E-46AA-9B7A-C0BA20AFC889}"/>
    <cellStyle name="Normal 8 2 9" xfId="1327" xr:uid="{00000000-0005-0000-0000-0000192E0000}"/>
    <cellStyle name="Normal 8 2 9 2" xfId="1328" xr:uid="{00000000-0005-0000-0000-00001A2E0000}"/>
    <cellStyle name="Normal 8 2 9 2 2" xfId="1329" xr:uid="{00000000-0005-0000-0000-00001B2E0000}"/>
    <cellStyle name="Normal 8 2 9 2 2 2" xfId="2660" xr:uid="{00000000-0005-0000-0000-00001C2E0000}"/>
    <cellStyle name="Normal 8 2 9 2 2 3" xfId="41915" xr:uid="{25E62EB3-28C1-4798-9C64-2AF2C08C2268}"/>
    <cellStyle name="Normal 8 2 9 2 3" xfId="2659" xr:uid="{00000000-0005-0000-0000-00001D2E0000}"/>
    <cellStyle name="Normal 8 2 9 2 4" xfId="26570" xr:uid="{00000000-0005-0000-0000-00001E2E0000}"/>
    <cellStyle name="Normal 8 2 9 2 5" xfId="33213" xr:uid="{13A72F01-DA4D-4632-97A9-C19DD5315842}"/>
    <cellStyle name="Normal 8 2 9 3" xfId="1330" xr:uid="{00000000-0005-0000-0000-00001F2E0000}"/>
    <cellStyle name="Normal 8 2 9 3 2" xfId="2661" xr:uid="{00000000-0005-0000-0000-0000202E0000}"/>
    <cellStyle name="Normal 8 2 9 3 3" xfId="41699" xr:uid="{9B9DC150-FA88-4623-ABA2-8192452E409D}"/>
    <cellStyle name="Normal 8 2 9 4" xfId="2658" xr:uid="{00000000-0005-0000-0000-0000212E0000}"/>
    <cellStyle name="Normal 8 2 9 5" xfId="26354" xr:uid="{00000000-0005-0000-0000-0000222E0000}"/>
    <cellStyle name="Normal 8 2 9 6" xfId="32997" xr:uid="{E839E14A-8277-42B0-92E5-689960D26C1D}"/>
    <cellStyle name="Normal 8 20" xfId="24926" xr:uid="{00000000-0005-0000-0000-0000232E0000}"/>
    <cellStyle name="Normal 8 21" xfId="32694" xr:uid="{3F83B8E5-4B56-402C-B235-165ED7D3295E}"/>
    <cellStyle name="Normal 8 3" xfId="1331" xr:uid="{00000000-0005-0000-0000-0000242E0000}"/>
    <cellStyle name="Normal 8 3 10" xfId="1332" xr:uid="{00000000-0005-0000-0000-0000252E0000}"/>
    <cellStyle name="Normal 8 3 10 2" xfId="2663" xr:uid="{00000000-0005-0000-0000-0000262E0000}"/>
    <cellStyle name="Normal 8 3 10 3" xfId="41567" xr:uid="{02277BFD-9458-4A45-B636-70286DFE0573}"/>
    <cellStyle name="Normal 8 3 11" xfId="2662" xr:uid="{00000000-0005-0000-0000-0000272E0000}"/>
    <cellStyle name="Normal 8 3 12" xfId="7811" xr:uid="{00000000-0005-0000-0000-0000282E0000}"/>
    <cellStyle name="Normal 8 3 13" xfId="24197" xr:uid="{00000000-0005-0000-0000-0000292E0000}"/>
    <cellStyle name="Normal 8 3 14" xfId="24942" xr:uid="{00000000-0005-0000-0000-00002A2E0000}"/>
    <cellStyle name="Normal 8 3 15" xfId="26154" xr:uid="{00000000-0005-0000-0000-00002B2E0000}"/>
    <cellStyle name="Normal 8 3 16" xfId="32727" xr:uid="{602F3FDC-D02E-47F2-9F95-1553D647EDB6}"/>
    <cellStyle name="Normal 8 3 2" xfId="1333" xr:uid="{00000000-0005-0000-0000-00002C2E0000}"/>
    <cellStyle name="Normal 8 3 2 2" xfId="1334" xr:uid="{00000000-0005-0000-0000-00002D2E0000}"/>
    <cellStyle name="Normal 8 3 2 2 2" xfId="1335" xr:uid="{00000000-0005-0000-0000-00002E2E0000}"/>
    <cellStyle name="Normal 8 3 2 2 2 2" xfId="24888" xr:uid="{00000000-0005-0000-0000-00002F2E0000}"/>
    <cellStyle name="Normal 8 3 2 2 2 2 2" xfId="25611" xr:uid="{00000000-0005-0000-0000-0000302E0000}"/>
    <cellStyle name="Normal 8 3 2 2 2 3" xfId="24509" xr:uid="{00000000-0005-0000-0000-0000312E0000}"/>
    <cellStyle name="Normal 8 3 2 2 2 4" xfId="25254" xr:uid="{00000000-0005-0000-0000-0000322E0000}"/>
    <cellStyle name="Normal 8 3 2 2 3" xfId="2665" xr:uid="{00000000-0005-0000-0000-0000332E0000}"/>
    <cellStyle name="Normal 8 3 2 2 3 2" xfId="24708" xr:uid="{00000000-0005-0000-0000-0000342E0000}"/>
    <cellStyle name="Normal 8 3 2 2 3 3" xfId="25431" xr:uid="{00000000-0005-0000-0000-0000352E0000}"/>
    <cellStyle name="Normal 8 3 2 2 4" xfId="24329" xr:uid="{00000000-0005-0000-0000-0000362E0000}"/>
    <cellStyle name="Normal 8 3 2 2 5" xfId="25074" xr:uid="{00000000-0005-0000-0000-0000372E0000}"/>
    <cellStyle name="Normal 8 3 2 3" xfId="1336" xr:uid="{00000000-0005-0000-0000-0000382E0000}"/>
    <cellStyle name="Normal 8 3 2 3 2" xfId="24800" xr:uid="{00000000-0005-0000-0000-0000392E0000}"/>
    <cellStyle name="Normal 8 3 2 3 2 2" xfId="25523" xr:uid="{00000000-0005-0000-0000-00003A2E0000}"/>
    <cellStyle name="Normal 8 3 2 3 3" xfId="24421" xr:uid="{00000000-0005-0000-0000-00003B2E0000}"/>
    <cellStyle name="Normal 8 3 2 3 4" xfId="25166" xr:uid="{00000000-0005-0000-0000-00003C2E0000}"/>
    <cellStyle name="Normal 8 3 2 4" xfId="2664" xr:uid="{00000000-0005-0000-0000-00003D2E0000}"/>
    <cellStyle name="Normal 8 3 2 4 2" xfId="24620" xr:uid="{00000000-0005-0000-0000-00003E2E0000}"/>
    <cellStyle name="Normal 8 3 2 4 3" xfId="25343" xr:uid="{00000000-0005-0000-0000-00003F2E0000}"/>
    <cellStyle name="Normal 8 3 2 5" xfId="24241" xr:uid="{00000000-0005-0000-0000-0000402E0000}"/>
    <cellStyle name="Normal 8 3 2 6" xfId="24986" xr:uid="{00000000-0005-0000-0000-0000412E0000}"/>
    <cellStyle name="Normal 8 3 3" xfId="1337" xr:uid="{00000000-0005-0000-0000-0000422E0000}"/>
    <cellStyle name="Normal 8 3 3 2" xfId="1338" xr:uid="{00000000-0005-0000-0000-0000432E0000}"/>
    <cellStyle name="Normal 8 3 3 2 2" xfId="24844" xr:uid="{00000000-0005-0000-0000-0000442E0000}"/>
    <cellStyle name="Normal 8 3 3 2 2 2" xfId="25567" xr:uid="{00000000-0005-0000-0000-0000452E0000}"/>
    <cellStyle name="Normal 8 3 3 2 3" xfId="24465" xr:uid="{00000000-0005-0000-0000-0000462E0000}"/>
    <cellStyle name="Normal 8 3 3 2 4" xfId="25210" xr:uid="{00000000-0005-0000-0000-0000472E0000}"/>
    <cellStyle name="Normal 8 3 3 3" xfId="1339" xr:uid="{00000000-0005-0000-0000-0000482E0000}"/>
    <cellStyle name="Normal 8 3 3 3 2" xfId="24664" xr:uid="{00000000-0005-0000-0000-0000492E0000}"/>
    <cellStyle name="Normal 8 3 3 3 3" xfId="25387" xr:uid="{00000000-0005-0000-0000-00004A2E0000}"/>
    <cellStyle name="Normal 8 3 3 4" xfId="2666" xr:uid="{00000000-0005-0000-0000-00004B2E0000}"/>
    <cellStyle name="Normal 8 3 3 5" xfId="24285" xr:uid="{00000000-0005-0000-0000-00004C2E0000}"/>
    <cellStyle name="Normal 8 3 3 6" xfId="25030" xr:uid="{00000000-0005-0000-0000-00004D2E0000}"/>
    <cellStyle name="Normal 8 3 4" xfId="1340" xr:uid="{00000000-0005-0000-0000-00004E2E0000}"/>
    <cellStyle name="Normal 8 3 4 2" xfId="1341" xr:uid="{00000000-0005-0000-0000-00004F2E0000}"/>
    <cellStyle name="Normal 8 3 4 2 2" xfId="24756" xr:uid="{00000000-0005-0000-0000-0000502E0000}"/>
    <cellStyle name="Normal 8 3 4 2 3" xfId="25479" xr:uid="{00000000-0005-0000-0000-0000512E0000}"/>
    <cellStyle name="Normal 8 3 4 3" xfId="24377" xr:uid="{00000000-0005-0000-0000-0000522E0000}"/>
    <cellStyle name="Normal 8 3 4 4" xfId="25122" xr:uid="{00000000-0005-0000-0000-0000532E0000}"/>
    <cellStyle name="Normal 8 3 5" xfId="1342" xr:uid="{00000000-0005-0000-0000-0000542E0000}"/>
    <cellStyle name="Normal 8 3 5 2" xfId="24576" xr:uid="{00000000-0005-0000-0000-0000552E0000}"/>
    <cellStyle name="Normal 8 3 5 3" xfId="25299" xr:uid="{00000000-0005-0000-0000-0000562E0000}"/>
    <cellStyle name="Normal 8 3 6" xfId="1343" xr:uid="{00000000-0005-0000-0000-0000572E0000}"/>
    <cellStyle name="Normal 8 3 7" xfId="1344" xr:uid="{00000000-0005-0000-0000-0000582E0000}"/>
    <cellStyle name="Normal 8 3 7 2" xfId="1345" xr:uid="{00000000-0005-0000-0000-0000592E0000}"/>
    <cellStyle name="Normal 8 3 7 2 2" xfId="1346" xr:uid="{00000000-0005-0000-0000-00005A2E0000}"/>
    <cellStyle name="Normal 8 3 7 2 2 2" xfId="2669" xr:uid="{00000000-0005-0000-0000-00005B2E0000}"/>
    <cellStyle name="Normal 8 3 7 2 2 3" xfId="41855" xr:uid="{179C1F2A-C145-4435-8D46-88A6C1DFA9F9}"/>
    <cellStyle name="Normal 8 3 7 2 3" xfId="2668" xr:uid="{00000000-0005-0000-0000-00005C2E0000}"/>
    <cellStyle name="Normal 8 3 7 2 4" xfId="26510" xr:uid="{00000000-0005-0000-0000-00005D2E0000}"/>
    <cellStyle name="Normal 8 3 7 2 5" xfId="33153" xr:uid="{F9FCA961-7E88-40BF-9EFB-6140F32CCBF8}"/>
    <cellStyle name="Normal 8 3 7 3" xfId="1347" xr:uid="{00000000-0005-0000-0000-00005E2E0000}"/>
    <cellStyle name="Normal 8 3 7 3 2" xfId="2670" xr:uid="{00000000-0005-0000-0000-00005F2E0000}"/>
    <cellStyle name="Normal 8 3 7 3 3" xfId="41639" xr:uid="{863F798B-EAE3-4418-8E8E-51E69E636830}"/>
    <cellStyle name="Normal 8 3 7 4" xfId="2667" xr:uid="{00000000-0005-0000-0000-0000602E0000}"/>
    <cellStyle name="Normal 8 3 7 5" xfId="26294" xr:uid="{00000000-0005-0000-0000-0000612E0000}"/>
    <cellStyle name="Normal 8 3 7 6" xfId="32931" xr:uid="{A27FB189-EBD5-44AE-8B39-3346C74251F0}"/>
    <cellStyle name="Normal 8 3 8" xfId="1348" xr:uid="{00000000-0005-0000-0000-0000622E0000}"/>
    <cellStyle name="Normal 8 3 8 2" xfId="1349" xr:uid="{00000000-0005-0000-0000-0000632E0000}"/>
    <cellStyle name="Normal 8 3 8 2 2" xfId="1350" xr:uid="{00000000-0005-0000-0000-0000642E0000}"/>
    <cellStyle name="Normal 8 3 8 2 2 2" xfId="2673" xr:uid="{00000000-0005-0000-0000-0000652E0000}"/>
    <cellStyle name="Normal 8 3 8 2 2 3" xfId="41927" xr:uid="{25BFD7E7-471E-4399-AFEA-290953155829}"/>
    <cellStyle name="Normal 8 3 8 2 3" xfId="2672" xr:uid="{00000000-0005-0000-0000-0000662E0000}"/>
    <cellStyle name="Normal 8 3 8 2 4" xfId="26582" xr:uid="{00000000-0005-0000-0000-0000672E0000}"/>
    <cellStyle name="Normal 8 3 8 2 5" xfId="33225" xr:uid="{02D0404B-45EB-4BF4-A080-38F95D8025C6}"/>
    <cellStyle name="Normal 8 3 8 3" xfId="1351" xr:uid="{00000000-0005-0000-0000-0000682E0000}"/>
    <cellStyle name="Normal 8 3 8 3 2" xfId="2674" xr:uid="{00000000-0005-0000-0000-0000692E0000}"/>
    <cellStyle name="Normal 8 3 8 3 3" xfId="41711" xr:uid="{3C89C5E6-BEBF-4EDF-8CC1-C43978E8289C}"/>
    <cellStyle name="Normal 8 3 8 4" xfId="2671" xr:uid="{00000000-0005-0000-0000-00006A2E0000}"/>
    <cellStyle name="Normal 8 3 8 5" xfId="26366" xr:uid="{00000000-0005-0000-0000-00006B2E0000}"/>
    <cellStyle name="Normal 8 3 8 6" xfId="33009" xr:uid="{F1D7441F-E319-4E03-8047-699401EE059A}"/>
    <cellStyle name="Normal 8 3 9" xfId="1352" xr:uid="{00000000-0005-0000-0000-00006C2E0000}"/>
    <cellStyle name="Normal 8 3 9 2" xfId="1353" xr:uid="{00000000-0005-0000-0000-00006D2E0000}"/>
    <cellStyle name="Normal 8 3 9 2 2" xfId="2676" xr:uid="{00000000-0005-0000-0000-00006E2E0000}"/>
    <cellStyle name="Normal 8 3 9 2 3" xfId="41783" xr:uid="{6FD46120-8916-436A-A02F-42448BBC4C98}"/>
    <cellStyle name="Normal 8 3 9 3" xfId="2675" xr:uid="{00000000-0005-0000-0000-00006F2E0000}"/>
    <cellStyle name="Normal 8 3 9 4" xfId="26438" xr:uid="{00000000-0005-0000-0000-0000702E0000}"/>
    <cellStyle name="Normal 8 3 9 5" xfId="33081" xr:uid="{3B4643CA-24D5-4A43-A64C-1716AAE03203}"/>
    <cellStyle name="Normal 8 4" xfId="1354" xr:uid="{00000000-0005-0000-0000-0000712E0000}"/>
    <cellStyle name="Normal 8 4 10" xfId="1355" xr:uid="{00000000-0005-0000-0000-0000722E0000}"/>
    <cellStyle name="Normal 8 4 10 2" xfId="2678" xr:uid="{00000000-0005-0000-0000-0000732E0000}"/>
    <cellStyle name="Normal 8 4 10 3" xfId="41580" xr:uid="{914D0320-FA58-4BCF-8FBA-ACE43C61A8C8}"/>
    <cellStyle name="Normal 8 4 11" xfId="2677" xr:uid="{00000000-0005-0000-0000-0000742E0000}"/>
    <cellStyle name="Normal 8 4 12" xfId="14685" xr:uid="{00000000-0005-0000-0000-0000752E0000}"/>
    <cellStyle name="Normal 8 4 13" xfId="24204" xr:uid="{00000000-0005-0000-0000-0000762E0000}"/>
    <cellStyle name="Normal 8 4 14" xfId="24949" xr:uid="{00000000-0005-0000-0000-0000772E0000}"/>
    <cellStyle name="Normal 8 4 15" xfId="26167" xr:uid="{00000000-0005-0000-0000-0000782E0000}"/>
    <cellStyle name="Normal 8 4 16" xfId="32740" xr:uid="{B0C0994C-F60D-4CAC-91D8-281670301844}"/>
    <cellStyle name="Normal 8 4 2" xfId="1356" xr:uid="{00000000-0005-0000-0000-0000792E0000}"/>
    <cellStyle name="Normal 8 4 2 2" xfId="1357" xr:uid="{00000000-0005-0000-0000-00007A2E0000}"/>
    <cellStyle name="Normal 8 4 2 2 2" xfId="1358" xr:uid="{00000000-0005-0000-0000-00007B2E0000}"/>
    <cellStyle name="Normal 8 4 2 2 2 2" xfId="24895" xr:uid="{00000000-0005-0000-0000-00007C2E0000}"/>
    <cellStyle name="Normal 8 4 2 2 2 2 2" xfId="25618" xr:uid="{00000000-0005-0000-0000-00007D2E0000}"/>
    <cellStyle name="Normal 8 4 2 2 2 3" xfId="24516" xr:uid="{00000000-0005-0000-0000-00007E2E0000}"/>
    <cellStyle name="Normal 8 4 2 2 2 4" xfId="25261" xr:uid="{00000000-0005-0000-0000-00007F2E0000}"/>
    <cellStyle name="Normal 8 4 2 2 3" xfId="2680" xr:uid="{00000000-0005-0000-0000-0000802E0000}"/>
    <cellStyle name="Normal 8 4 2 2 3 2" xfId="24715" xr:uid="{00000000-0005-0000-0000-0000812E0000}"/>
    <cellStyle name="Normal 8 4 2 2 3 3" xfId="25438" xr:uid="{00000000-0005-0000-0000-0000822E0000}"/>
    <cellStyle name="Normal 8 4 2 2 4" xfId="24336" xr:uid="{00000000-0005-0000-0000-0000832E0000}"/>
    <cellStyle name="Normal 8 4 2 2 5" xfId="25081" xr:uid="{00000000-0005-0000-0000-0000842E0000}"/>
    <cellStyle name="Normal 8 4 2 3" xfId="1359" xr:uid="{00000000-0005-0000-0000-0000852E0000}"/>
    <cellStyle name="Normal 8 4 2 3 2" xfId="24807" xr:uid="{00000000-0005-0000-0000-0000862E0000}"/>
    <cellStyle name="Normal 8 4 2 3 2 2" xfId="25530" xr:uid="{00000000-0005-0000-0000-0000872E0000}"/>
    <cellStyle name="Normal 8 4 2 3 3" xfId="24428" xr:uid="{00000000-0005-0000-0000-0000882E0000}"/>
    <cellStyle name="Normal 8 4 2 3 4" xfId="25173" xr:uid="{00000000-0005-0000-0000-0000892E0000}"/>
    <cellStyle name="Normal 8 4 2 4" xfId="2679" xr:uid="{00000000-0005-0000-0000-00008A2E0000}"/>
    <cellStyle name="Normal 8 4 2 4 2" xfId="24627" xr:uid="{00000000-0005-0000-0000-00008B2E0000}"/>
    <cellStyle name="Normal 8 4 2 4 3" xfId="25350" xr:uid="{00000000-0005-0000-0000-00008C2E0000}"/>
    <cellStyle name="Normal 8 4 2 5" xfId="24248" xr:uid="{00000000-0005-0000-0000-00008D2E0000}"/>
    <cellStyle name="Normal 8 4 2 6" xfId="24993" xr:uid="{00000000-0005-0000-0000-00008E2E0000}"/>
    <cellStyle name="Normal 8 4 3" xfId="1360" xr:uid="{00000000-0005-0000-0000-00008F2E0000}"/>
    <cellStyle name="Normal 8 4 3 2" xfId="1361" xr:uid="{00000000-0005-0000-0000-0000902E0000}"/>
    <cellStyle name="Normal 8 4 3 2 2" xfId="24851" xr:uid="{00000000-0005-0000-0000-0000912E0000}"/>
    <cellStyle name="Normal 8 4 3 2 2 2" xfId="25574" xr:uid="{00000000-0005-0000-0000-0000922E0000}"/>
    <cellStyle name="Normal 8 4 3 2 3" xfId="24472" xr:uid="{00000000-0005-0000-0000-0000932E0000}"/>
    <cellStyle name="Normal 8 4 3 2 4" xfId="25217" xr:uid="{00000000-0005-0000-0000-0000942E0000}"/>
    <cellStyle name="Normal 8 4 3 3" xfId="1362" xr:uid="{00000000-0005-0000-0000-0000952E0000}"/>
    <cellStyle name="Normal 8 4 3 3 2" xfId="24671" xr:uid="{00000000-0005-0000-0000-0000962E0000}"/>
    <cellStyle name="Normal 8 4 3 3 3" xfId="25394" xr:uid="{00000000-0005-0000-0000-0000972E0000}"/>
    <cellStyle name="Normal 8 4 3 4" xfId="2681" xr:uid="{00000000-0005-0000-0000-0000982E0000}"/>
    <cellStyle name="Normal 8 4 3 5" xfId="24292" xr:uid="{00000000-0005-0000-0000-0000992E0000}"/>
    <cellStyle name="Normal 8 4 3 6" xfId="25037" xr:uid="{00000000-0005-0000-0000-00009A2E0000}"/>
    <cellStyle name="Normal 8 4 4" xfId="1363" xr:uid="{00000000-0005-0000-0000-00009B2E0000}"/>
    <cellStyle name="Normal 8 4 4 2" xfId="1364" xr:uid="{00000000-0005-0000-0000-00009C2E0000}"/>
    <cellStyle name="Normal 8 4 4 2 2" xfId="24763" xr:uid="{00000000-0005-0000-0000-00009D2E0000}"/>
    <cellStyle name="Normal 8 4 4 2 3" xfId="25486" xr:uid="{00000000-0005-0000-0000-00009E2E0000}"/>
    <cellStyle name="Normal 8 4 4 3" xfId="24384" xr:uid="{00000000-0005-0000-0000-00009F2E0000}"/>
    <cellStyle name="Normal 8 4 4 4" xfId="25129" xr:uid="{00000000-0005-0000-0000-0000A02E0000}"/>
    <cellStyle name="Normal 8 4 5" xfId="1365" xr:uid="{00000000-0005-0000-0000-0000A12E0000}"/>
    <cellStyle name="Normal 8 4 5 2" xfId="24583" xr:uid="{00000000-0005-0000-0000-0000A22E0000}"/>
    <cellStyle name="Normal 8 4 5 3" xfId="25306" xr:uid="{00000000-0005-0000-0000-0000A32E0000}"/>
    <cellStyle name="Normal 8 4 6" xfId="1366" xr:uid="{00000000-0005-0000-0000-0000A42E0000}"/>
    <cellStyle name="Normal 8 4 7" xfId="1367" xr:uid="{00000000-0005-0000-0000-0000A52E0000}"/>
    <cellStyle name="Normal 8 4 7 2" xfId="1368" xr:uid="{00000000-0005-0000-0000-0000A62E0000}"/>
    <cellStyle name="Normal 8 4 7 2 2" xfId="1369" xr:uid="{00000000-0005-0000-0000-0000A72E0000}"/>
    <cellStyle name="Normal 8 4 7 2 2 2" xfId="2684" xr:uid="{00000000-0005-0000-0000-0000A82E0000}"/>
    <cellStyle name="Normal 8 4 7 2 2 3" xfId="41868" xr:uid="{A0878F85-7401-4BC4-B1A3-E7BB8208FFA2}"/>
    <cellStyle name="Normal 8 4 7 2 3" xfId="2683" xr:uid="{00000000-0005-0000-0000-0000A92E0000}"/>
    <cellStyle name="Normal 8 4 7 2 4" xfId="26523" xr:uid="{00000000-0005-0000-0000-0000AA2E0000}"/>
    <cellStyle name="Normal 8 4 7 2 5" xfId="33166" xr:uid="{BAE3EFC0-EF34-4FA6-B17B-1B0CB70C54CC}"/>
    <cellStyle name="Normal 8 4 7 3" xfId="1370" xr:uid="{00000000-0005-0000-0000-0000AB2E0000}"/>
    <cellStyle name="Normal 8 4 7 3 2" xfId="2685" xr:uid="{00000000-0005-0000-0000-0000AC2E0000}"/>
    <cellStyle name="Normal 8 4 7 3 3" xfId="41652" xr:uid="{6EDE6728-DC52-4C96-8DF9-1CC84B96D50C}"/>
    <cellStyle name="Normal 8 4 7 4" xfId="2682" xr:uid="{00000000-0005-0000-0000-0000AD2E0000}"/>
    <cellStyle name="Normal 8 4 7 5" xfId="26307" xr:uid="{00000000-0005-0000-0000-0000AE2E0000}"/>
    <cellStyle name="Normal 8 4 7 6" xfId="32944" xr:uid="{5AE8E36C-DF23-4B6D-A4CF-A7A2BDC9E361}"/>
    <cellStyle name="Normal 8 4 8" xfId="1371" xr:uid="{00000000-0005-0000-0000-0000AF2E0000}"/>
    <cellStyle name="Normal 8 4 8 2" xfId="1372" xr:uid="{00000000-0005-0000-0000-0000B02E0000}"/>
    <cellStyle name="Normal 8 4 8 2 2" xfId="1373" xr:uid="{00000000-0005-0000-0000-0000B12E0000}"/>
    <cellStyle name="Normal 8 4 8 2 2 2" xfId="2688" xr:uid="{00000000-0005-0000-0000-0000B22E0000}"/>
    <cellStyle name="Normal 8 4 8 2 2 3" xfId="41940" xr:uid="{A5131D1C-4A5A-492D-AABD-A7C5B55CBD9B}"/>
    <cellStyle name="Normal 8 4 8 2 3" xfId="2687" xr:uid="{00000000-0005-0000-0000-0000B32E0000}"/>
    <cellStyle name="Normal 8 4 8 2 4" xfId="26595" xr:uid="{00000000-0005-0000-0000-0000B42E0000}"/>
    <cellStyle name="Normal 8 4 8 2 5" xfId="33238" xr:uid="{B5A997E8-2877-45AE-B9B8-E716ADE24166}"/>
    <cellStyle name="Normal 8 4 8 3" xfId="1374" xr:uid="{00000000-0005-0000-0000-0000B52E0000}"/>
    <cellStyle name="Normal 8 4 8 3 2" xfId="2689" xr:uid="{00000000-0005-0000-0000-0000B62E0000}"/>
    <cellStyle name="Normal 8 4 8 3 3" xfId="41724" xr:uid="{EE315A31-C856-4926-A69A-03F56688DF29}"/>
    <cellStyle name="Normal 8 4 8 4" xfId="2686" xr:uid="{00000000-0005-0000-0000-0000B72E0000}"/>
    <cellStyle name="Normal 8 4 8 5" xfId="26379" xr:uid="{00000000-0005-0000-0000-0000B82E0000}"/>
    <cellStyle name="Normal 8 4 8 6" xfId="33022" xr:uid="{8F8F623D-4D49-4C08-B523-D9983F4670A0}"/>
    <cellStyle name="Normal 8 4 9" xfId="1375" xr:uid="{00000000-0005-0000-0000-0000B92E0000}"/>
    <cellStyle name="Normal 8 4 9 2" xfId="1376" xr:uid="{00000000-0005-0000-0000-0000BA2E0000}"/>
    <cellStyle name="Normal 8 4 9 2 2" xfId="2691" xr:uid="{00000000-0005-0000-0000-0000BB2E0000}"/>
    <cellStyle name="Normal 8 4 9 2 3" xfId="41796" xr:uid="{AFAD6975-8870-4672-9E44-B2BA7AB0C89C}"/>
    <cellStyle name="Normal 8 4 9 3" xfId="2690" xr:uid="{00000000-0005-0000-0000-0000BC2E0000}"/>
    <cellStyle name="Normal 8 4 9 4" xfId="26451" xr:uid="{00000000-0005-0000-0000-0000BD2E0000}"/>
    <cellStyle name="Normal 8 4 9 5" xfId="33094" xr:uid="{8A95A618-853E-420E-9A0D-6A83849B5AC4}"/>
    <cellStyle name="Normal 8 5" xfId="1377" xr:uid="{00000000-0005-0000-0000-0000BE2E0000}"/>
    <cellStyle name="Normal 8 5 10" xfId="24973" xr:uid="{00000000-0005-0000-0000-0000BF2E0000}"/>
    <cellStyle name="Normal 8 5 2" xfId="1378" xr:uid="{00000000-0005-0000-0000-0000C02E0000}"/>
    <cellStyle name="Normal 8 5 2 2" xfId="1379" xr:uid="{00000000-0005-0000-0000-0000C12E0000}"/>
    <cellStyle name="Normal 8 5 2 2 2" xfId="24875" xr:uid="{00000000-0005-0000-0000-0000C22E0000}"/>
    <cellStyle name="Normal 8 5 2 2 2 2" xfId="25598" xr:uid="{00000000-0005-0000-0000-0000C32E0000}"/>
    <cellStyle name="Normal 8 5 2 2 3" xfId="24496" xr:uid="{00000000-0005-0000-0000-0000C42E0000}"/>
    <cellStyle name="Normal 8 5 2 2 4" xfId="25241" xr:uid="{00000000-0005-0000-0000-0000C52E0000}"/>
    <cellStyle name="Normal 8 5 2 3" xfId="1380" xr:uid="{00000000-0005-0000-0000-0000C62E0000}"/>
    <cellStyle name="Normal 8 5 2 3 2" xfId="24695" xr:uid="{00000000-0005-0000-0000-0000C72E0000}"/>
    <cellStyle name="Normal 8 5 2 3 3" xfId="25418" xr:uid="{00000000-0005-0000-0000-0000C82E0000}"/>
    <cellStyle name="Normal 8 5 2 4" xfId="2693" xr:uid="{00000000-0005-0000-0000-0000C92E0000}"/>
    <cellStyle name="Normal 8 5 2 5" xfId="24316" xr:uid="{00000000-0005-0000-0000-0000CA2E0000}"/>
    <cellStyle name="Normal 8 5 2 6" xfId="25061" xr:uid="{00000000-0005-0000-0000-0000CB2E0000}"/>
    <cellStyle name="Normal 8 5 3" xfId="1381" xr:uid="{00000000-0005-0000-0000-0000CC2E0000}"/>
    <cellStyle name="Normal 8 5 3 2" xfId="1382" xr:uid="{00000000-0005-0000-0000-0000CD2E0000}"/>
    <cellStyle name="Normal 8 5 3 2 2" xfId="24787" xr:uid="{00000000-0005-0000-0000-0000CE2E0000}"/>
    <cellStyle name="Normal 8 5 3 2 3" xfId="25510" xr:uid="{00000000-0005-0000-0000-0000CF2E0000}"/>
    <cellStyle name="Normal 8 5 3 3" xfId="24408" xr:uid="{00000000-0005-0000-0000-0000D02E0000}"/>
    <cellStyle name="Normal 8 5 3 4" xfId="25153" xr:uid="{00000000-0005-0000-0000-0000D12E0000}"/>
    <cellStyle name="Normal 8 5 4" xfId="1383" xr:uid="{00000000-0005-0000-0000-0000D22E0000}"/>
    <cellStyle name="Normal 8 5 4 2" xfId="24607" xr:uid="{00000000-0005-0000-0000-0000D32E0000}"/>
    <cellStyle name="Normal 8 5 4 3" xfId="25330" xr:uid="{00000000-0005-0000-0000-0000D42E0000}"/>
    <cellStyle name="Normal 8 5 5" xfId="1384" xr:uid="{00000000-0005-0000-0000-0000D52E0000}"/>
    <cellStyle name="Normal 8 5 6" xfId="1385" xr:uid="{00000000-0005-0000-0000-0000D62E0000}"/>
    <cellStyle name="Normal 8 5 7" xfId="2692" xr:uid="{00000000-0005-0000-0000-0000D72E0000}"/>
    <cellStyle name="Normal 8 5 8" xfId="19381" xr:uid="{00000000-0005-0000-0000-0000D82E0000}"/>
    <cellStyle name="Normal 8 5 9" xfId="24228" xr:uid="{00000000-0005-0000-0000-0000D92E0000}"/>
    <cellStyle name="Normal 8 6" xfId="1386" xr:uid="{00000000-0005-0000-0000-0000DA2E0000}"/>
    <cellStyle name="Normal 8 6 10" xfId="25017" xr:uid="{00000000-0005-0000-0000-0000DB2E0000}"/>
    <cellStyle name="Normal 8 6 2" xfId="1387" xr:uid="{00000000-0005-0000-0000-0000DC2E0000}"/>
    <cellStyle name="Normal 8 6 2 2" xfId="1388" xr:uid="{00000000-0005-0000-0000-0000DD2E0000}"/>
    <cellStyle name="Normal 8 6 2 2 2" xfId="24831" xr:uid="{00000000-0005-0000-0000-0000DE2E0000}"/>
    <cellStyle name="Normal 8 6 2 2 3" xfId="25554" xr:uid="{00000000-0005-0000-0000-0000DF2E0000}"/>
    <cellStyle name="Normal 8 6 2 3" xfId="24452" xr:uid="{00000000-0005-0000-0000-0000E02E0000}"/>
    <cellStyle name="Normal 8 6 2 4" xfId="25197" xr:uid="{00000000-0005-0000-0000-0000E12E0000}"/>
    <cellStyle name="Normal 8 6 3" xfId="1389" xr:uid="{00000000-0005-0000-0000-0000E22E0000}"/>
    <cellStyle name="Normal 8 6 3 2" xfId="1390" xr:uid="{00000000-0005-0000-0000-0000E32E0000}"/>
    <cellStyle name="Normal 8 6 3 3" xfId="24651" xr:uid="{00000000-0005-0000-0000-0000E42E0000}"/>
    <cellStyle name="Normal 8 6 3 4" xfId="25374" xr:uid="{00000000-0005-0000-0000-0000E52E0000}"/>
    <cellStyle name="Normal 8 6 4" xfId="1391" xr:uid="{00000000-0005-0000-0000-0000E62E0000}"/>
    <cellStyle name="Normal 8 6 5" xfId="1392" xr:uid="{00000000-0005-0000-0000-0000E72E0000}"/>
    <cellStyle name="Normal 8 6 6" xfId="1393" xr:uid="{00000000-0005-0000-0000-0000E82E0000}"/>
    <cellStyle name="Normal 8 6 7" xfId="2694" xr:uid="{00000000-0005-0000-0000-0000E92E0000}"/>
    <cellStyle name="Normal 8 6 8" xfId="23872" xr:uid="{00000000-0005-0000-0000-0000EA2E0000}"/>
    <cellStyle name="Normal 8 6 9" xfId="24272" xr:uid="{00000000-0005-0000-0000-0000EB2E0000}"/>
    <cellStyle name="Normal 8 7" xfId="1394" xr:uid="{00000000-0005-0000-0000-0000EC2E0000}"/>
    <cellStyle name="Normal 8 7 2" xfId="1395" xr:uid="{00000000-0005-0000-0000-0000ED2E0000}"/>
    <cellStyle name="Normal 8 7 2 2" xfId="1396" xr:uid="{00000000-0005-0000-0000-0000EE2E0000}"/>
    <cellStyle name="Normal 8 7 2 3" xfId="24741" xr:uid="{00000000-0005-0000-0000-0000EF2E0000}"/>
    <cellStyle name="Normal 8 7 2 4" xfId="25464" xr:uid="{00000000-0005-0000-0000-0000F02E0000}"/>
    <cellStyle name="Normal 8 7 3" xfId="1397" xr:uid="{00000000-0005-0000-0000-0000F12E0000}"/>
    <cellStyle name="Normal 8 7 3 2" xfId="1398" xr:uid="{00000000-0005-0000-0000-0000F22E0000}"/>
    <cellStyle name="Normal 8 7 4" xfId="1399" xr:uid="{00000000-0005-0000-0000-0000F32E0000}"/>
    <cellStyle name="Normal 8 7 5" xfId="1400" xr:uid="{00000000-0005-0000-0000-0000F42E0000}"/>
    <cellStyle name="Normal 8 7 6" xfId="1401" xr:uid="{00000000-0005-0000-0000-0000F52E0000}"/>
    <cellStyle name="Normal 8 7 7" xfId="2695" xr:uid="{00000000-0005-0000-0000-0000F62E0000}"/>
    <cellStyle name="Normal 8 7 8" xfId="24362" xr:uid="{00000000-0005-0000-0000-0000F72E0000}"/>
    <cellStyle name="Normal 8 7 9" xfId="25107" xr:uid="{00000000-0005-0000-0000-0000F82E0000}"/>
    <cellStyle name="Normal 8 8" xfId="1402" xr:uid="{00000000-0005-0000-0000-0000F92E0000}"/>
    <cellStyle name="Normal 8 8 2" xfId="1403" xr:uid="{00000000-0005-0000-0000-0000FA2E0000}"/>
    <cellStyle name="Normal 8 8 3" xfId="24563" xr:uid="{00000000-0005-0000-0000-0000FB2E0000}"/>
    <cellStyle name="Normal 8 8 4" xfId="25286" xr:uid="{00000000-0005-0000-0000-0000FC2E0000}"/>
    <cellStyle name="Normal 8 9" xfId="1404" xr:uid="{00000000-0005-0000-0000-0000FD2E0000}"/>
    <cellStyle name="Normal 8 9 2" xfId="1405" xr:uid="{00000000-0005-0000-0000-0000FE2E0000}"/>
    <cellStyle name="Normal 80" xfId="1406" xr:uid="{00000000-0005-0000-0000-0000FF2E0000}"/>
    <cellStyle name="Normal 81" xfId="1737" xr:uid="{00000000-0005-0000-0000-0000002F0000}"/>
    <cellStyle name="Normal 81 2" xfId="2847" xr:uid="{00000000-0005-0000-0000-0000012F0000}"/>
    <cellStyle name="Normal 82" xfId="1767" xr:uid="{00000000-0005-0000-0000-0000022F0000}"/>
    <cellStyle name="Normal 82 2" xfId="2863" xr:uid="{00000000-0005-0000-0000-0000032F0000}"/>
    <cellStyle name="Normal 83" xfId="1772" xr:uid="{00000000-0005-0000-0000-0000042F0000}"/>
    <cellStyle name="Normal 83 2" xfId="2868" xr:uid="{00000000-0005-0000-0000-0000052F0000}"/>
    <cellStyle name="Normal 84" xfId="1766" xr:uid="{00000000-0005-0000-0000-0000062F0000}"/>
    <cellStyle name="Normal 84 2" xfId="2862" xr:uid="{00000000-0005-0000-0000-0000072F0000}"/>
    <cellStyle name="Normal 85" xfId="1773" xr:uid="{00000000-0005-0000-0000-0000082F0000}"/>
    <cellStyle name="Normal 85 2" xfId="2869" xr:uid="{00000000-0005-0000-0000-0000092F0000}"/>
    <cellStyle name="Normal 86" xfId="1774" xr:uid="{00000000-0005-0000-0000-00000A2F0000}"/>
    <cellStyle name="Normal 86 2" xfId="2870" xr:uid="{00000000-0005-0000-0000-00000B2F0000}"/>
    <cellStyle name="Normal 87" xfId="1787" xr:uid="{00000000-0005-0000-0000-00000C2F0000}"/>
    <cellStyle name="Normal 87 2" xfId="2883" xr:uid="{00000000-0005-0000-0000-00000D2F0000}"/>
    <cellStyle name="Normal 88" xfId="1790" xr:uid="{00000000-0005-0000-0000-00000E2F0000}"/>
    <cellStyle name="Normal 88 2" xfId="2886" xr:uid="{00000000-0005-0000-0000-00000F2F0000}"/>
    <cellStyle name="Normal 89" xfId="1799" xr:uid="{00000000-0005-0000-0000-0000102F0000}"/>
    <cellStyle name="Normal 9" xfId="1407" xr:uid="{00000000-0005-0000-0000-0000112F0000}"/>
    <cellStyle name="Normal 9 10" xfId="1408" xr:uid="{00000000-0005-0000-0000-0000122F0000}"/>
    <cellStyle name="Normal 9 10 2" xfId="1409" xr:uid="{00000000-0005-0000-0000-0000132F0000}"/>
    <cellStyle name="Normal 9 10 2 2" xfId="1410" xr:uid="{00000000-0005-0000-0000-0000142F0000}"/>
    <cellStyle name="Normal 9 10 2 2 2" xfId="2698" xr:uid="{00000000-0005-0000-0000-0000152F0000}"/>
    <cellStyle name="Normal 9 10 2 2 3" xfId="41916" xr:uid="{8AB8153D-8CEF-4D8F-B5B2-383F24ABBF75}"/>
    <cellStyle name="Normal 9 10 2 3" xfId="2697" xr:uid="{00000000-0005-0000-0000-0000162F0000}"/>
    <cellStyle name="Normal 9 10 2 4" xfId="26571" xr:uid="{00000000-0005-0000-0000-0000172F0000}"/>
    <cellStyle name="Normal 9 10 2 5" xfId="33214" xr:uid="{C4295264-6C54-49BA-8906-AD8FC1EE1B1F}"/>
    <cellStyle name="Normal 9 10 3" xfId="1411" xr:uid="{00000000-0005-0000-0000-0000182F0000}"/>
    <cellStyle name="Normal 9 10 3 2" xfId="2699" xr:uid="{00000000-0005-0000-0000-0000192F0000}"/>
    <cellStyle name="Normal 9 10 3 3" xfId="41700" xr:uid="{C48D0D05-8226-4E08-A1F2-83242D762191}"/>
    <cellStyle name="Normal 9 10 4" xfId="2696" xr:uid="{00000000-0005-0000-0000-00001A2F0000}"/>
    <cellStyle name="Normal 9 10 5" xfId="26355" xr:uid="{00000000-0005-0000-0000-00001B2F0000}"/>
    <cellStyle name="Normal 9 10 6" xfId="32998" xr:uid="{203E2AD4-3D49-47DF-A1CA-6AFEEDF1BCE0}"/>
    <cellStyle name="Normal 9 11" xfId="1412" xr:uid="{00000000-0005-0000-0000-00001C2F0000}"/>
    <cellStyle name="Normal 9 11 2" xfId="1413" xr:uid="{00000000-0005-0000-0000-00001D2F0000}"/>
    <cellStyle name="Normal 9 11 2 2" xfId="2701" xr:uid="{00000000-0005-0000-0000-00001E2F0000}"/>
    <cellStyle name="Normal 9 11 2 3" xfId="41772" xr:uid="{4F06E09D-E41E-4CC2-A6DE-1A915929253C}"/>
    <cellStyle name="Normal 9 11 3" xfId="2700" xr:uid="{00000000-0005-0000-0000-00001F2F0000}"/>
    <cellStyle name="Normal 9 11 4" xfId="26427" xr:uid="{00000000-0005-0000-0000-0000202F0000}"/>
    <cellStyle name="Normal 9 11 5" xfId="33070" xr:uid="{641601A7-253B-4BA8-95A2-E70C532F4C3F}"/>
    <cellStyle name="Normal 9 12" xfId="1414" xr:uid="{00000000-0005-0000-0000-0000212F0000}"/>
    <cellStyle name="Normal 9 12 2" xfId="2702" xr:uid="{00000000-0005-0000-0000-0000222F0000}"/>
    <cellStyle name="Normal 9 12 3" xfId="41554" xr:uid="{2CE68039-E7E3-4620-B12F-887FF13888EF}"/>
    <cellStyle name="Normal 9 13" xfId="5282" xr:uid="{00000000-0005-0000-0000-0000232F0000}"/>
    <cellStyle name="Normal 9 13 2" xfId="26138" xr:uid="{00000000-0005-0000-0000-0000242F0000}"/>
    <cellStyle name="Normal 9 14" xfId="24185" xr:uid="{00000000-0005-0000-0000-0000252F0000}"/>
    <cellStyle name="Normal 9 15" xfId="24928" xr:uid="{00000000-0005-0000-0000-0000262F0000}"/>
    <cellStyle name="Normal 9 16" xfId="32696" xr:uid="{09B103A4-A783-4E12-8AB8-5CD84248ACB2}"/>
    <cellStyle name="Normal 9 2" xfId="1415" xr:uid="{00000000-0005-0000-0000-0000272F0000}"/>
    <cellStyle name="Normal 9 2 10" xfId="5399" xr:uid="{00000000-0005-0000-0000-0000282F0000}"/>
    <cellStyle name="Normal 9 2 11" xfId="24186" xr:uid="{00000000-0005-0000-0000-0000292F0000}"/>
    <cellStyle name="Normal 9 2 12" xfId="24929" xr:uid="{00000000-0005-0000-0000-00002A2F0000}"/>
    <cellStyle name="Normal 9 2 13" xfId="26139" xr:uid="{00000000-0005-0000-0000-00002B2F0000}"/>
    <cellStyle name="Normal 9 2 14" xfId="32697" xr:uid="{4B30D831-B1EA-4673-9118-E932C94F6D07}"/>
    <cellStyle name="Normal 9 2 2" xfId="1416" xr:uid="{00000000-0005-0000-0000-00002C2F0000}"/>
    <cellStyle name="Normal 9 2 2 10" xfId="26157" xr:uid="{00000000-0005-0000-0000-00002D2F0000}"/>
    <cellStyle name="Normal 9 2 2 11" xfId="32730" xr:uid="{90031386-A5B0-49F3-8891-A1EA6852D252}"/>
    <cellStyle name="Normal 9 2 2 2" xfId="1417" xr:uid="{00000000-0005-0000-0000-00002E2F0000}"/>
    <cellStyle name="Normal 9 2 2 2 2" xfId="1418" xr:uid="{00000000-0005-0000-0000-00002F2F0000}"/>
    <cellStyle name="Normal 9 2 2 2 2 2" xfId="1419" xr:uid="{00000000-0005-0000-0000-0000302F0000}"/>
    <cellStyle name="Normal 9 2 2 2 2 2 2" xfId="2707" xr:uid="{00000000-0005-0000-0000-0000312F0000}"/>
    <cellStyle name="Normal 9 2 2 2 2 2 2 2" xfId="24891" xr:uid="{00000000-0005-0000-0000-0000322F0000}"/>
    <cellStyle name="Normal 9 2 2 2 2 2 2 3" xfId="25614" xr:uid="{00000000-0005-0000-0000-0000332F0000}"/>
    <cellStyle name="Normal 9 2 2 2 2 2 3" xfId="24512" xr:uid="{00000000-0005-0000-0000-0000342F0000}"/>
    <cellStyle name="Normal 9 2 2 2 2 2 4" xfId="25257" xr:uid="{00000000-0005-0000-0000-0000352F0000}"/>
    <cellStyle name="Normal 9 2 2 2 2 2 5" xfId="41858" xr:uid="{D6572C73-009E-48A0-83BD-8F8488F16FD5}"/>
    <cellStyle name="Normal 9 2 2 2 2 3" xfId="2706" xr:uid="{00000000-0005-0000-0000-0000362F0000}"/>
    <cellStyle name="Normal 9 2 2 2 2 3 2" xfId="24711" xr:uid="{00000000-0005-0000-0000-0000372F0000}"/>
    <cellStyle name="Normal 9 2 2 2 2 3 3" xfId="25434" xr:uid="{00000000-0005-0000-0000-0000382F0000}"/>
    <cellStyle name="Normal 9 2 2 2 2 4" xfId="24332" xr:uid="{00000000-0005-0000-0000-0000392F0000}"/>
    <cellStyle name="Normal 9 2 2 2 2 5" xfId="25077" xr:uid="{00000000-0005-0000-0000-00003A2F0000}"/>
    <cellStyle name="Normal 9 2 2 2 2 6" xfId="26513" xr:uid="{00000000-0005-0000-0000-00003B2F0000}"/>
    <cellStyle name="Normal 9 2 2 2 2 7" xfId="33156" xr:uid="{655AD2C0-5697-4E49-8062-D7077A3CA2EE}"/>
    <cellStyle name="Normal 9 2 2 2 3" xfId="1420" xr:uid="{00000000-0005-0000-0000-00003C2F0000}"/>
    <cellStyle name="Normal 9 2 2 2 3 2" xfId="2708" xr:uid="{00000000-0005-0000-0000-00003D2F0000}"/>
    <cellStyle name="Normal 9 2 2 2 3 2 2" xfId="24803" xr:uid="{00000000-0005-0000-0000-00003E2F0000}"/>
    <cellStyle name="Normal 9 2 2 2 3 2 3" xfId="25526" xr:uid="{00000000-0005-0000-0000-00003F2F0000}"/>
    <cellStyle name="Normal 9 2 2 2 3 3" xfId="24424" xr:uid="{00000000-0005-0000-0000-0000402F0000}"/>
    <cellStyle name="Normal 9 2 2 2 3 4" xfId="25169" xr:uid="{00000000-0005-0000-0000-0000412F0000}"/>
    <cellStyle name="Normal 9 2 2 2 3 5" xfId="41642" xr:uid="{8C073C36-241F-487F-BF46-D92D2DF2132C}"/>
    <cellStyle name="Normal 9 2 2 2 4" xfId="2705" xr:uid="{00000000-0005-0000-0000-0000422F0000}"/>
    <cellStyle name="Normal 9 2 2 2 4 2" xfId="24623" xr:uid="{00000000-0005-0000-0000-0000432F0000}"/>
    <cellStyle name="Normal 9 2 2 2 4 3" xfId="25346" xr:uid="{00000000-0005-0000-0000-0000442F0000}"/>
    <cellStyle name="Normal 9 2 2 2 5" xfId="24147" xr:uid="{00000000-0005-0000-0000-0000452F0000}"/>
    <cellStyle name="Normal 9 2 2 2 6" xfId="24244" xr:uid="{00000000-0005-0000-0000-0000462F0000}"/>
    <cellStyle name="Normal 9 2 2 2 7" xfId="24989" xr:uid="{00000000-0005-0000-0000-0000472F0000}"/>
    <cellStyle name="Normal 9 2 2 2 8" xfId="26297" xr:uid="{00000000-0005-0000-0000-0000482F0000}"/>
    <cellStyle name="Normal 9 2 2 2 9" xfId="32934" xr:uid="{B6D37CA5-79A3-4048-9F04-2FF432485C9D}"/>
    <cellStyle name="Normal 9 2 2 3" xfId="1421" xr:uid="{00000000-0005-0000-0000-0000492F0000}"/>
    <cellStyle name="Normal 9 2 2 3 2" xfId="1422" xr:uid="{00000000-0005-0000-0000-00004A2F0000}"/>
    <cellStyle name="Normal 9 2 2 3 2 2" xfId="1423" xr:uid="{00000000-0005-0000-0000-00004B2F0000}"/>
    <cellStyle name="Normal 9 2 2 3 2 2 2" xfId="2711" xr:uid="{00000000-0005-0000-0000-00004C2F0000}"/>
    <cellStyle name="Normal 9 2 2 3 2 2 3" xfId="24847" xr:uid="{00000000-0005-0000-0000-00004D2F0000}"/>
    <cellStyle name="Normal 9 2 2 3 2 2 4" xfId="25570" xr:uid="{00000000-0005-0000-0000-00004E2F0000}"/>
    <cellStyle name="Normal 9 2 2 3 2 2 5" xfId="41930" xr:uid="{8014EB8B-7EE3-49B7-8133-E68E0491CE77}"/>
    <cellStyle name="Normal 9 2 2 3 2 3" xfId="2710" xr:uid="{00000000-0005-0000-0000-00004F2F0000}"/>
    <cellStyle name="Normal 9 2 2 3 2 4" xfId="24468" xr:uid="{00000000-0005-0000-0000-0000502F0000}"/>
    <cellStyle name="Normal 9 2 2 3 2 5" xfId="25213" xr:uid="{00000000-0005-0000-0000-0000512F0000}"/>
    <cellStyle name="Normal 9 2 2 3 2 6" xfId="26585" xr:uid="{00000000-0005-0000-0000-0000522F0000}"/>
    <cellStyle name="Normal 9 2 2 3 2 7" xfId="33228" xr:uid="{C3326E15-AF21-496C-BB0E-6CFBECE3B2BA}"/>
    <cellStyle name="Normal 9 2 2 3 3" xfId="1424" xr:uid="{00000000-0005-0000-0000-0000532F0000}"/>
    <cellStyle name="Normal 9 2 2 3 3 2" xfId="2712" xr:uid="{00000000-0005-0000-0000-0000542F0000}"/>
    <cellStyle name="Normal 9 2 2 3 3 3" xfId="24667" xr:uid="{00000000-0005-0000-0000-0000552F0000}"/>
    <cellStyle name="Normal 9 2 2 3 3 4" xfId="25390" xr:uid="{00000000-0005-0000-0000-0000562F0000}"/>
    <cellStyle name="Normal 9 2 2 3 3 5" xfId="41714" xr:uid="{4A9177EC-83BB-4D82-A72E-5FD9B680497B}"/>
    <cellStyle name="Normal 9 2 2 3 4" xfId="2709" xr:uid="{00000000-0005-0000-0000-0000572F0000}"/>
    <cellStyle name="Normal 9 2 2 3 5" xfId="24288" xr:uid="{00000000-0005-0000-0000-0000582F0000}"/>
    <cellStyle name="Normal 9 2 2 3 6" xfId="25033" xr:uid="{00000000-0005-0000-0000-0000592F0000}"/>
    <cellStyle name="Normal 9 2 2 3 7" xfId="26369" xr:uid="{00000000-0005-0000-0000-00005A2F0000}"/>
    <cellStyle name="Normal 9 2 2 3 8" xfId="33012" xr:uid="{B3B7EBF2-EAF1-48A9-8EC9-289D80F3AEAB}"/>
    <cellStyle name="Normal 9 2 2 4" xfId="1425" xr:uid="{00000000-0005-0000-0000-00005B2F0000}"/>
    <cellStyle name="Normal 9 2 2 4 2" xfId="1426" xr:uid="{00000000-0005-0000-0000-00005C2F0000}"/>
    <cellStyle name="Normal 9 2 2 4 2 2" xfId="2714" xr:uid="{00000000-0005-0000-0000-00005D2F0000}"/>
    <cellStyle name="Normal 9 2 2 4 2 3" xfId="24759" xr:uid="{00000000-0005-0000-0000-00005E2F0000}"/>
    <cellStyle name="Normal 9 2 2 4 2 4" xfId="25482" xr:uid="{00000000-0005-0000-0000-00005F2F0000}"/>
    <cellStyle name="Normal 9 2 2 4 2 5" xfId="41786" xr:uid="{531D71B7-D4C5-4BED-879A-5A8BAFED425D}"/>
    <cellStyle name="Normal 9 2 2 4 3" xfId="2713" xr:uid="{00000000-0005-0000-0000-0000602F0000}"/>
    <cellStyle name="Normal 9 2 2 4 4" xfId="24380" xr:uid="{00000000-0005-0000-0000-0000612F0000}"/>
    <cellStyle name="Normal 9 2 2 4 5" xfId="25125" xr:uid="{00000000-0005-0000-0000-0000622F0000}"/>
    <cellStyle name="Normal 9 2 2 4 6" xfId="26441" xr:uid="{00000000-0005-0000-0000-0000632F0000}"/>
    <cellStyle name="Normal 9 2 2 4 7" xfId="33084" xr:uid="{4845E0A8-5EB8-4655-8E7A-13CFDFE71144}"/>
    <cellStyle name="Normal 9 2 2 5" xfId="1427" xr:uid="{00000000-0005-0000-0000-0000642F0000}"/>
    <cellStyle name="Normal 9 2 2 5 2" xfId="2715" xr:uid="{00000000-0005-0000-0000-0000652F0000}"/>
    <cellStyle name="Normal 9 2 2 5 3" xfId="24579" xr:uid="{00000000-0005-0000-0000-0000662F0000}"/>
    <cellStyle name="Normal 9 2 2 5 4" xfId="25302" xr:uid="{00000000-0005-0000-0000-0000672F0000}"/>
    <cellStyle name="Normal 9 2 2 5 5" xfId="41570" xr:uid="{BD36FF0B-AA89-4FE5-B65F-49E128901FAE}"/>
    <cellStyle name="Normal 9 2 2 6" xfId="2704" xr:uid="{00000000-0005-0000-0000-0000682F0000}"/>
    <cellStyle name="Normal 9 2 2 7" xfId="24154" xr:uid="{00000000-0005-0000-0000-0000692F0000}"/>
    <cellStyle name="Normal 9 2 2 8" xfId="24200" xr:uid="{00000000-0005-0000-0000-00006A2F0000}"/>
    <cellStyle name="Normal 9 2 2 9" xfId="24945" xr:uid="{00000000-0005-0000-0000-00006B2F0000}"/>
    <cellStyle name="Normal 9 2 3" xfId="1428" xr:uid="{00000000-0005-0000-0000-00006C2F0000}"/>
    <cellStyle name="Normal 9 2 3 10" xfId="32743" xr:uid="{3B1B3F8E-A973-44CB-A5A4-7A8EEB294EC9}"/>
    <cellStyle name="Normal 9 2 3 2" xfId="1429" xr:uid="{00000000-0005-0000-0000-00006D2F0000}"/>
    <cellStyle name="Normal 9 2 3 2 2" xfId="1430" xr:uid="{00000000-0005-0000-0000-00006E2F0000}"/>
    <cellStyle name="Normal 9 2 3 2 2 2" xfId="1431" xr:uid="{00000000-0005-0000-0000-00006F2F0000}"/>
    <cellStyle name="Normal 9 2 3 2 2 2 2" xfId="2719" xr:uid="{00000000-0005-0000-0000-0000702F0000}"/>
    <cellStyle name="Normal 9 2 3 2 2 2 3" xfId="24878" xr:uid="{00000000-0005-0000-0000-0000712F0000}"/>
    <cellStyle name="Normal 9 2 3 2 2 2 4" xfId="25601" xr:uid="{00000000-0005-0000-0000-0000722F0000}"/>
    <cellStyle name="Normal 9 2 3 2 2 2 5" xfId="41871" xr:uid="{40D9D390-E628-47DD-9DB5-FD13B308ABFA}"/>
    <cellStyle name="Normal 9 2 3 2 2 3" xfId="2718" xr:uid="{00000000-0005-0000-0000-0000732F0000}"/>
    <cellStyle name="Normal 9 2 3 2 2 4" xfId="24499" xr:uid="{00000000-0005-0000-0000-0000742F0000}"/>
    <cellStyle name="Normal 9 2 3 2 2 5" xfId="25244" xr:uid="{00000000-0005-0000-0000-0000752F0000}"/>
    <cellStyle name="Normal 9 2 3 2 2 6" xfId="26526" xr:uid="{00000000-0005-0000-0000-0000762F0000}"/>
    <cellStyle name="Normal 9 2 3 2 2 7" xfId="33169" xr:uid="{983ADF57-9631-47C4-80AD-2638A00EC54E}"/>
    <cellStyle name="Normal 9 2 3 2 3" xfId="1432" xr:uid="{00000000-0005-0000-0000-0000772F0000}"/>
    <cellStyle name="Normal 9 2 3 2 3 2" xfId="2720" xr:uid="{00000000-0005-0000-0000-0000782F0000}"/>
    <cellStyle name="Normal 9 2 3 2 3 3" xfId="24698" xr:uid="{00000000-0005-0000-0000-0000792F0000}"/>
    <cellStyle name="Normal 9 2 3 2 3 4" xfId="25421" xr:uid="{00000000-0005-0000-0000-00007A2F0000}"/>
    <cellStyle name="Normal 9 2 3 2 3 5" xfId="41655" xr:uid="{833F7ACE-5CCF-48A7-81F3-42A4AC0DC624}"/>
    <cellStyle name="Normal 9 2 3 2 4" xfId="2717" xr:uid="{00000000-0005-0000-0000-00007B2F0000}"/>
    <cellStyle name="Normal 9 2 3 2 5" xfId="24319" xr:uid="{00000000-0005-0000-0000-00007C2F0000}"/>
    <cellStyle name="Normal 9 2 3 2 6" xfId="25064" xr:uid="{00000000-0005-0000-0000-00007D2F0000}"/>
    <cellStyle name="Normal 9 2 3 2 7" xfId="26310" xr:uid="{00000000-0005-0000-0000-00007E2F0000}"/>
    <cellStyle name="Normal 9 2 3 2 8" xfId="32947" xr:uid="{D03FD5F3-E7B8-4EF3-A0D2-29FCD26051E1}"/>
    <cellStyle name="Normal 9 2 3 3" xfId="1433" xr:uid="{00000000-0005-0000-0000-00007F2F0000}"/>
    <cellStyle name="Normal 9 2 3 3 2" xfId="1434" xr:uid="{00000000-0005-0000-0000-0000802F0000}"/>
    <cellStyle name="Normal 9 2 3 3 2 2" xfId="1435" xr:uid="{00000000-0005-0000-0000-0000812F0000}"/>
    <cellStyle name="Normal 9 2 3 3 2 2 2" xfId="2723" xr:uid="{00000000-0005-0000-0000-0000822F0000}"/>
    <cellStyle name="Normal 9 2 3 3 2 2 3" xfId="41943" xr:uid="{D5989632-7B0F-4C00-AB43-18B22D7C1BF6}"/>
    <cellStyle name="Normal 9 2 3 3 2 3" xfId="2722" xr:uid="{00000000-0005-0000-0000-0000832F0000}"/>
    <cellStyle name="Normal 9 2 3 3 2 4" xfId="24790" xr:uid="{00000000-0005-0000-0000-0000842F0000}"/>
    <cellStyle name="Normal 9 2 3 3 2 5" xfId="25513" xr:uid="{00000000-0005-0000-0000-0000852F0000}"/>
    <cellStyle name="Normal 9 2 3 3 2 6" xfId="26598" xr:uid="{00000000-0005-0000-0000-0000862F0000}"/>
    <cellStyle name="Normal 9 2 3 3 2 7" xfId="33241" xr:uid="{E6D6DA16-D9CF-4EDF-8692-E43A588E3833}"/>
    <cellStyle name="Normal 9 2 3 3 3" xfId="1436" xr:uid="{00000000-0005-0000-0000-0000872F0000}"/>
    <cellStyle name="Normal 9 2 3 3 3 2" xfId="2724" xr:uid="{00000000-0005-0000-0000-0000882F0000}"/>
    <cellStyle name="Normal 9 2 3 3 3 3" xfId="41727" xr:uid="{E955EB39-F32B-4E9A-9E8B-631BC4867AB1}"/>
    <cellStyle name="Normal 9 2 3 3 4" xfId="2721" xr:uid="{00000000-0005-0000-0000-0000892F0000}"/>
    <cellStyle name="Normal 9 2 3 3 5" xfId="24411" xr:uid="{00000000-0005-0000-0000-00008A2F0000}"/>
    <cellStyle name="Normal 9 2 3 3 6" xfId="25156" xr:uid="{00000000-0005-0000-0000-00008B2F0000}"/>
    <cellStyle name="Normal 9 2 3 3 7" xfId="26382" xr:uid="{00000000-0005-0000-0000-00008C2F0000}"/>
    <cellStyle name="Normal 9 2 3 3 8" xfId="33025" xr:uid="{807F3056-3903-4B18-9191-BAAFD61DEB50}"/>
    <cellStyle name="Normal 9 2 3 4" xfId="1437" xr:uid="{00000000-0005-0000-0000-00008D2F0000}"/>
    <cellStyle name="Normal 9 2 3 4 2" xfId="1438" xr:uid="{00000000-0005-0000-0000-00008E2F0000}"/>
    <cellStyle name="Normal 9 2 3 4 2 2" xfId="2726" xr:uid="{00000000-0005-0000-0000-00008F2F0000}"/>
    <cellStyle name="Normal 9 2 3 4 2 3" xfId="41799" xr:uid="{4CE4AB6A-FD20-457B-A990-8E68C8B58590}"/>
    <cellStyle name="Normal 9 2 3 4 3" xfId="2725" xr:uid="{00000000-0005-0000-0000-0000902F0000}"/>
    <cellStyle name="Normal 9 2 3 4 4" xfId="24610" xr:uid="{00000000-0005-0000-0000-0000912F0000}"/>
    <cellStyle name="Normal 9 2 3 4 5" xfId="25333" xr:uid="{00000000-0005-0000-0000-0000922F0000}"/>
    <cellStyle name="Normal 9 2 3 4 6" xfId="26454" xr:uid="{00000000-0005-0000-0000-0000932F0000}"/>
    <cellStyle name="Normal 9 2 3 4 7" xfId="33097" xr:uid="{F1A140A7-7951-43D1-8BDE-CCA47A10F16D}"/>
    <cellStyle name="Normal 9 2 3 5" xfId="1439" xr:uid="{00000000-0005-0000-0000-0000942F0000}"/>
    <cellStyle name="Normal 9 2 3 5 2" xfId="2727" xr:uid="{00000000-0005-0000-0000-0000952F0000}"/>
    <cellStyle name="Normal 9 2 3 5 3" xfId="41583" xr:uid="{FC3D7403-CA5A-4A7A-A945-1B714A1EFB30}"/>
    <cellStyle name="Normal 9 2 3 6" xfId="2716" xr:uid="{00000000-0005-0000-0000-0000962F0000}"/>
    <cellStyle name="Normal 9 2 3 7" xfId="24231" xr:uid="{00000000-0005-0000-0000-0000972F0000}"/>
    <cellStyle name="Normal 9 2 3 8" xfId="24976" xr:uid="{00000000-0005-0000-0000-0000982F0000}"/>
    <cellStyle name="Normal 9 2 3 9" xfId="26170" xr:uid="{00000000-0005-0000-0000-0000992F0000}"/>
    <cellStyle name="Normal 9 2 4" xfId="1440" xr:uid="{00000000-0005-0000-0000-00009A2F0000}"/>
    <cellStyle name="Normal 9 2 4 10" xfId="32881" xr:uid="{CDE9FA65-773C-4227-8491-08EDF97FAC22}"/>
    <cellStyle name="Normal 9 2 4 2" xfId="1441" xr:uid="{00000000-0005-0000-0000-00009B2F0000}"/>
    <cellStyle name="Normal 9 2 4 2 2" xfId="1442" xr:uid="{00000000-0005-0000-0000-00009C2F0000}"/>
    <cellStyle name="Normal 9 2 4 2 2 2" xfId="1443" xr:uid="{00000000-0005-0000-0000-00009D2F0000}"/>
    <cellStyle name="Normal 9 2 4 2 2 2 2" xfId="2731" xr:uid="{00000000-0005-0000-0000-00009E2F0000}"/>
    <cellStyle name="Normal 9 2 4 2 2 2 3" xfId="41898" xr:uid="{2C86ECCC-9D9E-494A-9C46-555EBB6E5A6A}"/>
    <cellStyle name="Normal 9 2 4 2 2 3" xfId="2730" xr:uid="{00000000-0005-0000-0000-00009F2F0000}"/>
    <cellStyle name="Normal 9 2 4 2 2 4" xfId="24834" xr:uid="{00000000-0005-0000-0000-0000A02F0000}"/>
    <cellStyle name="Normal 9 2 4 2 2 5" xfId="25557" xr:uid="{00000000-0005-0000-0000-0000A12F0000}"/>
    <cellStyle name="Normal 9 2 4 2 2 6" xfId="26553" xr:uid="{00000000-0005-0000-0000-0000A22F0000}"/>
    <cellStyle name="Normal 9 2 4 2 2 7" xfId="33196" xr:uid="{11F6D9E5-DFC0-4DDE-8DC4-80248F6B4F92}"/>
    <cellStyle name="Normal 9 2 4 2 3" xfId="1444" xr:uid="{00000000-0005-0000-0000-0000A32F0000}"/>
    <cellStyle name="Normal 9 2 4 2 3 2" xfId="2732" xr:uid="{00000000-0005-0000-0000-0000A42F0000}"/>
    <cellStyle name="Normal 9 2 4 2 3 3" xfId="41682" xr:uid="{421F9C88-AC26-4A9A-9A61-D20270EF2098}"/>
    <cellStyle name="Normal 9 2 4 2 4" xfId="2729" xr:uid="{00000000-0005-0000-0000-0000A52F0000}"/>
    <cellStyle name="Normal 9 2 4 2 5" xfId="24455" xr:uid="{00000000-0005-0000-0000-0000A62F0000}"/>
    <cellStyle name="Normal 9 2 4 2 6" xfId="25200" xr:uid="{00000000-0005-0000-0000-0000A72F0000}"/>
    <cellStyle name="Normal 9 2 4 2 7" xfId="26337" xr:uid="{00000000-0005-0000-0000-0000A82F0000}"/>
    <cellStyle name="Normal 9 2 4 2 8" xfId="32980" xr:uid="{3FEAE662-F0A6-4685-AE1B-E7024774480A}"/>
    <cellStyle name="Normal 9 2 4 3" xfId="1445" xr:uid="{00000000-0005-0000-0000-0000A92F0000}"/>
    <cellStyle name="Normal 9 2 4 3 2" xfId="1446" xr:uid="{00000000-0005-0000-0000-0000AA2F0000}"/>
    <cellStyle name="Normal 9 2 4 3 2 2" xfId="1447" xr:uid="{00000000-0005-0000-0000-0000AB2F0000}"/>
    <cellStyle name="Normal 9 2 4 3 2 2 2" xfId="2735" xr:uid="{00000000-0005-0000-0000-0000AC2F0000}"/>
    <cellStyle name="Normal 9 2 4 3 2 2 3" xfId="41970" xr:uid="{E8973E0C-BC04-459A-A359-42F7F92D19F3}"/>
    <cellStyle name="Normal 9 2 4 3 2 3" xfId="2734" xr:uid="{00000000-0005-0000-0000-0000AD2F0000}"/>
    <cellStyle name="Normal 9 2 4 3 2 4" xfId="26625" xr:uid="{00000000-0005-0000-0000-0000AE2F0000}"/>
    <cellStyle name="Normal 9 2 4 3 2 5" xfId="33268" xr:uid="{1B5B2D79-7E5E-46E1-BB48-DDEE3CAA3DF0}"/>
    <cellStyle name="Normal 9 2 4 3 3" xfId="1448" xr:uid="{00000000-0005-0000-0000-0000AF2F0000}"/>
    <cellStyle name="Normal 9 2 4 3 3 2" xfId="2736" xr:uid="{00000000-0005-0000-0000-0000B02F0000}"/>
    <cellStyle name="Normal 9 2 4 3 3 3" xfId="41754" xr:uid="{BBD2959C-2424-4938-BA02-4237BAF74538}"/>
    <cellStyle name="Normal 9 2 4 3 4" xfId="2733" xr:uid="{00000000-0005-0000-0000-0000B12F0000}"/>
    <cellStyle name="Normal 9 2 4 3 5" xfId="24654" xr:uid="{00000000-0005-0000-0000-0000B22F0000}"/>
    <cellStyle name="Normal 9 2 4 3 6" xfId="25377" xr:uid="{00000000-0005-0000-0000-0000B32F0000}"/>
    <cellStyle name="Normal 9 2 4 3 7" xfId="26409" xr:uid="{00000000-0005-0000-0000-0000B42F0000}"/>
    <cellStyle name="Normal 9 2 4 3 8" xfId="33052" xr:uid="{728DA560-E80B-43C3-AD5E-BD01108AABDB}"/>
    <cellStyle name="Normal 9 2 4 4" xfId="1449" xr:uid="{00000000-0005-0000-0000-0000B52F0000}"/>
    <cellStyle name="Normal 9 2 4 4 2" xfId="1450" xr:uid="{00000000-0005-0000-0000-0000B62F0000}"/>
    <cellStyle name="Normal 9 2 4 4 2 2" xfId="2738" xr:uid="{00000000-0005-0000-0000-0000B72F0000}"/>
    <cellStyle name="Normal 9 2 4 4 2 3" xfId="41826" xr:uid="{70DE0B32-0638-4C67-B4EA-EDD9916A24A0}"/>
    <cellStyle name="Normal 9 2 4 4 3" xfId="2737" xr:uid="{00000000-0005-0000-0000-0000B82F0000}"/>
    <cellStyle name="Normal 9 2 4 4 4" xfId="26481" xr:uid="{00000000-0005-0000-0000-0000B92F0000}"/>
    <cellStyle name="Normal 9 2 4 4 5" xfId="33124" xr:uid="{4EBF22B4-FA67-4D09-B089-6BD7DA1BDFFC}"/>
    <cellStyle name="Normal 9 2 4 5" xfId="1451" xr:uid="{00000000-0005-0000-0000-0000BA2F0000}"/>
    <cellStyle name="Normal 9 2 4 5 2" xfId="2739" xr:uid="{00000000-0005-0000-0000-0000BB2F0000}"/>
    <cellStyle name="Normal 9 2 4 5 3" xfId="41610" xr:uid="{34227162-32E3-41EE-9F8E-FA51B6816474}"/>
    <cellStyle name="Normal 9 2 4 6" xfId="2728" xr:uid="{00000000-0005-0000-0000-0000BC2F0000}"/>
    <cellStyle name="Normal 9 2 4 7" xfId="24275" xr:uid="{00000000-0005-0000-0000-0000BD2F0000}"/>
    <cellStyle name="Normal 9 2 4 8" xfId="25020" xr:uid="{00000000-0005-0000-0000-0000BE2F0000}"/>
    <cellStyle name="Normal 9 2 4 9" xfId="26265" xr:uid="{00000000-0005-0000-0000-0000BF2F0000}"/>
    <cellStyle name="Normal 9 2 5" xfId="1452" xr:uid="{00000000-0005-0000-0000-0000C02F0000}"/>
    <cellStyle name="Normal 9 2 5 2" xfId="1453" xr:uid="{00000000-0005-0000-0000-0000C12F0000}"/>
    <cellStyle name="Normal 9 2 5 2 2" xfId="1454" xr:uid="{00000000-0005-0000-0000-0000C22F0000}"/>
    <cellStyle name="Normal 9 2 5 2 2 2" xfId="2742" xr:uid="{00000000-0005-0000-0000-0000C32F0000}"/>
    <cellStyle name="Normal 9 2 5 2 2 3" xfId="41845" xr:uid="{54A0FB8B-7966-4F82-A4A5-ACDEF91DD144}"/>
    <cellStyle name="Normal 9 2 5 2 3" xfId="2741" xr:uid="{00000000-0005-0000-0000-0000C42F0000}"/>
    <cellStyle name="Normal 9 2 5 2 4" xfId="24744" xr:uid="{00000000-0005-0000-0000-0000C52F0000}"/>
    <cellStyle name="Normal 9 2 5 2 5" xfId="25467" xr:uid="{00000000-0005-0000-0000-0000C62F0000}"/>
    <cellStyle name="Normal 9 2 5 2 6" xfId="26500" xr:uid="{00000000-0005-0000-0000-0000C72F0000}"/>
    <cellStyle name="Normal 9 2 5 2 7" xfId="33143" xr:uid="{08CC64D6-267A-4CCF-AFE2-D4257E207C0D}"/>
    <cellStyle name="Normal 9 2 5 3" xfId="1455" xr:uid="{00000000-0005-0000-0000-0000C82F0000}"/>
    <cellStyle name="Normal 9 2 5 3 2" xfId="2743" xr:uid="{00000000-0005-0000-0000-0000C92F0000}"/>
    <cellStyle name="Normal 9 2 5 3 3" xfId="41629" xr:uid="{E9E4CA60-A092-4915-BEFF-58F31ABDC38E}"/>
    <cellStyle name="Normal 9 2 5 4" xfId="2740" xr:uid="{00000000-0005-0000-0000-0000CA2F0000}"/>
    <cellStyle name="Normal 9 2 5 5" xfId="24365" xr:uid="{00000000-0005-0000-0000-0000CB2F0000}"/>
    <cellStyle name="Normal 9 2 5 6" xfId="25110" xr:uid="{00000000-0005-0000-0000-0000CC2F0000}"/>
    <cellStyle name="Normal 9 2 5 7" xfId="26284" xr:uid="{00000000-0005-0000-0000-0000CD2F0000}"/>
    <cellStyle name="Normal 9 2 5 8" xfId="32920" xr:uid="{7DF0CB01-6881-4189-A2A9-62328B8A7FE9}"/>
    <cellStyle name="Normal 9 2 6" xfId="1456" xr:uid="{00000000-0005-0000-0000-0000CE2F0000}"/>
    <cellStyle name="Normal 9 2 6 2" xfId="1457" xr:uid="{00000000-0005-0000-0000-0000CF2F0000}"/>
    <cellStyle name="Normal 9 2 6 2 2" xfId="1458" xr:uid="{00000000-0005-0000-0000-0000D02F0000}"/>
    <cellStyle name="Normal 9 2 6 2 2 2" xfId="2746" xr:uid="{00000000-0005-0000-0000-0000D12F0000}"/>
    <cellStyle name="Normal 9 2 6 2 2 3" xfId="41917" xr:uid="{B0D28F8A-2D80-447F-87DB-E93769B6A825}"/>
    <cellStyle name="Normal 9 2 6 2 3" xfId="2745" xr:uid="{00000000-0005-0000-0000-0000D22F0000}"/>
    <cellStyle name="Normal 9 2 6 2 4" xfId="26572" xr:uid="{00000000-0005-0000-0000-0000D32F0000}"/>
    <cellStyle name="Normal 9 2 6 2 5" xfId="33215" xr:uid="{AF72AC51-4842-417B-82AB-4E6593E82AA7}"/>
    <cellStyle name="Normal 9 2 6 3" xfId="1459" xr:uid="{00000000-0005-0000-0000-0000D42F0000}"/>
    <cellStyle name="Normal 9 2 6 3 2" xfId="2747" xr:uid="{00000000-0005-0000-0000-0000D52F0000}"/>
    <cellStyle name="Normal 9 2 6 3 3" xfId="41701" xr:uid="{1626D0DA-F637-4640-BF5A-6190A64D8623}"/>
    <cellStyle name="Normal 9 2 6 4" xfId="2744" xr:uid="{00000000-0005-0000-0000-0000D62F0000}"/>
    <cellStyle name="Normal 9 2 6 5" xfId="24566" xr:uid="{00000000-0005-0000-0000-0000D72F0000}"/>
    <cellStyle name="Normal 9 2 6 6" xfId="25289" xr:uid="{00000000-0005-0000-0000-0000D82F0000}"/>
    <cellStyle name="Normal 9 2 6 7" xfId="26356" xr:uid="{00000000-0005-0000-0000-0000D92F0000}"/>
    <cellStyle name="Normal 9 2 6 8" xfId="32999" xr:uid="{08E860D5-B2DC-49A8-A1F5-F7683FC78AF0}"/>
    <cellStyle name="Normal 9 2 7" xfId="1460" xr:uid="{00000000-0005-0000-0000-0000DA2F0000}"/>
    <cellStyle name="Normal 9 2 7 2" xfId="1461" xr:uid="{00000000-0005-0000-0000-0000DB2F0000}"/>
    <cellStyle name="Normal 9 2 7 2 2" xfId="2749" xr:uid="{00000000-0005-0000-0000-0000DC2F0000}"/>
    <cellStyle name="Normal 9 2 7 2 3" xfId="41773" xr:uid="{5F329F80-E4A4-4436-91DD-2676542F9CE0}"/>
    <cellStyle name="Normal 9 2 7 3" xfId="2748" xr:uid="{00000000-0005-0000-0000-0000DD2F0000}"/>
    <cellStyle name="Normal 9 2 7 4" xfId="26428" xr:uid="{00000000-0005-0000-0000-0000DE2F0000}"/>
    <cellStyle name="Normal 9 2 7 5" xfId="33071" xr:uid="{052125CF-14E2-4517-9E10-470AEB7D5791}"/>
    <cellStyle name="Normal 9 2 8" xfId="1462" xr:uid="{00000000-0005-0000-0000-0000DF2F0000}"/>
    <cellStyle name="Normal 9 2 8 2" xfId="2750" xr:uid="{00000000-0005-0000-0000-0000E02F0000}"/>
    <cellStyle name="Normal 9 2 8 3" xfId="41555" xr:uid="{D53551E5-A725-4CD8-B8C9-A0BD53DFAC1B}"/>
    <cellStyle name="Normal 9 2 9" xfId="2703" xr:uid="{00000000-0005-0000-0000-0000E12F0000}"/>
    <cellStyle name="Normal 9 3" xfId="1463" xr:uid="{00000000-0005-0000-0000-0000E22F0000}"/>
    <cellStyle name="Normal 9 3 10" xfId="26156" xr:uid="{00000000-0005-0000-0000-0000E32F0000}"/>
    <cellStyle name="Normal 9 3 11" xfId="32729" xr:uid="{3E92FA69-D256-4FE4-B41E-8949FD9CBCB5}"/>
    <cellStyle name="Normal 9 3 2" xfId="1464" xr:uid="{00000000-0005-0000-0000-0000E42F0000}"/>
    <cellStyle name="Normal 9 3 2 2" xfId="1465" xr:uid="{00000000-0005-0000-0000-0000E52F0000}"/>
    <cellStyle name="Normal 9 3 2 2 2" xfId="1466" xr:uid="{00000000-0005-0000-0000-0000E62F0000}"/>
    <cellStyle name="Normal 9 3 2 2 2 2" xfId="2754" xr:uid="{00000000-0005-0000-0000-0000E72F0000}"/>
    <cellStyle name="Normal 9 3 2 2 2 2 2" xfId="24890" xr:uid="{00000000-0005-0000-0000-0000E82F0000}"/>
    <cellStyle name="Normal 9 3 2 2 2 2 3" xfId="25613" xr:uid="{00000000-0005-0000-0000-0000E92F0000}"/>
    <cellStyle name="Normal 9 3 2 2 2 3" xfId="24511" xr:uid="{00000000-0005-0000-0000-0000EA2F0000}"/>
    <cellStyle name="Normal 9 3 2 2 2 4" xfId="25256" xr:uid="{00000000-0005-0000-0000-0000EB2F0000}"/>
    <cellStyle name="Normal 9 3 2 2 2 5" xfId="41857" xr:uid="{78F15FF4-9295-4475-8AA8-D1E58983CA59}"/>
    <cellStyle name="Normal 9 3 2 2 3" xfId="2753" xr:uid="{00000000-0005-0000-0000-0000EC2F0000}"/>
    <cellStyle name="Normal 9 3 2 2 3 2" xfId="24710" xr:uid="{00000000-0005-0000-0000-0000ED2F0000}"/>
    <cellStyle name="Normal 9 3 2 2 3 3" xfId="25433" xr:uid="{00000000-0005-0000-0000-0000EE2F0000}"/>
    <cellStyle name="Normal 9 3 2 2 4" xfId="24150" xr:uid="{00000000-0005-0000-0000-0000EF2F0000}"/>
    <cellStyle name="Normal 9 3 2 2 5" xfId="24331" xr:uid="{00000000-0005-0000-0000-0000F02F0000}"/>
    <cellStyle name="Normal 9 3 2 2 6" xfId="25076" xr:uid="{00000000-0005-0000-0000-0000F12F0000}"/>
    <cellStyle name="Normal 9 3 2 2 7" xfId="26512" xr:uid="{00000000-0005-0000-0000-0000F22F0000}"/>
    <cellStyle name="Normal 9 3 2 2 8" xfId="33155" xr:uid="{F479ADB6-DBA1-44DF-B215-67875F0EC490}"/>
    <cellStyle name="Normal 9 3 2 3" xfId="1467" xr:uid="{00000000-0005-0000-0000-0000F32F0000}"/>
    <cellStyle name="Normal 9 3 2 3 2" xfId="2755" xr:uid="{00000000-0005-0000-0000-0000F42F0000}"/>
    <cellStyle name="Normal 9 3 2 3 2 2" xfId="24802" xr:uid="{00000000-0005-0000-0000-0000F52F0000}"/>
    <cellStyle name="Normal 9 3 2 3 2 3" xfId="25525" xr:uid="{00000000-0005-0000-0000-0000F62F0000}"/>
    <cellStyle name="Normal 9 3 2 3 3" xfId="24423" xr:uid="{00000000-0005-0000-0000-0000F72F0000}"/>
    <cellStyle name="Normal 9 3 2 3 4" xfId="25168" xr:uid="{00000000-0005-0000-0000-0000F82F0000}"/>
    <cellStyle name="Normal 9 3 2 3 5" xfId="41641" xr:uid="{52F90A21-AFDC-42BD-A9B0-F380678F5057}"/>
    <cellStyle name="Normal 9 3 2 4" xfId="2752" xr:uid="{00000000-0005-0000-0000-0000F92F0000}"/>
    <cellStyle name="Normal 9 3 2 4 2" xfId="24622" xr:uid="{00000000-0005-0000-0000-0000FA2F0000}"/>
    <cellStyle name="Normal 9 3 2 4 3" xfId="25345" xr:uid="{00000000-0005-0000-0000-0000FB2F0000}"/>
    <cellStyle name="Normal 9 3 2 5" xfId="24155" xr:uid="{00000000-0005-0000-0000-0000FC2F0000}"/>
    <cellStyle name="Normal 9 3 2 6" xfId="24243" xr:uid="{00000000-0005-0000-0000-0000FD2F0000}"/>
    <cellStyle name="Normal 9 3 2 7" xfId="24988" xr:uid="{00000000-0005-0000-0000-0000FE2F0000}"/>
    <cellStyle name="Normal 9 3 2 8" xfId="26296" xr:uid="{00000000-0005-0000-0000-0000FF2F0000}"/>
    <cellStyle name="Normal 9 3 2 9" xfId="32933" xr:uid="{B31A47B4-3D07-47C3-A181-B9BE8769D14A}"/>
    <cellStyle name="Normal 9 3 3" xfId="1468" xr:uid="{00000000-0005-0000-0000-000000300000}"/>
    <cellStyle name="Normal 9 3 3 2" xfId="1469" xr:uid="{00000000-0005-0000-0000-000001300000}"/>
    <cellStyle name="Normal 9 3 3 2 2" xfId="1470" xr:uid="{00000000-0005-0000-0000-000002300000}"/>
    <cellStyle name="Normal 9 3 3 2 2 2" xfId="2758" xr:uid="{00000000-0005-0000-0000-000003300000}"/>
    <cellStyle name="Normal 9 3 3 2 2 3" xfId="24846" xr:uid="{00000000-0005-0000-0000-000004300000}"/>
    <cellStyle name="Normal 9 3 3 2 2 4" xfId="25569" xr:uid="{00000000-0005-0000-0000-000005300000}"/>
    <cellStyle name="Normal 9 3 3 2 2 5" xfId="41929" xr:uid="{6A88419A-742F-49F2-8A27-F77D7140CCB9}"/>
    <cellStyle name="Normal 9 3 3 2 3" xfId="2757" xr:uid="{00000000-0005-0000-0000-000006300000}"/>
    <cellStyle name="Normal 9 3 3 2 4" xfId="24467" xr:uid="{00000000-0005-0000-0000-000007300000}"/>
    <cellStyle name="Normal 9 3 3 2 5" xfId="25212" xr:uid="{00000000-0005-0000-0000-000008300000}"/>
    <cellStyle name="Normal 9 3 3 2 6" xfId="26584" xr:uid="{00000000-0005-0000-0000-000009300000}"/>
    <cellStyle name="Normal 9 3 3 2 7" xfId="33227" xr:uid="{0EFE16AE-DD77-48C1-9341-F3FC6514150A}"/>
    <cellStyle name="Normal 9 3 3 3" xfId="1471" xr:uid="{00000000-0005-0000-0000-00000A300000}"/>
    <cellStyle name="Normal 9 3 3 3 2" xfId="2759" xr:uid="{00000000-0005-0000-0000-00000B300000}"/>
    <cellStyle name="Normal 9 3 3 3 3" xfId="24666" xr:uid="{00000000-0005-0000-0000-00000C300000}"/>
    <cellStyle name="Normal 9 3 3 3 4" xfId="25389" xr:uid="{00000000-0005-0000-0000-00000D300000}"/>
    <cellStyle name="Normal 9 3 3 3 5" xfId="41713" xr:uid="{263A9A4D-C75E-46FA-BC2A-1F99C345FCDC}"/>
    <cellStyle name="Normal 9 3 3 4" xfId="2756" xr:uid="{00000000-0005-0000-0000-00000E300000}"/>
    <cellStyle name="Normal 9 3 3 5" xfId="24287" xr:uid="{00000000-0005-0000-0000-00000F300000}"/>
    <cellStyle name="Normal 9 3 3 6" xfId="25032" xr:uid="{00000000-0005-0000-0000-000010300000}"/>
    <cellStyle name="Normal 9 3 3 7" xfId="26368" xr:uid="{00000000-0005-0000-0000-000011300000}"/>
    <cellStyle name="Normal 9 3 3 8" xfId="33011" xr:uid="{20E89B60-864A-4131-B8BE-C342B0475310}"/>
    <cellStyle name="Normal 9 3 4" xfId="1472" xr:uid="{00000000-0005-0000-0000-000012300000}"/>
    <cellStyle name="Normal 9 3 4 2" xfId="1473" xr:uid="{00000000-0005-0000-0000-000013300000}"/>
    <cellStyle name="Normal 9 3 4 2 2" xfId="2761" xr:uid="{00000000-0005-0000-0000-000014300000}"/>
    <cellStyle name="Normal 9 3 4 2 3" xfId="24758" xr:uid="{00000000-0005-0000-0000-000015300000}"/>
    <cellStyle name="Normal 9 3 4 2 4" xfId="25481" xr:uid="{00000000-0005-0000-0000-000016300000}"/>
    <cellStyle name="Normal 9 3 4 2 5" xfId="41785" xr:uid="{17FE391B-75FB-4C51-8876-0464E3325EEE}"/>
    <cellStyle name="Normal 9 3 4 3" xfId="2760" xr:uid="{00000000-0005-0000-0000-000017300000}"/>
    <cellStyle name="Normal 9 3 4 4" xfId="24379" xr:uid="{00000000-0005-0000-0000-000018300000}"/>
    <cellStyle name="Normal 9 3 4 5" xfId="25124" xr:uid="{00000000-0005-0000-0000-000019300000}"/>
    <cellStyle name="Normal 9 3 4 6" xfId="26440" xr:uid="{00000000-0005-0000-0000-00001A300000}"/>
    <cellStyle name="Normal 9 3 4 7" xfId="33083" xr:uid="{6828F691-C57E-4750-AD30-B2B9E9D2AE1C}"/>
    <cellStyle name="Normal 9 3 5" xfId="1474" xr:uid="{00000000-0005-0000-0000-00001B300000}"/>
    <cellStyle name="Normal 9 3 5 2" xfId="2762" xr:uid="{00000000-0005-0000-0000-00001C300000}"/>
    <cellStyle name="Normal 9 3 5 3" xfId="24578" xr:uid="{00000000-0005-0000-0000-00001D300000}"/>
    <cellStyle name="Normal 9 3 5 4" xfId="25301" xr:uid="{00000000-0005-0000-0000-00001E300000}"/>
    <cellStyle name="Normal 9 3 5 5" xfId="41569" xr:uid="{7B642EA1-19C2-409D-90B7-4A2B16156E60}"/>
    <cellStyle name="Normal 9 3 6" xfId="2751" xr:uid="{00000000-0005-0000-0000-00001F300000}"/>
    <cellStyle name="Normal 9 3 7" xfId="5410" xr:uid="{00000000-0005-0000-0000-000020300000}"/>
    <cellStyle name="Normal 9 3 8" xfId="24199" xr:uid="{00000000-0005-0000-0000-000021300000}"/>
    <cellStyle name="Normal 9 3 9" xfId="24944" xr:uid="{00000000-0005-0000-0000-000022300000}"/>
    <cellStyle name="Normal 9 4" xfId="1475" xr:uid="{00000000-0005-0000-0000-000023300000}"/>
    <cellStyle name="Normal 9 4 10" xfId="26169" xr:uid="{00000000-0005-0000-0000-000024300000}"/>
    <cellStyle name="Normal 9 4 11" xfId="32742" xr:uid="{CE34CF40-99D7-4459-BF48-F6F9F4F74E87}"/>
    <cellStyle name="Normal 9 4 2" xfId="1476" xr:uid="{00000000-0005-0000-0000-000025300000}"/>
    <cellStyle name="Normal 9 4 2 2" xfId="1477" xr:uid="{00000000-0005-0000-0000-000026300000}"/>
    <cellStyle name="Normal 9 4 2 2 2" xfId="1478" xr:uid="{00000000-0005-0000-0000-000027300000}"/>
    <cellStyle name="Normal 9 4 2 2 2 2" xfId="2766" xr:uid="{00000000-0005-0000-0000-000028300000}"/>
    <cellStyle name="Normal 9 4 2 2 2 2 2" xfId="24909" xr:uid="{00000000-0005-0000-0000-000029300000}"/>
    <cellStyle name="Normal 9 4 2 2 2 2 3" xfId="25632" xr:uid="{00000000-0005-0000-0000-00002A300000}"/>
    <cellStyle name="Normal 9 4 2 2 2 3" xfId="24530" xr:uid="{00000000-0005-0000-0000-00002B300000}"/>
    <cellStyle name="Normal 9 4 2 2 2 4" xfId="25275" xr:uid="{00000000-0005-0000-0000-00002C300000}"/>
    <cellStyle name="Normal 9 4 2 2 2 5" xfId="41870" xr:uid="{BCCAB5BF-8B54-4229-95BF-D00B9CF0B777}"/>
    <cellStyle name="Normal 9 4 2 2 3" xfId="2765" xr:uid="{00000000-0005-0000-0000-00002D300000}"/>
    <cellStyle name="Normal 9 4 2 2 3 2" xfId="24729" xr:uid="{00000000-0005-0000-0000-00002E300000}"/>
    <cellStyle name="Normal 9 4 2 2 3 3" xfId="25452" xr:uid="{00000000-0005-0000-0000-00002F300000}"/>
    <cellStyle name="Normal 9 4 2 2 4" xfId="24350" xr:uid="{00000000-0005-0000-0000-000030300000}"/>
    <cellStyle name="Normal 9 4 2 2 5" xfId="25095" xr:uid="{00000000-0005-0000-0000-000031300000}"/>
    <cellStyle name="Normal 9 4 2 2 6" xfId="26525" xr:uid="{00000000-0005-0000-0000-000032300000}"/>
    <cellStyle name="Normal 9 4 2 2 7" xfId="33168" xr:uid="{8FD4FC40-441E-4DAC-BB1D-D3771B844786}"/>
    <cellStyle name="Normal 9 4 2 3" xfId="1479" xr:uid="{00000000-0005-0000-0000-000033300000}"/>
    <cellStyle name="Normal 9 4 2 3 2" xfId="2767" xr:uid="{00000000-0005-0000-0000-000034300000}"/>
    <cellStyle name="Normal 9 4 2 3 2 2" xfId="24821" xr:uid="{00000000-0005-0000-0000-000035300000}"/>
    <cellStyle name="Normal 9 4 2 3 2 3" xfId="25544" xr:uid="{00000000-0005-0000-0000-000036300000}"/>
    <cellStyle name="Normal 9 4 2 3 3" xfId="24442" xr:uid="{00000000-0005-0000-0000-000037300000}"/>
    <cellStyle name="Normal 9 4 2 3 4" xfId="25187" xr:uid="{00000000-0005-0000-0000-000038300000}"/>
    <cellStyle name="Normal 9 4 2 3 5" xfId="41654" xr:uid="{27C5E316-6B7A-4AFA-BBEC-24E4DEC41307}"/>
    <cellStyle name="Normal 9 4 2 4" xfId="2764" xr:uid="{00000000-0005-0000-0000-000039300000}"/>
    <cellStyle name="Normal 9 4 2 4 2" xfId="24641" xr:uid="{00000000-0005-0000-0000-00003A300000}"/>
    <cellStyle name="Normal 9 4 2 4 3" xfId="25364" xr:uid="{00000000-0005-0000-0000-00003B300000}"/>
    <cellStyle name="Normal 9 4 2 5" xfId="24262" xr:uid="{00000000-0005-0000-0000-00003C300000}"/>
    <cellStyle name="Normal 9 4 2 6" xfId="25007" xr:uid="{00000000-0005-0000-0000-00003D300000}"/>
    <cellStyle name="Normal 9 4 2 7" xfId="26309" xr:uid="{00000000-0005-0000-0000-00003E300000}"/>
    <cellStyle name="Normal 9 4 2 8" xfId="32946" xr:uid="{49792178-2923-44CE-9529-AA14658683A7}"/>
    <cellStyle name="Normal 9 4 3" xfId="1480" xr:uid="{00000000-0005-0000-0000-00003F300000}"/>
    <cellStyle name="Normal 9 4 3 2" xfId="1481" xr:uid="{00000000-0005-0000-0000-000040300000}"/>
    <cellStyle name="Normal 9 4 3 2 2" xfId="1482" xr:uid="{00000000-0005-0000-0000-000041300000}"/>
    <cellStyle name="Normal 9 4 3 2 2 2" xfId="2770" xr:uid="{00000000-0005-0000-0000-000042300000}"/>
    <cellStyle name="Normal 9 4 3 2 2 3" xfId="24865" xr:uid="{00000000-0005-0000-0000-000043300000}"/>
    <cellStyle name="Normal 9 4 3 2 2 4" xfId="25588" xr:uid="{00000000-0005-0000-0000-000044300000}"/>
    <cellStyle name="Normal 9 4 3 2 2 5" xfId="41942" xr:uid="{F6ECA9F9-47D8-4556-904E-C04120C2D8BF}"/>
    <cellStyle name="Normal 9 4 3 2 3" xfId="2769" xr:uid="{00000000-0005-0000-0000-000045300000}"/>
    <cellStyle name="Normal 9 4 3 2 4" xfId="24486" xr:uid="{00000000-0005-0000-0000-000046300000}"/>
    <cellStyle name="Normal 9 4 3 2 5" xfId="25231" xr:uid="{00000000-0005-0000-0000-000047300000}"/>
    <cellStyle name="Normal 9 4 3 2 6" xfId="26597" xr:uid="{00000000-0005-0000-0000-000048300000}"/>
    <cellStyle name="Normal 9 4 3 2 7" xfId="33240" xr:uid="{FE682763-0B7D-448E-8504-0DE3EBB36CA9}"/>
    <cellStyle name="Normal 9 4 3 3" xfId="1483" xr:uid="{00000000-0005-0000-0000-000049300000}"/>
    <cellStyle name="Normal 9 4 3 3 2" xfId="2771" xr:uid="{00000000-0005-0000-0000-00004A300000}"/>
    <cellStyle name="Normal 9 4 3 3 3" xfId="24685" xr:uid="{00000000-0005-0000-0000-00004B300000}"/>
    <cellStyle name="Normal 9 4 3 3 4" xfId="25408" xr:uid="{00000000-0005-0000-0000-00004C300000}"/>
    <cellStyle name="Normal 9 4 3 3 5" xfId="41726" xr:uid="{D9C996BB-C3CE-4213-8405-D5A3ECC30CC9}"/>
    <cellStyle name="Normal 9 4 3 4" xfId="2768" xr:uid="{00000000-0005-0000-0000-00004D300000}"/>
    <cellStyle name="Normal 9 4 3 5" xfId="24306" xr:uid="{00000000-0005-0000-0000-00004E300000}"/>
    <cellStyle name="Normal 9 4 3 6" xfId="25051" xr:uid="{00000000-0005-0000-0000-00004F300000}"/>
    <cellStyle name="Normal 9 4 3 7" xfId="26381" xr:uid="{00000000-0005-0000-0000-000050300000}"/>
    <cellStyle name="Normal 9 4 3 8" xfId="33024" xr:uid="{23431AEF-E949-4BF9-9D10-96037C89F05A}"/>
    <cellStyle name="Normal 9 4 4" xfId="1484" xr:uid="{00000000-0005-0000-0000-000051300000}"/>
    <cellStyle name="Normal 9 4 4 2" xfId="1485" xr:uid="{00000000-0005-0000-0000-000052300000}"/>
    <cellStyle name="Normal 9 4 4 2 2" xfId="2773" xr:uid="{00000000-0005-0000-0000-000053300000}"/>
    <cellStyle name="Normal 9 4 4 2 3" xfId="24777" xr:uid="{00000000-0005-0000-0000-000054300000}"/>
    <cellStyle name="Normal 9 4 4 2 4" xfId="25500" xr:uid="{00000000-0005-0000-0000-000055300000}"/>
    <cellStyle name="Normal 9 4 4 2 5" xfId="41798" xr:uid="{65185DB6-2B70-4F14-8C14-D871B2CE4614}"/>
    <cellStyle name="Normal 9 4 4 3" xfId="2772" xr:uid="{00000000-0005-0000-0000-000056300000}"/>
    <cellStyle name="Normal 9 4 4 4" xfId="24398" xr:uid="{00000000-0005-0000-0000-000057300000}"/>
    <cellStyle name="Normal 9 4 4 5" xfId="25143" xr:uid="{00000000-0005-0000-0000-000058300000}"/>
    <cellStyle name="Normal 9 4 4 6" xfId="26453" xr:uid="{00000000-0005-0000-0000-000059300000}"/>
    <cellStyle name="Normal 9 4 4 7" xfId="33096" xr:uid="{23F041AA-A3DA-4A9F-8064-A9FED515D7E9}"/>
    <cellStyle name="Normal 9 4 5" xfId="1486" xr:uid="{00000000-0005-0000-0000-00005A300000}"/>
    <cellStyle name="Normal 9 4 5 2" xfId="2774" xr:uid="{00000000-0005-0000-0000-00005B300000}"/>
    <cellStyle name="Normal 9 4 5 3" xfId="24597" xr:uid="{00000000-0005-0000-0000-00005C300000}"/>
    <cellStyle name="Normal 9 4 5 4" xfId="25320" xr:uid="{00000000-0005-0000-0000-00005D300000}"/>
    <cellStyle name="Normal 9 4 5 5" xfId="41582" xr:uid="{5ED24C81-0AD5-44C4-BE3E-C658A4CC686C}"/>
    <cellStyle name="Normal 9 4 6" xfId="2763" xr:uid="{00000000-0005-0000-0000-00005E300000}"/>
    <cellStyle name="Normal 9 4 7" xfId="7822" xr:uid="{00000000-0005-0000-0000-00005F300000}"/>
    <cellStyle name="Normal 9 4 8" xfId="24218" xr:uid="{00000000-0005-0000-0000-000060300000}"/>
    <cellStyle name="Normal 9 4 9" xfId="24963" xr:uid="{00000000-0005-0000-0000-000061300000}"/>
    <cellStyle name="Normal 9 5" xfId="1487" xr:uid="{00000000-0005-0000-0000-000062300000}"/>
    <cellStyle name="Normal 9 5 10" xfId="26245" xr:uid="{00000000-0005-0000-0000-000063300000}"/>
    <cellStyle name="Normal 9 5 11" xfId="32851" xr:uid="{A2712437-0EC7-4126-8C02-7A5991B96FDE}"/>
    <cellStyle name="Normal 9 5 2" xfId="1488" xr:uid="{00000000-0005-0000-0000-000064300000}"/>
    <cellStyle name="Normal 9 5 2 2" xfId="1489" xr:uid="{00000000-0005-0000-0000-000065300000}"/>
    <cellStyle name="Normal 9 5 2 2 2" xfId="1490" xr:uid="{00000000-0005-0000-0000-000066300000}"/>
    <cellStyle name="Normal 9 5 2 2 2 2" xfId="2778" xr:uid="{00000000-0005-0000-0000-000067300000}"/>
    <cellStyle name="Normal 9 5 2 2 2 3" xfId="24877" xr:uid="{00000000-0005-0000-0000-000068300000}"/>
    <cellStyle name="Normal 9 5 2 2 2 4" xfId="25600" xr:uid="{00000000-0005-0000-0000-000069300000}"/>
    <cellStyle name="Normal 9 5 2 2 2 5" xfId="41879" xr:uid="{01BA6160-8561-4A97-BA1C-5EAD1026D4D9}"/>
    <cellStyle name="Normal 9 5 2 2 3" xfId="2777" xr:uid="{00000000-0005-0000-0000-00006A300000}"/>
    <cellStyle name="Normal 9 5 2 2 4" xfId="24498" xr:uid="{00000000-0005-0000-0000-00006B300000}"/>
    <cellStyle name="Normal 9 5 2 2 5" xfId="25243" xr:uid="{00000000-0005-0000-0000-00006C300000}"/>
    <cellStyle name="Normal 9 5 2 2 6" xfId="26534" xr:uid="{00000000-0005-0000-0000-00006D300000}"/>
    <cellStyle name="Normal 9 5 2 2 7" xfId="33177" xr:uid="{6906DC65-A516-4496-9EF1-9094675E8A4E}"/>
    <cellStyle name="Normal 9 5 2 3" xfId="1491" xr:uid="{00000000-0005-0000-0000-00006E300000}"/>
    <cellStyle name="Normal 9 5 2 3 2" xfId="2779" xr:uid="{00000000-0005-0000-0000-00006F300000}"/>
    <cellStyle name="Normal 9 5 2 3 3" xfId="24697" xr:uid="{00000000-0005-0000-0000-000070300000}"/>
    <cellStyle name="Normal 9 5 2 3 4" xfId="25420" xr:uid="{00000000-0005-0000-0000-000071300000}"/>
    <cellStyle name="Normal 9 5 2 3 5" xfId="41663" xr:uid="{EDCEB4D0-1D4F-4BBB-995C-B49262FDAA20}"/>
    <cellStyle name="Normal 9 5 2 4" xfId="2776" xr:uid="{00000000-0005-0000-0000-000072300000}"/>
    <cellStyle name="Normal 9 5 2 5" xfId="24318" xr:uid="{00000000-0005-0000-0000-000073300000}"/>
    <cellStyle name="Normal 9 5 2 6" xfId="25063" xr:uid="{00000000-0005-0000-0000-000074300000}"/>
    <cellStyle name="Normal 9 5 2 7" xfId="26318" xr:uid="{00000000-0005-0000-0000-000075300000}"/>
    <cellStyle name="Normal 9 5 2 8" xfId="32955" xr:uid="{C23D81A3-2316-4DAE-B5C2-A41FA95A0070}"/>
    <cellStyle name="Normal 9 5 3" xfId="1492" xr:uid="{00000000-0005-0000-0000-000076300000}"/>
    <cellStyle name="Normal 9 5 3 2" xfId="1493" xr:uid="{00000000-0005-0000-0000-000077300000}"/>
    <cellStyle name="Normal 9 5 3 2 2" xfId="1494" xr:uid="{00000000-0005-0000-0000-000078300000}"/>
    <cellStyle name="Normal 9 5 3 2 2 2" xfId="2782" xr:uid="{00000000-0005-0000-0000-000079300000}"/>
    <cellStyle name="Normal 9 5 3 2 2 3" xfId="41951" xr:uid="{4EC86198-7D78-47BF-837A-91DDC21781A5}"/>
    <cellStyle name="Normal 9 5 3 2 3" xfId="2781" xr:uid="{00000000-0005-0000-0000-00007A300000}"/>
    <cellStyle name="Normal 9 5 3 2 4" xfId="24789" xr:uid="{00000000-0005-0000-0000-00007B300000}"/>
    <cellStyle name="Normal 9 5 3 2 5" xfId="25512" xr:uid="{00000000-0005-0000-0000-00007C300000}"/>
    <cellStyle name="Normal 9 5 3 2 6" xfId="26606" xr:uid="{00000000-0005-0000-0000-00007D300000}"/>
    <cellStyle name="Normal 9 5 3 2 7" xfId="33249" xr:uid="{E79A9900-ED11-418B-8B9C-53ED9377F627}"/>
    <cellStyle name="Normal 9 5 3 3" xfId="1495" xr:uid="{00000000-0005-0000-0000-00007E300000}"/>
    <cellStyle name="Normal 9 5 3 3 2" xfId="2783" xr:uid="{00000000-0005-0000-0000-00007F300000}"/>
    <cellStyle name="Normal 9 5 3 3 3" xfId="41735" xr:uid="{7D6C5E4A-71BF-4033-9AAC-A5E2E127205D}"/>
    <cellStyle name="Normal 9 5 3 4" xfId="2780" xr:uid="{00000000-0005-0000-0000-000080300000}"/>
    <cellStyle name="Normal 9 5 3 5" xfId="24410" xr:uid="{00000000-0005-0000-0000-000081300000}"/>
    <cellStyle name="Normal 9 5 3 6" xfId="25155" xr:uid="{00000000-0005-0000-0000-000082300000}"/>
    <cellStyle name="Normal 9 5 3 7" xfId="26390" xr:uid="{00000000-0005-0000-0000-000083300000}"/>
    <cellStyle name="Normal 9 5 3 8" xfId="33033" xr:uid="{833369F3-9934-429D-A50C-445D823E5C3E}"/>
    <cellStyle name="Normal 9 5 4" xfId="1496" xr:uid="{00000000-0005-0000-0000-000084300000}"/>
    <cellStyle name="Normal 9 5 4 2" xfId="1497" xr:uid="{00000000-0005-0000-0000-000085300000}"/>
    <cellStyle name="Normal 9 5 4 2 2" xfId="2785" xr:uid="{00000000-0005-0000-0000-000086300000}"/>
    <cellStyle name="Normal 9 5 4 2 3" xfId="41807" xr:uid="{C43519AD-15F7-40AE-9F39-932FC95E592A}"/>
    <cellStyle name="Normal 9 5 4 3" xfId="2784" xr:uid="{00000000-0005-0000-0000-000087300000}"/>
    <cellStyle name="Normal 9 5 4 4" xfId="24609" xr:uid="{00000000-0005-0000-0000-000088300000}"/>
    <cellStyle name="Normal 9 5 4 5" xfId="25332" xr:uid="{00000000-0005-0000-0000-000089300000}"/>
    <cellStyle name="Normal 9 5 4 6" xfId="26462" xr:uid="{00000000-0005-0000-0000-00008A300000}"/>
    <cellStyle name="Normal 9 5 4 7" xfId="33105" xr:uid="{B6850E9B-FBA1-40EB-AD68-13D8EE6479A2}"/>
    <cellStyle name="Normal 9 5 5" xfId="1498" xr:uid="{00000000-0005-0000-0000-00008B300000}"/>
    <cellStyle name="Normal 9 5 5 2" xfId="2786" xr:uid="{00000000-0005-0000-0000-00008C300000}"/>
    <cellStyle name="Normal 9 5 5 3" xfId="41591" xr:uid="{27FC6BFF-D59E-4258-A9DE-110F505BCB61}"/>
    <cellStyle name="Normal 9 5 6" xfId="2775" xr:uid="{00000000-0005-0000-0000-00008D300000}"/>
    <cellStyle name="Normal 9 5 7" xfId="14696" xr:uid="{00000000-0005-0000-0000-00008E300000}"/>
    <cellStyle name="Normal 9 5 8" xfId="24230" xr:uid="{00000000-0005-0000-0000-00008F300000}"/>
    <cellStyle name="Normal 9 5 9" xfId="24975" xr:uid="{00000000-0005-0000-0000-000090300000}"/>
    <cellStyle name="Normal 9 6" xfId="1499" xr:uid="{00000000-0005-0000-0000-000091300000}"/>
    <cellStyle name="Normal 9 6 10" xfId="26251" xr:uid="{00000000-0005-0000-0000-000092300000}"/>
    <cellStyle name="Normal 9 6 11" xfId="32859" xr:uid="{3E7AAF38-FDCF-4A73-91E5-858A9D4AA9F6}"/>
    <cellStyle name="Normal 9 6 2" xfId="1500" xr:uid="{00000000-0005-0000-0000-000093300000}"/>
    <cellStyle name="Normal 9 6 2 2" xfId="1501" xr:uid="{00000000-0005-0000-0000-000094300000}"/>
    <cellStyle name="Normal 9 6 2 2 2" xfId="1502" xr:uid="{00000000-0005-0000-0000-000095300000}"/>
    <cellStyle name="Normal 9 6 2 2 2 2" xfId="2790" xr:uid="{00000000-0005-0000-0000-000096300000}"/>
    <cellStyle name="Normal 9 6 2 2 2 3" xfId="41885" xr:uid="{CC5A82AE-E46F-4267-A0EB-CE7338B0322B}"/>
    <cellStyle name="Normal 9 6 2 2 3" xfId="2789" xr:uid="{00000000-0005-0000-0000-000097300000}"/>
    <cellStyle name="Normal 9 6 2 2 4" xfId="24833" xr:uid="{00000000-0005-0000-0000-000098300000}"/>
    <cellStyle name="Normal 9 6 2 2 5" xfId="25556" xr:uid="{00000000-0005-0000-0000-000099300000}"/>
    <cellStyle name="Normal 9 6 2 2 6" xfId="26540" xr:uid="{00000000-0005-0000-0000-00009A300000}"/>
    <cellStyle name="Normal 9 6 2 2 7" xfId="33183" xr:uid="{34091094-E6CF-4EED-ACC8-CE6E856DEFFF}"/>
    <cellStyle name="Normal 9 6 2 3" xfId="1503" xr:uid="{00000000-0005-0000-0000-00009B300000}"/>
    <cellStyle name="Normal 9 6 2 3 2" xfId="2791" xr:uid="{00000000-0005-0000-0000-00009C300000}"/>
    <cellStyle name="Normal 9 6 2 3 3" xfId="41669" xr:uid="{819D61B3-55C1-4206-9BA5-2E266E6E5A96}"/>
    <cellStyle name="Normal 9 6 2 4" xfId="2788" xr:uid="{00000000-0005-0000-0000-00009D300000}"/>
    <cellStyle name="Normal 9 6 2 5" xfId="24454" xr:uid="{00000000-0005-0000-0000-00009E300000}"/>
    <cellStyle name="Normal 9 6 2 6" xfId="25199" xr:uid="{00000000-0005-0000-0000-00009F300000}"/>
    <cellStyle name="Normal 9 6 2 7" xfId="26324" xr:uid="{00000000-0005-0000-0000-0000A0300000}"/>
    <cellStyle name="Normal 9 6 2 8" xfId="32961" xr:uid="{6498E4E7-7405-4019-A47E-5940FA229299}"/>
    <cellStyle name="Normal 9 6 3" xfId="1504" xr:uid="{00000000-0005-0000-0000-0000A1300000}"/>
    <cellStyle name="Normal 9 6 3 2" xfId="1505" xr:uid="{00000000-0005-0000-0000-0000A2300000}"/>
    <cellStyle name="Normal 9 6 3 2 2" xfId="1506" xr:uid="{00000000-0005-0000-0000-0000A3300000}"/>
    <cellStyle name="Normal 9 6 3 2 2 2" xfId="2794" xr:uid="{00000000-0005-0000-0000-0000A4300000}"/>
    <cellStyle name="Normal 9 6 3 2 2 3" xfId="41957" xr:uid="{E413A937-878C-4E41-B9D8-E754F4A86950}"/>
    <cellStyle name="Normal 9 6 3 2 3" xfId="2793" xr:uid="{00000000-0005-0000-0000-0000A5300000}"/>
    <cellStyle name="Normal 9 6 3 2 4" xfId="26612" xr:uid="{00000000-0005-0000-0000-0000A6300000}"/>
    <cellStyle name="Normal 9 6 3 2 5" xfId="33255" xr:uid="{EDCBE5D8-1A32-4A24-99F6-4FD4CF40DF11}"/>
    <cellStyle name="Normal 9 6 3 3" xfId="1507" xr:uid="{00000000-0005-0000-0000-0000A7300000}"/>
    <cellStyle name="Normal 9 6 3 3 2" xfId="2795" xr:uid="{00000000-0005-0000-0000-0000A8300000}"/>
    <cellStyle name="Normal 9 6 3 3 3" xfId="41741" xr:uid="{666D4BB4-DDCE-459F-A674-2F069FE0926B}"/>
    <cellStyle name="Normal 9 6 3 4" xfId="2792" xr:uid="{00000000-0005-0000-0000-0000A9300000}"/>
    <cellStyle name="Normal 9 6 3 5" xfId="24653" xr:uid="{00000000-0005-0000-0000-0000AA300000}"/>
    <cellStyle name="Normal 9 6 3 6" xfId="25376" xr:uid="{00000000-0005-0000-0000-0000AB300000}"/>
    <cellStyle name="Normal 9 6 3 7" xfId="26396" xr:uid="{00000000-0005-0000-0000-0000AC300000}"/>
    <cellStyle name="Normal 9 6 3 8" xfId="33039" xr:uid="{BF9B1EBC-AB30-411C-88A2-A5DB78BEFA94}"/>
    <cellStyle name="Normal 9 6 4" xfId="1508" xr:uid="{00000000-0005-0000-0000-0000AD300000}"/>
    <cellStyle name="Normal 9 6 4 2" xfId="1509" xr:uid="{00000000-0005-0000-0000-0000AE300000}"/>
    <cellStyle name="Normal 9 6 4 2 2" xfId="2797" xr:uid="{00000000-0005-0000-0000-0000AF300000}"/>
    <cellStyle name="Normal 9 6 4 2 3" xfId="41813" xr:uid="{7B1F46A2-925E-4D51-878D-F983109B1789}"/>
    <cellStyle name="Normal 9 6 4 3" xfId="2796" xr:uid="{00000000-0005-0000-0000-0000B0300000}"/>
    <cellStyle name="Normal 9 6 4 4" xfId="26468" xr:uid="{00000000-0005-0000-0000-0000B1300000}"/>
    <cellStyle name="Normal 9 6 4 5" xfId="33111" xr:uid="{6B7EFF95-5337-424C-A97D-8C7DB0EC69DD}"/>
    <cellStyle name="Normal 9 6 5" xfId="1510" xr:uid="{00000000-0005-0000-0000-0000B2300000}"/>
    <cellStyle name="Normal 9 6 5 2" xfId="2798" xr:uid="{00000000-0005-0000-0000-0000B3300000}"/>
    <cellStyle name="Normal 9 6 5 3" xfId="41597" xr:uid="{D45BE083-BAAF-4F30-9139-77B2D6F42B16}"/>
    <cellStyle name="Normal 9 6 6" xfId="2787" xr:uid="{00000000-0005-0000-0000-0000B4300000}"/>
    <cellStyle name="Normal 9 6 7" xfId="19392" xr:uid="{00000000-0005-0000-0000-0000B5300000}"/>
    <cellStyle name="Normal 9 6 8" xfId="24274" xr:uid="{00000000-0005-0000-0000-0000B6300000}"/>
    <cellStyle name="Normal 9 6 9" xfId="25019" xr:uid="{00000000-0005-0000-0000-0000B7300000}"/>
    <cellStyle name="Normal 9 7" xfId="1511" xr:uid="{00000000-0005-0000-0000-0000B8300000}"/>
    <cellStyle name="Normal 9 7 10" xfId="26264" xr:uid="{00000000-0005-0000-0000-0000B9300000}"/>
    <cellStyle name="Normal 9 7 11" xfId="32880" xr:uid="{1812C036-F61D-46D4-8AA7-5FCE16F198F1}"/>
    <cellStyle name="Normal 9 7 2" xfId="1512" xr:uid="{00000000-0005-0000-0000-0000BA300000}"/>
    <cellStyle name="Normal 9 7 2 2" xfId="1513" xr:uid="{00000000-0005-0000-0000-0000BB300000}"/>
    <cellStyle name="Normal 9 7 2 2 2" xfId="1514" xr:uid="{00000000-0005-0000-0000-0000BC300000}"/>
    <cellStyle name="Normal 9 7 2 2 2 2" xfId="2802" xr:uid="{00000000-0005-0000-0000-0000BD300000}"/>
    <cellStyle name="Normal 9 7 2 2 2 3" xfId="41897" xr:uid="{9460E252-9EC3-4EAF-B6CD-8CEC619FF2D9}"/>
    <cellStyle name="Normal 9 7 2 2 3" xfId="2801" xr:uid="{00000000-0005-0000-0000-0000BE300000}"/>
    <cellStyle name="Normal 9 7 2 2 4" xfId="26552" xr:uid="{00000000-0005-0000-0000-0000BF300000}"/>
    <cellStyle name="Normal 9 7 2 2 5" xfId="33195" xr:uid="{80C30876-39F0-48BA-890E-84E926424530}"/>
    <cellStyle name="Normal 9 7 2 3" xfId="1515" xr:uid="{00000000-0005-0000-0000-0000C0300000}"/>
    <cellStyle name="Normal 9 7 2 3 2" xfId="2803" xr:uid="{00000000-0005-0000-0000-0000C1300000}"/>
    <cellStyle name="Normal 9 7 2 3 3" xfId="41681" xr:uid="{30E672EA-3FBD-4579-86E6-5E7045797192}"/>
    <cellStyle name="Normal 9 7 2 4" xfId="2800" xr:uid="{00000000-0005-0000-0000-0000C2300000}"/>
    <cellStyle name="Normal 9 7 2 5" xfId="24743" xr:uid="{00000000-0005-0000-0000-0000C3300000}"/>
    <cellStyle name="Normal 9 7 2 6" xfId="25466" xr:uid="{00000000-0005-0000-0000-0000C4300000}"/>
    <cellStyle name="Normal 9 7 2 7" xfId="26336" xr:uid="{00000000-0005-0000-0000-0000C5300000}"/>
    <cellStyle name="Normal 9 7 2 8" xfId="32979" xr:uid="{3FD77C50-2112-4D56-8CF7-4EF56405A733}"/>
    <cellStyle name="Normal 9 7 3" xfId="1516" xr:uid="{00000000-0005-0000-0000-0000C6300000}"/>
    <cellStyle name="Normal 9 7 3 2" xfId="1517" xr:uid="{00000000-0005-0000-0000-0000C7300000}"/>
    <cellStyle name="Normal 9 7 3 2 2" xfId="1518" xr:uid="{00000000-0005-0000-0000-0000C8300000}"/>
    <cellStyle name="Normal 9 7 3 2 2 2" xfId="2806" xr:uid="{00000000-0005-0000-0000-0000C9300000}"/>
    <cellStyle name="Normal 9 7 3 2 2 3" xfId="41969" xr:uid="{D321E073-8085-474B-BC7D-1C02082CC2AE}"/>
    <cellStyle name="Normal 9 7 3 2 3" xfId="2805" xr:uid="{00000000-0005-0000-0000-0000CA300000}"/>
    <cellStyle name="Normal 9 7 3 2 4" xfId="26624" xr:uid="{00000000-0005-0000-0000-0000CB300000}"/>
    <cellStyle name="Normal 9 7 3 2 5" xfId="33267" xr:uid="{21834AE1-D551-44B3-A15B-60FB8EC31811}"/>
    <cellStyle name="Normal 9 7 3 3" xfId="1519" xr:uid="{00000000-0005-0000-0000-0000CC300000}"/>
    <cellStyle name="Normal 9 7 3 3 2" xfId="2807" xr:uid="{00000000-0005-0000-0000-0000CD300000}"/>
    <cellStyle name="Normal 9 7 3 3 3" xfId="41753" xr:uid="{59F4837A-7688-45DE-9399-E02939AA54A4}"/>
    <cellStyle name="Normal 9 7 3 4" xfId="2804" xr:uid="{00000000-0005-0000-0000-0000CE300000}"/>
    <cellStyle name="Normal 9 7 3 5" xfId="26408" xr:uid="{00000000-0005-0000-0000-0000CF300000}"/>
    <cellStyle name="Normal 9 7 3 6" xfId="33051" xr:uid="{E7CF44CB-18FC-4AC8-88A2-63E7B7948FCB}"/>
    <cellStyle name="Normal 9 7 4" xfId="1520" xr:uid="{00000000-0005-0000-0000-0000D0300000}"/>
    <cellStyle name="Normal 9 7 4 2" xfId="1521" xr:uid="{00000000-0005-0000-0000-0000D1300000}"/>
    <cellStyle name="Normal 9 7 4 2 2" xfId="2809" xr:uid="{00000000-0005-0000-0000-0000D2300000}"/>
    <cellStyle name="Normal 9 7 4 2 3" xfId="41825" xr:uid="{69300167-8B33-42BF-8EF1-75D925CC6010}"/>
    <cellStyle name="Normal 9 7 4 3" xfId="2808" xr:uid="{00000000-0005-0000-0000-0000D3300000}"/>
    <cellStyle name="Normal 9 7 4 4" xfId="26480" xr:uid="{00000000-0005-0000-0000-0000D4300000}"/>
    <cellStyle name="Normal 9 7 4 5" xfId="33123" xr:uid="{844178B9-FD7E-4187-AB7B-11E69BECCAC9}"/>
    <cellStyle name="Normal 9 7 5" xfId="1522" xr:uid="{00000000-0005-0000-0000-0000D5300000}"/>
    <cellStyle name="Normal 9 7 5 2" xfId="2810" xr:uid="{00000000-0005-0000-0000-0000D6300000}"/>
    <cellStyle name="Normal 9 7 5 3" xfId="41609" xr:uid="{9F95C7D8-0C92-498F-A37F-94C667430B6B}"/>
    <cellStyle name="Normal 9 7 6" xfId="2799" xr:uid="{00000000-0005-0000-0000-0000D7300000}"/>
    <cellStyle name="Normal 9 7 7" xfId="23883" xr:uid="{00000000-0005-0000-0000-0000D8300000}"/>
    <cellStyle name="Normal 9 7 8" xfId="24364" xr:uid="{00000000-0005-0000-0000-0000D9300000}"/>
    <cellStyle name="Normal 9 7 9" xfId="25109" xr:uid="{00000000-0005-0000-0000-0000DA300000}"/>
    <cellStyle name="Normal 9 8" xfId="1523" xr:uid="{00000000-0005-0000-0000-0000DB300000}"/>
    <cellStyle name="Normal 9 8 10" xfId="32898" xr:uid="{A2F6767B-C388-4BB2-8F6C-95D6590404B7}"/>
    <cellStyle name="Normal 9 8 2" xfId="1524" xr:uid="{00000000-0005-0000-0000-0000DC300000}"/>
    <cellStyle name="Normal 9 8 2 2" xfId="1525" xr:uid="{00000000-0005-0000-0000-0000DD300000}"/>
    <cellStyle name="Normal 9 8 2 2 2" xfId="1526" xr:uid="{00000000-0005-0000-0000-0000DE300000}"/>
    <cellStyle name="Normal 9 8 2 2 2 2" xfId="2814" xr:uid="{00000000-0005-0000-0000-0000DF300000}"/>
    <cellStyle name="Normal 9 8 2 2 2 3" xfId="41904" xr:uid="{8DB90FC3-3AFD-4F66-9D88-EBB656741A18}"/>
    <cellStyle name="Normal 9 8 2 2 3" xfId="2813" xr:uid="{00000000-0005-0000-0000-0000E0300000}"/>
    <cellStyle name="Normal 9 8 2 2 4" xfId="26559" xr:uid="{00000000-0005-0000-0000-0000E1300000}"/>
    <cellStyle name="Normal 9 8 2 2 5" xfId="33202" xr:uid="{96239CA5-1BA1-49A4-B5AC-9F6C8BCCBF7A}"/>
    <cellStyle name="Normal 9 8 2 3" xfId="1527" xr:uid="{00000000-0005-0000-0000-0000E2300000}"/>
    <cellStyle name="Normal 9 8 2 3 2" xfId="2815" xr:uid="{00000000-0005-0000-0000-0000E3300000}"/>
    <cellStyle name="Normal 9 8 2 3 3" xfId="41688" xr:uid="{79B2D509-7A2F-4705-8F71-83B27BCB4437}"/>
    <cellStyle name="Normal 9 8 2 4" xfId="2812" xr:uid="{00000000-0005-0000-0000-0000E4300000}"/>
    <cellStyle name="Normal 9 8 2 5" xfId="26343" xr:uid="{00000000-0005-0000-0000-0000E5300000}"/>
    <cellStyle name="Normal 9 8 2 6" xfId="32986" xr:uid="{BCB9AC7B-FA91-4ECE-8F7B-29E3C0AAA5F0}"/>
    <cellStyle name="Normal 9 8 3" xfId="1528" xr:uid="{00000000-0005-0000-0000-0000E6300000}"/>
    <cellStyle name="Normal 9 8 3 2" xfId="1529" xr:uid="{00000000-0005-0000-0000-0000E7300000}"/>
    <cellStyle name="Normal 9 8 3 2 2" xfId="1530" xr:uid="{00000000-0005-0000-0000-0000E8300000}"/>
    <cellStyle name="Normal 9 8 3 2 2 2" xfId="2818" xr:uid="{00000000-0005-0000-0000-0000E9300000}"/>
    <cellStyle name="Normal 9 8 3 2 2 3" xfId="41976" xr:uid="{9E2CD2D9-37EF-41EC-B251-C9DEBDE1EF3E}"/>
    <cellStyle name="Normal 9 8 3 2 3" xfId="2817" xr:uid="{00000000-0005-0000-0000-0000EA300000}"/>
    <cellStyle name="Normal 9 8 3 2 4" xfId="26631" xr:uid="{00000000-0005-0000-0000-0000EB300000}"/>
    <cellStyle name="Normal 9 8 3 2 5" xfId="33274" xr:uid="{C13FFF64-CF9E-4A66-9298-8DF69159B1AC}"/>
    <cellStyle name="Normal 9 8 3 3" xfId="1531" xr:uid="{00000000-0005-0000-0000-0000EC300000}"/>
    <cellStyle name="Normal 9 8 3 3 2" xfId="2819" xr:uid="{00000000-0005-0000-0000-0000ED300000}"/>
    <cellStyle name="Normal 9 8 3 3 3" xfId="41760" xr:uid="{CE1C3BE3-B36D-4434-947D-991F3660AB58}"/>
    <cellStyle name="Normal 9 8 3 4" xfId="2816" xr:uid="{00000000-0005-0000-0000-0000EE300000}"/>
    <cellStyle name="Normal 9 8 3 5" xfId="26415" xr:uid="{00000000-0005-0000-0000-0000EF300000}"/>
    <cellStyle name="Normal 9 8 3 6" xfId="33058" xr:uid="{57685C4A-A5AE-49D9-9213-3EECB27343E6}"/>
    <cellStyle name="Normal 9 8 4" xfId="1532" xr:uid="{00000000-0005-0000-0000-0000F0300000}"/>
    <cellStyle name="Normal 9 8 4 2" xfId="1533" xr:uid="{00000000-0005-0000-0000-0000F1300000}"/>
    <cellStyle name="Normal 9 8 4 2 2" xfId="2821" xr:uid="{00000000-0005-0000-0000-0000F2300000}"/>
    <cellStyle name="Normal 9 8 4 2 3" xfId="41832" xr:uid="{E14C53EA-DC39-434F-BE85-F0D67CF8D205}"/>
    <cellStyle name="Normal 9 8 4 3" xfId="2820" xr:uid="{00000000-0005-0000-0000-0000F3300000}"/>
    <cellStyle name="Normal 9 8 4 4" xfId="26487" xr:uid="{00000000-0005-0000-0000-0000F4300000}"/>
    <cellStyle name="Normal 9 8 4 5" xfId="33130" xr:uid="{1691367E-7EA5-4B6B-9514-9E5133859BB0}"/>
    <cellStyle name="Normal 9 8 5" xfId="1534" xr:uid="{00000000-0005-0000-0000-0000F5300000}"/>
    <cellStyle name="Normal 9 8 5 2" xfId="2822" xr:uid="{00000000-0005-0000-0000-0000F6300000}"/>
    <cellStyle name="Normal 9 8 5 3" xfId="41616" xr:uid="{D252A493-4D2F-4B01-AB7C-A582B4EF2553}"/>
    <cellStyle name="Normal 9 8 6" xfId="2811" xr:uid="{00000000-0005-0000-0000-0000F7300000}"/>
    <cellStyle name="Normal 9 8 7" xfId="24565" xr:uid="{00000000-0005-0000-0000-0000F8300000}"/>
    <cellStyle name="Normal 9 8 8" xfId="25288" xr:uid="{00000000-0005-0000-0000-0000F9300000}"/>
    <cellStyle name="Normal 9 8 9" xfId="26271" xr:uid="{00000000-0005-0000-0000-0000FA300000}"/>
    <cellStyle name="Normal 9 9" xfId="1535" xr:uid="{00000000-0005-0000-0000-0000FB300000}"/>
    <cellStyle name="Normal 9 9 2" xfId="1536" xr:uid="{00000000-0005-0000-0000-0000FC300000}"/>
    <cellStyle name="Normal 9 9 2 2" xfId="1537" xr:uid="{00000000-0005-0000-0000-0000FD300000}"/>
    <cellStyle name="Normal 9 9 2 2 2" xfId="2825" xr:uid="{00000000-0005-0000-0000-0000FE300000}"/>
    <cellStyle name="Normal 9 9 2 2 3" xfId="41844" xr:uid="{19F6AFB8-76EF-4CF2-81AD-DC87082691B1}"/>
    <cellStyle name="Normal 9 9 2 3" xfId="2824" xr:uid="{00000000-0005-0000-0000-0000FF300000}"/>
    <cellStyle name="Normal 9 9 2 4" xfId="26499" xr:uid="{00000000-0005-0000-0000-000000310000}"/>
    <cellStyle name="Normal 9 9 2 5" xfId="33142" xr:uid="{0B184813-ADA2-4605-B8AF-607AC3903305}"/>
    <cellStyle name="Normal 9 9 3" xfId="1538" xr:uid="{00000000-0005-0000-0000-000001310000}"/>
    <cellStyle name="Normal 9 9 3 2" xfId="2826" xr:uid="{00000000-0005-0000-0000-000002310000}"/>
    <cellStyle name="Normal 9 9 3 3" xfId="41628" xr:uid="{EC2E7316-FDD7-4266-82A5-C70075242D51}"/>
    <cellStyle name="Normal 9 9 4" xfId="2823" xr:uid="{00000000-0005-0000-0000-000003310000}"/>
    <cellStyle name="Normal 9 9 5" xfId="26283" xr:uid="{00000000-0005-0000-0000-000004310000}"/>
    <cellStyle name="Normal 9 9 6" xfId="32919" xr:uid="{FE056146-DDD9-4740-AD4E-0FCE9400DB19}"/>
    <cellStyle name="Normal 90" xfId="1791" xr:uid="{00000000-0005-0000-0000-000005310000}"/>
    <cellStyle name="Normal 91" xfId="2846" xr:uid="{00000000-0005-0000-0000-000006310000}"/>
    <cellStyle name="Normal 92" xfId="2892" xr:uid="{00000000-0005-0000-0000-000007310000}"/>
    <cellStyle name="Normal 93" xfId="2843" xr:uid="{00000000-0005-0000-0000-000008310000}"/>
    <cellStyle name="Normal 94" xfId="2889" xr:uid="{00000000-0005-0000-0000-000009310000}"/>
    <cellStyle name="Normal 95" xfId="2830" xr:uid="{00000000-0005-0000-0000-00000A310000}"/>
    <cellStyle name="Normal 96" xfId="2893" xr:uid="{00000000-0005-0000-0000-00000B310000}"/>
    <cellStyle name="Normal 97" xfId="2897" xr:uid="{00000000-0005-0000-0000-00000C310000}"/>
    <cellStyle name="Normal 98" xfId="24157" xr:uid="{00000000-0005-0000-0000-00000D310000}"/>
    <cellStyle name="Normal 99" xfId="24158" xr:uid="{00000000-0005-0000-0000-00000E310000}"/>
    <cellStyle name="Normal$" xfId="25905" xr:uid="{00000000-0005-0000-0000-00000F310000}"/>
    <cellStyle name="Normal1" xfId="25906" xr:uid="{00000000-0005-0000-0000-000010310000}"/>
    <cellStyle name="Normal9" xfId="25907" xr:uid="{00000000-0005-0000-0000-000011310000}"/>
    <cellStyle name="Note 10" xfId="32786" xr:uid="{13C7C15A-3CFA-42A3-912F-74EDED6E6BFB}"/>
    <cellStyle name="Note 11" xfId="42389" xr:uid="{48DCE730-1700-4F07-9805-99C8697AFF02}"/>
    <cellStyle name="Note 12" xfId="42279" xr:uid="{7A035E68-5B73-4507-A86E-8E4A460EBB44}"/>
    <cellStyle name="Note 13" xfId="42321" xr:uid="{E80D9E73-B3D0-4576-8675-F79FEDE8367B}"/>
    <cellStyle name="Note 14" xfId="32792" xr:uid="{EA5089E6-69C6-4F18-B08A-24076C1D6B5C}"/>
    <cellStyle name="Note 15" xfId="32796" xr:uid="{E0A23D56-69D5-4AB1-BABF-B99E5C64A9F0}"/>
    <cellStyle name="Note 16" xfId="42282" xr:uid="{83C83B1A-5FB7-462F-9020-C9CF53EEC9E6}"/>
    <cellStyle name="Note 17" xfId="42092" xr:uid="{46C77A57-B24C-442A-9E32-32AB8CE96AEC}"/>
    <cellStyle name="Note 18" xfId="42040" xr:uid="{5CB8E400-EB84-4C33-B375-0F9D3C437D5A}"/>
    <cellStyle name="Note 19" xfId="42379" xr:uid="{E7A63622-C75C-4851-A7BD-A8B14A79918F}"/>
    <cellStyle name="Note 2" xfId="1539" xr:uid="{00000000-0005-0000-0000-000012310000}"/>
    <cellStyle name="Note 2 10" xfId="3420" xr:uid="{00000000-0005-0000-0000-000013310000}"/>
    <cellStyle name="Note 2 10 2" xfId="5958" xr:uid="{00000000-0005-0000-0000-000014310000}"/>
    <cellStyle name="Note 2 10 3" xfId="9768" xr:uid="{00000000-0005-0000-0000-000015310000}"/>
    <cellStyle name="Note 2 10 4" xfId="10598" xr:uid="{00000000-0005-0000-0000-000016310000}"/>
    <cellStyle name="Note 2 10 5" xfId="12946" xr:uid="{00000000-0005-0000-0000-000017310000}"/>
    <cellStyle name="Note 2 10 6" xfId="15604" xr:uid="{00000000-0005-0000-0000-000018310000}"/>
    <cellStyle name="Note 2 10 7" xfId="17642" xr:uid="{00000000-0005-0000-0000-000019310000}"/>
    <cellStyle name="Note 2 10 8" xfId="20300" xr:uid="{00000000-0005-0000-0000-00001A310000}"/>
    <cellStyle name="Note 2 10 9" xfId="22271" xr:uid="{00000000-0005-0000-0000-00001B310000}"/>
    <cellStyle name="Note 2 11" xfId="3385" xr:uid="{00000000-0005-0000-0000-00001C310000}"/>
    <cellStyle name="Note 2 11 2" xfId="5923" xr:uid="{00000000-0005-0000-0000-00001D310000}"/>
    <cellStyle name="Note 2 11 3" xfId="9058" xr:uid="{00000000-0005-0000-0000-00001E310000}"/>
    <cellStyle name="Note 2 11 4" xfId="11830" xr:uid="{00000000-0005-0000-0000-00001F310000}"/>
    <cellStyle name="Note 2 11 5" xfId="14288" xr:uid="{00000000-0005-0000-0000-000020310000}"/>
    <cellStyle name="Note 2 11 6" xfId="14994" xr:uid="{00000000-0005-0000-0000-000021310000}"/>
    <cellStyle name="Note 2 11 7" xfId="18984" xr:uid="{00000000-0005-0000-0000-000022310000}"/>
    <cellStyle name="Note 2 11 8" xfId="19690" xr:uid="{00000000-0005-0000-0000-000023310000}"/>
    <cellStyle name="Note 2 11 9" xfId="23505" xr:uid="{00000000-0005-0000-0000-000024310000}"/>
    <cellStyle name="Note 2 12" xfId="3263" xr:uid="{00000000-0005-0000-0000-000025310000}"/>
    <cellStyle name="Note 2 12 2" xfId="5801" xr:uid="{00000000-0005-0000-0000-000026310000}"/>
    <cellStyle name="Note 2 12 3" xfId="10166" xr:uid="{00000000-0005-0000-0000-000027310000}"/>
    <cellStyle name="Note 2 12 4" xfId="12259" xr:uid="{00000000-0005-0000-0000-000028310000}"/>
    <cellStyle name="Note 2 12 5" xfId="12353" xr:uid="{00000000-0005-0000-0000-000029310000}"/>
    <cellStyle name="Note 2 12 6" xfId="14078" xr:uid="{00000000-0005-0000-0000-00002A310000}"/>
    <cellStyle name="Note 2 12 7" xfId="17049" xr:uid="{00000000-0005-0000-0000-00002B310000}"/>
    <cellStyle name="Note 2 12 8" xfId="18774" xr:uid="{00000000-0005-0000-0000-00002C310000}"/>
    <cellStyle name="Note 2 12 9" xfId="21740" xr:uid="{00000000-0005-0000-0000-00002D310000}"/>
    <cellStyle name="Note 2 13" xfId="3509" xr:uid="{00000000-0005-0000-0000-00002E310000}"/>
    <cellStyle name="Note 2 13 2" xfId="6047" xr:uid="{00000000-0005-0000-0000-00002F310000}"/>
    <cellStyle name="Note 2 13 3" xfId="8841" xr:uid="{00000000-0005-0000-0000-000030310000}"/>
    <cellStyle name="Note 2 13 4" xfId="11525" xr:uid="{00000000-0005-0000-0000-000031310000}"/>
    <cellStyle name="Note 2 13 5" xfId="13954" xr:uid="{00000000-0005-0000-0000-000032310000}"/>
    <cellStyle name="Note 2 13 6" xfId="16544" xr:uid="{00000000-0005-0000-0000-000033310000}"/>
    <cellStyle name="Note 2 13 7" xfId="18650" xr:uid="{00000000-0005-0000-0000-000034310000}"/>
    <cellStyle name="Note 2 13 8" xfId="21240" xr:uid="{00000000-0005-0000-0000-000035310000}"/>
    <cellStyle name="Note 2 13 9" xfId="23199" xr:uid="{00000000-0005-0000-0000-000036310000}"/>
    <cellStyle name="Note 2 14" xfId="3551" xr:uid="{00000000-0005-0000-0000-000037310000}"/>
    <cellStyle name="Note 2 14 2" xfId="6089" xr:uid="{00000000-0005-0000-0000-000038310000}"/>
    <cellStyle name="Note 2 14 3" xfId="9008" xr:uid="{00000000-0005-0000-0000-000039310000}"/>
    <cellStyle name="Note 2 14 4" xfId="11024" xr:uid="{00000000-0005-0000-0000-00003A310000}"/>
    <cellStyle name="Note 2 14 5" xfId="13405" xr:uid="{00000000-0005-0000-0000-00003B310000}"/>
    <cellStyle name="Note 2 14 6" xfId="16038" xr:uid="{00000000-0005-0000-0000-00003C310000}"/>
    <cellStyle name="Note 2 14 7" xfId="18101" xr:uid="{00000000-0005-0000-0000-00003D310000}"/>
    <cellStyle name="Note 2 14 8" xfId="20734" xr:uid="{00000000-0005-0000-0000-00003E310000}"/>
    <cellStyle name="Note 2 14 9" xfId="22697" xr:uid="{00000000-0005-0000-0000-00003F310000}"/>
    <cellStyle name="Note 2 15" xfId="3711" xr:uid="{00000000-0005-0000-0000-000040310000}"/>
    <cellStyle name="Note 2 15 2" xfId="6249" xr:uid="{00000000-0005-0000-0000-000041310000}"/>
    <cellStyle name="Note 2 15 3" xfId="9356" xr:uid="{00000000-0005-0000-0000-000042310000}"/>
    <cellStyle name="Note 2 15 4" xfId="12086" xr:uid="{00000000-0005-0000-0000-000043310000}"/>
    <cellStyle name="Note 2 15 5" xfId="14566" xr:uid="{00000000-0005-0000-0000-000044310000}"/>
    <cellStyle name="Note 2 15 6" xfId="15621" xr:uid="{00000000-0005-0000-0000-000045310000}"/>
    <cellStyle name="Note 2 15 7" xfId="19262" xr:uid="{00000000-0005-0000-0000-000046310000}"/>
    <cellStyle name="Note 2 15 8" xfId="20317" xr:uid="{00000000-0005-0000-0000-000047310000}"/>
    <cellStyle name="Note 2 15 9" xfId="23758" xr:uid="{00000000-0005-0000-0000-000048310000}"/>
    <cellStyle name="Note 2 16" xfId="3773" xr:uid="{00000000-0005-0000-0000-000049310000}"/>
    <cellStyle name="Note 2 16 2" xfId="6311" xr:uid="{00000000-0005-0000-0000-00004A310000}"/>
    <cellStyle name="Note 2 16 3" xfId="9150" xr:uid="{00000000-0005-0000-0000-00004B310000}"/>
    <cellStyle name="Note 2 16 4" xfId="10773" xr:uid="{00000000-0005-0000-0000-00004C310000}"/>
    <cellStyle name="Note 2 16 5" xfId="13128" xr:uid="{00000000-0005-0000-0000-00004D310000}"/>
    <cellStyle name="Note 2 16 6" xfId="15987" xr:uid="{00000000-0005-0000-0000-00004E310000}"/>
    <cellStyle name="Note 2 16 7" xfId="17824" xr:uid="{00000000-0005-0000-0000-00004F310000}"/>
    <cellStyle name="Note 2 16 8" xfId="20683" xr:uid="{00000000-0005-0000-0000-000050310000}"/>
    <cellStyle name="Note 2 16 9" xfId="22445" xr:uid="{00000000-0005-0000-0000-000051310000}"/>
    <cellStyle name="Note 2 17" xfId="3618" xr:uid="{00000000-0005-0000-0000-000052310000}"/>
    <cellStyle name="Note 2 17 2" xfId="6156" xr:uid="{00000000-0005-0000-0000-000053310000}"/>
    <cellStyle name="Note 2 17 3" xfId="8296" xr:uid="{00000000-0005-0000-0000-000054310000}"/>
    <cellStyle name="Note 2 17 4" xfId="8124" xr:uid="{00000000-0005-0000-0000-000055310000}"/>
    <cellStyle name="Note 2 17 5" xfId="12433" xr:uid="{00000000-0005-0000-0000-000056310000}"/>
    <cellStyle name="Note 2 17 6" xfId="15114" xr:uid="{00000000-0005-0000-0000-000057310000}"/>
    <cellStyle name="Note 2 17 7" xfId="17129" xr:uid="{00000000-0005-0000-0000-000058310000}"/>
    <cellStyle name="Note 2 17 8" xfId="19810" xr:uid="{00000000-0005-0000-0000-000059310000}"/>
    <cellStyle name="Note 2 17 9" xfId="21813" xr:uid="{00000000-0005-0000-0000-00005A310000}"/>
    <cellStyle name="Note 2 18" xfId="3885" xr:uid="{00000000-0005-0000-0000-00005B310000}"/>
    <cellStyle name="Note 2 18 2" xfId="6423" xr:uid="{00000000-0005-0000-0000-00005C310000}"/>
    <cellStyle name="Note 2 18 3" xfId="9494" xr:uid="{00000000-0005-0000-0000-00005D310000}"/>
    <cellStyle name="Note 2 18 4" xfId="10189" xr:uid="{00000000-0005-0000-0000-00005E310000}"/>
    <cellStyle name="Note 2 18 5" xfId="12442" xr:uid="{00000000-0005-0000-0000-00005F310000}"/>
    <cellStyle name="Note 2 18 6" xfId="13254" xr:uid="{00000000-0005-0000-0000-000060310000}"/>
    <cellStyle name="Note 2 18 7" xfId="17138" xr:uid="{00000000-0005-0000-0000-000061310000}"/>
    <cellStyle name="Note 2 18 8" xfId="17950" xr:uid="{00000000-0005-0000-0000-000062310000}"/>
    <cellStyle name="Note 2 18 9" xfId="21821" xr:uid="{00000000-0005-0000-0000-000063310000}"/>
    <cellStyle name="Note 2 19" xfId="3897" xr:uid="{00000000-0005-0000-0000-000064310000}"/>
    <cellStyle name="Note 2 19 2" xfId="6435" xr:uid="{00000000-0005-0000-0000-000065310000}"/>
    <cellStyle name="Note 2 19 3" xfId="9245" xr:uid="{00000000-0005-0000-0000-000066310000}"/>
    <cellStyle name="Note 2 19 4" xfId="12166" xr:uid="{00000000-0005-0000-0000-000067310000}"/>
    <cellStyle name="Note 2 19 5" xfId="14649" xr:uid="{00000000-0005-0000-0000-000068310000}"/>
    <cellStyle name="Note 2 19 6" xfId="16617" xr:uid="{00000000-0005-0000-0000-000069310000}"/>
    <cellStyle name="Note 2 19 7" xfId="19345" xr:uid="{00000000-0005-0000-0000-00006A310000}"/>
    <cellStyle name="Note 2 19 8" xfId="21313" xr:uid="{00000000-0005-0000-0000-00006B310000}"/>
    <cellStyle name="Note 2 19 9" xfId="23840" xr:uid="{00000000-0005-0000-0000-00006C310000}"/>
    <cellStyle name="Note 2 2" xfId="3058" xr:uid="{00000000-0005-0000-0000-00006D310000}"/>
    <cellStyle name="Note 2 2 10" xfId="25909" xr:uid="{00000000-0005-0000-0000-00006E310000}"/>
    <cellStyle name="Note 2 2 11" xfId="41305" xr:uid="{E089C8DD-65A0-406D-A1DD-BD68516804A4}"/>
    <cellStyle name="Note 2 2 12" xfId="32921" xr:uid="{D46254BB-4578-4ED5-ACE7-CE694AF878D4}"/>
    <cellStyle name="Note 2 2 2" xfId="5597" xr:uid="{00000000-0005-0000-0000-00006F310000}"/>
    <cellStyle name="Note 2 2 2 2" xfId="26042" xr:uid="{00000000-0005-0000-0000-000070310000}"/>
    <cellStyle name="Note 2 2 2 3" xfId="25910" xr:uid="{00000000-0005-0000-0000-000071310000}"/>
    <cellStyle name="Note 2 2 3" xfId="7993" xr:uid="{00000000-0005-0000-0000-000072310000}"/>
    <cellStyle name="Note 2 2 3 2" xfId="26043" xr:uid="{00000000-0005-0000-0000-000073310000}"/>
    <cellStyle name="Note 2 2 3 3" xfId="25911" xr:uid="{00000000-0005-0000-0000-000074310000}"/>
    <cellStyle name="Note 2 2 4" xfId="11540" xr:uid="{00000000-0005-0000-0000-000075310000}"/>
    <cellStyle name="Note 2 2 4 2" xfId="25912" xr:uid="{00000000-0005-0000-0000-000076310000}"/>
    <cellStyle name="Note 2 2 5" xfId="13972" xr:uid="{00000000-0005-0000-0000-000077310000}"/>
    <cellStyle name="Note 2 2 5 2" xfId="26041" xr:uid="{00000000-0005-0000-0000-000078310000}"/>
    <cellStyle name="Note 2 2 6" xfId="15498" xr:uid="{00000000-0005-0000-0000-000079310000}"/>
    <cellStyle name="Note 2 2 7" xfId="18668" xr:uid="{00000000-0005-0000-0000-00007A310000}"/>
    <cellStyle name="Note 2 2 8" xfId="20194" xr:uid="{00000000-0005-0000-0000-00007B310000}"/>
    <cellStyle name="Note 2 2 9" xfId="23214" xr:uid="{00000000-0005-0000-0000-00007C310000}"/>
    <cellStyle name="Note 2 20" xfId="3940" xr:uid="{00000000-0005-0000-0000-00007D310000}"/>
    <cellStyle name="Note 2 20 2" xfId="6478" xr:uid="{00000000-0005-0000-0000-00007E310000}"/>
    <cellStyle name="Note 2 20 3" xfId="9148" xr:uid="{00000000-0005-0000-0000-00007F310000}"/>
    <cellStyle name="Note 2 20 4" xfId="10593" xr:uid="{00000000-0005-0000-0000-000080310000}"/>
    <cellStyle name="Note 2 20 5" xfId="12941" xr:uid="{00000000-0005-0000-0000-000081310000}"/>
    <cellStyle name="Note 2 20 6" xfId="16801" xr:uid="{00000000-0005-0000-0000-000082310000}"/>
    <cellStyle name="Note 2 20 7" xfId="17637" xr:uid="{00000000-0005-0000-0000-000083310000}"/>
    <cellStyle name="Note 2 20 8" xfId="21497" xr:uid="{00000000-0005-0000-0000-000084310000}"/>
    <cellStyle name="Note 2 20 9" xfId="22266" xr:uid="{00000000-0005-0000-0000-000085310000}"/>
    <cellStyle name="Note 2 21" xfId="4033" xr:uid="{00000000-0005-0000-0000-000086310000}"/>
    <cellStyle name="Note 2 21 2" xfId="6571" xr:uid="{00000000-0005-0000-0000-000087310000}"/>
    <cellStyle name="Note 2 21 3" xfId="9300" xr:uid="{00000000-0005-0000-0000-000088310000}"/>
    <cellStyle name="Note 2 21 4" xfId="10309" xr:uid="{00000000-0005-0000-0000-000089310000}"/>
    <cellStyle name="Note 2 21 5" xfId="12624" xr:uid="{00000000-0005-0000-0000-00008A310000}"/>
    <cellStyle name="Note 2 21 6" xfId="16780" xr:uid="{00000000-0005-0000-0000-00008B310000}"/>
    <cellStyle name="Note 2 21 7" xfId="17320" xr:uid="{00000000-0005-0000-0000-00008C310000}"/>
    <cellStyle name="Note 2 21 8" xfId="21476" xr:uid="{00000000-0005-0000-0000-00008D310000}"/>
    <cellStyle name="Note 2 21 9" xfId="21979" xr:uid="{00000000-0005-0000-0000-00008E310000}"/>
    <cellStyle name="Note 2 22" xfId="3649" xr:uid="{00000000-0005-0000-0000-00008F310000}"/>
    <cellStyle name="Note 2 22 2" xfId="6187" xr:uid="{00000000-0005-0000-0000-000090310000}"/>
    <cellStyle name="Note 2 22 3" xfId="5439" xr:uid="{00000000-0005-0000-0000-000091310000}"/>
    <cellStyle name="Note 2 22 4" xfId="12272" xr:uid="{00000000-0005-0000-0000-000092310000}"/>
    <cellStyle name="Note 2 22 5" xfId="13240" xr:uid="{00000000-0005-0000-0000-000093310000}"/>
    <cellStyle name="Note 2 22 6" xfId="15770" xr:uid="{00000000-0005-0000-0000-000094310000}"/>
    <cellStyle name="Note 2 22 7" xfId="17936" xr:uid="{00000000-0005-0000-0000-000095310000}"/>
    <cellStyle name="Note 2 22 8" xfId="20466" xr:uid="{00000000-0005-0000-0000-000096310000}"/>
    <cellStyle name="Note 2 22 9" xfId="22545" xr:uid="{00000000-0005-0000-0000-000097310000}"/>
    <cellStyle name="Note 2 23" xfId="4077" xr:uid="{00000000-0005-0000-0000-000098310000}"/>
    <cellStyle name="Note 2 23 2" xfId="6615" xr:uid="{00000000-0005-0000-0000-000099310000}"/>
    <cellStyle name="Note 2 23 3" xfId="9011" xr:uid="{00000000-0005-0000-0000-00009A310000}"/>
    <cellStyle name="Note 2 23 4" xfId="10801" xr:uid="{00000000-0005-0000-0000-00009B310000}"/>
    <cellStyle name="Note 2 23 5" xfId="13161" xr:uid="{00000000-0005-0000-0000-00009C310000}"/>
    <cellStyle name="Note 2 23 6" xfId="16293" xr:uid="{00000000-0005-0000-0000-00009D310000}"/>
    <cellStyle name="Note 2 23 7" xfId="17857" xr:uid="{00000000-0005-0000-0000-00009E310000}"/>
    <cellStyle name="Note 2 23 8" xfId="20989" xr:uid="{00000000-0005-0000-0000-00009F310000}"/>
    <cellStyle name="Note 2 23 9" xfId="22472" xr:uid="{00000000-0005-0000-0000-0000A0310000}"/>
    <cellStyle name="Note 2 24" xfId="4131" xr:uid="{00000000-0005-0000-0000-0000A1310000}"/>
    <cellStyle name="Note 2 24 2" xfId="6669" xr:uid="{00000000-0005-0000-0000-0000A2310000}"/>
    <cellStyle name="Note 2 24 3" xfId="8647" xr:uid="{00000000-0005-0000-0000-0000A3310000}"/>
    <cellStyle name="Note 2 24 4" xfId="11154" xr:uid="{00000000-0005-0000-0000-0000A4310000}"/>
    <cellStyle name="Note 2 24 5" xfId="13550" xr:uid="{00000000-0005-0000-0000-0000A5310000}"/>
    <cellStyle name="Note 2 24 6" xfId="15536" xr:uid="{00000000-0005-0000-0000-0000A6310000}"/>
    <cellStyle name="Note 2 24 7" xfId="18246" xr:uid="{00000000-0005-0000-0000-0000A7310000}"/>
    <cellStyle name="Note 2 24 8" xfId="20232" xr:uid="{00000000-0005-0000-0000-0000A8310000}"/>
    <cellStyle name="Note 2 24 9" xfId="22827" xr:uid="{00000000-0005-0000-0000-0000A9310000}"/>
    <cellStyle name="Note 2 25" xfId="4174" xr:uid="{00000000-0005-0000-0000-0000AA310000}"/>
    <cellStyle name="Note 2 25 2" xfId="6712" xr:uid="{00000000-0005-0000-0000-0000AB310000}"/>
    <cellStyle name="Note 2 25 3" xfId="9093" xr:uid="{00000000-0005-0000-0000-0000AC310000}"/>
    <cellStyle name="Note 2 25 4" xfId="10792" xr:uid="{00000000-0005-0000-0000-0000AD310000}"/>
    <cellStyle name="Note 2 25 5" xfId="13151" xr:uid="{00000000-0005-0000-0000-0000AE310000}"/>
    <cellStyle name="Note 2 25 6" xfId="15942" xr:uid="{00000000-0005-0000-0000-0000AF310000}"/>
    <cellStyle name="Note 2 25 7" xfId="17847" xr:uid="{00000000-0005-0000-0000-0000B0310000}"/>
    <cellStyle name="Note 2 25 8" xfId="20638" xr:uid="{00000000-0005-0000-0000-0000B1310000}"/>
    <cellStyle name="Note 2 25 9" xfId="22463" xr:uid="{00000000-0005-0000-0000-0000B2310000}"/>
    <cellStyle name="Note 2 26" xfId="4209" xr:uid="{00000000-0005-0000-0000-0000B3310000}"/>
    <cellStyle name="Note 2 26 2" xfId="6747" xr:uid="{00000000-0005-0000-0000-0000B4310000}"/>
    <cellStyle name="Note 2 26 3" xfId="8086" xr:uid="{00000000-0005-0000-0000-0000B5310000}"/>
    <cellStyle name="Note 2 26 4" xfId="9350" xr:uid="{00000000-0005-0000-0000-0000B6310000}"/>
    <cellStyle name="Note 2 26 5" xfId="12473" xr:uid="{00000000-0005-0000-0000-0000B7310000}"/>
    <cellStyle name="Note 2 26 6" xfId="15953" xr:uid="{00000000-0005-0000-0000-0000B8310000}"/>
    <cellStyle name="Note 2 26 7" xfId="17169" xr:uid="{00000000-0005-0000-0000-0000B9310000}"/>
    <cellStyle name="Note 2 26 8" xfId="20649" xr:uid="{00000000-0005-0000-0000-0000BA310000}"/>
    <cellStyle name="Note 2 26 9" xfId="21848" xr:uid="{00000000-0005-0000-0000-0000BB310000}"/>
    <cellStyle name="Note 2 27" xfId="4259" xr:uid="{00000000-0005-0000-0000-0000BC310000}"/>
    <cellStyle name="Note 2 27 2" xfId="6797" xr:uid="{00000000-0005-0000-0000-0000BD310000}"/>
    <cellStyle name="Note 2 27 3" xfId="9412" xr:uid="{00000000-0005-0000-0000-0000BE310000}"/>
    <cellStyle name="Note 2 27 4" xfId="10086" xr:uid="{00000000-0005-0000-0000-0000BF310000}"/>
    <cellStyle name="Note 2 27 5" xfId="14926" xr:uid="{00000000-0005-0000-0000-0000C0310000}"/>
    <cellStyle name="Note 2 27 6" xfId="15002" xr:uid="{00000000-0005-0000-0000-0000C1310000}"/>
    <cellStyle name="Note 2 27 7" xfId="19622" xr:uid="{00000000-0005-0000-0000-0000C2310000}"/>
    <cellStyle name="Note 2 27 8" xfId="19698" xr:uid="{00000000-0005-0000-0000-0000C3310000}"/>
    <cellStyle name="Note 2 27 9" xfId="24089" xr:uid="{00000000-0005-0000-0000-0000C4310000}"/>
    <cellStyle name="Note 2 28" xfId="4302" xr:uid="{00000000-0005-0000-0000-0000C5310000}"/>
    <cellStyle name="Note 2 28 2" xfId="6840" xr:uid="{00000000-0005-0000-0000-0000C6310000}"/>
    <cellStyle name="Note 2 28 3" xfId="9121" xr:uid="{00000000-0005-0000-0000-0000C7310000}"/>
    <cellStyle name="Note 2 28 4" xfId="10314" xr:uid="{00000000-0005-0000-0000-0000C8310000}"/>
    <cellStyle name="Note 2 28 5" xfId="12631" xr:uid="{00000000-0005-0000-0000-0000C9310000}"/>
    <cellStyle name="Note 2 28 6" xfId="14882" xr:uid="{00000000-0005-0000-0000-0000CA310000}"/>
    <cellStyle name="Note 2 28 7" xfId="17327" xr:uid="{00000000-0005-0000-0000-0000CB310000}"/>
    <cellStyle name="Note 2 28 8" xfId="19578" xr:uid="{00000000-0005-0000-0000-0000CC310000}"/>
    <cellStyle name="Note 2 28 9" xfId="21985" xr:uid="{00000000-0005-0000-0000-0000CD310000}"/>
    <cellStyle name="Note 2 29" xfId="4345" xr:uid="{00000000-0005-0000-0000-0000CE310000}"/>
    <cellStyle name="Note 2 29 2" xfId="6883" xr:uid="{00000000-0005-0000-0000-0000CF310000}"/>
    <cellStyle name="Note 2 29 3" xfId="10126" xr:uid="{00000000-0005-0000-0000-0000D0310000}"/>
    <cellStyle name="Note 2 29 4" xfId="11575" xr:uid="{00000000-0005-0000-0000-0000D1310000}"/>
    <cellStyle name="Note 2 29 5" xfId="14012" xr:uid="{00000000-0005-0000-0000-0000D2310000}"/>
    <cellStyle name="Note 2 29 6" xfId="15853" xr:uid="{00000000-0005-0000-0000-0000D3310000}"/>
    <cellStyle name="Note 2 29 7" xfId="18708" xr:uid="{00000000-0005-0000-0000-0000D4310000}"/>
    <cellStyle name="Note 2 29 8" xfId="20549" xr:uid="{00000000-0005-0000-0000-0000D5310000}"/>
    <cellStyle name="Note 2 29 9" xfId="23249" xr:uid="{00000000-0005-0000-0000-0000D6310000}"/>
    <cellStyle name="Note 2 3" xfId="3035" xr:uid="{00000000-0005-0000-0000-0000D7310000}"/>
    <cellStyle name="Note 2 3 10" xfId="25913" xr:uid="{00000000-0005-0000-0000-0000D8310000}"/>
    <cellStyle name="Note 2 3 11" xfId="42008" xr:uid="{D28A14CE-4603-4665-9042-3FA7EE3841AD}"/>
    <cellStyle name="Note 2 3 2" xfId="5574" xr:uid="{00000000-0005-0000-0000-0000D9310000}"/>
    <cellStyle name="Note 2 3 2 2" xfId="26044" xr:uid="{00000000-0005-0000-0000-0000DA310000}"/>
    <cellStyle name="Note 2 3 3" xfId="8520" xr:uid="{00000000-0005-0000-0000-0000DB310000}"/>
    <cellStyle name="Note 2 3 4" xfId="11539" xr:uid="{00000000-0005-0000-0000-0000DC310000}"/>
    <cellStyle name="Note 2 3 5" xfId="13971" xr:uid="{00000000-0005-0000-0000-0000DD310000}"/>
    <cellStyle name="Note 2 3 6" xfId="15565" xr:uid="{00000000-0005-0000-0000-0000DE310000}"/>
    <cellStyle name="Note 2 3 7" xfId="18667" xr:uid="{00000000-0005-0000-0000-0000DF310000}"/>
    <cellStyle name="Note 2 3 8" xfId="20261" xr:uid="{00000000-0005-0000-0000-0000E0310000}"/>
    <cellStyle name="Note 2 3 9" xfId="23213" xr:uid="{00000000-0005-0000-0000-0000E1310000}"/>
    <cellStyle name="Note 2 30" xfId="4388" xr:uid="{00000000-0005-0000-0000-0000E2310000}"/>
    <cellStyle name="Note 2 30 2" xfId="6926" xr:uid="{00000000-0005-0000-0000-0000E3310000}"/>
    <cellStyle name="Note 2 30 3" xfId="8986" xr:uid="{00000000-0005-0000-0000-0000E4310000}"/>
    <cellStyle name="Note 2 30 4" xfId="10659" xr:uid="{00000000-0005-0000-0000-0000E5310000}"/>
    <cellStyle name="Note 2 30 5" xfId="13008" xr:uid="{00000000-0005-0000-0000-0000E6310000}"/>
    <cellStyle name="Note 2 30 6" xfId="14966" xr:uid="{00000000-0005-0000-0000-0000E7310000}"/>
    <cellStyle name="Note 2 30 7" xfId="17704" xr:uid="{00000000-0005-0000-0000-0000E8310000}"/>
    <cellStyle name="Note 2 30 8" xfId="19662" xr:uid="{00000000-0005-0000-0000-0000E9310000}"/>
    <cellStyle name="Note 2 30 9" xfId="22332" xr:uid="{00000000-0005-0000-0000-0000EA310000}"/>
    <cellStyle name="Note 2 31" xfId="4431" xr:uid="{00000000-0005-0000-0000-0000EB310000}"/>
    <cellStyle name="Note 2 31 2" xfId="6969" xr:uid="{00000000-0005-0000-0000-0000EC310000}"/>
    <cellStyle name="Note 2 31 3" xfId="8751" xr:uid="{00000000-0005-0000-0000-0000ED310000}"/>
    <cellStyle name="Note 2 31 4" xfId="9382" xr:uid="{00000000-0005-0000-0000-0000EE310000}"/>
    <cellStyle name="Note 2 31 5" xfId="14915" xr:uid="{00000000-0005-0000-0000-0000EF310000}"/>
    <cellStyle name="Note 2 31 6" xfId="15712" xr:uid="{00000000-0005-0000-0000-0000F0310000}"/>
    <cellStyle name="Note 2 31 7" xfId="19611" xr:uid="{00000000-0005-0000-0000-0000F1310000}"/>
    <cellStyle name="Note 2 31 8" xfId="20408" xr:uid="{00000000-0005-0000-0000-0000F2310000}"/>
    <cellStyle name="Note 2 31 9" xfId="24079" xr:uid="{00000000-0005-0000-0000-0000F3310000}"/>
    <cellStyle name="Note 2 32" xfId="4449" xr:uid="{00000000-0005-0000-0000-0000F4310000}"/>
    <cellStyle name="Note 2 32 2" xfId="6987" xr:uid="{00000000-0005-0000-0000-0000F5310000}"/>
    <cellStyle name="Note 2 32 3" xfId="8069" xr:uid="{00000000-0005-0000-0000-0000F6310000}"/>
    <cellStyle name="Note 2 32 4" xfId="10547" xr:uid="{00000000-0005-0000-0000-0000F7310000}"/>
    <cellStyle name="Note 2 32 5" xfId="12890" xr:uid="{00000000-0005-0000-0000-0000F8310000}"/>
    <cellStyle name="Note 2 32 6" xfId="14069" xr:uid="{00000000-0005-0000-0000-0000F9310000}"/>
    <cellStyle name="Note 2 32 7" xfId="17586" xr:uid="{00000000-0005-0000-0000-0000FA310000}"/>
    <cellStyle name="Note 2 32 8" xfId="18765" xr:uid="{00000000-0005-0000-0000-0000FB310000}"/>
    <cellStyle name="Note 2 32 9" xfId="22218" xr:uid="{00000000-0005-0000-0000-0000FC310000}"/>
    <cellStyle name="Note 2 33" xfId="4506" xr:uid="{00000000-0005-0000-0000-0000FD310000}"/>
    <cellStyle name="Note 2 33 2" xfId="7044" xr:uid="{00000000-0005-0000-0000-0000FE310000}"/>
    <cellStyle name="Note 2 33 3" xfId="8684" xr:uid="{00000000-0005-0000-0000-0000FF310000}"/>
    <cellStyle name="Note 2 33 4" xfId="10651" xr:uid="{00000000-0005-0000-0000-000000320000}"/>
    <cellStyle name="Note 2 33 5" xfId="13000" xr:uid="{00000000-0005-0000-0000-000001320000}"/>
    <cellStyle name="Note 2 33 6" xfId="16045" xr:uid="{00000000-0005-0000-0000-000002320000}"/>
    <cellStyle name="Note 2 33 7" xfId="17696" xr:uid="{00000000-0005-0000-0000-000003320000}"/>
    <cellStyle name="Note 2 33 8" xfId="20741" xr:uid="{00000000-0005-0000-0000-000004320000}"/>
    <cellStyle name="Note 2 33 9" xfId="22324" xr:uid="{00000000-0005-0000-0000-000005320000}"/>
    <cellStyle name="Note 2 34" xfId="4423" xr:uid="{00000000-0005-0000-0000-000006320000}"/>
    <cellStyle name="Note 2 34 2" xfId="6961" xr:uid="{00000000-0005-0000-0000-000007320000}"/>
    <cellStyle name="Note 2 34 3" xfId="9563" xr:uid="{00000000-0005-0000-0000-000008320000}"/>
    <cellStyle name="Note 2 34 4" xfId="10841" xr:uid="{00000000-0005-0000-0000-000009320000}"/>
    <cellStyle name="Note 2 34 5" xfId="13206" xr:uid="{00000000-0005-0000-0000-00000A320000}"/>
    <cellStyle name="Note 2 34 6" xfId="15959" xr:uid="{00000000-0005-0000-0000-00000B320000}"/>
    <cellStyle name="Note 2 34 7" xfId="17902" xr:uid="{00000000-0005-0000-0000-00000C320000}"/>
    <cellStyle name="Note 2 34 8" xfId="20655" xr:uid="{00000000-0005-0000-0000-00000D320000}"/>
    <cellStyle name="Note 2 34 9" xfId="22512" xr:uid="{00000000-0005-0000-0000-00000E320000}"/>
    <cellStyle name="Note 2 35" xfId="4603" xr:uid="{00000000-0005-0000-0000-00000F320000}"/>
    <cellStyle name="Note 2 35 2" xfId="7141" xr:uid="{00000000-0005-0000-0000-000010320000}"/>
    <cellStyle name="Note 2 35 3" xfId="7971" xr:uid="{00000000-0005-0000-0000-000011320000}"/>
    <cellStyle name="Note 2 35 4" xfId="11056" xr:uid="{00000000-0005-0000-0000-000012320000}"/>
    <cellStyle name="Note 2 35 5" xfId="13442" xr:uid="{00000000-0005-0000-0000-000013320000}"/>
    <cellStyle name="Note 2 35 6" xfId="15480" xr:uid="{00000000-0005-0000-0000-000014320000}"/>
    <cellStyle name="Note 2 35 7" xfId="18138" xr:uid="{00000000-0005-0000-0000-000015320000}"/>
    <cellStyle name="Note 2 35 8" xfId="20176" xr:uid="{00000000-0005-0000-0000-000016320000}"/>
    <cellStyle name="Note 2 35 9" xfId="22729" xr:uid="{00000000-0005-0000-0000-000017320000}"/>
    <cellStyle name="Note 2 36" xfId="4646" xr:uid="{00000000-0005-0000-0000-000018320000}"/>
    <cellStyle name="Note 2 36 2" xfId="7184" xr:uid="{00000000-0005-0000-0000-000019320000}"/>
    <cellStyle name="Note 2 36 3" xfId="8859" xr:uid="{00000000-0005-0000-0000-00001A320000}"/>
    <cellStyle name="Note 2 36 4" xfId="10624" xr:uid="{00000000-0005-0000-0000-00001B320000}"/>
    <cellStyle name="Note 2 36 5" xfId="12973" xr:uid="{00000000-0005-0000-0000-00001C320000}"/>
    <cellStyle name="Note 2 36 6" xfId="16441" xr:uid="{00000000-0005-0000-0000-00001D320000}"/>
    <cellStyle name="Note 2 36 7" xfId="17669" xr:uid="{00000000-0005-0000-0000-00001E320000}"/>
    <cellStyle name="Note 2 36 8" xfId="21137" xr:uid="{00000000-0005-0000-0000-00001F320000}"/>
    <cellStyle name="Note 2 36 9" xfId="22297" xr:uid="{00000000-0005-0000-0000-000020320000}"/>
    <cellStyle name="Note 2 37" xfId="4688" xr:uid="{00000000-0005-0000-0000-000021320000}"/>
    <cellStyle name="Note 2 37 2" xfId="7226" xr:uid="{00000000-0005-0000-0000-000022320000}"/>
    <cellStyle name="Note 2 37 3" xfId="9653" xr:uid="{00000000-0005-0000-0000-000023320000}"/>
    <cellStyle name="Note 2 37 4" xfId="10661" xr:uid="{00000000-0005-0000-0000-000024320000}"/>
    <cellStyle name="Note 2 37 5" xfId="13010" xr:uid="{00000000-0005-0000-0000-000025320000}"/>
    <cellStyle name="Note 2 37 6" xfId="15084" xr:uid="{00000000-0005-0000-0000-000026320000}"/>
    <cellStyle name="Note 2 37 7" xfId="17706" xr:uid="{00000000-0005-0000-0000-000027320000}"/>
    <cellStyle name="Note 2 37 8" xfId="19780" xr:uid="{00000000-0005-0000-0000-000028320000}"/>
    <cellStyle name="Note 2 37 9" xfId="22334" xr:uid="{00000000-0005-0000-0000-000029320000}"/>
    <cellStyle name="Note 2 38" xfId="4781" xr:uid="{00000000-0005-0000-0000-00002A320000}"/>
    <cellStyle name="Note 2 38 2" xfId="7319" xr:uid="{00000000-0005-0000-0000-00002B320000}"/>
    <cellStyle name="Note 2 38 3" xfId="9250" xr:uid="{00000000-0005-0000-0000-00002C320000}"/>
    <cellStyle name="Note 2 38 4" xfId="12256" xr:uid="{00000000-0005-0000-0000-00002D320000}"/>
    <cellStyle name="Note 2 38 5" xfId="12349" xr:uid="{00000000-0005-0000-0000-00002E320000}"/>
    <cellStyle name="Note 2 38 6" xfId="15259" xr:uid="{00000000-0005-0000-0000-00002F320000}"/>
    <cellStyle name="Note 2 38 7" xfId="17045" xr:uid="{00000000-0005-0000-0000-000030320000}"/>
    <cellStyle name="Note 2 38 8" xfId="19955" xr:uid="{00000000-0005-0000-0000-000031320000}"/>
    <cellStyle name="Note 2 38 9" xfId="21737" xr:uid="{00000000-0005-0000-0000-000032320000}"/>
    <cellStyle name="Note 2 39" xfId="4793" xr:uid="{00000000-0005-0000-0000-000033320000}"/>
    <cellStyle name="Note 2 39 2" xfId="7331" xr:uid="{00000000-0005-0000-0000-000034320000}"/>
    <cellStyle name="Note 2 39 3" xfId="9729" xr:uid="{00000000-0005-0000-0000-000035320000}"/>
    <cellStyle name="Note 2 39 4" xfId="11460" xr:uid="{00000000-0005-0000-0000-000036320000}"/>
    <cellStyle name="Note 2 39 5" xfId="13882" xr:uid="{00000000-0005-0000-0000-000037320000}"/>
    <cellStyle name="Note 2 39 6" xfId="16129" xr:uid="{00000000-0005-0000-0000-000038320000}"/>
    <cellStyle name="Note 2 39 7" xfId="18578" xr:uid="{00000000-0005-0000-0000-000039320000}"/>
    <cellStyle name="Note 2 39 8" xfId="20825" xr:uid="{00000000-0005-0000-0000-00003A320000}"/>
    <cellStyle name="Note 2 39 9" xfId="23135" xr:uid="{00000000-0005-0000-0000-00003B320000}"/>
    <cellStyle name="Note 2 4" xfId="3162" xr:uid="{00000000-0005-0000-0000-00003C320000}"/>
    <cellStyle name="Note 2 4 10" xfId="25914" xr:uid="{00000000-0005-0000-0000-00003D320000}"/>
    <cellStyle name="Note 2 4 2" xfId="5700" xr:uid="{00000000-0005-0000-0000-00003E320000}"/>
    <cellStyle name="Note 2 4 3" xfId="8203" xr:uid="{00000000-0005-0000-0000-00003F320000}"/>
    <cellStyle name="Note 2 4 4" xfId="8736" xr:uid="{00000000-0005-0000-0000-000040320000}"/>
    <cellStyle name="Note 2 4 5" xfId="12389" xr:uid="{00000000-0005-0000-0000-000041320000}"/>
    <cellStyle name="Note 2 4 6" xfId="16314" xr:uid="{00000000-0005-0000-0000-000042320000}"/>
    <cellStyle name="Note 2 4 7" xfId="17085" xr:uid="{00000000-0005-0000-0000-000043320000}"/>
    <cellStyle name="Note 2 4 8" xfId="21010" xr:uid="{00000000-0005-0000-0000-000044320000}"/>
    <cellStyle name="Note 2 4 9" xfId="21774" xr:uid="{00000000-0005-0000-0000-000045320000}"/>
    <cellStyle name="Note 2 40" xfId="4836" xr:uid="{00000000-0005-0000-0000-000046320000}"/>
    <cellStyle name="Note 2 40 2" xfId="7374" xr:uid="{00000000-0005-0000-0000-000047320000}"/>
    <cellStyle name="Note 2 40 3" xfId="8703" xr:uid="{00000000-0005-0000-0000-000048320000}"/>
    <cellStyle name="Note 2 40 4" xfId="11367" xr:uid="{00000000-0005-0000-0000-000049320000}"/>
    <cellStyle name="Note 2 40 5" xfId="13780" xr:uid="{00000000-0005-0000-0000-00004A320000}"/>
    <cellStyle name="Note 2 40 6" xfId="15339" xr:uid="{00000000-0005-0000-0000-00004B320000}"/>
    <cellStyle name="Note 2 40 7" xfId="18476" xr:uid="{00000000-0005-0000-0000-00004C320000}"/>
    <cellStyle name="Note 2 40 8" xfId="20035" xr:uid="{00000000-0005-0000-0000-00004D320000}"/>
    <cellStyle name="Note 2 40 9" xfId="23041" xr:uid="{00000000-0005-0000-0000-00004E320000}"/>
    <cellStyle name="Note 2 41" xfId="4854" xr:uid="{00000000-0005-0000-0000-00004F320000}"/>
    <cellStyle name="Note 2 41 2" xfId="7392" xr:uid="{00000000-0005-0000-0000-000050320000}"/>
    <cellStyle name="Note 2 41 3" xfId="8327" xr:uid="{00000000-0005-0000-0000-000051320000}"/>
    <cellStyle name="Note 2 41 4" xfId="12033" xr:uid="{00000000-0005-0000-0000-000052320000}"/>
    <cellStyle name="Note 2 41 5" xfId="14515" xr:uid="{00000000-0005-0000-0000-000053320000}"/>
    <cellStyle name="Note 2 41 6" xfId="16935" xr:uid="{00000000-0005-0000-0000-000054320000}"/>
    <cellStyle name="Note 2 41 7" xfId="19211" xr:uid="{00000000-0005-0000-0000-000055320000}"/>
    <cellStyle name="Note 2 41 8" xfId="21631" xr:uid="{00000000-0005-0000-0000-000056320000}"/>
    <cellStyle name="Note 2 41 9" xfId="23708" xr:uid="{00000000-0005-0000-0000-000057320000}"/>
    <cellStyle name="Note 2 42" xfId="4907" xr:uid="{00000000-0005-0000-0000-000058320000}"/>
    <cellStyle name="Note 2 42 2" xfId="7445" xr:uid="{00000000-0005-0000-0000-000059320000}"/>
    <cellStyle name="Note 2 42 3" xfId="8562" xr:uid="{00000000-0005-0000-0000-00005A320000}"/>
    <cellStyle name="Note 2 42 4" xfId="12162" xr:uid="{00000000-0005-0000-0000-00005B320000}"/>
    <cellStyle name="Note 2 42 5" xfId="14645" xr:uid="{00000000-0005-0000-0000-00005C320000}"/>
    <cellStyle name="Note 2 42 6" xfId="16177" xr:uid="{00000000-0005-0000-0000-00005D320000}"/>
    <cellStyle name="Note 2 42 7" xfId="19341" xr:uid="{00000000-0005-0000-0000-00005E320000}"/>
    <cellStyle name="Note 2 42 8" xfId="20873" xr:uid="{00000000-0005-0000-0000-00005F320000}"/>
    <cellStyle name="Note 2 42 9" xfId="23836" xr:uid="{00000000-0005-0000-0000-000060320000}"/>
    <cellStyle name="Note 2 43" xfId="4950" xr:uid="{00000000-0005-0000-0000-000061320000}"/>
    <cellStyle name="Note 2 43 2" xfId="7488" xr:uid="{00000000-0005-0000-0000-000062320000}"/>
    <cellStyle name="Note 2 43 3" xfId="9146" xr:uid="{00000000-0005-0000-0000-000063320000}"/>
    <cellStyle name="Note 2 43 4" xfId="8407" xr:uid="{00000000-0005-0000-0000-000064320000}"/>
    <cellStyle name="Note 2 43 5" xfId="12367" xr:uid="{00000000-0005-0000-0000-000065320000}"/>
    <cellStyle name="Note 2 43 6" xfId="16416" xr:uid="{00000000-0005-0000-0000-000066320000}"/>
    <cellStyle name="Note 2 43 7" xfId="17063" xr:uid="{00000000-0005-0000-0000-000067320000}"/>
    <cellStyle name="Note 2 43 8" xfId="21112" xr:uid="{00000000-0005-0000-0000-000068320000}"/>
    <cellStyle name="Note 2 43 9" xfId="21753" xr:uid="{00000000-0005-0000-0000-000069320000}"/>
    <cellStyle name="Note 2 44" xfId="4995" xr:uid="{00000000-0005-0000-0000-00006A320000}"/>
    <cellStyle name="Note 2 44 2" xfId="7533" xr:uid="{00000000-0005-0000-0000-00006B320000}"/>
    <cellStyle name="Note 2 44 3" xfId="8130" xr:uid="{00000000-0005-0000-0000-00006C320000}"/>
    <cellStyle name="Note 2 44 4" xfId="12236" xr:uid="{00000000-0005-0000-0000-00006D320000}"/>
    <cellStyle name="Note 2 44 5" xfId="14443" xr:uid="{00000000-0005-0000-0000-00006E320000}"/>
    <cellStyle name="Note 2 44 6" xfId="15164" xr:uid="{00000000-0005-0000-0000-00006F320000}"/>
    <cellStyle name="Note 2 44 7" xfId="19139" xr:uid="{00000000-0005-0000-0000-000070320000}"/>
    <cellStyle name="Note 2 44 8" xfId="19860" xr:uid="{00000000-0005-0000-0000-000071320000}"/>
    <cellStyle name="Note 2 44 9" xfId="23641" xr:uid="{00000000-0005-0000-0000-000072320000}"/>
    <cellStyle name="Note 2 45" xfId="5032" xr:uid="{00000000-0005-0000-0000-000073320000}"/>
    <cellStyle name="Note 2 45 2" xfId="7570" xr:uid="{00000000-0005-0000-0000-000074320000}"/>
    <cellStyle name="Note 2 45 3" xfId="9614" xr:uid="{00000000-0005-0000-0000-000075320000}"/>
    <cellStyle name="Note 2 45 4" xfId="11710" xr:uid="{00000000-0005-0000-0000-000076320000}"/>
    <cellStyle name="Note 2 45 5" xfId="14159" xr:uid="{00000000-0005-0000-0000-000077320000}"/>
    <cellStyle name="Note 2 45 6" xfId="16507" xr:uid="{00000000-0005-0000-0000-000078320000}"/>
    <cellStyle name="Note 2 45 7" xfId="18855" xr:uid="{00000000-0005-0000-0000-000079320000}"/>
    <cellStyle name="Note 2 45 8" xfId="21203" xr:uid="{00000000-0005-0000-0000-00007A320000}"/>
    <cellStyle name="Note 2 45 9" xfId="23384" xr:uid="{00000000-0005-0000-0000-00007B320000}"/>
    <cellStyle name="Note 2 46" xfId="5063" xr:uid="{00000000-0005-0000-0000-00007C320000}"/>
    <cellStyle name="Note 2 46 2" xfId="7601" xr:uid="{00000000-0005-0000-0000-00007D320000}"/>
    <cellStyle name="Note 2 46 3" xfId="9899" xr:uid="{00000000-0005-0000-0000-00007E320000}"/>
    <cellStyle name="Note 2 46 4" xfId="11445" xr:uid="{00000000-0005-0000-0000-00007F320000}"/>
    <cellStyle name="Note 2 46 5" xfId="13864" xr:uid="{00000000-0005-0000-0000-000080320000}"/>
    <cellStyle name="Note 2 46 6" xfId="15132" xr:uid="{00000000-0005-0000-0000-000081320000}"/>
    <cellStyle name="Note 2 46 7" xfId="18560" xr:uid="{00000000-0005-0000-0000-000082320000}"/>
    <cellStyle name="Note 2 46 8" xfId="19828" xr:uid="{00000000-0005-0000-0000-000083320000}"/>
    <cellStyle name="Note 2 46 9" xfId="23120" xr:uid="{00000000-0005-0000-0000-000084320000}"/>
    <cellStyle name="Note 2 47" xfId="5093" xr:uid="{00000000-0005-0000-0000-000085320000}"/>
    <cellStyle name="Note 2 47 2" xfId="7631" xr:uid="{00000000-0005-0000-0000-000086320000}"/>
    <cellStyle name="Note 2 47 3" xfId="9047" xr:uid="{00000000-0005-0000-0000-000087320000}"/>
    <cellStyle name="Note 2 47 4" xfId="10811" xr:uid="{00000000-0005-0000-0000-000088320000}"/>
    <cellStyle name="Note 2 47 5" xfId="13173" xr:uid="{00000000-0005-0000-0000-000089320000}"/>
    <cellStyle name="Note 2 47 6" xfId="15165" xr:uid="{00000000-0005-0000-0000-00008A320000}"/>
    <cellStyle name="Note 2 47 7" xfId="17869" xr:uid="{00000000-0005-0000-0000-00008B320000}"/>
    <cellStyle name="Note 2 47 8" xfId="19861" xr:uid="{00000000-0005-0000-0000-00008C320000}"/>
    <cellStyle name="Note 2 47 9" xfId="22482" xr:uid="{00000000-0005-0000-0000-00008D320000}"/>
    <cellStyle name="Note 2 48" xfId="5120" xr:uid="{00000000-0005-0000-0000-00008E320000}"/>
    <cellStyle name="Note 2 48 2" xfId="7658" xr:uid="{00000000-0005-0000-0000-00008F320000}"/>
    <cellStyle name="Note 2 48 3" xfId="9654" xr:uid="{00000000-0005-0000-0000-000090320000}"/>
    <cellStyle name="Note 2 48 4" xfId="11697" xr:uid="{00000000-0005-0000-0000-000091320000}"/>
    <cellStyle name="Note 2 48 5" xfId="14146" xr:uid="{00000000-0005-0000-0000-000092320000}"/>
    <cellStyle name="Note 2 48 6" xfId="14371" xr:uid="{00000000-0005-0000-0000-000093320000}"/>
    <cellStyle name="Note 2 48 7" xfId="18842" xr:uid="{00000000-0005-0000-0000-000094320000}"/>
    <cellStyle name="Note 2 48 8" xfId="19067" xr:uid="{00000000-0005-0000-0000-000095320000}"/>
    <cellStyle name="Note 2 48 9" xfId="23371" xr:uid="{00000000-0005-0000-0000-000096320000}"/>
    <cellStyle name="Note 2 49" xfId="5189" xr:uid="{00000000-0005-0000-0000-000097320000}"/>
    <cellStyle name="Note 2 49 2" xfId="7728" xr:uid="{00000000-0005-0000-0000-000098320000}"/>
    <cellStyle name="Note 2 49 3" xfId="8501" xr:uid="{00000000-0005-0000-0000-000099320000}"/>
    <cellStyle name="Note 2 49 4" xfId="11779" xr:uid="{00000000-0005-0000-0000-00009A320000}"/>
    <cellStyle name="Note 2 49 5" xfId="14233" xr:uid="{00000000-0005-0000-0000-00009B320000}"/>
    <cellStyle name="Note 2 49 6" xfId="16561" xr:uid="{00000000-0005-0000-0000-00009C320000}"/>
    <cellStyle name="Note 2 49 7" xfId="18929" xr:uid="{00000000-0005-0000-0000-00009D320000}"/>
    <cellStyle name="Note 2 49 8" xfId="21257" xr:uid="{00000000-0005-0000-0000-00009E320000}"/>
    <cellStyle name="Note 2 49 9" xfId="23453" xr:uid="{00000000-0005-0000-0000-00009F320000}"/>
    <cellStyle name="Note 2 5" xfId="3205" xr:uid="{00000000-0005-0000-0000-0000A0320000}"/>
    <cellStyle name="Note 2 5 10" xfId="26233" xr:uid="{00000000-0005-0000-0000-0000A1320000}"/>
    <cellStyle name="Note 2 5 2" xfId="5743" xr:uid="{00000000-0005-0000-0000-0000A2320000}"/>
    <cellStyle name="Note 2 5 3" xfId="9812" xr:uid="{00000000-0005-0000-0000-0000A3320000}"/>
    <cellStyle name="Note 2 5 4" xfId="10770" xr:uid="{00000000-0005-0000-0000-0000A4320000}"/>
    <cellStyle name="Note 2 5 5" xfId="13125" xr:uid="{00000000-0005-0000-0000-0000A5320000}"/>
    <cellStyle name="Note 2 5 6" xfId="15570" xr:uid="{00000000-0005-0000-0000-0000A6320000}"/>
    <cellStyle name="Note 2 5 7" xfId="17821" xr:uid="{00000000-0005-0000-0000-0000A7320000}"/>
    <cellStyle name="Note 2 5 8" xfId="20266" xr:uid="{00000000-0005-0000-0000-0000A8320000}"/>
    <cellStyle name="Note 2 5 9" xfId="22442" xr:uid="{00000000-0005-0000-0000-0000A9320000}"/>
    <cellStyle name="Note 2 50" xfId="5185" xr:uid="{00000000-0005-0000-0000-0000AA320000}"/>
    <cellStyle name="Note 2 50 2" xfId="9662" xr:uid="{00000000-0005-0000-0000-0000AB320000}"/>
    <cellStyle name="Note 2 50 3" xfId="10714" xr:uid="{00000000-0005-0000-0000-0000AC320000}"/>
    <cellStyle name="Note 2 50 4" xfId="13068" xr:uid="{00000000-0005-0000-0000-0000AD320000}"/>
    <cellStyle name="Note 2 50 5" xfId="15710" xr:uid="{00000000-0005-0000-0000-0000AE320000}"/>
    <cellStyle name="Note 2 50 6" xfId="17764" xr:uid="{00000000-0005-0000-0000-0000AF320000}"/>
    <cellStyle name="Note 2 50 7" xfId="20406" xr:uid="{00000000-0005-0000-0000-0000B0320000}"/>
    <cellStyle name="Note 2 50 8" xfId="22387" xr:uid="{00000000-0005-0000-0000-0000B1320000}"/>
    <cellStyle name="Note 2 51" xfId="8119" xr:uid="{00000000-0005-0000-0000-0000B2320000}"/>
    <cellStyle name="Note 2 52" xfId="11496" xr:uid="{00000000-0005-0000-0000-0000B3320000}"/>
    <cellStyle name="Note 2 53" xfId="13923" xr:uid="{00000000-0005-0000-0000-0000B4320000}"/>
    <cellStyle name="Note 2 54" xfId="16093" xr:uid="{00000000-0005-0000-0000-0000B5320000}"/>
    <cellStyle name="Note 2 55" xfId="18619" xr:uid="{00000000-0005-0000-0000-0000B6320000}"/>
    <cellStyle name="Note 2 56" xfId="20789" xr:uid="{00000000-0005-0000-0000-0000B7320000}"/>
    <cellStyle name="Note 2 57" xfId="23171" xr:uid="{00000000-0005-0000-0000-0000B8320000}"/>
    <cellStyle name="Note 2 58" xfId="2939" xr:uid="{00000000-0005-0000-0000-0000B9320000}"/>
    <cellStyle name="Note 2 59" xfId="25908" xr:uid="{00000000-0005-0000-0000-0000BA320000}"/>
    <cellStyle name="Note 2 6" xfId="3248" xr:uid="{00000000-0005-0000-0000-0000BB320000}"/>
    <cellStyle name="Note 2 6 2" xfId="5786" xr:uid="{00000000-0005-0000-0000-0000BC320000}"/>
    <cellStyle name="Note 2 6 3" xfId="8949" xr:uid="{00000000-0005-0000-0000-0000BD320000}"/>
    <cellStyle name="Note 2 6 4" xfId="11283" xr:uid="{00000000-0005-0000-0000-0000BE320000}"/>
    <cellStyle name="Note 2 6 5" xfId="13689" xr:uid="{00000000-0005-0000-0000-0000BF320000}"/>
    <cellStyle name="Note 2 6 6" xfId="16170" xr:uid="{00000000-0005-0000-0000-0000C0320000}"/>
    <cellStyle name="Note 2 6 7" xfId="18385" xr:uid="{00000000-0005-0000-0000-0000C1320000}"/>
    <cellStyle name="Note 2 6 8" xfId="20866" xr:uid="{00000000-0005-0000-0000-0000C2320000}"/>
    <cellStyle name="Note 2 6 9" xfId="22957" xr:uid="{00000000-0005-0000-0000-0000C3320000}"/>
    <cellStyle name="Note 2 60" xfId="32838" xr:uid="{DDDE2137-5DC2-4058-903C-806A59C95731}"/>
    <cellStyle name="Note 2 61" xfId="42200" xr:uid="{DF99BD36-8C5D-438C-A98A-E0956F916BBB}"/>
    <cellStyle name="Note 2 7" xfId="3291" xr:uid="{00000000-0005-0000-0000-0000C4320000}"/>
    <cellStyle name="Note 2 7 2" xfId="5829" xr:uid="{00000000-0005-0000-0000-0000C5320000}"/>
    <cellStyle name="Note 2 7 3" xfId="7807" xr:uid="{00000000-0005-0000-0000-0000C6320000}"/>
    <cellStyle name="Note 2 7 4" xfId="11452" xr:uid="{00000000-0005-0000-0000-0000C7320000}"/>
    <cellStyle name="Note 2 7 5" xfId="13872" xr:uid="{00000000-0005-0000-0000-0000C8320000}"/>
    <cellStyle name="Note 2 7 6" xfId="15369" xr:uid="{00000000-0005-0000-0000-0000C9320000}"/>
    <cellStyle name="Note 2 7 7" xfId="18568" xr:uid="{00000000-0005-0000-0000-0000CA320000}"/>
    <cellStyle name="Note 2 7 8" xfId="20065" xr:uid="{00000000-0005-0000-0000-0000CB320000}"/>
    <cellStyle name="Note 2 7 9" xfId="23127" xr:uid="{00000000-0005-0000-0000-0000CC320000}"/>
    <cellStyle name="Note 2 8" xfId="3334" xr:uid="{00000000-0005-0000-0000-0000CD320000}"/>
    <cellStyle name="Note 2 8 2" xfId="5872" xr:uid="{00000000-0005-0000-0000-0000CE320000}"/>
    <cellStyle name="Note 2 8 3" xfId="9026" xr:uid="{00000000-0005-0000-0000-0000CF320000}"/>
    <cellStyle name="Note 2 8 4" xfId="10768" xr:uid="{00000000-0005-0000-0000-0000D0320000}"/>
    <cellStyle name="Note 2 8 5" xfId="13123" xr:uid="{00000000-0005-0000-0000-0000D1320000}"/>
    <cellStyle name="Note 2 8 6" xfId="16307" xr:uid="{00000000-0005-0000-0000-0000D2320000}"/>
    <cellStyle name="Note 2 8 7" xfId="17819" xr:uid="{00000000-0005-0000-0000-0000D3320000}"/>
    <cellStyle name="Note 2 8 8" xfId="21003" xr:uid="{00000000-0005-0000-0000-0000D4320000}"/>
    <cellStyle name="Note 2 8 9" xfId="22440" xr:uid="{00000000-0005-0000-0000-0000D5320000}"/>
    <cellStyle name="Note 2 9" xfId="3377" xr:uid="{00000000-0005-0000-0000-0000D6320000}"/>
    <cellStyle name="Note 2 9 2" xfId="5915" xr:uid="{00000000-0005-0000-0000-0000D7320000}"/>
    <cellStyle name="Note 2 9 3" xfId="9497" xr:uid="{00000000-0005-0000-0000-0000D8320000}"/>
    <cellStyle name="Note 2 9 4" xfId="12065" xr:uid="{00000000-0005-0000-0000-0000D9320000}"/>
    <cellStyle name="Note 2 9 5" xfId="14545" xr:uid="{00000000-0005-0000-0000-0000DA320000}"/>
    <cellStyle name="Note 2 9 6" xfId="12417" xr:uid="{00000000-0005-0000-0000-0000DB320000}"/>
    <cellStyle name="Note 2 9 7" xfId="19241" xr:uid="{00000000-0005-0000-0000-0000DC320000}"/>
    <cellStyle name="Note 2 9 8" xfId="17113" xr:uid="{00000000-0005-0000-0000-0000DD320000}"/>
    <cellStyle name="Note 2 9 9" xfId="23737" xr:uid="{00000000-0005-0000-0000-0000DE320000}"/>
    <cellStyle name="Note 3" xfId="5401" xr:uid="{00000000-0005-0000-0000-0000DF320000}"/>
    <cellStyle name="Note 3 2" xfId="25915" xr:uid="{00000000-0005-0000-0000-0000E0320000}"/>
    <cellStyle name="Note 3 2 2" xfId="42312" xr:uid="{1F5983B4-C4C5-4E35-883A-F9107D583742}"/>
    <cellStyle name="Note 3 3" xfId="41306" xr:uid="{3FFDD467-2DDD-4944-B7C4-36F0227632E2}"/>
    <cellStyle name="Note 4" xfId="25916" xr:uid="{00000000-0005-0000-0000-0000E1320000}"/>
    <cellStyle name="Note 4 2" xfId="41307" xr:uid="{FF51989E-0977-4A6C-8120-895FC649658D}"/>
    <cellStyle name="Note 4 2 2" xfId="42329" xr:uid="{FF9079DA-50CC-4282-A799-572437B35219}"/>
    <cellStyle name="Note 4 3" xfId="32756" xr:uid="{E885B652-0D1C-4D42-9B1A-AABDC3EE7AC3}"/>
    <cellStyle name="Note 5" xfId="41308" xr:uid="{80A8768B-733F-40CC-AA94-21474921669A}"/>
    <cellStyle name="Note 5 2" xfId="41309" xr:uid="{1226A428-82BD-4F2D-AE2A-B96C1771BBEB}"/>
    <cellStyle name="Note 5 2 2" xfId="41310" xr:uid="{7A6F66EC-E437-4E92-9958-948ED23103EE}"/>
    <cellStyle name="Note 5 2 3" xfId="41311" xr:uid="{563EFD9C-FA8D-4B2F-94AB-3FA7AF08413C}"/>
    <cellStyle name="Note 5 3" xfId="41312" xr:uid="{86C91483-8464-44AB-9961-41A46A6FD148}"/>
    <cellStyle name="Note 5 4" xfId="41313" xr:uid="{4032FC23-7E9C-46C1-A247-B4C80AEDA41D}"/>
    <cellStyle name="Note 5 5" xfId="41314" xr:uid="{0AE5297B-3EFC-4ED7-978A-1D9D22E0B5A2}"/>
    <cellStyle name="Note 5 6" xfId="42294" xr:uid="{325F0363-F714-41EA-8D8A-6C5D450B87E0}"/>
    <cellStyle name="Note 6" xfId="41315" xr:uid="{0C0CB18B-B116-4C0D-A424-7D9BBF6AA357}"/>
    <cellStyle name="Note 6 2" xfId="42383" xr:uid="{F8C08653-41E7-445E-9B69-CE3039E3C9A6}"/>
    <cellStyle name="Note 7" xfId="41316" xr:uid="{3F995A75-0B48-45CB-A018-680D16CB5BC2}"/>
    <cellStyle name="Note 7 2" xfId="42323" xr:uid="{37E40222-7FE7-4971-94FA-B7CCA5E49797}"/>
    <cellStyle name="Note 8" xfId="41317" xr:uid="{C0BEFC2F-005E-4538-A2F9-A21C13F34B02}"/>
    <cellStyle name="Note 8 2" xfId="32769" xr:uid="{587B3F66-9BC6-441B-AC69-D10B38F535AF}"/>
    <cellStyle name="Note 9" xfId="41318" xr:uid="{D006140D-D4F6-4B51-AF3E-65AB570CA281}"/>
    <cellStyle name="Note 9 2" xfId="32620" xr:uid="{6ABA58F4-1A2A-4106-9BF0-D345E09BD3DA}"/>
    <cellStyle name="Output 2" xfId="1540" xr:uid="{00000000-0005-0000-0000-0000E2320000}"/>
    <cellStyle name="Output 2 10" xfId="3413" xr:uid="{00000000-0005-0000-0000-0000E3320000}"/>
    <cellStyle name="Output 2 10 2" xfId="5951" xr:uid="{00000000-0005-0000-0000-0000E4320000}"/>
    <cellStyle name="Output 2 10 3" xfId="9703" xr:uid="{00000000-0005-0000-0000-0000E5320000}"/>
    <cellStyle name="Output 2 10 4" xfId="12041" xr:uid="{00000000-0005-0000-0000-0000E6320000}"/>
    <cellStyle name="Output 2 10 5" xfId="14523" xr:uid="{00000000-0005-0000-0000-0000E7320000}"/>
    <cellStyle name="Output 2 10 6" xfId="12399" xr:uid="{00000000-0005-0000-0000-0000E8320000}"/>
    <cellStyle name="Output 2 10 7" xfId="19219" xr:uid="{00000000-0005-0000-0000-0000E9320000}"/>
    <cellStyle name="Output 2 10 8" xfId="17095" xr:uid="{00000000-0005-0000-0000-0000EA320000}"/>
    <cellStyle name="Output 2 10 9" xfId="23716" xr:uid="{00000000-0005-0000-0000-0000EB320000}"/>
    <cellStyle name="Output 2 11" xfId="3428" xr:uid="{00000000-0005-0000-0000-0000EC320000}"/>
    <cellStyle name="Output 2 11 2" xfId="5966" xr:uid="{00000000-0005-0000-0000-0000ED320000}"/>
    <cellStyle name="Output 2 11 3" xfId="8279" xr:uid="{00000000-0005-0000-0000-0000EE320000}"/>
    <cellStyle name="Output 2 11 4" xfId="11811" xr:uid="{00000000-0005-0000-0000-0000EF320000}"/>
    <cellStyle name="Output 2 11 5" xfId="14268" xr:uid="{00000000-0005-0000-0000-0000F0320000}"/>
    <cellStyle name="Output 2 11 6" xfId="16731" xr:uid="{00000000-0005-0000-0000-0000F1320000}"/>
    <cellStyle name="Output 2 11 7" xfId="18964" xr:uid="{00000000-0005-0000-0000-0000F2320000}"/>
    <cellStyle name="Output 2 11 8" xfId="21427" xr:uid="{00000000-0005-0000-0000-0000F3320000}"/>
    <cellStyle name="Output 2 11 9" xfId="23486" xr:uid="{00000000-0005-0000-0000-0000F4320000}"/>
    <cellStyle name="Output 2 12" xfId="3233" xr:uid="{00000000-0005-0000-0000-0000F5320000}"/>
    <cellStyle name="Output 2 12 2" xfId="5771" xr:uid="{00000000-0005-0000-0000-0000F6320000}"/>
    <cellStyle name="Output 2 12 3" xfId="7804" xr:uid="{00000000-0005-0000-0000-0000F7320000}"/>
    <cellStyle name="Output 2 12 4" xfId="11284" xr:uid="{00000000-0005-0000-0000-0000F8320000}"/>
    <cellStyle name="Output 2 12 5" xfId="13690" xr:uid="{00000000-0005-0000-0000-0000F9320000}"/>
    <cellStyle name="Output 2 12 6" xfId="15981" xr:uid="{00000000-0005-0000-0000-0000FA320000}"/>
    <cellStyle name="Output 2 12 7" xfId="18386" xr:uid="{00000000-0005-0000-0000-0000FB320000}"/>
    <cellStyle name="Output 2 12 8" xfId="20677" xr:uid="{00000000-0005-0000-0000-0000FC320000}"/>
    <cellStyle name="Output 2 12 9" xfId="22958" xr:uid="{00000000-0005-0000-0000-0000FD320000}"/>
    <cellStyle name="Output 2 13" xfId="3542" xr:uid="{00000000-0005-0000-0000-0000FE320000}"/>
    <cellStyle name="Output 2 13 2" xfId="6080" xr:uid="{00000000-0005-0000-0000-0000FF320000}"/>
    <cellStyle name="Output 2 13 3" xfId="5456" xr:uid="{00000000-0005-0000-0000-000000330000}"/>
    <cellStyle name="Output 2 13 4" xfId="11074" xr:uid="{00000000-0005-0000-0000-000001330000}"/>
    <cellStyle name="Output 2 13 5" xfId="13463" xr:uid="{00000000-0005-0000-0000-000002330000}"/>
    <cellStyle name="Output 2 13 6" xfId="15730" xr:uid="{00000000-0005-0000-0000-000003330000}"/>
    <cellStyle name="Output 2 13 7" xfId="18159" xr:uid="{00000000-0005-0000-0000-000004330000}"/>
    <cellStyle name="Output 2 13 8" xfId="20426" xr:uid="{00000000-0005-0000-0000-000005330000}"/>
    <cellStyle name="Output 2 13 9" xfId="22747" xr:uid="{00000000-0005-0000-0000-000006330000}"/>
    <cellStyle name="Output 2 14" xfId="3430" xr:uid="{00000000-0005-0000-0000-000007330000}"/>
    <cellStyle name="Output 2 14 2" xfId="5968" xr:uid="{00000000-0005-0000-0000-000008330000}"/>
    <cellStyle name="Output 2 14 3" xfId="5468" xr:uid="{00000000-0005-0000-0000-000009330000}"/>
    <cellStyle name="Output 2 14 4" xfId="10379" xr:uid="{00000000-0005-0000-0000-00000A330000}"/>
    <cellStyle name="Output 2 14 5" xfId="12701" xr:uid="{00000000-0005-0000-0000-00000B330000}"/>
    <cellStyle name="Output 2 14 6" xfId="16149" xr:uid="{00000000-0005-0000-0000-00000C330000}"/>
    <cellStyle name="Output 2 14 7" xfId="17397" xr:uid="{00000000-0005-0000-0000-00000D330000}"/>
    <cellStyle name="Output 2 14 8" xfId="20845" xr:uid="{00000000-0005-0000-0000-00000E330000}"/>
    <cellStyle name="Output 2 14 9" xfId="22050" xr:uid="{00000000-0005-0000-0000-00000F330000}"/>
    <cellStyle name="Output 2 15" xfId="3490" xr:uid="{00000000-0005-0000-0000-000010330000}"/>
    <cellStyle name="Output 2 15 2" xfId="6028" xr:uid="{00000000-0005-0000-0000-000011330000}"/>
    <cellStyle name="Output 2 15 3" xfId="9806" xr:uid="{00000000-0005-0000-0000-000012330000}"/>
    <cellStyle name="Output 2 15 4" xfId="10708" xr:uid="{00000000-0005-0000-0000-000013330000}"/>
    <cellStyle name="Output 2 15 5" xfId="13062" xr:uid="{00000000-0005-0000-0000-000014330000}"/>
    <cellStyle name="Output 2 15 6" xfId="16266" xr:uid="{00000000-0005-0000-0000-000015330000}"/>
    <cellStyle name="Output 2 15 7" xfId="17758" xr:uid="{00000000-0005-0000-0000-000016330000}"/>
    <cellStyle name="Output 2 15 8" xfId="20962" xr:uid="{00000000-0005-0000-0000-000017330000}"/>
    <cellStyle name="Output 2 15 9" xfId="22381" xr:uid="{00000000-0005-0000-0000-000018330000}"/>
    <cellStyle name="Output 2 16" xfId="3654" xr:uid="{00000000-0005-0000-0000-000019330000}"/>
    <cellStyle name="Output 2 16 2" xfId="6192" xr:uid="{00000000-0005-0000-0000-00001A330000}"/>
    <cellStyle name="Output 2 16 3" xfId="8169" xr:uid="{00000000-0005-0000-0000-00001B330000}"/>
    <cellStyle name="Output 2 16 4" xfId="12129" xr:uid="{00000000-0005-0000-0000-00001C330000}"/>
    <cellStyle name="Output 2 16 5" xfId="14611" xr:uid="{00000000-0005-0000-0000-00001D330000}"/>
    <cellStyle name="Output 2 16 6" xfId="13031" xr:uid="{00000000-0005-0000-0000-00001E330000}"/>
    <cellStyle name="Output 2 16 7" xfId="19307" xr:uid="{00000000-0005-0000-0000-00001F330000}"/>
    <cellStyle name="Output 2 16 8" xfId="17727" xr:uid="{00000000-0005-0000-0000-000020330000}"/>
    <cellStyle name="Output 2 16 9" xfId="23803" xr:uid="{00000000-0005-0000-0000-000021330000}"/>
    <cellStyle name="Output 2 17" xfId="3597" xr:uid="{00000000-0005-0000-0000-000022330000}"/>
    <cellStyle name="Output 2 17 2" xfId="6135" xr:uid="{00000000-0005-0000-0000-000023330000}"/>
    <cellStyle name="Output 2 17 3" xfId="8721" xr:uid="{00000000-0005-0000-0000-000024330000}"/>
    <cellStyle name="Output 2 17 4" xfId="10716" xr:uid="{00000000-0005-0000-0000-000025330000}"/>
    <cellStyle name="Output 2 17 5" xfId="13070" xr:uid="{00000000-0005-0000-0000-000026330000}"/>
    <cellStyle name="Output 2 17 6" xfId="16955" xr:uid="{00000000-0005-0000-0000-000027330000}"/>
    <cellStyle name="Output 2 17 7" xfId="17766" xr:uid="{00000000-0005-0000-0000-000028330000}"/>
    <cellStyle name="Output 2 17 8" xfId="21651" xr:uid="{00000000-0005-0000-0000-000029330000}"/>
    <cellStyle name="Output 2 17 9" xfId="22389" xr:uid="{00000000-0005-0000-0000-00002A330000}"/>
    <cellStyle name="Output 2 18" xfId="3716" xr:uid="{00000000-0005-0000-0000-00002B330000}"/>
    <cellStyle name="Output 2 18 2" xfId="6254" xr:uid="{00000000-0005-0000-0000-00002C330000}"/>
    <cellStyle name="Output 2 18 3" xfId="8498" xr:uid="{00000000-0005-0000-0000-00002D330000}"/>
    <cellStyle name="Output 2 18 4" xfId="11157" xr:uid="{00000000-0005-0000-0000-00002E330000}"/>
    <cellStyle name="Output 2 18 5" xfId="13553" xr:uid="{00000000-0005-0000-0000-00002F330000}"/>
    <cellStyle name="Output 2 18 6" xfId="16409" xr:uid="{00000000-0005-0000-0000-000030330000}"/>
    <cellStyle name="Output 2 18 7" xfId="18249" xr:uid="{00000000-0005-0000-0000-000031330000}"/>
    <cellStyle name="Output 2 18 8" xfId="21105" xr:uid="{00000000-0005-0000-0000-000032330000}"/>
    <cellStyle name="Output 2 18 9" xfId="22830" xr:uid="{00000000-0005-0000-0000-000033330000}"/>
    <cellStyle name="Output 2 19" xfId="3684" xr:uid="{00000000-0005-0000-0000-000034330000}"/>
    <cellStyle name="Output 2 19 2" xfId="6222" xr:uid="{00000000-0005-0000-0000-000035330000}"/>
    <cellStyle name="Output 2 19 3" xfId="7719" xr:uid="{00000000-0005-0000-0000-000036330000}"/>
    <cellStyle name="Output 2 19 4" xfId="10564" xr:uid="{00000000-0005-0000-0000-000037330000}"/>
    <cellStyle name="Output 2 19 5" xfId="12909" xr:uid="{00000000-0005-0000-0000-000038330000}"/>
    <cellStyle name="Output 2 19 6" xfId="15221" xr:uid="{00000000-0005-0000-0000-000039330000}"/>
    <cellStyle name="Output 2 19 7" xfId="17605" xr:uid="{00000000-0005-0000-0000-00003A330000}"/>
    <cellStyle name="Output 2 19 8" xfId="19917" xr:uid="{00000000-0005-0000-0000-00003B330000}"/>
    <cellStyle name="Output 2 19 9" xfId="22236" xr:uid="{00000000-0005-0000-0000-00003C330000}"/>
    <cellStyle name="Output 2 2" xfId="1541" xr:uid="{00000000-0005-0000-0000-00003D330000}"/>
    <cellStyle name="Output 2 2 10" xfId="3059" xr:uid="{00000000-0005-0000-0000-00003E330000}"/>
    <cellStyle name="Output 2 2 11" xfId="25917" xr:uid="{00000000-0005-0000-0000-00003F330000}"/>
    <cellStyle name="Output 2 2 12" xfId="41319" xr:uid="{7AFBC12E-68F3-4D7B-ACA1-4AC554531BD5}"/>
    <cellStyle name="Output 2 2 2" xfId="5598" xr:uid="{00000000-0005-0000-0000-000040330000}"/>
    <cellStyle name="Output 2 2 3" xfId="8577" xr:uid="{00000000-0005-0000-0000-000041330000}"/>
    <cellStyle name="Output 2 2 4" xfId="10701" xr:uid="{00000000-0005-0000-0000-000042330000}"/>
    <cellStyle name="Output 2 2 5" xfId="13054" xr:uid="{00000000-0005-0000-0000-000043330000}"/>
    <cellStyle name="Output 2 2 6" xfId="16179" xr:uid="{00000000-0005-0000-0000-000044330000}"/>
    <cellStyle name="Output 2 2 7" xfId="17750" xr:uid="{00000000-0005-0000-0000-000045330000}"/>
    <cellStyle name="Output 2 2 8" xfId="20875" xr:uid="{00000000-0005-0000-0000-000046330000}"/>
    <cellStyle name="Output 2 2 9" xfId="22374" xr:uid="{00000000-0005-0000-0000-000047330000}"/>
    <cellStyle name="Output 2 20" xfId="3772" xr:uid="{00000000-0005-0000-0000-000048330000}"/>
    <cellStyle name="Output 2 20 2" xfId="6310" xr:uid="{00000000-0005-0000-0000-000049330000}"/>
    <cellStyle name="Output 2 20 3" xfId="9254" xr:uid="{00000000-0005-0000-0000-00004A330000}"/>
    <cellStyle name="Output 2 20 4" xfId="11760" xr:uid="{00000000-0005-0000-0000-00004B330000}"/>
    <cellStyle name="Output 2 20 5" xfId="14211" xr:uid="{00000000-0005-0000-0000-00004C330000}"/>
    <cellStyle name="Output 2 20 6" xfId="13782" xr:uid="{00000000-0005-0000-0000-00004D330000}"/>
    <cellStyle name="Output 2 20 7" xfId="18907" xr:uid="{00000000-0005-0000-0000-00004E330000}"/>
    <cellStyle name="Output 2 20 8" xfId="18478" xr:uid="{00000000-0005-0000-0000-00004F330000}"/>
    <cellStyle name="Output 2 20 9" xfId="23434" xr:uid="{00000000-0005-0000-0000-000050330000}"/>
    <cellStyle name="Output 2 21" xfId="3817" xr:uid="{00000000-0005-0000-0000-000051330000}"/>
    <cellStyle name="Output 2 21 2" xfId="6355" xr:uid="{00000000-0005-0000-0000-000052330000}"/>
    <cellStyle name="Output 2 21 3" xfId="9353" xr:uid="{00000000-0005-0000-0000-000053330000}"/>
    <cellStyle name="Output 2 21 4" xfId="12077" xr:uid="{00000000-0005-0000-0000-000054330000}"/>
    <cellStyle name="Output 2 21 5" xfId="14557" xr:uid="{00000000-0005-0000-0000-000055330000}"/>
    <cellStyle name="Output 2 21 6" xfId="15322" xr:uid="{00000000-0005-0000-0000-000056330000}"/>
    <cellStyle name="Output 2 21 7" xfId="19253" xr:uid="{00000000-0005-0000-0000-000057330000}"/>
    <cellStyle name="Output 2 21 8" xfId="20018" xr:uid="{00000000-0005-0000-0000-000058330000}"/>
    <cellStyle name="Output 2 21 9" xfId="23749" xr:uid="{00000000-0005-0000-0000-000059330000}"/>
    <cellStyle name="Output 2 22" xfId="3811" xr:uid="{00000000-0005-0000-0000-00005A330000}"/>
    <cellStyle name="Output 2 22 2" xfId="6349" xr:uid="{00000000-0005-0000-0000-00005B330000}"/>
    <cellStyle name="Output 2 22 3" xfId="8474" xr:uid="{00000000-0005-0000-0000-00005C330000}"/>
    <cellStyle name="Output 2 22 4" xfId="11096" xr:uid="{00000000-0005-0000-0000-00005D330000}"/>
    <cellStyle name="Output 2 22 5" xfId="13489" xr:uid="{00000000-0005-0000-0000-00005E330000}"/>
    <cellStyle name="Output 2 22 6" xfId="16564" xr:uid="{00000000-0005-0000-0000-00005F330000}"/>
    <cellStyle name="Output 2 22 7" xfId="18185" xr:uid="{00000000-0005-0000-0000-000060330000}"/>
    <cellStyle name="Output 2 22 8" xfId="21260" xr:uid="{00000000-0005-0000-0000-000061330000}"/>
    <cellStyle name="Output 2 22 9" xfId="22769" xr:uid="{00000000-0005-0000-0000-000062330000}"/>
    <cellStyle name="Output 2 23" xfId="3890" xr:uid="{00000000-0005-0000-0000-000063330000}"/>
    <cellStyle name="Output 2 23 2" xfId="6428" xr:uid="{00000000-0005-0000-0000-000064330000}"/>
    <cellStyle name="Output 2 23 3" xfId="9765" xr:uid="{00000000-0005-0000-0000-000065330000}"/>
    <cellStyle name="Output 2 23 4" xfId="11423" xr:uid="{00000000-0005-0000-0000-000066330000}"/>
    <cellStyle name="Output 2 23 5" xfId="13541" xr:uid="{00000000-0005-0000-0000-000067330000}"/>
    <cellStyle name="Output 2 23 6" xfId="15242" xr:uid="{00000000-0005-0000-0000-000068330000}"/>
    <cellStyle name="Output 2 23 7" xfId="18237" xr:uid="{00000000-0005-0000-0000-000069330000}"/>
    <cellStyle name="Output 2 23 8" xfId="19938" xr:uid="{00000000-0005-0000-0000-00006A330000}"/>
    <cellStyle name="Output 2 23 9" xfId="22818" xr:uid="{00000000-0005-0000-0000-00006B330000}"/>
    <cellStyle name="Output 2 24" xfId="3933" xr:uid="{00000000-0005-0000-0000-00006C330000}"/>
    <cellStyle name="Output 2 24 2" xfId="6471" xr:uid="{00000000-0005-0000-0000-00006D330000}"/>
    <cellStyle name="Output 2 24 3" xfId="8950" xr:uid="{00000000-0005-0000-0000-00006E330000}"/>
    <cellStyle name="Output 2 24 4" xfId="11163" xr:uid="{00000000-0005-0000-0000-00006F330000}"/>
    <cellStyle name="Output 2 24 5" xfId="13559" xr:uid="{00000000-0005-0000-0000-000070330000}"/>
    <cellStyle name="Output 2 24 6" xfId="15075" xr:uid="{00000000-0005-0000-0000-000071330000}"/>
    <cellStyle name="Output 2 24 7" xfId="18255" xr:uid="{00000000-0005-0000-0000-000072330000}"/>
    <cellStyle name="Output 2 24 8" xfId="19771" xr:uid="{00000000-0005-0000-0000-000073330000}"/>
    <cellStyle name="Output 2 24 9" xfId="22836" xr:uid="{00000000-0005-0000-0000-000074330000}"/>
    <cellStyle name="Output 2 25" xfId="3976" xr:uid="{00000000-0005-0000-0000-000075330000}"/>
    <cellStyle name="Output 2 25 2" xfId="6514" xr:uid="{00000000-0005-0000-0000-000076330000}"/>
    <cellStyle name="Output 2 25 3" xfId="8983" xr:uid="{00000000-0005-0000-0000-000077330000}"/>
    <cellStyle name="Output 2 25 4" xfId="8266" xr:uid="{00000000-0005-0000-0000-000078330000}"/>
    <cellStyle name="Output 2 25 5" xfId="13800" xr:uid="{00000000-0005-0000-0000-000079330000}"/>
    <cellStyle name="Output 2 25 6" xfId="15665" xr:uid="{00000000-0005-0000-0000-00007A330000}"/>
    <cellStyle name="Output 2 25 7" xfId="18496" xr:uid="{00000000-0005-0000-0000-00007B330000}"/>
    <cellStyle name="Output 2 25 8" xfId="20361" xr:uid="{00000000-0005-0000-0000-00007C330000}"/>
    <cellStyle name="Output 2 25 9" xfId="23059" xr:uid="{00000000-0005-0000-0000-00007D330000}"/>
    <cellStyle name="Output 2 26" xfId="3912" xr:uid="{00000000-0005-0000-0000-00007E330000}"/>
    <cellStyle name="Output 2 26 2" xfId="6450" xr:uid="{00000000-0005-0000-0000-00007F330000}"/>
    <cellStyle name="Output 2 26 3" xfId="9910" xr:uid="{00000000-0005-0000-0000-000080330000}"/>
    <cellStyle name="Output 2 26 4" xfId="11386" xr:uid="{00000000-0005-0000-0000-000081330000}"/>
    <cellStyle name="Output 2 26 5" xfId="14885" xr:uid="{00000000-0005-0000-0000-000082330000}"/>
    <cellStyle name="Output 2 26 6" xfId="16344" xr:uid="{00000000-0005-0000-0000-000083330000}"/>
    <cellStyle name="Output 2 26 7" xfId="19581" xr:uid="{00000000-0005-0000-0000-000084330000}"/>
    <cellStyle name="Output 2 26 8" xfId="21040" xr:uid="{00000000-0005-0000-0000-000085330000}"/>
    <cellStyle name="Output 2 26 9" xfId="24053" xr:uid="{00000000-0005-0000-0000-000086330000}"/>
    <cellStyle name="Output 2 27" xfId="3694" xr:uid="{00000000-0005-0000-0000-000087330000}"/>
    <cellStyle name="Output 2 27 2" xfId="6232" xr:uid="{00000000-0005-0000-0000-000088330000}"/>
    <cellStyle name="Output 2 27 3" xfId="9871" xr:uid="{00000000-0005-0000-0000-000089330000}"/>
    <cellStyle name="Output 2 27 4" xfId="12218" xr:uid="{00000000-0005-0000-0000-00008A330000}"/>
    <cellStyle name="Output 2 27 5" xfId="14836" xr:uid="{00000000-0005-0000-0000-00008B330000}"/>
    <cellStyle name="Output 2 27 6" xfId="16788" xr:uid="{00000000-0005-0000-0000-00008C330000}"/>
    <cellStyle name="Output 2 27 7" xfId="19532" xr:uid="{00000000-0005-0000-0000-00008D330000}"/>
    <cellStyle name="Output 2 27 8" xfId="21484" xr:uid="{00000000-0005-0000-0000-00008E330000}"/>
    <cellStyle name="Output 2 27 9" xfId="24017" xr:uid="{00000000-0005-0000-0000-00008F330000}"/>
    <cellStyle name="Output 2 28" xfId="4079" xr:uid="{00000000-0005-0000-0000-000090330000}"/>
    <cellStyle name="Output 2 28 2" xfId="6617" xr:uid="{00000000-0005-0000-0000-000091330000}"/>
    <cellStyle name="Output 2 28 3" xfId="8589" xr:uid="{00000000-0005-0000-0000-000092330000}"/>
    <cellStyle name="Output 2 28 4" xfId="11418" xr:uid="{00000000-0005-0000-0000-000093330000}"/>
    <cellStyle name="Output 2 28 5" xfId="13834" xr:uid="{00000000-0005-0000-0000-000094330000}"/>
    <cellStyle name="Output 2 28 6" xfId="16488" xr:uid="{00000000-0005-0000-0000-000095330000}"/>
    <cellStyle name="Output 2 28 7" xfId="18530" xr:uid="{00000000-0005-0000-0000-000096330000}"/>
    <cellStyle name="Output 2 28 8" xfId="21184" xr:uid="{00000000-0005-0000-0000-000097330000}"/>
    <cellStyle name="Output 2 28 9" xfId="23092" xr:uid="{00000000-0005-0000-0000-000098330000}"/>
    <cellStyle name="Output 2 29" xfId="4124" xr:uid="{00000000-0005-0000-0000-000099330000}"/>
    <cellStyle name="Output 2 29 2" xfId="6662" xr:uid="{00000000-0005-0000-0000-00009A330000}"/>
    <cellStyle name="Output 2 29 3" xfId="7835" xr:uid="{00000000-0005-0000-0000-00009B330000}"/>
    <cellStyle name="Output 2 29 4" xfId="11965" xr:uid="{00000000-0005-0000-0000-00009C330000}"/>
    <cellStyle name="Output 2 29 5" xfId="14441" xr:uid="{00000000-0005-0000-0000-00009D330000}"/>
    <cellStyle name="Output 2 29 6" xfId="16299" xr:uid="{00000000-0005-0000-0000-00009E330000}"/>
    <cellStyle name="Output 2 29 7" xfId="19137" xr:uid="{00000000-0005-0000-0000-00009F330000}"/>
    <cellStyle name="Output 2 29 8" xfId="20995" xr:uid="{00000000-0005-0000-0000-0000A0330000}"/>
    <cellStyle name="Output 2 29 9" xfId="23640" xr:uid="{00000000-0005-0000-0000-0000A1330000}"/>
    <cellStyle name="Output 2 3" xfId="3034" xr:uid="{00000000-0005-0000-0000-0000A2330000}"/>
    <cellStyle name="Output 2 3 10" xfId="25918" xr:uid="{00000000-0005-0000-0000-0000A3330000}"/>
    <cellStyle name="Output 2 3 2" xfId="5573" xr:uid="{00000000-0005-0000-0000-0000A4330000}"/>
    <cellStyle name="Output 2 3 3" xfId="8584" xr:uid="{00000000-0005-0000-0000-0000A5330000}"/>
    <cellStyle name="Output 2 3 4" xfId="11229" xr:uid="{00000000-0005-0000-0000-0000A6330000}"/>
    <cellStyle name="Output 2 3 5" xfId="13633" xr:uid="{00000000-0005-0000-0000-0000A7330000}"/>
    <cellStyle name="Output 2 3 6" xfId="15274" xr:uid="{00000000-0005-0000-0000-0000A8330000}"/>
    <cellStyle name="Output 2 3 7" xfId="18329" xr:uid="{00000000-0005-0000-0000-0000A9330000}"/>
    <cellStyle name="Output 2 3 8" xfId="19970" xr:uid="{00000000-0005-0000-0000-0000AA330000}"/>
    <cellStyle name="Output 2 3 9" xfId="22903" xr:uid="{00000000-0005-0000-0000-0000AB330000}"/>
    <cellStyle name="Output 2 30" xfId="4217" xr:uid="{00000000-0005-0000-0000-0000AC330000}"/>
    <cellStyle name="Output 2 30 2" xfId="6755" xr:uid="{00000000-0005-0000-0000-0000AD330000}"/>
    <cellStyle name="Output 2 30 3" xfId="9918" xr:uid="{00000000-0005-0000-0000-0000AE330000}"/>
    <cellStyle name="Output 2 30 4" xfId="11935" xr:uid="{00000000-0005-0000-0000-0000AF330000}"/>
    <cellStyle name="Output 2 30 5" xfId="14194" xr:uid="{00000000-0005-0000-0000-0000B0330000}"/>
    <cellStyle name="Output 2 30 6" xfId="16661" xr:uid="{00000000-0005-0000-0000-0000B1330000}"/>
    <cellStyle name="Output 2 30 7" xfId="18890" xr:uid="{00000000-0005-0000-0000-0000B2330000}"/>
    <cellStyle name="Output 2 30 8" xfId="21357" xr:uid="{00000000-0005-0000-0000-0000B3330000}"/>
    <cellStyle name="Output 2 30 9" xfId="23417" xr:uid="{00000000-0005-0000-0000-0000B4330000}"/>
    <cellStyle name="Output 2 31" xfId="4252" xr:uid="{00000000-0005-0000-0000-0000B5330000}"/>
    <cellStyle name="Output 2 31 2" xfId="6790" xr:uid="{00000000-0005-0000-0000-0000B6330000}"/>
    <cellStyle name="Output 2 31 3" xfId="9251" xr:uid="{00000000-0005-0000-0000-0000B7330000}"/>
    <cellStyle name="Output 2 31 4" xfId="11430" xr:uid="{00000000-0005-0000-0000-0000B8330000}"/>
    <cellStyle name="Output 2 31 5" xfId="13848" xr:uid="{00000000-0005-0000-0000-0000B9330000}"/>
    <cellStyle name="Output 2 31 6" xfId="15569" xr:uid="{00000000-0005-0000-0000-0000BA330000}"/>
    <cellStyle name="Output 2 31 7" xfId="18544" xr:uid="{00000000-0005-0000-0000-0000BB330000}"/>
    <cellStyle name="Output 2 31 8" xfId="20265" xr:uid="{00000000-0005-0000-0000-0000BC330000}"/>
    <cellStyle name="Output 2 31 9" xfId="23105" xr:uid="{00000000-0005-0000-0000-0000BD330000}"/>
    <cellStyle name="Output 2 32" xfId="4295" xr:uid="{00000000-0005-0000-0000-0000BE330000}"/>
    <cellStyle name="Output 2 32 2" xfId="6833" xr:uid="{00000000-0005-0000-0000-0000BF330000}"/>
    <cellStyle name="Output 2 32 3" xfId="8083" xr:uid="{00000000-0005-0000-0000-0000C0330000}"/>
    <cellStyle name="Output 2 32 4" xfId="11936" xr:uid="{00000000-0005-0000-0000-0000C1330000}"/>
    <cellStyle name="Output 2 32 5" xfId="14409" xr:uid="{00000000-0005-0000-0000-0000C2330000}"/>
    <cellStyle name="Output 2 32 6" xfId="16615" xr:uid="{00000000-0005-0000-0000-0000C3330000}"/>
    <cellStyle name="Output 2 32 7" xfId="19105" xr:uid="{00000000-0005-0000-0000-0000C4330000}"/>
    <cellStyle name="Output 2 32 8" xfId="21311" xr:uid="{00000000-0005-0000-0000-0000C5330000}"/>
    <cellStyle name="Output 2 32 9" xfId="23611" xr:uid="{00000000-0005-0000-0000-0000C6330000}"/>
    <cellStyle name="Output 2 33" xfId="4338" xr:uid="{00000000-0005-0000-0000-0000C7330000}"/>
    <cellStyle name="Output 2 33 2" xfId="6876" xr:uid="{00000000-0005-0000-0000-0000C8330000}"/>
    <cellStyle name="Output 2 33 3" xfId="10199" xr:uid="{00000000-0005-0000-0000-0000C9330000}"/>
    <cellStyle name="Output 2 33 4" xfId="11562" xr:uid="{00000000-0005-0000-0000-0000CA330000}"/>
    <cellStyle name="Output 2 33 5" xfId="13997" xr:uid="{00000000-0005-0000-0000-0000CB330000}"/>
    <cellStyle name="Output 2 33 6" xfId="16389" xr:uid="{00000000-0005-0000-0000-0000CC330000}"/>
    <cellStyle name="Output 2 33 7" xfId="18693" xr:uid="{00000000-0005-0000-0000-0000CD330000}"/>
    <cellStyle name="Output 2 33 8" xfId="21085" xr:uid="{00000000-0005-0000-0000-0000CE330000}"/>
    <cellStyle name="Output 2 33 9" xfId="23236" xr:uid="{00000000-0005-0000-0000-0000CF330000}"/>
    <cellStyle name="Output 2 34" xfId="4381" xr:uid="{00000000-0005-0000-0000-0000D0330000}"/>
    <cellStyle name="Output 2 34 2" xfId="6919" xr:uid="{00000000-0005-0000-0000-0000D1330000}"/>
    <cellStyle name="Output 2 34 3" xfId="9981" xr:uid="{00000000-0005-0000-0000-0000D2330000}"/>
    <cellStyle name="Output 2 34 4" xfId="10347" xr:uid="{00000000-0005-0000-0000-0000D3330000}"/>
    <cellStyle name="Output 2 34 5" xfId="12669" xr:uid="{00000000-0005-0000-0000-0000D4330000}"/>
    <cellStyle name="Output 2 34 6" xfId="12968" xr:uid="{00000000-0005-0000-0000-0000D5330000}"/>
    <cellStyle name="Output 2 34 7" xfId="17365" xr:uid="{00000000-0005-0000-0000-0000D6330000}"/>
    <cellStyle name="Output 2 34 8" xfId="17664" xr:uid="{00000000-0005-0000-0000-0000D7330000}"/>
    <cellStyle name="Output 2 34 9" xfId="22018" xr:uid="{00000000-0005-0000-0000-0000D8330000}"/>
    <cellStyle name="Output 2 35" xfId="4424" xr:uid="{00000000-0005-0000-0000-0000D9330000}"/>
    <cellStyle name="Output 2 35 2" xfId="6962" xr:uid="{00000000-0005-0000-0000-0000DA330000}"/>
    <cellStyle name="Output 2 35 3" xfId="10064" xr:uid="{00000000-0005-0000-0000-0000DB330000}"/>
    <cellStyle name="Output 2 35 4" xfId="11613" xr:uid="{00000000-0005-0000-0000-0000DC330000}"/>
    <cellStyle name="Output 2 35 5" xfId="13797" xr:uid="{00000000-0005-0000-0000-0000DD330000}"/>
    <cellStyle name="Output 2 35 6" xfId="16830" xr:uid="{00000000-0005-0000-0000-0000DE330000}"/>
    <cellStyle name="Output 2 35 7" xfId="18493" xr:uid="{00000000-0005-0000-0000-0000DF330000}"/>
    <cellStyle name="Output 2 35 8" xfId="21526" xr:uid="{00000000-0005-0000-0000-0000E0330000}"/>
    <cellStyle name="Output 2 35 9" xfId="23057" xr:uid="{00000000-0005-0000-0000-0000E1330000}"/>
    <cellStyle name="Output 2 36" xfId="4396" xr:uid="{00000000-0005-0000-0000-0000E2330000}"/>
    <cellStyle name="Output 2 36 2" xfId="6934" xr:uid="{00000000-0005-0000-0000-0000E3330000}"/>
    <cellStyle name="Output 2 36 3" xfId="9440" xr:uid="{00000000-0005-0000-0000-0000E4330000}"/>
    <cellStyle name="Output 2 36 4" xfId="11358" xr:uid="{00000000-0005-0000-0000-0000E5330000}"/>
    <cellStyle name="Output 2 36 5" xfId="13771" xr:uid="{00000000-0005-0000-0000-0000E6330000}"/>
    <cellStyle name="Output 2 36 6" xfId="16793" xr:uid="{00000000-0005-0000-0000-0000E7330000}"/>
    <cellStyle name="Output 2 36 7" xfId="18467" xr:uid="{00000000-0005-0000-0000-0000E8330000}"/>
    <cellStyle name="Output 2 36 8" xfId="21489" xr:uid="{00000000-0005-0000-0000-0000E9330000}"/>
    <cellStyle name="Output 2 36 9" xfId="23032" xr:uid="{00000000-0005-0000-0000-0000EA330000}"/>
    <cellStyle name="Output 2 37" xfId="4508" xr:uid="{00000000-0005-0000-0000-0000EB330000}"/>
    <cellStyle name="Output 2 37 2" xfId="7046" xr:uid="{00000000-0005-0000-0000-0000EC330000}"/>
    <cellStyle name="Output 2 37 3" xfId="8324" xr:uid="{00000000-0005-0000-0000-0000ED330000}"/>
    <cellStyle name="Output 2 37 4" xfId="11164" xr:uid="{00000000-0005-0000-0000-0000EE330000}"/>
    <cellStyle name="Output 2 37 5" xfId="13560" xr:uid="{00000000-0005-0000-0000-0000EF330000}"/>
    <cellStyle name="Output 2 37 6" xfId="14910" xr:uid="{00000000-0005-0000-0000-0000F0330000}"/>
    <cellStyle name="Output 2 37 7" xfId="18256" xr:uid="{00000000-0005-0000-0000-0000F1330000}"/>
    <cellStyle name="Output 2 37 8" xfId="19606" xr:uid="{00000000-0005-0000-0000-0000F2330000}"/>
    <cellStyle name="Output 2 37 9" xfId="22837" xr:uid="{00000000-0005-0000-0000-0000F3330000}"/>
    <cellStyle name="Output 2 38" xfId="4505" xr:uid="{00000000-0005-0000-0000-0000F4330000}"/>
    <cellStyle name="Output 2 38 2" xfId="7043" xr:uid="{00000000-0005-0000-0000-0000F5330000}"/>
    <cellStyle name="Output 2 38 3" xfId="10000" xr:uid="{00000000-0005-0000-0000-0000F6330000}"/>
    <cellStyle name="Output 2 38 4" xfId="10270" xr:uid="{00000000-0005-0000-0000-0000F7330000}"/>
    <cellStyle name="Output 2 38 5" xfId="14878" xr:uid="{00000000-0005-0000-0000-0000F8330000}"/>
    <cellStyle name="Output 2 38 6" xfId="15430" xr:uid="{00000000-0005-0000-0000-0000F9330000}"/>
    <cellStyle name="Output 2 38 7" xfId="19574" xr:uid="{00000000-0005-0000-0000-0000FA330000}"/>
    <cellStyle name="Output 2 38 8" xfId="20126" xr:uid="{00000000-0005-0000-0000-0000FB330000}"/>
    <cellStyle name="Output 2 38 9" xfId="24048" xr:uid="{00000000-0005-0000-0000-0000FC330000}"/>
    <cellStyle name="Output 2 39" xfId="4596" xr:uid="{00000000-0005-0000-0000-0000FD330000}"/>
    <cellStyle name="Output 2 39 2" xfId="7134" xr:uid="{00000000-0005-0000-0000-0000FE330000}"/>
    <cellStyle name="Output 2 39 3" xfId="8565" xr:uid="{00000000-0005-0000-0000-0000FF330000}"/>
    <cellStyle name="Output 2 39 4" xfId="10803" xr:uid="{00000000-0005-0000-0000-000000340000}"/>
    <cellStyle name="Output 2 39 5" xfId="13163" xr:uid="{00000000-0005-0000-0000-000001340000}"/>
    <cellStyle name="Output 2 39 6" xfId="16683" xr:uid="{00000000-0005-0000-0000-000002340000}"/>
    <cellStyle name="Output 2 39 7" xfId="17859" xr:uid="{00000000-0005-0000-0000-000003340000}"/>
    <cellStyle name="Output 2 39 8" xfId="21379" xr:uid="{00000000-0005-0000-0000-000004340000}"/>
    <cellStyle name="Output 2 39 9" xfId="22474" xr:uid="{00000000-0005-0000-0000-000005340000}"/>
    <cellStyle name="Output 2 4" xfId="3155" xr:uid="{00000000-0005-0000-0000-000006340000}"/>
    <cellStyle name="Output 2 4 10" xfId="25919" xr:uid="{00000000-0005-0000-0000-000007340000}"/>
    <cellStyle name="Output 2 4 2" xfId="5693" xr:uid="{00000000-0005-0000-0000-000008340000}"/>
    <cellStyle name="Output 2 4 3" xfId="10241" xr:uid="{00000000-0005-0000-0000-000009340000}"/>
    <cellStyle name="Output 2 4 4" xfId="10362" xr:uid="{00000000-0005-0000-0000-00000A340000}"/>
    <cellStyle name="Output 2 4 5" xfId="12684" xr:uid="{00000000-0005-0000-0000-00000B340000}"/>
    <cellStyle name="Output 2 4 6" xfId="15804" xr:uid="{00000000-0005-0000-0000-00000C340000}"/>
    <cellStyle name="Output 2 4 7" xfId="17380" xr:uid="{00000000-0005-0000-0000-00000D340000}"/>
    <cellStyle name="Output 2 4 8" xfId="20500" xr:uid="{00000000-0005-0000-0000-00000E340000}"/>
    <cellStyle name="Output 2 4 9" xfId="22033" xr:uid="{00000000-0005-0000-0000-00000F340000}"/>
    <cellStyle name="Output 2 40" xfId="4639" xr:uid="{00000000-0005-0000-0000-000010340000}"/>
    <cellStyle name="Output 2 40 2" xfId="7177" xr:uid="{00000000-0005-0000-0000-000011340000}"/>
    <cellStyle name="Output 2 40 3" xfId="8941" xr:uid="{00000000-0005-0000-0000-000012340000}"/>
    <cellStyle name="Output 2 40 4" xfId="10319" xr:uid="{00000000-0005-0000-0000-000013340000}"/>
    <cellStyle name="Output 2 40 5" xfId="12636" xr:uid="{00000000-0005-0000-0000-000014340000}"/>
    <cellStyle name="Output 2 40 6" xfId="16947" xr:uid="{00000000-0005-0000-0000-000015340000}"/>
    <cellStyle name="Output 2 40 7" xfId="17332" xr:uid="{00000000-0005-0000-0000-000016340000}"/>
    <cellStyle name="Output 2 40 8" xfId="21643" xr:uid="{00000000-0005-0000-0000-000017340000}"/>
    <cellStyle name="Output 2 40 9" xfId="21990" xr:uid="{00000000-0005-0000-0000-000018340000}"/>
    <cellStyle name="Output 2 41" xfId="4682" xr:uid="{00000000-0005-0000-0000-000019340000}"/>
    <cellStyle name="Output 2 41 2" xfId="7220" xr:uid="{00000000-0005-0000-0000-00001A340000}"/>
    <cellStyle name="Output 2 41 3" xfId="8649" xr:uid="{00000000-0005-0000-0000-00001B340000}"/>
    <cellStyle name="Output 2 41 4" xfId="8792" xr:uid="{00000000-0005-0000-0000-00001C340000}"/>
    <cellStyle name="Output 2 41 5" xfId="12461" xr:uid="{00000000-0005-0000-0000-00001D340000}"/>
    <cellStyle name="Output 2 41 6" xfId="15468" xr:uid="{00000000-0005-0000-0000-00001E340000}"/>
    <cellStyle name="Output 2 41 7" xfId="17157" xr:uid="{00000000-0005-0000-0000-00001F340000}"/>
    <cellStyle name="Output 2 41 8" xfId="20164" xr:uid="{00000000-0005-0000-0000-000020340000}"/>
    <cellStyle name="Output 2 41 9" xfId="21838" xr:uid="{00000000-0005-0000-0000-000021340000}"/>
    <cellStyle name="Output 2 42" xfId="4724" xr:uid="{00000000-0005-0000-0000-000022340000}"/>
    <cellStyle name="Output 2 42 2" xfId="7262" xr:uid="{00000000-0005-0000-0000-000023340000}"/>
    <cellStyle name="Output 2 42 3" xfId="9936" xr:uid="{00000000-0005-0000-0000-000024340000}"/>
    <cellStyle name="Output 2 42 4" xfId="10700" xr:uid="{00000000-0005-0000-0000-000025340000}"/>
    <cellStyle name="Output 2 42 5" xfId="13053" xr:uid="{00000000-0005-0000-0000-000026340000}"/>
    <cellStyle name="Output 2 42 6" xfId="15466" xr:uid="{00000000-0005-0000-0000-000027340000}"/>
    <cellStyle name="Output 2 42 7" xfId="17749" xr:uid="{00000000-0005-0000-0000-000028340000}"/>
    <cellStyle name="Output 2 42 8" xfId="20162" xr:uid="{00000000-0005-0000-0000-000029340000}"/>
    <cellStyle name="Output 2 42 9" xfId="22373" xr:uid="{00000000-0005-0000-0000-00002A340000}"/>
    <cellStyle name="Output 2 43" xfId="4661" xr:uid="{00000000-0005-0000-0000-00002B340000}"/>
    <cellStyle name="Output 2 43 2" xfId="7199" xr:uid="{00000000-0005-0000-0000-00002C340000}"/>
    <cellStyle name="Output 2 43 3" xfId="9659" xr:uid="{00000000-0005-0000-0000-00002D340000}"/>
    <cellStyle name="Output 2 43 4" xfId="11664" xr:uid="{00000000-0005-0000-0000-00002E340000}"/>
    <cellStyle name="Output 2 43 5" xfId="14111" xr:uid="{00000000-0005-0000-0000-00002F340000}"/>
    <cellStyle name="Output 2 43 6" xfId="16616" xr:uid="{00000000-0005-0000-0000-000030340000}"/>
    <cellStyle name="Output 2 43 7" xfId="18807" xr:uid="{00000000-0005-0000-0000-000031340000}"/>
    <cellStyle name="Output 2 43 8" xfId="21312" xr:uid="{00000000-0005-0000-0000-000032340000}"/>
    <cellStyle name="Output 2 43 9" xfId="23339" xr:uid="{00000000-0005-0000-0000-000033340000}"/>
    <cellStyle name="Output 2 44" xfId="4786" xr:uid="{00000000-0005-0000-0000-000034340000}"/>
    <cellStyle name="Output 2 44 2" xfId="7324" xr:uid="{00000000-0005-0000-0000-000035340000}"/>
    <cellStyle name="Output 2 44 3" xfId="8465" xr:uid="{00000000-0005-0000-0000-000036340000}"/>
    <cellStyle name="Output 2 44 4" xfId="7984" xr:uid="{00000000-0005-0000-0000-000037340000}"/>
    <cellStyle name="Output 2 44 5" xfId="13843" xr:uid="{00000000-0005-0000-0000-000038340000}"/>
    <cellStyle name="Output 2 44 6" xfId="15437" xr:uid="{00000000-0005-0000-0000-000039340000}"/>
    <cellStyle name="Output 2 44 7" xfId="18539" xr:uid="{00000000-0005-0000-0000-00003A340000}"/>
    <cellStyle name="Output 2 44 8" xfId="20133" xr:uid="{00000000-0005-0000-0000-00003B340000}"/>
    <cellStyle name="Output 2 44 9" xfId="23100" xr:uid="{00000000-0005-0000-0000-00003C340000}"/>
    <cellStyle name="Output 2 45" xfId="4829" xr:uid="{00000000-0005-0000-0000-00003D340000}"/>
    <cellStyle name="Output 2 45 2" xfId="7367" xr:uid="{00000000-0005-0000-0000-00003E340000}"/>
    <cellStyle name="Output 2 45 3" xfId="8978" xr:uid="{00000000-0005-0000-0000-00003F340000}"/>
    <cellStyle name="Output 2 45 4" xfId="9933" xr:uid="{00000000-0005-0000-0000-000040340000}"/>
    <cellStyle name="Output 2 45 5" xfId="12440" xr:uid="{00000000-0005-0000-0000-000041340000}"/>
    <cellStyle name="Output 2 45 6" xfId="15577" xr:uid="{00000000-0005-0000-0000-000042340000}"/>
    <cellStyle name="Output 2 45 7" xfId="17136" xr:uid="{00000000-0005-0000-0000-000043340000}"/>
    <cellStyle name="Output 2 45 8" xfId="20273" xr:uid="{00000000-0005-0000-0000-000044340000}"/>
    <cellStyle name="Output 2 45 9" xfId="21819" xr:uid="{00000000-0005-0000-0000-000045340000}"/>
    <cellStyle name="Output 2 46" xfId="4801" xr:uid="{00000000-0005-0000-0000-000046340000}"/>
    <cellStyle name="Output 2 46 2" xfId="7339" xr:uid="{00000000-0005-0000-0000-000047340000}"/>
    <cellStyle name="Output 2 46 3" xfId="7969" xr:uid="{00000000-0005-0000-0000-000048340000}"/>
    <cellStyle name="Output 2 46 4" xfId="11859" xr:uid="{00000000-0005-0000-0000-000049340000}"/>
    <cellStyle name="Output 2 46 5" xfId="14053" xr:uid="{00000000-0005-0000-0000-00004A340000}"/>
    <cellStyle name="Output 2 46 6" xfId="16531" xr:uid="{00000000-0005-0000-0000-00004B340000}"/>
    <cellStyle name="Output 2 46 7" xfId="18749" xr:uid="{00000000-0005-0000-0000-00004C340000}"/>
    <cellStyle name="Output 2 46 8" xfId="21227" xr:uid="{00000000-0005-0000-0000-00004D340000}"/>
    <cellStyle name="Output 2 46 9" xfId="23287" xr:uid="{00000000-0005-0000-0000-00004E340000}"/>
    <cellStyle name="Output 2 47" xfId="4909" xr:uid="{00000000-0005-0000-0000-00004F340000}"/>
    <cellStyle name="Output 2 47 2" xfId="7447" xr:uid="{00000000-0005-0000-0000-000050340000}"/>
    <cellStyle name="Output 2 47 3" xfId="9855" xr:uid="{00000000-0005-0000-0000-000051340000}"/>
    <cellStyle name="Output 2 47 4" xfId="11268" xr:uid="{00000000-0005-0000-0000-000052340000}"/>
    <cellStyle name="Output 2 47 5" xfId="13674" xr:uid="{00000000-0005-0000-0000-000053340000}"/>
    <cellStyle name="Output 2 47 6" xfId="15052" xr:uid="{00000000-0005-0000-0000-000054340000}"/>
    <cellStyle name="Output 2 47 7" xfId="18370" xr:uid="{00000000-0005-0000-0000-000055340000}"/>
    <cellStyle name="Output 2 47 8" xfId="19748" xr:uid="{00000000-0005-0000-0000-000056340000}"/>
    <cellStyle name="Output 2 47 9" xfId="22942" xr:uid="{00000000-0005-0000-0000-000057340000}"/>
    <cellStyle name="Output 2 48" xfId="4828" xr:uid="{00000000-0005-0000-0000-000058340000}"/>
    <cellStyle name="Output 2 48 2" xfId="7366" xr:uid="{00000000-0005-0000-0000-000059340000}"/>
    <cellStyle name="Output 2 48 3" xfId="8658" xr:uid="{00000000-0005-0000-0000-00005A340000}"/>
    <cellStyle name="Output 2 48 4" xfId="10140" xr:uid="{00000000-0005-0000-0000-00005B340000}"/>
    <cellStyle name="Output 2 48 5" xfId="12492" xr:uid="{00000000-0005-0000-0000-00005C340000}"/>
    <cellStyle name="Output 2 48 6" xfId="16757" xr:uid="{00000000-0005-0000-0000-00005D340000}"/>
    <cellStyle name="Output 2 48 7" xfId="17188" xr:uid="{00000000-0005-0000-0000-00005E340000}"/>
    <cellStyle name="Output 2 48 8" xfId="21453" xr:uid="{00000000-0005-0000-0000-00005F340000}"/>
    <cellStyle name="Output 2 48 9" xfId="21865" xr:uid="{00000000-0005-0000-0000-000060340000}"/>
    <cellStyle name="Output 2 49" xfId="4989" xr:uid="{00000000-0005-0000-0000-000061340000}"/>
    <cellStyle name="Output 2 49 2" xfId="7527" xr:uid="{00000000-0005-0000-0000-000062340000}"/>
    <cellStyle name="Output 2 49 3" xfId="8252" xr:uid="{00000000-0005-0000-0000-000063340000}"/>
    <cellStyle name="Output 2 49 4" xfId="11735" xr:uid="{00000000-0005-0000-0000-000064340000}"/>
    <cellStyle name="Output 2 49 5" xfId="14186" xr:uid="{00000000-0005-0000-0000-000065340000}"/>
    <cellStyle name="Output 2 49 6" xfId="15434" xr:uid="{00000000-0005-0000-0000-000066340000}"/>
    <cellStyle name="Output 2 49 7" xfId="18882" xr:uid="{00000000-0005-0000-0000-000067340000}"/>
    <cellStyle name="Output 2 49 8" xfId="20130" xr:uid="{00000000-0005-0000-0000-000068340000}"/>
    <cellStyle name="Output 2 49 9" xfId="23409" xr:uid="{00000000-0005-0000-0000-000069340000}"/>
    <cellStyle name="Output 2 5" xfId="3198" xr:uid="{00000000-0005-0000-0000-00006A340000}"/>
    <cellStyle name="Output 2 5 10" xfId="26234" xr:uid="{00000000-0005-0000-0000-00006B340000}"/>
    <cellStyle name="Output 2 5 2" xfId="5736" xr:uid="{00000000-0005-0000-0000-00006C340000}"/>
    <cellStyle name="Output 2 5 3" xfId="10186" xr:uid="{00000000-0005-0000-0000-00006D340000}"/>
    <cellStyle name="Output 2 5 4" xfId="8867" xr:uid="{00000000-0005-0000-0000-00006E340000}"/>
    <cellStyle name="Output 2 5 5" xfId="14949" xr:uid="{00000000-0005-0000-0000-00006F340000}"/>
    <cellStyle name="Output 2 5 6" xfId="15776" xr:uid="{00000000-0005-0000-0000-000070340000}"/>
    <cellStyle name="Output 2 5 7" xfId="19645" xr:uid="{00000000-0005-0000-0000-000071340000}"/>
    <cellStyle name="Output 2 5 8" xfId="20472" xr:uid="{00000000-0005-0000-0000-000072340000}"/>
    <cellStyle name="Output 2 5 9" xfId="24111" xr:uid="{00000000-0005-0000-0000-000073340000}"/>
    <cellStyle name="Output 2 50" xfId="5027" xr:uid="{00000000-0005-0000-0000-000074340000}"/>
    <cellStyle name="Output 2 50 2" xfId="7565" xr:uid="{00000000-0005-0000-0000-000075340000}"/>
    <cellStyle name="Output 2 50 3" xfId="9525" xr:uid="{00000000-0005-0000-0000-000076340000}"/>
    <cellStyle name="Output 2 50 4" xfId="11404" xr:uid="{00000000-0005-0000-0000-000077340000}"/>
    <cellStyle name="Output 2 50 5" xfId="13820" xr:uid="{00000000-0005-0000-0000-000078340000}"/>
    <cellStyle name="Output 2 50 6" xfId="16968" xr:uid="{00000000-0005-0000-0000-000079340000}"/>
    <cellStyle name="Output 2 50 7" xfId="18516" xr:uid="{00000000-0005-0000-0000-00007A340000}"/>
    <cellStyle name="Output 2 50 8" xfId="21664" xr:uid="{00000000-0005-0000-0000-00007B340000}"/>
    <cellStyle name="Output 2 50 9" xfId="23078" xr:uid="{00000000-0005-0000-0000-00007C340000}"/>
    <cellStyle name="Output 2 51" xfId="5061" xr:uid="{00000000-0005-0000-0000-00007D340000}"/>
    <cellStyle name="Output 2 51 2" xfId="7599" xr:uid="{00000000-0005-0000-0000-00007E340000}"/>
    <cellStyle name="Output 2 51 3" xfId="9789" xr:uid="{00000000-0005-0000-0000-00007F340000}"/>
    <cellStyle name="Output 2 51 4" xfId="11342" xr:uid="{00000000-0005-0000-0000-000080340000}"/>
    <cellStyle name="Output 2 51 5" xfId="13753" xr:uid="{00000000-0005-0000-0000-000081340000}"/>
    <cellStyle name="Output 2 51 6" xfId="15342" xr:uid="{00000000-0005-0000-0000-000082340000}"/>
    <cellStyle name="Output 2 51 7" xfId="18449" xr:uid="{00000000-0005-0000-0000-000083340000}"/>
    <cellStyle name="Output 2 51 8" xfId="20038" xr:uid="{00000000-0005-0000-0000-000084340000}"/>
    <cellStyle name="Output 2 51 9" xfId="23016" xr:uid="{00000000-0005-0000-0000-000085340000}"/>
    <cellStyle name="Output 2 52" xfId="5091" xr:uid="{00000000-0005-0000-0000-000086340000}"/>
    <cellStyle name="Output 2 52 2" xfId="7629" xr:uid="{00000000-0005-0000-0000-000087340000}"/>
    <cellStyle name="Output 2 52 3" xfId="10122" xr:uid="{00000000-0005-0000-0000-000088340000}"/>
    <cellStyle name="Output 2 52 4" xfId="11019" xr:uid="{00000000-0005-0000-0000-000089340000}"/>
    <cellStyle name="Output 2 52 5" xfId="13399" xr:uid="{00000000-0005-0000-0000-00008A340000}"/>
    <cellStyle name="Output 2 52 6" xfId="15011" xr:uid="{00000000-0005-0000-0000-00008B340000}"/>
    <cellStyle name="Output 2 52 7" xfId="18095" xr:uid="{00000000-0005-0000-0000-00008C340000}"/>
    <cellStyle name="Output 2 52 8" xfId="19707" xr:uid="{00000000-0005-0000-0000-00008D340000}"/>
    <cellStyle name="Output 2 52 9" xfId="22692" xr:uid="{00000000-0005-0000-0000-00008E340000}"/>
    <cellStyle name="Output 2 53" xfId="5121" xr:uid="{00000000-0005-0000-0000-00008F340000}"/>
    <cellStyle name="Output 2 53 2" xfId="7659" xr:uid="{00000000-0005-0000-0000-000090340000}"/>
    <cellStyle name="Output 2 53 3" xfId="9860" xr:uid="{00000000-0005-0000-0000-000091340000}"/>
    <cellStyle name="Output 2 53 4" xfId="8830" xr:uid="{00000000-0005-0000-0000-000092340000}"/>
    <cellStyle name="Output 2 53 5" xfId="14927" xr:uid="{00000000-0005-0000-0000-000093340000}"/>
    <cellStyle name="Output 2 53 6" xfId="14999" xr:uid="{00000000-0005-0000-0000-000094340000}"/>
    <cellStyle name="Output 2 53 7" xfId="19623" xr:uid="{00000000-0005-0000-0000-000095340000}"/>
    <cellStyle name="Output 2 53 8" xfId="19695" xr:uid="{00000000-0005-0000-0000-000096340000}"/>
    <cellStyle name="Output 2 53 9" xfId="24090" xr:uid="{00000000-0005-0000-0000-000097340000}"/>
    <cellStyle name="Output 2 54" xfId="5190" xr:uid="{00000000-0005-0000-0000-000098340000}"/>
    <cellStyle name="Output 2 54 2" xfId="7729" xr:uid="{00000000-0005-0000-0000-000099340000}"/>
    <cellStyle name="Output 2 54 3" xfId="9495" xr:uid="{00000000-0005-0000-0000-00009A340000}"/>
    <cellStyle name="Output 2 54 4" xfId="12265" xr:uid="{00000000-0005-0000-0000-00009B340000}"/>
    <cellStyle name="Output 2 54 5" xfId="12753" xr:uid="{00000000-0005-0000-0000-00009C340000}"/>
    <cellStyle name="Output 2 54 6" xfId="15508" xr:uid="{00000000-0005-0000-0000-00009D340000}"/>
    <cellStyle name="Output 2 54 7" xfId="17449" xr:uid="{00000000-0005-0000-0000-00009E340000}"/>
    <cellStyle name="Output 2 54 8" xfId="20204" xr:uid="{00000000-0005-0000-0000-00009F340000}"/>
    <cellStyle name="Output 2 54 9" xfId="22098" xr:uid="{00000000-0005-0000-0000-0000A0340000}"/>
    <cellStyle name="Output 2 55" xfId="5184" xr:uid="{00000000-0005-0000-0000-0000A1340000}"/>
    <cellStyle name="Output 2 55 2" xfId="7789" xr:uid="{00000000-0005-0000-0000-0000A2340000}"/>
    <cellStyle name="Output 2 55 3" xfId="10470" xr:uid="{00000000-0005-0000-0000-0000A3340000}"/>
    <cellStyle name="Output 2 55 4" xfId="12803" xr:uid="{00000000-0005-0000-0000-0000A4340000}"/>
    <cellStyle name="Output 2 55 5" xfId="15875" xr:uid="{00000000-0005-0000-0000-0000A5340000}"/>
    <cellStyle name="Output 2 55 6" xfId="17499" xr:uid="{00000000-0005-0000-0000-0000A6340000}"/>
    <cellStyle name="Output 2 55 7" xfId="20571" xr:uid="{00000000-0005-0000-0000-0000A7340000}"/>
    <cellStyle name="Output 2 55 8" xfId="22140" xr:uid="{00000000-0005-0000-0000-0000A8340000}"/>
    <cellStyle name="Output 2 56" xfId="5463" xr:uid="{00000000-0005-0000-0000-0000A9340000}"/>
    <cellStyle name="Output 2 57" xfId="10741" xr:uid="{00000000-0005-0000-0000-0000AA340000}"/>
    <cellStyle name="Output 2 58" xfId="13096" xr:uid="{00000000-0005-0000-0000-0000AB340000}"/>
    <cellStyle name="Output 2 59" xfId="15388" xr:uid="{00000000-0005-0000-0000-0000AC340000}"/>
    <cellStyle name="Output 2 6" xfId="3241" xr:uid="{00000000-0005-0000-0000-0000AD340000}"/>
    <cellStyle name="Output 2 6 2" xfId="5779" xr:uid="{00000000-0005-0000-0000-0000AE340000}"/>
    <cellStyle name="Output 2 6 3" xfId="9086" xr:uid="{00000000-0005-0000-0000-0000AF340000}"/>
    <cellStyle name="Output 2 6 4" xfId="10456" xr:uid="{00000000-0005-0000-0000-0000B0340000}"/>
    <cellStyle name="Output 2 6 5" xfId="12787" xr:uid="{00000000-0005-0000-0000-0000B1340000}"/>
    <cellStyle name="Output 2 6 6" xfId="15610" xr:uid="{00000000-0005-0000-0000-0000B2340000}"/>
    <cellStyle name="Output 2 6 7" xfId="17483" xr:uid="{00000000-0005-0000-0000-0000B3340000}"/>
    <cellStyle name="Output 2 6 8" xfId="20306" xr:uid="{00000000-0005-0000-0000-0000B4340000}"/>
    <cellStyle name="Output 2 6 9" xfId="22127" xr:uid="{00000000-0005-0000-0000-0000B5340000}"/>
    <cellStyle name="Output 2 60" xfId="17792" xr:uid="{00000000-0005-0000-0000-0000B6340000}"/>
    <cellStyle name="Output 2 61" xfId="20084" xr:uid="{00000000-0005-0000-0000-0000B7340000}"/>
    <cellStyle name="Output 2 62" xfId="22414" xr:uid="{00000000-0005-0000-0000-0000B8340000}"/>
    <cellStyle name="Output 2 63" xfId="2940" xr:uid="{00000000-0005-0000-0000-0000B9340000}"/>
    <cellStyle name="Output 2 64" xfId="32839" xr:uid="{3A879193-ABCB-48A4-9ED2-F68C1EE907E8}"/>
    <cellStyle name="Output 2 7" xfId="3284" xr:uid="{00000000-0005-0000-0000-0000BA340000}"/>
    <cellStyle name="Output 2 7 2" xfId="5822" xr:uid="{00000000-0005-0000-0000-0000BB340000}"/>
    <cellStyle name="Output 2 7 3" xfId="8729" xr:uid="{00000000-0005-0000-0000-0000BC340000}"/>
    <cellStyle name="Output 2 7 4" xfId="11937" xr:uid="{00000000-0005-0000-0000-0000BD340000}"/>
    <cellStyle name="Output 2 7 5" xfId="14410" xr:uid="{00000000-0005-0000-0000-0000BE340000}"/>
    <cellStyle name="Output 2 7 6" xfId="12342" xr:uid="{00000000-0005-0000-0000-0000BF340000}"/>
    <cellStyle name="Output 2 7 7" xfId="19106" xr:uid="{00000000-0005-0000-0000-0000C0340000}"/>
    <cellStyle name="Output 2 7 8" xfId="17038" xr:uid="{00000000-0005-0000-0000-0000C1340000}"/>
    <cellStyle name="Output 2 7 9" xfId="23612" xr:uid="{00000000-0005-0000-0000-0000C2340000}"/>
    <cellStyle name="Output 2 8" xfId="3327" xr:uid="{00000000-0005-0000-0000-0000C3340000}"/>
    <cellStyle name="Output 2 8 2" xfId="5865" xr:uid="{00000000-0005-0000-0000-0000C4340000}"/>
    <cellStyle name="Output 2 8 3" xfId="8115" xr:uid="{00000000-0005-0000-0000-0000C5340000}"/>
    <cellStyle name="Output 2 8 4" xfId="11116" xr:uid="{00000000-0005-0000-0000-0000C6340000}"/>
    <cellStyle name="Output 2 8 5" xfId="13510" xr:uid="{00000000-0005-0000-0000-0000C7340000}"/>
    <cellStyle name="Output 2 8 6" xfId="15178" xr:uid="{00000000-0005-0000-0000-0000C8340000}"/>
    <cellStyle name="Output 2 8 7" xfId="18206" xr:uid="{00000000-0005-0000-0000-0000C9340000}"/>
    <cellStyle name="Output 2 8 8" xfId="19874" xr:uid="{00000000-0005-0000-0000-0000CA340000}"/>
    <cellStyle name="Output 2 8 9" xfId="22789" xr:uid="{00000000-0005-0000-0000-0000CB340000}"/>
    <cellStyle name="Output 2 9" xfId="3370" xr:uid="{00000000-0005-0000-0000-0000CC340000}"/>
    <cellStyle name="Output 2 9 2" xfId="5908" xr:uid="{00000000-0005-0000-0000-0000CD340000}"/>
    <cellStyle name="Output 2 9 3" xfId="8887" xr:uid="{00000000-0005-0000-0000-0000CE340000}"/>
    <cellStyle name="Output 2 9 4" xfId="12107" xr:uid="{00000000-0005-0000-0000-0000CF340000}"/>
    <cellStyle name="Output 2 9 5" xfId="14589" xr:uid="{00000000-0005-0000-0000-0000D0340000}"/>
    <cellStyle name="Output 2 9 6" xfId="16490" xr:uid="{00000000-0005-0000-0000-0000D1340000}"/>
    <cellStyle name="Output 2 9 7" xfId="19285" xr:uid="{00000000-0005-0000-0000-0000D2340000}"/>
    <cellStyle name="Output 2 9 8" xfId="21186" xr:uid="{00000000-0005-0000-0000-0000D3340000}"/>
    <cellStyle name="Output 2 9 9" xfId="23781" xr:uid="{00000000-0005-0000-0000-0000D4340000}"/>
    <cellStyle name="Output 3" xfId="41320" xr:uid="{CA770BF3-8D2C-41A0-84AD-127A6CDB6B45}"/>
    <cellStyle name="Output 3 2" xfId="42199" xr:uid="{22FE29C2-3FFD-4D5A-852D-D5E09262083C}"/>
    <cellStyle name="Output 4" xfId="41321" xr:uid="{7AB27CC0-BC5D-4047-BBE0-992F4DC63518}"/>
    <cellStyle name="Output 5" xfId="41322" xr:uid="{69B8A50D-5DB6-49F6-9EB2-9E84D5219DF4}"/>
    <cellStyle name="Output 6" xfId="41323" xr:uid="{71353AE5-548B-42ED-B352-D59CF54C3B45}"/>
    <cellStyle name="Output 7" xfId="41324" xr:uid="{54C08BC5-96E2-4D61-8745-02E64466977D}"/>
    <cellStyle name="Output 8" xfId="41325" xr:uid="{DD2315AF-58A3-4E30-9E60-5F9D5B5209B2}"/>
    <cellStyle name="Output 9" xfId="41326" xr:uid="{60A64488-F475-40BF-BA08-7A902B5A2637}"/>
    <cellStyle name="Output1_Back" xfId="1542" xr:uid="{00000000-0005-0000-0000-0000D5340000}"/>
    <cellStyle name="p" xfId="1543" xr:uid="{00000000-0005-0000-0000-0000D6340000}"/>
    <cellStyle name="p_2010 Attachment O  GG_082709" xfId="1544" xr:uid="{00000000-0005-0000-0000-0000D7340000}"/>
    <cellStyle name="p_2010 Attachment O Template Supporting Work Papers_ITC Midwest" xfId="1545" xr:uid="{00000000-0005-0000-0000-0000D8340000}"/>
    <cellStyle name="p_2010 Attachment O Template Supporting Work Papers_ITCTransmission" xfId="1546" xr:uid="{00000000-0005-0000-0000-0000D9340000}"/>
    <cellStyle name="p_2010 Attachment O Template Supporting Work Papers_METC" xfId="1547" xr:uid="{00000000-0005-0000-0000-0000DA340000}"/>
    <cellStyle name="p_2Mod11" xfId="1548" xr:uid="{00000000-0005-0000-0000-0000DB340000}"/>
    <cellStyle name="p_aavidmod11.xls Chart 1" xfId="1549" xr:uid="{00000000-0005-0000-0000-0000DC340000}"/>
    <cellStyle name="p_aavidmod11.xls Chart 2" xfId="1550" xr:uid="{00000000-0005-0000-0000-0000DD340000}"/>
    <cellStyle name="p_Attachment O &amp; GG" xfId="1551" xr:uid="{00000000-0005-0000-0000-0000DE340000}"/>
    <cellStyle name="p_charts for capm" xfId="1552" xr:uid="{00000000-0005-0000-0000-0000DF340000}"/>
    <cellStyle name="p_DCF" xfId="1553" xr:uid="{00000000-0005-0000-0000-0000E0340000}"/>
    <cellStyle name="p_DCF_2Mod11" xfId="1554" xr:uid="{00000000-0005-0000-0000-0000E1340000}"/>
    <cellStyle name="p_DCF_aavidmod11.xls Chart 1" xfId="1555" xr:uid="{00000000-0005-0000-0000-0000E2340000}"/>
    <cellStyle name="p_DCF_aavidmod11.xls Chart 2" xfId="1556" xr:uid="{00000000-0005-0000-0000-0000E3340000}"/>
    <cellStyle name="p_DCF_charts for capm" xfId="1557" xr:uid="{00000000-0005-0000-0000-0000E4340000}"/>
    <cellStyle name="p_DCF_DCF5" xfId="1558" xr:uid="{00000000-0005-0000-0000-0000E5340000}"/>
    <cellStyle name="p_DCF_Template2" xfId="1559" xr:uid="{00000000-0005-0000-0000-0000E6340000}"/>
    <cellStyle name="p_DCF_Template2_1" xfId="1560" xr:uid="{00000000-0005-0000-0000-0000E7340000}"/>
    <cellStyle name="p_DCF_VERA" xfId="1561" xr:uid="{00000000-0005-0000-0000-0000E8340000}"/>
    <cellStyle name="p_DCF_VERA_1" xfId="1562" xr:uid="{00000000-0005-0000-0000-0000E9340000}"/>
    <cellStyle name="p_DCF_VERA_1_Template2" xfId="1563" xr:uid="{00000000-0005-0000-0000-0000EA340000}"/>
    <cellStyle name="p_DCF_VERA_aavidmod11.xls Chart 2" xfId="1564" xr:uid="{00000000-0005-0000-0000-0000EB340000}"/>
    <cellStyle name="p_DCF_VERA_Model02" xfId="1565" xr:uid="{00000000-0005-0000-0000-0000EC340000}"/>
    <cellStyle name="p_DCF_VERA_Template2" xfId="1566" xr:uid="{00000000-0005-0000-0000-0000ED340000}"/>
    <cellStyle name="p_DCF_VERA_VERA" xfId="1567" xr:uid="{00000000-0005-0000-0000-0000EE340000}"/>
    <cellStyle name="p_DCF_VERA_VERA_1" xfId="1568" xr:uid="{00000000-0005-0000-0000-0000EF340000}"/>
    <cellStyle name="p_DCF_VERA_VERA_2" xfId="1569" xr:uid="{00000000-0005-0000-0000-0000F0340000}"/>
    <cellStyle name="p_DCF_VERA_VERA_Template2" xfId="1570" xr:uid="{00000000-0005-0000-0000-0000F1340000}"/>
    <cellStyle name="p_DCF5" xfId="1571" xr:uid="{00000000-0005-0000-0000-0000F2340000}"/>
    <cellStyle name="p_ITC Great Plains Formula 1-12-09a" xfId="1572" xr:uid="{00000000-0005-0000-0000-0000F3340000}"/>
    <cellStyle name="p_ITCM 2010 Template" xfId="1573" xr:uid="{00000000-0005-0000-0000-0000F4340000}"/>
    <cellStyle name="p_ITCMW 2009 Rate" xfId="1574" xr:uid="{00000000-0005-0000-0000-0000F5340000}"/>
    <cellStyle name="p_ITCMW 2010 Rate_083109" xfId="1575" xr:uid="{00000000-0005-0000-0000-0000F6340000}"/>
    <cellStyle name="p_ITCOP 2010 Rate_083109" xfId="1576" xr:uid="{00000000-0005-0000-0000-0000F7340000}"/>
    <cellStyle name="p_ITCT 2009 Rate" xfId="1577" xr:uid="{00000000-0005-0000-0000-0000F8340000}"/>
    <cellStyle name="p_ITCT New 2010 Attachment O &amp; GG_111209NL" xfId="1578" xr:uid="{00000000-0005-0000-0000-0000F9340000}"/>
    <cellStyle name="p_METC 2010 Rate_083109" xfId="1579" xr:uid="{00000000-0005-0000-0000-0000FA340000}"/>
    <cellStyle name="p_Template2" xfId="1580" xr:uid="{00000000-0005-0000-0000-0000FB340000}"/>
    <cellStyle name="p_Template2_1" xfId="1581" xr:uid="{00000000-0005-0000-0000-0000FC340000}"/>
    <cellStyle name="p_VERA" xfId="1582" xr:uid="{00000000-0005-0000-0000-0000FD340000}"/>
    <cellStyle name="p_VERA_1" xfId="1583" xr:uid="{00000000-0005-0000-0000-0000FE340000}"/>
    <cellStyle name="p_VERA_1_Template2" xfId="1584" xr:uid="{00000000-0005-0000-0000-0000FF340000}"/>
    <cellStyle name="p_VERA_aavidmod11.xls Chart 2" xfId="1585" xr:uid="{00000000-0005-0000-0000-000000350000}"/>
    <cellStyle name="p_VERA_Model02" xfId="1586" xr:uid="{00000000-0005-0000-0000-000001350000}"/>
    <cellStyle name="p_VERA_Template2" xfId="1587" xr:uid="{00000000-0005-0000-0000-000002350000}"/>
    <cellStyle name="p_VERA_VERA" xfId="1588" xr:uid="{00000000-0005-0000-0000-000003350000}"/>
    <cellStyle name="p_VERA_VERA_1" xfId="1589" xr:uid="{00000000-0005-0000-0000-000004350000}"/>
    <cellStyle name="p_VERA_VERA_2" xfId="1590" xr:uid="{00000000-0005-0000-0000-000005350000}"/>
    <cellStyle name="p_VERA_VERA_Template2" xfId="1591" xr:uid="{00000000-0005-0000-0000-000006350000}"/>
    <cellStyle name="p1" xfId="1592" xr:uid="{00000000-0005-0000-0000-000007350000}"/>
    <cellStyle name="p2" xfId="1593" xr:uid="{00000000-0005-0000-0000-000008350000}"/>
    <cellStyle name="p3" xfId="1594" xr:uid="{00000000-0005-0000-0000-000009350000}"/>
    <cellStyle name="Percent" xfId="1" builtinId="5"/>
    <cellStyle name="Percent %" xfId="1595" xr:uid="{00000000-0005-0000-0000-00000B350000}"/>
    <cellStyle name="Percent % Long Underline" xfId="1596" xr:uid="{00000000-0005-0000-0000-00000C350000}"/>
    <cellStyle name="Percent (0)" xfId="1597" xr:uid="{00000000-0005-0000-0000-00000D350000}"/>
    <cellStyle name="Percent [0]" xfId="1598" xr:uid="{00000000-0005-0000-0000-00000E350000}"/>
    <cellStyle name="Percent [0] 2" xfId="32700" xr:uid="{1AA19A70-B43C-460A-811B-AEDE97C76BAC}"/>
    <cellStyle name="Percent [1]" xfId="1599" xr:uid="{00000000-0005-0000-0000-00000F350000}"/>
    <cellStyle name="Percent [1] 2" xfId="32701" xr:uid="{285869C7-6DF5-4FE3-B86B-1D2641C0CB31}"/>
    <cellStyle name="Percent [2]" xfId="1600" xr:uid="{00000000-0005-0000-0000-000010350000}"/>
    <cellStyle name="Percent [2] 2" xfId="32702" xr:uid="{01E680AF-4CF1-4FD9-BEE6-9FDAEA48A0D5}"/>
    <cellStyle name="Percent [3]" xfId="1601" xr:uid="{00000000-0005-0000-0000-000011350000}"/>
    <cellStyle name="Percent [3] 2" xfId="32703" xr:uid="{615CDECF-24F5-4D33-A44E-88305CD898C1}"/>
    <cellStyle name="Percent 0.0%" xfId="1602" xr:uid="{00000000-0005-0000-0000-000012350000}"/>
    <cellStyle name="Percent 0.0% Long Underline" xfId="1603" xr:uid="{00000000-0005-0000-0000-000013350000}"/>
    <cellStyle name="Percent 0.00%" xfId="1604" xr:uid="{00000000-0005-0000-0000-000014350000}"/>
    <cellStyle name="Percent 0.00% Long Underline" xfId="1605" xr:uid="{00000000-0005-0000-0000-000015350000}"/>
    <cellStyle name="Percent 0.000%" xfId="1606" xr:uid="{00000000-0005-0000-0000-000016350000}"/>
    <cellStyle name="Percent 0.000% Long Underline" xfId="1607" xr:uid="{00000000-0005-0000-0000-000017350000}"/>
    <cellStyle name="Percent 0.0000%" xfId="1608" xr:uid="{00000000-0005-0000-0000-000018350000}"/>
    <cellStyle name="Percent 0.0000% 2" xfId="32705" xr:uid="{D0CEBA54-0843-4E59-A22B-41B1DCA3A5FB}"/>
    <cellStyle name="Percent 0.0000% Long Underline" xfId="1609" xr:uid="{00000000-0005-0000-0000-000019350000}"/>
    <cellStyle name="Percent 10" xfId="1610" xr:uid="{00000000-0005-0000-0000-00001A350000}"/>
    <cellStyle name="Percent 10 2" xfId="1611" xr:uid="{00000000-0005-0000-0000-00001B350000}"/>
    <cellStyle name="Percent 10 2 2" xfId="41984" xr:uid="{13A838C9-33ED-4F6B-9FD7-6EE322DAE30B}"/>
    <cellStyle name="Percent 10 3" xfId="32860" xr:uid="{845A7B12-6063-4522-A691-C646313C98FD}"/>
    <cellStyle name="Percent 11" xfId="1612" xr:uid="{00000000-0005-0000-0000-00001C350000}"/>
    <cellStyle name="Percent 11 2" xfId="1613" xr:uid="{00000000-0005-0000-0000-00001D350000}"/>
    <cellStyle name="Percent 11 2 2" xfId="24731" xr:uid="{00000000-0005-0000-0000-00001E350000}"/>
    <cellStyle name="Percent 11 2 3" xfId="25454" xr:uid="{00000000-0005-0000-0000-00001F350000}"/>
    <cellStyle name="Percent 11 3" xfId="24352" xr:uid="{00000000-0005-0000-0000-000020350000}"/>
    <cellStyle name="Percent 11 4" xfId="25097" xr:uid="{00000000-0005-0000-0000-000021350000}"/>
    <cellStyle name="Percent 12" xfId="1614" xr:uid="{00000000-0005-0000-0000-000022350000}"/>
    <cellStyle name="Percent 12 2" xfId="1615" xr:uid="{00000000-0005-0000-0000-000023350000}"/>
    <cellStyle name="Percent 13" xfId="1616" xr:uid="{00000000-0005-0000-0000-000024350000}"/>
    <cellStyle name="Percent 13 2" xfId="1617" xr:uid="{00000000-0005-0000-0000-000025350000}"/>
    <cellStyle name="Percent 13 3" xfId="32903" xr:uid="{2C8FBB02-21C4-4B15-B4CE-2ADD1D8A4907}"/>
    <cellStyle name="Percent 14" xfId="1618" xr:uid="{00000000-0005-0000-0000-000026350000}"/>
    <cellStyle name="Percent 14 2" xfId="24542" xr:uid="{00000000-0005-0000-0000-000027350000}"/>
    <cellStyle name="Percent 14 3" xfId="32882" xr:uid="{5C67780D-0EB5-4E26-94F1-884A6E9DA360}"/>
    <cellStyle name="Percent 15" xfId="1619" xr:uid="{00000000-0005-0000-0000-000028350000}"/>
    <cellStyle name="Percent 15 2" xfId="24532" xr:uid="{00000000-0005-0000-0000-000029350000}"/>
    <cellStyle name="Percent 15 3" xfId="32904" xr:uid="{EFB73F61-26F6-4CFB-87BC-21CD9A4CFB1C}"/>
    <cellStyle name="Percent 16" xfId="1620" xr:uid="{00000000-0005-0000-0000-00002A350000}"/>
    <cellStyle name="Percent 16 2" xfId="24548" xr:uid="{00000000-0005-0000-0000-00002B350000}"/>
    <cellStyle name="Percent 16 3" xfId="32887" xr:uid="{5FB17031-3313-4457-A0E8-BD7A914E8045}"/>
    <cellStyle name="Percent 17" xfId="1621" xr:uid="{00000000-0005-0000-0000-00002C350000}"/>
    <cellStyle name="Percent 17 2" xfId="24544" xr:uid="{00000000-0005-0000-0000-00002D350000}"/>
    <cellStyle name="Percent 17 3" xfId="32905" xr:uid="{5A4AA44C-8F6F-4908-B622-7A1DA38C3858}"/>
    <cellStyle name="Percent 18" xfId="1622" xr:uid="{00000000-0005-0000-0000-00002E350000}"/>
    <cellStyle name="Percent 18 2" xfId="24540" xr:uid="{00000000-0005-0000-0000-00002F350000}"/>
    <cellStyle name="Percent 18 3" xfId="32886" xr:uid="{88D57EA6-2908-4EED-81C5-27D744BC014A}"/>
    <cellStyle name="Percent 19" xfId="1623" xr:uid="{00000000-0005-0000-0000-000030350000}"/>
    <cellStyle name="Percent 19 2" xfId="24537" xr:uid="{00000000-0005-0000-0000-000031350000}"/>
    <cellStyle name="Percent 19 3" xfId="32906" xr:uid="{A7B9D375-00F7-4882-897C-23265A6CAC03}"/>
    <cellStyle name="Percent 2" xfId="1624" xr:uid="{00000000-0005-0000-0000-000032350000}"/>
    <cellStyle name="Percent 2 10" xfId="42266" xr:uid="{FAFFCF3B-2C7C-449B-BC84-8267E71BD36E}"/>
    <cellStyle name="Percent 2 2" xfId="1625" xr:uid="{00000000-0005-0000-0000-000033350000}"/>
    <cellStyle name="Percent 2 2 2" xfId="1626" xr:uid="{00000000-0005-0000-0000-000034350000}"/>
    <cellStyle name="Percent 2 2 2 2" xfId="1763" xr:uid="{00000000-0005-0000-0000-000035350000}"/>
    <cellStyle name="Percent 2 2 2 2 2" xfId="2860" xr:uid="{00000000-0005-0000-0000-000036350000}"/>
    <cellStyle name="Percent 2 2 2 2 3" xfId="26057" xr:uid="{00000000-0005-0000-0000-000037350000}"/>
    <cellStyle name="Percent 2 2 2 3" xfId="1785" xr:uid="{00000000-0005-0000-0000-000038350000}"/>
    <cellStyle name="Percent 2 2 2 3 2" xfId="2881" xr:uid="{00000000-0005-0000-0000-000039350000}"/>
    <cellStyle name="Percent 2 2 2 4" xfId="25967" xr:uid="{00000000-0005-0000-0000-00003A350000}"/>
    <cellStyle name="Percent 2 2 3" xfId="26079" xr:uid="{00000000-0005-0000-0000-00003B350000}"/>
    <cellStyle name="Percent 2 2 3 2" xfId="32667" xr:uid="{683795E4-E25A-41C8-AA42-C26006F01A97}"/>
    <cellStyle name="Percent 2 3" xfId="1627" xr:uid="{00000000-0005-0000-0000-00003C350000}"/>
    <cellStyle name="Percent 2 3 2" xfId="2832" xr:uid="{00000000-0005-0000-0000-00003D350000}"/>
    <cellStyle name="Percent 2 3 2 2" xfId="26047" xr:uid="{00000000-0005-0000-0000-00003E350000}"/>
    <cellStyle name="Percent 2 3 2 3" xfId="42365" xr:uid="{458D66AA-1B01-4DEC-A9C8-218D85276966}"/>
    <cellStyle name="Percent 2 3 3" xfId="5413" xr:uid="{00000000-0005-0000-0000-00003F350000}"/>
    <cellStyle name="Percent 2 3 4" xfId="25957" xr:uid="{00000000-0005-0000-0000-000040350000}"/>
    <cellStyle name="Percent 2 3 5" xfId="32569" xr:uid="{DA2C6832-F7AD-4B00-AC5D-45A8B83A9A01}"/>
    <cellStyle name="Percent 2 3 6" xfId="41327" xr:uid="{F3CE3A68-8091-4D9E-B6F1-B28C6DA83C08}"/>
    <cellStyle name="Percent 2 3 7" xfId="42198" xr:uid="{CFE16E11-4AD8-4CC5-8AEA-6DD97B59D8C7}"/>
    <cellStyle name="Percent 2 4" xfId="1762" xr:uid="{00000000-0005-0000-0000-000041350000}"/>
    <cellStyle name="Percent 2 4 2" xfId="2859" xr:uid="{00000000-0005-0000-0000-000042350000}"/>
    <cellStyle name="Percent 2 4 2 2" xfId="26059" xr:uid="{00000000-0005-0000-0000-000043350000}"/>
    <cellStyle name="Percent 2 4 3" xfId="25973" xr:uid="{00000000-0005-0000-0000-000044350000}"/>
    <cellStyle name="Percent 2 4 4" xfId="32765" xr:uid="{2809B287-B20D-4C26-8A43-F600ED3198F7}"/>
    <cellStyle name="Percent 2 5" xfId="1784" xr:uid="{00000000-0005-0000-0000-000045350000}"/>
    <cellStyle name="Percent 2 5 2" xfId="2880" xr:uid="{00000000-0005-0000-0000-000046350000}"/>
    <cellStyle name="Percent 2 5 2 2" xfId="26064" xr:uid="{00000000-0005-0000-0000-000047350000}"/>
    <cellStyle name="Percent 2 5 3" xfId="25979" xr:uid="{00000000-0005-0000-0000-000048350000}"/>
    <cellStyle name="Percent 2 5 4" xfId="42263" xr:uid="{9FEBC1F0-3301-4068-B637-8242ACC119B9}"/>
    <cellStyle name="Percent 2 6" xfId="2831" xr:uid="{00000000-0005-0000-0000-000049350000}"/>
    <cellStyle name="Percent 2 6 2" xfId="25986" xr:uid="{00000000-0005-0000-0000-00004A350000}"/>
    <cellStyle name="Percent 2 7" xfId="1797" xr:uid="{00000000-0005-0000-0000-00004B350000}"/>
    <cellStyle name="Percent 2 8" xfId="25640" xr:uid="{00000000-0005-0000-0000-00004C350000}"/>
    <cellStyle name="Percent 2 9" xfId="32546" xr:uid="{38405BA3-F9F2-488A-9A40-1B667D5C1ABE}"/>
    <cellStyle name="Percent 20" xfId="1628" xr:uid="{00000000-0005-0000-0000-00004D350000}"/>
    <cellStyle name="Percent 20 2" xfId="24538" xr:uid="{00000000-0005-0000-0000-00004E350000}"/>
    <cellStyle name="Percent 20 3" xfId="32884" xr:uid="{42DB3677-A8EA-4256-83EF-8A42D462B4AF}"/>
    <cellStyle name="Percent 21" xfId="1629" xr:uid="{00000000-0005-0000-0000-00004F350000}"/>
    <cellStyle name="Percent 21 2" xfId="24745" xr:uid="{00000000-0005-0000-0000-000050350000}"/>
    <cellStyle name="Percent 21 2 2" xfId="25468" xr:uid="{00000000-0005-0000-0000-000051350000}"/>
    <cellStyle name="Percent 21 3" xfId="24366" xr:uid="{00000000-0005-0000-0000-000052350000}"/>
    <cellStyle name="Percent 21 4" xfId="25111" xr:uid="{00000000-0005-0000-0000-000053350000}"/>
    <cellStyle name="Percent 21 5" xfId="32907" xr:uid="{4CD31AAE-938A-4219-A7FC-EDD40F0D7C82}"/>
    <cellStyle name="Percent 22" xfId="1630" xr:uid="{00000000-0005-0000-0000-000054350000}"/>
    <cellStyle name="Percent 22 2" xfId="24550" xr:uid="{00000000-0005-0000-0000-000055350000}"/>
    <cellStyle name="Percent 22 3" xfId="32883" xr:uid="{C659CAC3-DB8B-453F-989E-4E91991D4380}"/>
    <cellStyle name="Percent 23" xfId="1631" xr:uid="{00000000-0005-0000-0000-000056350000}"/>
    <cellStyle name="Percent 24" xfId="1632" xr:uid="{00000000-0005-0000-0000-000057350000}"/>
    <cellStyle name="Percent 25" xfId="1633" xr:uid="{00000000-0005-0000-0000-000058350000}"/>
    <cellStyle name="Percent 26" xfId="1634" xr:uid="{00000000-0005-0000-0000-000059350000}"/>
    <cellStyle name="Percent 27" xfId="1761" xr:uid="{00000000-0005-0000-0000-00005A350000}"/>
    <cellStyle name="Percent 27 2" xfId="2858" xr:uid="{00000000-0005-0000-0000-00005B350000}"/>
    <cellStyle name="Percent 28" xfId="1768" xr:uid="{00000000-0005-0000-0000-00005C350000}"/>
    <cellStyle name="Percent 28 2" xfId="2864" xr:uid="{00000000-0005-0000-0000-00005D350000}"/>
    <cellStyle name="Percent 29" xfId="1753" xr:uid="{00000000-0005-0000-0000-00005E350000}"/>
    <cellStyle name="Percent 29 2" xfId="2853" xr:uid="{00000000-0005-0000-0000-00005F350000}"/>
    <cellStyle name="Percent 3" xfId="1635" xr:uid="{00000000-0005-0000-0000-000060350000}"/>
    <cellStyle name="Percent 3 2" xfId="1636" xr:uid="{00000000-0005-0000-0000-000061350000}"/>
    <cellStyle name="Percent 3 2 2" xfId="26099" xr:uid="{00000000-0005-0000-0000-000062350000}"/>
    <cellStyle name="Percent 3 3" xfId="1637" xr:uid="{00000000-0005-0000-0000-000063350000}"/>
    <cellStyle name="Percent 3 3 2" xfId="26235" xr:uid="{00000000-0005-0000-0000-000064350000}"/>
    <cellStyle name="Percent 3 3 3" xfId="26078" xr:uid="{00000000-0005-0000-0000-000065350000}"/>
    <cellStyle name="Percent 3 4" xfId="1638" xr:uid="{00000000-0005-0000-0000-000066350000}"/>
    <cellStyle name="Percent 3 5" xfId="1639" xr:uid="{00000000-0005-0000-0000-000067350000}"/>
    <cellStyle name="Percent 3 5 2" xfId="1640" xr:uid="{00000000-0005-0000-0000-000068350000}"/>
    <cellStyle name="Percent 3 6" xfId="1764" xr:uid="{00000000-0005-0000-0000-000069350000}"/>
    <cellStyle name="Percent 30" xfId="1769" xr:uid="{00000000-0005-0000-0000-00006A350000}"/>
    <cellStyle name="Percent 30 2" xfId="2865" xr:uid="{00000000-0005-0000-0000-00006B350000}"/>
    <cellStyle name="Percent 31" xfId="1755" xr:uid="{00000000-0005-0000-0000-00006C350000}"/>
    <cellStyle name="Percent 31 2" xfId="2854" xr:uid="{00000000-0005-0000-0000-00006D350000}"/>
    <cellStyle name="Percent 32" xfId="1783" xr:uid="{00000000-0005-0000-0000-00006E350000}"/>
    <cellStyle name="Percent 32 2" xfId="2879" xr:uid="{00000000-0005-0000-0000-00006F350000}"/>
    <cellStyle name="Percent 33" xfId="1788" xr:uid="{00000000-0005-0000-0000-000070350000}"/>
    <cellStyle name="Percent 33 2" xfId="2884" xr:uid="{00000000-0005-0000-0000-000071350000}"/>
    <cellStyle name="Percent 34" xfId="1780" xr:uid="{00000000-0005-0000-0000-000072350000}"/>
    <cellStyle name="Percent 34 2" xfId="2876" xr:uid="{00000000-0005-0000-0000-000073350000}"/>
    <cellStyle name="Percent 35" xfId="2827" xr:uid="{00000000-0005-0000-0000-000074350000}"/>
    <cellStyle name="Percent 36" xfId="1793" xr:uid="{00000000-0005-0000-0000-000075350000}"/>
    <cellStyle name="Percent 37" xfId="2844" xr:uid="{00000000-0005-0000-0000-000076350000}"/>
    <cellStyle name="Percent 38" xfId="2890" xr:uid="{00000000-0005-0000-0000-000077350000}"/>
    <cellStyle name="Percent 39" xfId="2841" xr:uid="{00000000-0005-0000-0000-000078350000}"/>
    <cellStyle name="Percent 4" xfId="1641" xr:uid="{00000000-0005-0000-0000-000079350000}"/>
    <cellStyle name="Percent 4 2" xfId="1642" xr:uid="{00000000-0005-0000-0000-00007A350000}"/>
    <cellStyle name="Percent 4 2 2" xfId="5272" xr:uid="{00000000-0005-0000-0000-00007B350000}"/>
    <cellStyle name="Percent 4 2 2 2" xfId="5269" xr:uid="{00000000-0005-0000-0000-00007C350000}"/>
    <cellStyle name="Percent 4 2 2 2 2" xfId="5274" xr:uid="{00000000-0005-0000-0000-00007D350000}"/>
    <cellStyle name="Percent 4 2 2 2 2 2" xfId="5276" xr:uid="{00000000-0005-0000-0000-00007E350000}"/>
    <cellStyle name="Percent 4 2 2 2 2 2 2" xfId="7816" xr:uid="{00000000-0005-0000-0000-00007F350000}"/>
    <cellStyle name="Percent 4 2 2 2 2 2 3" xfId="14690" xr:uid="{00000000-0005-0000-0000-000080350000}"/>
    <cellStyle name="Percent 4 2 2 2 2 2 4" xfId="19386" xr:uid="{00000000-0005-0000-0000-000081350000}"/>
    <cellStyle name="Percent 4 2 2 2 2 2 5" xfId="23877" xr:uid="{00000000-0005-0000-0000-000082350000}"/>
    <cellStyle name="Percent 4 2 2 2 2 3" xfId="7814" xr:uid="{00000000-0005-0000-0000-000083350000}"/>
    <cellStyle name="Percent 4 2 2 2 2 4" xfId="14688" xr:uid="{00000000-0005-0000-0000-000084350000}"/>
    <cellStyle name="Percent 4 2 2 2 2 5" xfId="19384" xr:uid="{00000000-0005-0000-0000-000085350000}"/>
    <cellStyle name="Percent 4 2 2 2 2 6" xfId="23875" xr:uid="{00000000-0005-0000-0000-000086350000}"/>
    <cellStyle name="Percent 4 2 2 2 3" xfId="7809" xr:uid="{00000000-0005-0000-0000-000087350000}"/>
    <cellStyle name="Percent 4 2 2 2 4" xfId="14683" xr:uid="{00000000-0005-0000-0000-000088350000}"/>
    <cellStyle name="Percent 4 2 2 2 5" xfId="19379" xr:uid="{00000000-0005-0000-0000-000089350000}"/>
    <cellStyle name="Percent 4 2 2 2 6" xfId="23870" xr:uid="{00000000-0005-0000-0000-00008A350000}"/>
    <cellStyle name="Percent 4 2 2 3" xfId="7812" xr:uid="{00000000-0005-0000-0000-00008B350000}"/>
    <cellStyle name="Percent 4 2 2 4" xfId="14686" xr:uid="{00000000-0005-0000-0000-00008C350000}"/>
    <cellStyle name="Percent 4 2 2 5" xfId="19382" xr:uid="{00000000-0005-0000-0000-00008D350000}"/>
    <cellStyle name="Percent 4 2 2 6" xfId="23873" xr:uid="{00000000-0005-0000-0000-00008E350000}"/>
    <cellStyle name="Percent 4 2 3" xfId="7710" xr:uid="{00000000-0005-0000-0000-00008F350000}"/>
    <cellStyle name="Percent 4 2 4" xfId="14585" xr:uid="{00000000-0005-0000-0000-000090350000}"/>
    <cellStyle name="Percent 4 2 5" xfId="19281" xr:uid="{00000000-0005-0000-0000-000091350000}"/>
    <cellStyle name="Percent 4 2 6" xfId="23777" xr:uid="{00000000-0005-0000-0000-000092350000}"/>
    <cellStyle name="Percent 4 2 7" xfId="24135" xr:uid="{00000000-0005-0000-0000-000093350000}"/>
    <cellStyle name="Percent 4 2 8" xfId="5171" xr:uid="{00000000-0005-0000-0000-000094350000}"/>
    <cellStyle name="Percent 4 2 9" xfId="42059" xr:uid="{7A52D533-CF86-4C0F-A156-E200E2F15A74}"/>
    <cellStyle name="Percent 4 3" xfId="7707" xr:uid="{00000000-0005-0000-0000-000095350000}"/>
    <cellStyle name="Percent 4 3 2" xfId="32766" xr:uid="{0117B810-CDFB-4373-92F4-12FAEB056107}"/>
    <cellStyle name="Percent 4 4" xfId="14582" xr:uid="{00000000-0005-0000-0000-000096350000}"/>
    <cellStyle name="Percent 4 5" xfId="19278" xr:uid="{00000000-0005-0000-0000-000097350000}"/>
    <cellStyle name="Percent 4 6" xfId="23774" xr:uid="{00000000-0005-0000-0000-000098350000}"/>
    <cellStyle name="Percent 4 7" xfId="24133" xr:uid="{00000000-0005-0000-0000-000099350000}"/>
    <cellStyle name="Percent 4 8" xfId="5168" xr:uid="{00000000-0005-0000-0000-00009A350000}"/>
    <cellStyle name="Percent 4 9" xfId="32557" xr:uid="{1B217C6D-9849-46D7-B639-E6EA8A48BEF6}"/>
    <cellStyle name="Percent 40" xfId="2887" xr:uid="{00000000-0005-0000-0000-00009B350000}"/>
    <cellStyle name="Percent 41" xfId="2828" xr:uid="{00000000-0005-0000-0000-00009C350000}"/>
    <cellStyle name="Percent 42" xfId="24170" xr:uid="{00000000-0005-0000-0000-00009D350000}"/>
    <cellStyle name="Percent 43" xfId="24187" xr:uid="{00000000-0005-0000-0000-00009E350000}"/>
    <cellStyle name="Percent 44" xfId="24931" xr:uid="{00000000-0005-0000-0000-00009F350000}"/>
    <cellStyle name="Percent 45" xfId="24915" xr:uid="{00000000-0005-0000-0000-0000A0350000}"/>
    <cellStyle name="Percent 46" xfId="25634" xr:uid="{00000000-0005-0000-0000-0000A1350000}"/>
    <cellStyle name="Percent 47" xfId="25638" xr:uid="{00000000-0005-0000-0000-0000A2350000}"/>
    <cellStyle name="Percent 48" xfId="32498" xr:uid="{00000000-0005-0000-0000-0000A3350000}"/>
    <cellStyle name="Percent 49" xfId="32501" xr:uid="{00000000-0005-0000-0000-0000A4350000}"/>
    <cellStyle name="Percent 5" xfId="1643" xr:uid="{00000000-0005-0000-0000-0000A5350000}"/>
    <cellStyle name="Percent 5 2" xfId="5396" xr:uid="{00000000-0005-0000-0000-0000A6350000}"/>
    <cellStyle name="Percent 5 2 2" xfId="24156" xr:uid="{00000000-0005-0000-0000-0000A7350000}"/>
    <cellStyle name="Percent 5 2 2 2" xfId="24149" xr:uid="{00000000-0005-0000-0000-0000A8350000}"/>
    <cellStyle name="Percent 5 2 2 3" xfId="25921" xr:uid="{00000000-0005-0000-0000-0000A9350000}"/>
    <cellStyle name="Percent 5 2 3" xfId="25920" xr:uid="{00000000-0005-0000-0000-0000AA350000}"/>
    <cellStyle name="Percent 5 3" xfId="7819" xr:uid="{00000000-0005-0000-0000-0000AB350000}"/>
    <cellStyle name="Percent 5 3 2" xfId="25922" xr:uid="{00000000-0005-0000-0000-0000AC350000}"/>
    <cellStyle name="Percent 5 4" xfId="14693" xr:uid="{00000000-0005-0000-0000-0000AD350000}"/>
    <cellStyle name="Percent 5 5" xfId="19389" xr:uid="{00000000-0005-0000-0000-0000AE350000}"/>
    <cellStyle name="Percent 5 6" xfId="23880" xr:uid="{00000000-0005-0000-0000-0000AF350000}"/>
    <cellStyle name="Percent 5 7" xfId="5279" xr:uid="{00000000-0005-0000-0000-0000B0350000}"/>
    <cellStyle name="Percent 50" xfId="32517" xr:uid="{00000000-0005-0000-0000-0000B1350000}"/>
    <cellStyle name="Percent 51" xfId="32521" xr:uid="{00000000-0005-0000-0000-0000B2350000}"/>
    <cellStyle name="Percent 52" xfId="32530" xr:uid="{E7ED379E-E117-4234-96FD-64E4790BD160}"/>
    <cellStyle name="Percent 53" xfId="32534" xr:uid="{67DAC64E-AC5B-4E21-93D3-C534D732EC36}"/>
    <cellStyle name="Percent 54" xfId="32570" xr:uid="{2AE18F29-8B31-4886-9D14-81275A090314}"/>
    <cellStyle name="Percent 55" xfId="32699" xr:uid="{B4A00C5F-9704-4445-9B44-5C9546512786}"/>
    <cellStyle name="Percent 56" xfId="32763" xr:uid="{14B55EF4-0BC0-4141-A439-3EDED53E0CDB}"/>
    <cellStyle name="Percent 57" xfId="32648" xr:uid="{8602C168-C30B-420A-BDEB-A3E4ACE6DD43}"/>
    <cellStyle name="Percent 58" xfId="41996" xr:uid="{BEA33EB9-E9A5-4B72-91E0-05B698F875E5}"/>
    <cellStyle name="Percent 6" xfId="1644" xr:uid="{00000000-0005-0000-0000-0000B3350000}"/>
    <cellStyle name="Percent 6 2" xfId="2899" xr:uid="{00000000-0005-0000-0000-0000B4350000}"/>
    <cellStyle name="Percent 6 2 2" xfId="25924" xr:uid="{00000000-0005-0000-0000-0000B5350000}"/>
    <cellStyle name="Percent 6 3" xfId="25925" xr:uid="{00000000-0005-0000-0000-0000B6350000}"/>
    <cellStyle name="Percent 6 4" xfId="25926" xr:uid="{00000000-0005-0000-0000-0000B7350000}"/>
    <cellStyle name="Percent 6 5" xfId="26140" xr:uid="{00000000-0005-0000-0000-0000B8350000}"/>
    <cellStyle name="Percent 6 6" xfId="25923" xr:uid="{00000000-0005-0000-0000-0000B9350000}"/>
    <cellStyle name="Percent 6 7" xfId="42307" xr:uid="{18C657E7-F7A5-42C3-8FBF-4B38F38FE3BF}"/>
    <cellStyle name="Percent 7" xfId="1645" xr:uid="{00000000-0005-0000-0000-0000BA350000}"/>
    <cellStyle name="Percent 7 2" xfId="26070" xr:uid="{00000000-0005-0000-0000-0000BB350000}"/>
    <cellStyle name="Percent 7 2 2" xfId="41329" xr:uid="{D263ECFA-6521-4A85-9A61-503331659064}"/>
    <cellStyle name="Percent 7 2 3" xfId="41330" xr:uid="{7F4E8041-955A-46DC-BCE9-B7020AF6875B}"/>
    <cellStyle name="Percent 7 2 4" xfId="41328" xr:uid="{0FA5980D-CC05-48E8-B9CA-B11EB9DFDF8F}"/>
    <cellStyle name="Percent 7 3" xfId="41331" xr:uid="{C0A47F81-0DFA-4B25-8F1C-CC485A7239A2}"/>
    <cellStyle name="Percent 7 4" xfId="41332" xr:uid="{5F7A2553-DCF2-4C03-B73E-6C78B2F366A2}"/>
    <cellStyle name="Percent 7 5" xfId="41333" xr:uid="{241C1644-1483-4918-8005-391A6F321925}"/>
    <cellStyle name="Percent 70" xfId="41983" xr:uid="{70114D0C-1D27-47BA-85D8-96340E968639}"/>
    <cellStyle name="Percent 8" xfId="1646" xr:uid="{00000000-0005-0000-0000-0000BC350000}"/>
    <cellStyle name="Percent 8 2" xfId="1647" xr:uid="{00000000-0005-0000-0000-0000BD350000}"/>
    <cellStyle name="Percent 8 2 2" xfId="1648" xr:uid="{00000000-0005-0000-0000-0000BE350000}"/>
    <cellStyle name="Percent 8 2 2 2" xfId="2835" xr:uid="{00000000-0005-0000-0000-0000BF350000}"/>
    <cellStyle name="Percent 8 2 2 2 2" xfId="24894" xr:uid="{00000000-0005-0000-0000-0000C0350000}"/>
    <cellStyle name="Percent 8 2 2 2 2 2" xfId="25617" xr:uid="{00000000-0005-0000-0000-0000C1350000}"/>
    <cellStyle name="Percent 8 2 2 2 3" xfId="24515" xr:uid="{00000000-0005-0000-0000-0000C2350000}"/>
    <cellStyle name="Percent 8 2 2 2 4" xfId="25260" xr:uid="{00000000-0005-0000-0000-0000C3350000}"/>
    <cellStyle name="Percent 8 2 2 3" xfId="24714" xr:uid="{00000000-0005-0000-0000-0000C4350000}"/>
    <cellStyle name="Percent 8 2 2 3 2" xfId="25437" xr:uid="{00000000-0005-0000-0000-0000C5350000}"/>
    <cellStyle name="Percent 8 2 2 4" xfId="24335" xr:uid="{00000000-0005-0000-0000-0000C6350000}"/>
    <cellStyle name="Percent 8 2 2 5" xfId="25080" xr:uid="{00000000-0005-0000-0000-0000C7350000}"/>
    <cellStyle name="Percent 8 2 3" xfId="2834" xr:uid="{00000000-0005-0000-0000-0000C8350000}"/>
    <cellStyle name="Percent 8 2 3 2" xfId="24806" xr:uid="{00000000-0005-0000-0000-0000C9350000}"/>
    <cellStyle name="Percent 8 2 3 2 2" xfId="25529" xr:uid="{00000000-0005-0000-0000-0000CA350000}"/>
    <cellStyle name="Percent 8 2 3 3" xfId="24427" xr:uid="{00000000-0005-0000-0000-0000CB350000}"/>
    <cellStyle name="Percent 8 2 3 4" xfId="25172" xr:uid="{00000000-0005-0000-0000-0000CC350000}"/>
    <cellStyle name="Percent 8 2 4" xfId="24626" xr:uid="{00000000-0005-0000-0000-0000CD350000}"/>
    <cellStyle name="Percent 8 2 4 2" xfId="25349" xr:uid="{00000000-0005-0000-0000-0000CE350000}"/>
    <cellStyle name="Percent 8 2 5" xfId="24247" xr:uid="{00000000-0005-0000-0000-0000CF350000}"/>
    <cellStyle name="Percent 8 2 6" xfId="24992" xr:uid="{00000000-0005-0000-0000-0000D0350000}"/>
    <cellStyle name="Percent 8 3" xfId="1649" xr:uid="{00000000-0005-0000-0000-0000D1350000}"/>
    <cellStyle name="Percent 8 3 2" xfId="2836" xr:uid="{00000000-0005-0000-0000-0000D2350000}"/>
    <cellStyle name="Percent 8 3 2 2" xfId="24850" xr:uid="{00000000-0005-0000-0000-0000D3350000}"/>
    <cellStyle name="Percent 8 3 2 2 2" xfId="25573" xr:uid="{00000000-0005-0000-0000-0000D4350000}"/>
    <cellStyle name="Percent 8 3 2 3" xfId="24471" xr:uid="{00000000-0005-0000-0000-0000D5350000}"/>
    <cellStyle name="Percent 8 3 2 4" xfId="25216" xr:uid="{00000000-0005-0000-0000-0000D6350000}"/>
    <cellStyle name="Percent 8 3 3" xfId="24670" xr:uid="{00000000-0005-0000-0000-0000D7350000}"/>
    <cellStyle name="Percent 8 3 3 2" xfId="25393" xr:uid="{00000000-0005-0000-0000-0000D8350000}"/>
    <cellStyle name="Percent 8 3 4" xfId="24291" xr:uid="{00000000-0005-0000-0000-0000D9350000}"/>
    <cellStyle name="Percent 8 3 5" xfId="25036" xr:uid="{00000000-0005-0000-0000-0000DA350000}"/>
    <cellStyle name="Percent 8 4" xfId="1650" xr:uid="{00000000-0005-0000-0000-0000DB350000}"/>
    <cellStyle name="Percent 8 4 2" xfId="24762" xr:uid="{00000000-0005-0000-0000-0000DC350000}"/>
    <cellStyle name="Percent 8 4 2 2" xfId="25485" xr:uid="{00000000-0005-0000-0000-0000DD350000}"/>
    <cellStyle name="Percent 8 4 3" xfId="24383" xr:uid="{00000000-0005-0000-0000-0000DE350000}"/>
    <cellStyle name="Percent 8 4 4" xfId="25128" xr:uid="{00000000-0005-0000-0000-0000DF350000}"/>
    <cellStyle name="Percent 8 5" xfId="2833" xr:uid="{00000000-0005-0000-0000-0000E0350000}"/>
    <cellStyle name="Percent 8 5 2" xfId="24582" xr:uid="{00000000-0005-0000-0000-0000E1350000}"/>
    <cellStyle name="Percent 8 5 3" xfId="25305" xr:uid="{00000000-0005-0000-0000-0000E2350000}"/>
    <cellStyle name="Percent 8 6" xfId="24203" xr:uid="{00000000-0005-0000-0000-0000E3350000}"/>
    <cellStyle name="Percent 8 7" xfId="24948" xr:uid="{00000000-0005-0000-0000-0000E4350000}"/>
    <cellStyle name="Percent 8 8" xfId="32852" xr:uid="{C64890DC-E34B-45D4-B474-C70675B37205}"/>
    <cellStyle name="Percent 9" xfId="1651" xr:uid="{00000000-0005-0000-0000-0000E5350000}"/>
    <cellStyle name="Percent 9 2" xfId="1652" xr:uid="{00000000-0005-0000-0000-0000E6350000}"/>
    <cellStyle name="Percent 9 2 2" xfId="1653" xr:uid="{00000000-0005-0000-0000-0000E7350000}"/>
    <cellStyle name="Percent 9 2 2 2" xfId="1654" xr:uid="{00000000-0005-0000-0000-0000E8350000}"/>
    <cellStyle name="Percent 9 2 2 3" xfId="1655" xr:uid="{00000000-0005-0000-0000-0000E9350000}"/>
    <cellStyle name="Percent 9 2 2 3 2" xfId="1656" xr:uid="{00000000-0005-0000-0000-0000EA350000}"/>
    <cellStyle name="Percent 9 2 2 3 2 2" xfId="2839" xr:uid="{00000000-0005-0000-0000-0000EB350000}"/>
    <cellStyle name="Percent 9 2 2 3 2 2 2" xfId="24899" xr:uid="{00000000-0005-0000-0000-0000EC350000}"/>
    <cellStyle name="Percent 9 2 2 3 2 2 2 2" xfId="25622" xr:uid="{00000000-0005-0000-0000-0000ED350000}"/>
    <cellStyle name="Percent 9 2 2 3 2 2 3" xfId="24520" xr:uid="{00000000-0005-0000-0000-0000EE350000}"/>
    <cellStyle name="Percent 9 2 2 3 2 2 4" xfId="25265" xr:uid="{00000000-0005-0000-0000-0000EF350000}"/>
    <cellStyle name="Percent 9 2 2 3 2 3" xfId="24719" xr:uid="{00000000-0005-0000-0000-0000F0350000}"/>
    <cellStyle name="Percent 9 2 2 3 2 3 2" xfId="25442" xr:uid="{00000000-0005-0000-0000-0000F1350000}"/>
    <cellStyle name="Percent 9 2 2 3 2 4" xfId="24340" xr:uid="{00000000-0005-0000-0000-0000F2350000}"/>
    <cellStyle name="Percent 9 2 2 3 2 5" xfId="25085" xr:uid="{00000000-0005-0000-0000-0000F3350000}"/>
    <cellStyle name="Percent 9 2 2 3 3" xfId="2838" xr:uid="{00000000-0005-0000-0000-0000F4350000}"/>
    <cellStyle name="Percent 9 2 2 3 3 2" xfId="24811" xr:uid="{00000000-0005-0000-0000-0000F5350000}"/>
    <cellStyle name="Percent 9 2 2 3 3 2 2" xfId="25534" xr:uid="{00000000-0005-0000-0000-0000F6350000}"/>
    <cellStyle name="Percent 9 2 2 3 3 3" xfId="24432" xr:uid="{00000000-0005-0000-0000-0000F7350000}"/>
    <cellStyle name="Percent 9 2 2 3 3 4" xfId="25177" xr:uid="{00000000-0005-0000-0000-0000F8350000}"/>
    <cellStyle name="Percent 9 2 2 3 4" xfId="24631" xr:uid="{00000000-0005-0000-0000-0000F9350000}"/>
    <cellStyle name="Percent 9 2 2 3 4 2" xfId="25354" xr:uid="{00000000-0005-0000-0000-0000FA350000}"/>
    <cellStyle name="Percent 9 2 2 3 5" xfId="24252" xr:uid="{00000000-0005-0000-0000-0000FB350000}"/>
    <cellStyle name="Percent 9 2 2 3 6" xfId="24997" xr:uid="{00000000-0005-0000-0000-0000FC350000}"/>
    <cellStyle name="Percent 9 2 2 4" xfId="1657" xr:uid="{00000000-0005-0000-0000-0000FD350000}"/>
    <cellStyle name="Percent 9 2 2 4 2" xfId="2840" xr:uid="{00000000-0005-0000-0000-0000FE350000}"/>
    <cellStyle name="Percent 9 2 2 4 2 2" xfId="24855" xr:uid="{00000000-0005-0000-0000-0000FF350000}"/>
    <cellStyle name="Percent 9 2 2 4 2 2 2" xfId="25578" xr:uid="{00000000-0005-0000-0000-000000360000}"/>
    <cellStyle name="Percent 9 2 2 4 2 3" xfId="24476" xr:uid="{00000000-0005-0000-0000-000001360000}"/>
    <cellStyle name="Percent 9 2 2 4 2 4" xfId="25221" xr:uid="{00000000-0005-0000-0000-000002360000}"/>
    <cellStyle name="Percent 9 2 2 4 3" xfId="24675" xr:uid="{00000000-0005-0000-0000-000003360000}"/>
    <cellStyle name="Percent 9 2 2 4 3 2" xfId="25398" xr:uid="{00000000-0005-0000-0000-000004360000}"/>
    <cellStyle name="Percent 9 2 2 4 4" xfId="24296" xr:uid="{00000000-0005-0000-0000-000005360000}"/>
    <cellStyle name="Percent 9 2 2 4 5" xfId="25041" xr:uid="{00000000-0005-0000-0000-000006360000}"/>
    <cellStyle name="Percent 9 2 2 5" xfId="2837" xr:uid="{00000000-0005-0000-0000-000007360000}"/>
    <cellStyle name="Percent 9 2 2 5 2" xfId="24767" xr:uid="{00000000-0005-0000-0000-000008360000}"/>
    <cellStyle name="Percent 9 2 2 5 2 2" xfId="25490" xr:uid="{00000000-0005-0000-0000-000009360000}"/>
    <cellStyle name="Percent 9 2 2 5 3" xfId="24388" xr:uid="{00000000-0005-0000-0000-00000A360000}"/>
    <cellStyle name="Percent 9 2 2 5 4" xfId="25133" xr:uid="{00000000-0005-0000-0000-00000B360000}"/>
    <cellStyle name="Percent 9 2 2 6" xfId="24587" xr:uid="{00000000-0005-0000-0000-00000C360000}"/>
    <cellStyle name="Percent 9 2 2 6 2" xfId="25310" xr:uid="{00000000-0005-0000-0000-00000D360000}"/>
    <cellStyle name="Percent 9 2 2 7" xfId="24208" xr:uid="{00000000-0005-0000-0000-00000E360000}"/>
    <cellStyle name="Percent 9 2 2 8" xfId="24953" xr:uid="{00000000-0005-0000-0000-00000F360000}"/>
    <cellStyle name="Percent 9 3" xfId="32827" xr:uid="{CF19B4B4-EFA7-4D18-AF5C-CDBDA54CA91E}"/>
    <cellStyle name="Percent Input" xfId="1658" xr:uid="{00000000-0005-0000-0000-000010360000}"/>
    <cellStyle name="Percent0" xfId="1659" xr:uid="{00000000-0005-0000-0000-000011360000}"/>
    <cellStyle name="Percent1" xfId="1660" xr:uid="{00000000-0005-0000-0000-000012360000}"/>
    <cellStyle name="Percent2" xfId="1661" xr:uid="{00000000-0005-0000-0000-000013360000}"/>
    <cellStyle name="PSChar" xfId="1662" xr:uid="{00000000-0005-0000-0000-000014360000}"/>
    <cellStyle name="PSChar 10" xfId="41334" xr:uid="{1ADA1D09-B3BC-4B53-9A55-B410867935F6}"/>
    <cellStyle name="PSChar 10 2" xfId="41335" xr:uid="{FD3D2D51-4C85-4846-9274-C79EC250DD26}"/>
    <cellStyle name="PSChar 11" xfId="41336" xr:uid="{AB6FD709-3ED2-4C70-842F-317B2E919EF3}"/>
    <cellStyle name="PSChar 11 2" xfId="41337" xr:uid="{A6C96AA1-1385-4511-AA2E-1563B801197F}"/>
    <cellStyle name="PSChar 12" xfId="41338" xr:uid="{3264CC66-57FE-4353-9E67-EE5E975A6CC8}"/>
    <cellStyle name="PSChar 12 2" xfId="41339" xr:uid="{5A1E2174-CCC0-4F73-AAE6-95DE371FF27B}"/>
    <cellStyle name="PSChar 13" xfId="41340" xr:uid="{31CF238B-417A-4739-B9B4-AC24436287F1}"/>
    <cellStyle name="PSChar 14" xfId="41341" xr:uid="{C5CF7CD7-EA40-45FD-872B-54D2372F2E67}"/>
    <cellStyle name="PSChar 14 2" xfId="41342" xr:uid="{EDBBFD56-3465-4975-B009-D5AC84352EB3}"/>
    <cellStyle name="PSChar 15" xfId="41343" xr:uid="{51C186AD-8451-4D35-B9E8-696A1431235B}"/>
    <cellStyle name="PSChar 16" xfId="41344" xr:uid="{9F3B8D37-E076-41FC-9FA3-B469E3746B7F}"/>
    <cellStyle name="PSChar 16 2" xfId="41345" xr:uid="{EB465E8A-FC9C-4545-AAAA-1A6388F70ADD}"/>
    <cellStyle name="PSChar 2" xfId="24552" xr:uid="{00000000-0005-0000-0000-000015360000}"/>
    <cellStyle name="PSChar 2 2" xfId="41347" xr:uid="{F021B429-C45F-43DC-A9DA-B41B48DE9AD6}"/>
    <cellStyle name="PSChar 2 3" xfId="41346" xr:uid="{895F6548-8A7F-4029-9E78-E21664195638}"/>
    <cellStyle name="PSChar 3" xfId="32500" xr:uid="{00000000-0005-0000-0000-000016360000}"/>
    <cellStyle name="PSChar 3 2" xfId="41348" xr:uid="{207F86C6-19F6-4C8C-8580-C80CA7A16FBA}"/>
    <cellStyle name="PSChar 4" xfId="41349" xr:uid="{59E8053C-43C8-422E-BEE0-13D8F32F02FB}"/>
    <cellStyle name="PSChar 4 2" xfId="41350" xr:uid="{D42A6A5C-D25E-46AC-885A-434C0E4F44E1}"/>
    <cellStyle name="PSChar 5" xfId="41351" xr:uid="{409C4889-8471-44C7-A9F5-5329A2C6B46C}"/>
    <cellStyle name="PSChar 5 2" xfId="41352" xr:uid="{4176C1E4-88BB-4E5A-B635-F9E0BBB273F2}"/>
    <cellStyle name="PSChar 6" xfId="41353" xr:uid="{86C5789D-0AA2-4FCF-858B-DD25F6AA2BB8}"/>
    <cellStyle name="PSChar 6 2" xfId="41354" xr:uid="{76CA8F19-B1B2-42D0-9F5A-CD5123E46F5C}"/>
    <cellStyle name="PSChar 7" xfId="41355" xr:uid="{303C2173-FC51-4F36-89D3-EF8BD479DF29}"/>
    <cellStyle name="PSChar 7 2" xfId="41356" xr:uid="{095ACAEB-E081-4FD1-9CC5-E5002DC1DA09}"/>
    <cellStyle name="PSChar 8" xfId="41357" xr:uid="{20D7A1E5-324F-4F2E-8EC7-BC01F1C6BEE8}"/>
    <cellStyle name="PSChar 8 2" xfId="41358" xr:uid="{05C27DDB-2407-49A7-90D3-61800B179144}"/>
    <cellStyle name="PSChar 9" xfId="41359" xr:uid="{12930BFE-2B48-4AA3-A4C7-7AA679A00313}"/>
    <cellStyle name="PSChar 9 2" xfId="41360" xr:uid="{835AAF00-DA47-4498-832D-EB8F8CFA971E}"/>
    <cellStyle name="PSChar 9 2 2" xfId="41361" xr:uid="{24A3716D-66BA-44D9-8188-F38A9184BFFE}"/>
    <cellStyle name="PSChar 9 3" xfId="41362" xr:uid="{7B69868D-F019-4D85-AF11-3CD109F0870D}"/>
    <cellStyle name="PSDate" xfId="1663" xr:uid="{00000000-0005-0000-0000-000017360000}"/>
    <cellStyle name="PSDate 10" xfId="41363" xr:uid="{1C62ECB9-F288-472D-8D80-3419B068EBC6}"/>
    <cellStyle name="PSDate 10 2" xfId="41364" xr:uid="{C6D26DB5-DC61-44F1-8E36-6ABD6D812517}"/>
    <cellStyle name="PSDate 11" xfId="41365" xr:uid="{5740977D-9736-4A64-A998-9B45F35714BA}"/>
    <cellStyle name="PSDate 11 2" xfId="41366" xr:uid="{D8E9169E-3EA5-4527-88DC-29AE73E3A48F}"/>
    <cellStyle name="PSDate 12" xfId="41367" xr:uid="{8E0155D6-D591-4BBB-B8CA-65F5C763B844}"/>
    <cellStyle name="PSDate 12 2" xfId="41368" xr:uid="{4BBE9ACD-166B-4480-9921-0775863EBE89}"/>
    <cellStyle name="PSDate 13" xfId="41369" xr:uid="{B5A2ADEE-E592-4950-8455-838787FEF48E}"/>
    <cellStyle name="PSDate 14" xfId="41370" xr:uid="{73CF9FAA-E492-4EAC-862F-F323142955C6}"/>
    <cellStyle name="PSDate 14 2" xfId="41371" xr:uid="{67F565D8-566E-4209-9B63-65AE79E80177}"/>
    <cellStyle name="PSDate 15" xfId="41372" xr:uid="{51A37F47-2AFB-41C7-90CC-8B8AF03D1BFE}"/>
    <cellStyle name="PSDate 16" xfId="41373" xr:uid="{22750BF3-95E2-4001-835B-4279EE65D318}"/>
    <cellStyle name="PSDate 16 2" xfId="41374" xr:uid="{31ADE9F2-AC88-4096-A54B-49BE3BA6CFEB}"/>
    <cellStyle name="PSDate 2" xfId="41375" xr:uid="{CE778271-53CC-40C6-ACDD-381838B9EEA7}"/>
    <cellStyle name="PSDate 2 2" xfId="41376" xr:uid="{E349F0F1-4DC2-4FCA-B122-FE44036EFC4D}"/>
    <cellStyle name="PSDate 3" xfId="41377" xr:uid="{F38E298B-C383-40F8-8F20-833AF9049D84}"/>
    <cellStyle name="PSDate 3 2" xfId="41378" xr:uid="{E35A3D69-DD52-4E71-BC25-59AAD31BF7FA}"/>
    <cellStyle name="PSDate 4" xfId="41379" xr:uid="{188F6FA3-366F-4358-B50F-1249F83783E1}"/>
    <cellStyle name="PSDate 4 2" xfId="41380" xr:uid="{33136C18-E372-48FB-9E8F-37FF9C52AC46}"/>
    <cellStyle name="PSDate 5" xfId="41381" xr:uid="{60656F51-27AE-44C4-8CDE-01E95F518C10}"/>
    <cellStyle name="PSDate 5 2" xfId="41382" xr:uid="{83BA4D78-2558-4275-9722-D4E6BFB78EE0}"/>
    <cellStyle name="PSDate 6" xfId="41383" xr:uid="{54AD25D5-EDBB-469F-BF9F-5D755213EA73}"/>
    <cellStyle name="PSDate 6 2" xfId="41384" xr:uid="{8409EDE2-FFD5-4360-BECF-59C1543F7163}"/>
    <cellStyle name="PSDate 7" xfId="41385" xr:uid="{507C7ECE-98A5-4337-8BD2-ADD33A2017E2}"/>
    <cellStyle name="PSDate 7 2" xfId="41386" xr:uid="{E43C74C3-0221-4276-A73F-E29597E08161}"/>
    <cellStyle name="PSDate 8" xfId="41387" xr:uid="{B27745AD-3D05-4F66-99B3-9913897C5B3E}"/>
    <cellStyle name="PSDate 8 2" xfId="41388" xr:uid="{14957E4E-9311-43A4-96ED-1D23617518F9}"/>
    <cellStyle name="PSDate 9" xfId="41389" xr:uid="{7CB2802B-ACA8-47EE-82EF-7010F2A4B26A}"/>
    <cellStyle name="PSDate 9 2" xfId="41390" xr:uid="{5DC5F57C-0C92-4470-B6DD-213E5C992A64}"/>
    <cellStyle name="PSDate 9 2 2" xfId="41391" xr:uid="{D6274331-A88A-4D34-A657-F3ECA7F01BC4}"/>
    <cellStyle name="PSDate 9 3" xfId="41392" xr:uid="{6DA875B2-1288-430F-8667-A6E47E5F4864}"/>
    <cellStyle name="PSDec" xfId="1664" xr:uid="{00000000-0005-0000-0000-000018360000}"/>
    <cellStyle name="PSDec 10" xfId="41393" xr:uid="{5894E62D-312F-42D0-861F-808E76E5571B}"/>
    <cellStyle name="PSDec 10 2" xfId="41394" xr:uid="{A0FC5D20-D4A7-4FF9-AF6C-5692C619E44F}"/>
    <cellStyle name="PSDec 11" xfId="41395" xr:uid="{C995E931-5D6F-47EA-9CFD-3BF52FCBD999}"/>
    <cellStyle name="PSDec 11 2" xfId="41396" xr:uid="{24A3442C-EBA7-458D-B14B-61D8231223BB}"/>
    <cellStyle name="PSDec 12" xfId="41397" xr:uid="{446A771C-945C-4343-96ED-1A197B903D58}"/>
    <cellStyle name="PSDec 12 2" xfId="41398" xr:uid="{CA191438-C953-4005-B0B9-D4FF4E068D03}"/>
    <cellStyle name="PSDec 13" xfId="41399" xr:uid="{E6ECAA8B-0070-4415-84E4-B2371808409A}"/>
    <cellStyle name="PSDec 14" xfId="41400" xr:uid="{4E71BA52-60DD-4B93-A0F0-1396A653C798}"/>
    <cellStyle name="PSDec 14 2" xfId="41401" xr:uid="{B21EEE2D-F077-4D61-B9A3-38C5E84D4D05}"/>
    <cellStyle name="PSDec 15" xfId="41402" xr:uid="{912EBDFD-05DE-40D7-8BD1-D6BA73A2A287}"/>
    <cellStyle name="PSDec 16" xfId="41403" xr:uid="{AD71A42A-030F-454F-BEE0-F339F8AD8052}"/>
    <cellStyle name="PSDec 16 2" xfId="41404" xr:uid="{84A01A5E-1D3F-4DD2-B1E3-FF2479954204}"/>
    <cellStyle name="PSDec 2" xfId="41405" xr:uid="{313B2D31-F5CD-4875-BA18-5687CB2BA474}"/>
    <cellStyle name="PSDec 2 2" xfId="41406" xr:uid="{0DCAD1BC-9B50-477C-8C23-BDEAFF1D7BE7}"/>
    <cellStyle name="PSDec 3" xfId="41407" xr:uid="{6182946C-3DEF-4392-A2A6-C69AE32D8C54}"/>
    <cellStyle name="PSDec 3 2" xfId="41408" xr:uid="{0D27F93A-9FD2-4686-9460-E3204337F607}"/>
    <cellStyle name="PSDec 4" xfId="41409" xr:uid="{075D4C90-50DB-4F7B-BEB1-943B51D54C0F}"/>
    <cellStyle name="PSDec 4 2" xfId="41410" xr:uid="{5F8F1AC5-9FF4-4EF4-817F-0AEC7D36D021}"/>
    <cellStyle name="PSDec 5" xfId="41411" xr:uid="{BFA3B32D-940B-44D9-BAEC-6ED455BB8123}"/>
    <cellStyle name="PSDec 5 2" xfId="41412" xr:uid="{B06B88F2-06A7-4665-BFF6-91C328EE343C}"/>
    <cellStyle name="PSDec 6" xfId="41413" xr:uid="{B727C01D-D6A5-4058-B07C-EAF621476874}"/>
    <cellStyle name="PSDec 6 2" xfId="41414" xr:uid="{02D91807-41E6-4777-9655-2B73F1BF8FC0}"/>
    <cellStyle name="PSDec 7" xfId="41415" xr:uid="{7DF19602-E90E-4521-96EB-B1BA630CD5DE}"/>
    <cellStyle name="PSDec 7 2" xfId="41416" xr:uid="{98A993A2-0D9F-4331-832F-069B66C27757}"/>
    <cellStyle name="PSDec 8" xfId="41417" xr:uid="{14B00C0A-C5EA-47A7-8C2D-E078E006FC54}"/>
    <cellStyle name="PSDec 8 2" xfId="41418" xr:uid="{21F7A34E-175A-40F4-B71A-1DC8C31DB237}"/>
    <cellStyle name="PSDec 9" xfId="41419" xr:uid="{A03BCBC3-5BEF-448A-80D5-CED0F978A9E5}"/>
    <cellStyle name="PSDec 9 2" xfId="41420" xr:uid="{E7B5C965-B27B-4D30-B68B-2F7A9B12B05A}"/>
    <cellStyle name="PSDec 9 2 2" xfId="41421" xr:uid="{3F69015A-9046-41A7-89E1-DC3740C4FFED}"/>
    <cellStyle name="PSDec 9 3" xfId="41422" xr:uid="{D92F1D0F-1C1C-4F02-82CF-52245FDCBFC1}"/>
    <cellStyle name="PSdesc" xfId="1665" xr:uid="{00000000-0005-0000-0000-000019360000}"/>
    <cellStyle name="PSHeading" xfId="1666" xr:uid="{00000000-0005-0000-0000-00001A360000}"/>
    <cellStyle name="PSHeading 10" xfId="41423" xr:uid="{CDD3B673-5A1A-473F-849B-E7AA88E4EF6C}"/>
    <cellStyle name="PSHeading 10 2" xfId="41424" xr:uid="{F2F33BC4-8C73-4268-AA89-BFBE2C4A6695}"/>
    <cellStyle name="PSHeading 10 2 2" xfId="42218" xr:uid="{8EA58F12-F314-41B2-B3CE-1F6A4AFC5E05}"/>
    <cellStyle name="PSHeading 10 3" xfId="42217" xr:uid="{22774144-82F5-47FF-9D16-BF329D6A00B1}"/>
    <cellStyle name="PSHeading 11" xfId="41425" xr:uid="{A113A90F-A393-48E1-AFC3-F1C0511B9B4F}"/>
    <cellStyle name="PSHeading 11 2" xfId="41426" xr:uid="{0D6B4DBB-3DFA-4FD7-B950-F7498A8AB1B5}"/>
    <cellStyle name="PSHeading 11 2 2" xfId="41427" xr:uid="{06859533-B3FD-4CA1-8877-7686BA69D05B}"/>
    <cellStyle name="PSHeading 11 2 2 2" xfId="42221" xr:uid="{B5F58042-6101-4AE2-A570-D003A8A9967F}"/>
    <cellStyle name="PSHeading 11 2 3" xfId="42220" xr:uid="{91788BD6-33F7-4610-87B9-1A2E7A9B681A}"/>
    <cellStyle name="PSHeading 11 3" xfId="41428" xr:uid="{B8CE179B-C517-4BFD-85CA-F6FE3D16E416}"/>
    <cellStyle name="PSHeading 11 3 2" xfId="42222" xr:uid="{B92A19EB-CD18-4526-B00E-9FB6380B26DA}"/>
    <cellStyle name="PSHeading 11 4" xfId="42219" xr:uid="{9034CD32-9402-47B6-95E1-E556E9589C2D}"/>
    <cellStyle name="PSHeading 12" xfId="41429" xr:uid="{1853E6F5-0424-466B-ACAB-C92F8D3A9892}"/>
    <cellStyle name="PSHeading 12 2" xfId="41430" xr:uid="{51F294E5-BACD-464D-BD0B-7B0A9F6D1211}"/>
    <cellStyle name="PSHeading 12 2 2" xfId="42224" xr:uid="{3F21A462-3FD5-4024-B68C-05EB4B1618B5}"/>
    <cellStyle name="PSHeading 12 3" xfId="42223" xr:uid="{4E465B08-3DAE-4FA9-9C50-E2F8A2A5EC77}"/>
    <cellStyle name="PSHeading 13" xfId="41431" xr:uid="{A1ED8E45-00FB-448D-800F-A110652728AF}"/>
    <cellStyle name="PSHeading 13 2" xfId="41432" xr:uid="{CA21F40F-F581-4FB0-9F6C-2CCF2E212DFB}"/>
    <cellStyle name="PSHeading 13 2 2" xfId="42226" xr:uid="{911EB804-6B3B-4E07-9CB4-97BE112BC774}"/>
    <cellStyle name="PSHeading 13 3" xfId="42225" xr:uid="{EFA70448-3582-4747-906D-30E29CDA6608}"/>
    <cellStyle name="PSHeading 14" xfId="41433" xr:uid="{DB2EE576-1C36-4970-BA1B-4D080FE57216}"/>
    <cellStyle name="PSHeading 14 2" xfId="41434" xr:uid="{9C47EB56-959A-49EC-8B7B-892C33E34A57}"/>
    <cellStyle name="PSHeading 14 2 2" xfId="42228" xr:uid="{A5AE3D87-7279-4344-921B-272299C70C57}"/>
    <cellStyle name="PSHeading 14 3" xfId="42227" xr:uid="{45BB8AA9-D4A1-4634-908F-C0E6493BF15C}"/>
    <cellStyle name="PSHeading 15" xfId="41435" xr:uid="{43C0667C-1134-4802-BAB4-1C77DD993CEB}"/>
    <cellStyle name="PSHeading 15 2" xfId="42229" xr:uid="{6F2BB240-B52A-49B7-83A6-D12068C8520B}"/>
    <cellStyle name="PSHeading 16" xfId="41436" xr:uid="{A52C233A-EE7B-421B-82BD-A1BC769008C0}"/>
    <cellStyle name="PSHeading 16 2" xfId="41437" xr:uid="{23D0F429-767F-4F3C-A16B-92A733A97E4A}"/>
    <cellStyle name="PSHeading 16 2 2" xfId="42231" xr:uid="{05504D6B-6F83-4C4C-A251-5C16049A322A}"/>
    <cellStyle name="PSHeading 16 3" xfId="42230" xr:uid="{367BB44F-0BBC-4E2E-953E-0A3D1D86930F}"/>
    <cellStyle name="PSHeading 17" xfId="41438" xr:uid="{778E34F6-EA5C-4B6C-B2DE-5A872BA0076D}"/>
    <cellStyle name="PSHeading 17 2" xfId="42232" xr:uid="{EE3DE0EA-0F12-4936-8B52-C449FCE6F072}"/>
    <cellStyle name="PSHeading 18" xfId="41439" xr:uid="{04B4FFC7-A2EF-44EF-8339-18304B54A904}"/>
    <cellStyle name="PSHeading 18 2" xfId="42233" xr:uid="{07EFD04F-438F-42CB-A401-0C20F0872154}"/>
    <cellStyle name="PSHeading 19" xfId="41440" xr:uid="{5751D091-20A7-482B-84BD-CE50AE4255F3}"/>
    <cellStyle name="PSHeading 19 2" xfId="41441" xr:uid="{A3C7A564-16B4-45D3-A675-EF115C22FD86}"/>
    <cellStyle name="PSHeading 19 2 2" xfId="42235" xr:uid="{3C398313-CBB6-434D-8072-BC927342ED08}"/>
    <cellStyle name="PSHeading 19 3" xfId="41442" xr:uid="{3D8A3BC0-6830-4249-91EF-B68D4BC94314}"/>
    <cellStyle name="PSHeading 19 3 2" xfId="42236" xr:uid="{A777C48D-58A0-4455-98AD-410484D9A350}"/>
    <cellStyle name="PSHeading 19 4" xfId="42234" xr:uid="{AB1389FE-CCAA-4DBC-80C9-87B29153DD38}"/>
    <cellStyle name="PSHeading 2" xfId="32503" xr:uid="{00000000-0005-0000-0000-00001B360000}"/>
    <cellStyle name="PSHeading 2 2" xfId="41444" xr:uid="{49CE1862-36C4-4B74-8C64-32E1CD5BCAED}"/>
    <cellStyle name="PSHeading 2 2 2" xfId="42237" xr:uid="{77E71008-9635-43B5-8EA5-8B865039D252}"/>
    <cellStyle name="PSHeading 2 3" xfId="41443" xr:uid="{1B3C9E6B-3332-44CF-AF11-52C420C649E0}"/>
    <cellStyle name="PSHeading 20" xfId="41445" xr:uid="{C03D214C-6EE3-449E-A3B3-34151A8358AF}"/>
    <cellStyle name="PSHeading 20 2" xfId="41446" xr:uid="{AA92C9D8-A522-4437-A6C3-758E70F077FE}"/>
    <cellStyle name="PSHeading 20 2 2" xfId="42239" xr:uid="{BD7CEC11-228E-4C11-B69F-A533F548DFA1}"/>
    <cellStyle name="PSHeading 20 3" xfId="42238" xr:uid="{20ECBCE5-0395-4FB5-BD39-DA7410F0BAEB}"/>
    <cellStyle name="PSHeading 21" xfId="41556" xr:uid="{E439B68C-70E4-401A-81BF-58EFFB425C49}"/>
    <cellStyle name="PSHeading 21 2" xfId="42274" xr:uid="{CDEABD77-C9F8-4B7B-A570-870C29F44332}"/>
    <cellStyle name="PSHeading 3" xfId="41447" xr:uid="{B906065E-322A-4098-9742-9636C9DF8B5B}"/>
    <cellStyle name="PSHeading 3 2" xfId="41448" xr:uid="{D7390D07-9FC9-4B98-B8AE-613255A61292}"/>
    <cellStyle name="PSHeading 3 2 2" xfId="42241" xr:uid="{79988A71-EAFE-404F-A368-7BD05158509F}"/>
    <cellStyle name="PSHeading 3 3" xfId="42240" xr:uid="{F5E370BC-7BF8-41E8-BE7A-03F4EE75A0B7}"/>
    <cellStyle name="PSHeading 4" xfId="41449" xr:uid="{196A9129-370F-4766-9DE9-435EF440D930}"/>
    <cellStyle name="PSHeading 4 2" xfId="41450" xr:uid="{6FC50402-9B79-428C-B1A1-0EDDFE79644E}"/>
    <cellStyle name="PSHeading 4 2 2" xfId="42243" xr:uid="{72DE5565-A4B0-449C-BC9C-399AD87B6457}"/>
    <cellStyle name="PSHeading 4 3" xfId="42242" xr:uid="{1AE4B1DF-8FF1-4F63-968D-5F8B3F9C2C80}"/>
    <cellStyle name="PSHeading 5" xfId="41451" xr:uid="{04D62476-7864-46FD-897B-858ABD5718DF}"/>
    <cellStyle name="PSHeading 5 2" xfId="41452" xr:uid="{76377DDD-6904-4887-894C-FC0CB38B40F6}"/>
    <cellStyle name="PSHeading 5 2 2" xfId="42245" xr:uid="{B3163BE1-5EDE-4B7E-8331-A04BCA97D9F5}"/>
    <cellStyle name="PSHeading 5 3" xfId="42244" xr:uid="{5A47F31D-A49D-42AE-8021-1DC3C95208D9}"/>
    <cellStyle name="PSHeading 6" xfId="41453" xr:uid="{4D51BF8B-AC58-4B2D-B7B6-AB1EDF34E5DB}"/>
    <cellStyle name="PSHeading 6 2" xfId="41454" xr:uid="{D6B6038C-0CB8-41E3-B206-86DD21009290}"/>
    <cellStyle name="PSHeading 6 2 2" xfId="42247" xr:uid="{1D1B1682-6B2F-4C1C-A1B2-188087D0D5B3}"/>
    <cellStyle name="PSHeading 6 3" xfId="42246" xr:uid="{52F02E96-0E04-45A3-938A-7D5E07061F7C}"/>
    <cellStyle name="PSHeading 7" xfId="41455" xr:uid="{4FB7FF80-66E9-427F-BD8E-A1AE2CFB7356}"/>
    <cellStyle name="PSHeading 7 2" xfId="41456" xr:uid="{0726114B-F7B0-46E9-ADB9-28AFF27407A1}"/>
    <cellStyle name="PSHeading 7 2 2" xfId="42249" xr:uid="{6FC6673F-7A80-4A02-AB5F-268DC7FA550B}"/>
    <cellStyle name="PSHeading 7 3" xfId="42248" xr:uid="{C095712A-08CC-49CC-B5AE-230129055AEC}"/>
    <cellStyle name="PSHeading 8" xfId="41457" xr:uid="{31B22C8E-BC0C-402B-A7C7-65CA1C2F8D27}"/>
    <cellStyle name="PSHeading 8 2" xfId="41458" xr:uid="{B0D609AE-7E4C-4801-A3E8-C8D4AAD7EEF0}"/>
    <cellStyle name="PSHeading 8 2 2" xfId="42251" xr:uid="{3B1F268F-C1C3-4AD0-802C-579A2C92BA70}"/>
    <cellStyle name="PSHeading 8 3" xfId="42250" xr:uid="{05684169-71CA-461A-A1E1-07AF20639E5A}"/>
    <cellStyle name="PSHeading 9" xfId="41459" xr:uid="{42A2B925-CADC-415D-B751-B44E0CA61E6E}"/>
    <cellStyle name="PSHeading 9 2" xfId="42252" xr:uid="{8CB28CFE-2FB9-4541-9136-83B2F0534A36}"/>
    <cellStyle name="PSHeading_July prelim tb" xfId="41460" xr:uid="{6DD97B99-9D14-454E-8010-F7BC54060D8B}"/>
    <cellStyle name="PSInt" xfId="1667" xr:uid="{00000000-0005-0000-0000-00001C360000}"/>
    <cellStyle name="PSInt 10" xfId="41461" xr:uid="{8149D7B8-68EF-4266-AB22-C7066A3D81D7}"/>
    <cellStyle name="PSInt 10 2" xfId="41462" xr:uid="{B72BC13E-CC7D-4CA6-80F6-A69E00ED8740}"/>
    <cellStyle name="PSInt 11" xfId="41463" xr:uid="{1C4E54C0-1D51-4DE7-B13B-366679A25D36}"/>
    <cellStyle name="PSInt 11 2" xfId="41464" xr:uid="{EF0ABDE6-A7B9-46CE-A891-DEC989A29E2E}"/>
    <cellStyle name="PSInt 12" xfId="41465" xr:uid="{F208679F-BF2F-4536-AA82-5E064284CA5A}"/>
    <cellStyle name="PSInt 12 2" xfId="41466" xr:uid="{8DE8B242-0185-4E14-B2FA-C5C31E992FCB}"/>
    <cellStyle name="PSInt 13" xfId="41467" xr:uid="{1BD9BC36-E79A-4053-828B-CFBE9F55D0D6}"/>
    <cellStyle name="PSInt 14" xfId="41468" xr:uid="{6A9C4AAC-C435-41D9-8B99-702DF113BE9C}"/>
    <cellStyle name="PSInt 14 2" xfId="41469" xr:uid="{32DCA7C2-787D-4C79-862F-4C3B9736B3EF}"/>
    <cellStyle name="PSInt 15" xfId="41470" xr:uid="{77ADB4F7-CD12-4325-BAF4-F93D7181690F}"/>
    <cellStyle name="PSInt 16" xfId="41471" xr:uid="{F879C6CB-B7B8-463D-AA0F-D8F252D3EA2A}"/>
    <cellStyle name="PSInt 16 2" xfId="41472" xr:uid="{624DBAD3-08B9-4711-BE79-DC7EA7D00FD9}"/>
    <cellStyle name="PSInt 2" xfId="41473" xr:uid="{65D5605C-A00C-4008-8FF3-E0CBD586E822}"/>
    <cellStyle name="PSInt 2 2" xfId="41474" xr:uid="{1731F8EB-5531-42C7-AE9B-40DE3BA3E676}"/>
    <cellStyle name="PSInt 3" xfId="41475" xr:uid="{F87F97BD-E3C9-4C32-A37F-0E05747872DB}"/>
    <cellStyle name="PSInt 3 2" xfId="41476" xr:uid="{248D0054-F417-4D8E-8BAD-6D2925562B20}"/>
    <cellStyle name="PSInt 4" xfId="41477" xr:uid="{693E267E-A43B-43DD-8532-063CCFB2F104}"/>
    <cellStyle name="PSInt 4 2" xfId="41478" xr:uid="{B4373937-19BE-4C73-AAB2-50E373B356E7}"/>
    <cellStyle name="PSInt 5" xfId="41479" xr:uid="{29772BFA-E487-4AD5-96E2-2E285448F5ED}"/>
    <cellStyle name="PSInt 5 2" xfId="41480" xr:uid="{B8475767-780B-4979-B11D-AB67CBADAD4E}"/>
    <cellStyle name="PSInt 6" xfId="41481" xr:uid="{5CAA9D24-8708-4F17-BB5E-1893FF708ED8}"/>
    <cellStyle name="PSInt 6 2" xfId="41482" xr:uid="{C12A77F0-1831-44F7-9479-5A975D5EA96F}"/>
    <cellStyle name="PSInt 7" xfId="41483" xr:uid="{F85C4687-70F4-4A56-AD2C-4E10820EC107}"/>
    <cellStyle name="PSInt 7 2" xfId="41484" xr:uid="{39769B18-DFDF-441A-ABBD-D3725ABEC67E}"/>
    <cellStyle name="PSInt 8" xfId="41485" xr:uid="{0DEA2F2E-E981-455F-AA04-A2BDB38E0438}"/>
    <cellStyle name="PSInt 8 2" xfId="41486" xr:uid="{E5F1F1DC-BAC4-4557-9288-BA676FDDE559}"/>
    <cellStyle name="PSInt 9" xfId="41487" xr:uid="{B8F77358-D364-43C1-B9D1-6D8D39EA6FA0}"/>
    <cellStyle name="PSInt 9 2" xfId="41488" xr:uid="{C321FA78-5AA4-4909-8414-35046BEE790A}"/>
    <cellStyle name="PSInt 9 2 2" xfId="41489" xr:uid="{FFFB4FA1-D38B-47A9-82ED-B0721D4DF1B8}"/>
    <cellStyle name="PSInt 9 3" xfId="41490" xr:uid="{4C9E2CA7-786C-4BE4-9ED6-36BB33464258}"/>
    <cellStyle name="PSSpacer" xfId="1668" xr:uid="{00000000-0005-0000-0000-00001D360000}"/>
    <cellStyle name="PSSpacer 10" xfId="41491" xr:uid="{F871C7E1-27FC-4E99-BA74-4EF315B3C7D8}"/>
    <cellStyle name="PSSpacer 10 2" xfId="41492" xr:uid="{C61D7E28-9C65-4250-A74A-70D5399E5EBE}"/>
    <cellStyle name="PSSpacer 11" xfId="41493" xr:uid="{AB3976AC-2ED2-4705-B51D-AEE9BA5541A6}"/>
    <cellStyle name="PSSpacer 11 2" xfId="41494" xr:uid="{780D073F-4C11-4278-B6D0-7D9AB535ABA7}"/>
    <cellStyle name="PSSpacer 12" xfId="41495" xr:uid="{9CF0BCAC-042A-4C96-B7D7-47C2BE802382}"/>
    <cellStyle name="PSSpacer 13" xfId="41496" xr:uid="{B3E31171-145F-43FA-A5B9-C77046887E28}"/>
    <cellStyle name="PSSpacer 13 2" xfId="41497" xr:uid="{322F6A0A-849E-4191-893E-9D5B706AA1E4}"/>
    <cellStyle name="PSSpacer 14" xfId="41498" xr:uid="{16CB4BD6-4F30-40E0-B27D-5881786E8931}"/>
    <cellStyle name="PSSpacer 15" xfId="41499" xr:uid="{5E3065E8-BD2F-405D-B9AF-70714B1B4C62}"/>
    <cellStyle name="PSSpacer 15 2" xfId="41500" xr:uid="{155099CD-29F0-49D3-8812-748CABF390CD}"/>
    <cellStyle name="PSSpacer 2" xfId="41501" xr:uid="{82395754-D506-4ADE-8D66-0422D3EC3B32}"/>
    <cellStyle name="PSSpacer 2 2" xfId="41502" xr:uid="{B972A10D-51F1-4322-AB00-6FE46148A505}"/>
    <cellStyle name="PSSpacer 3" xfId="41503" xr:uid="{A3481F5B-6138-43E6-B2C0-885B860BAE00}"/>
    <cellStyle name="PSSpacer 3 2" xfId="41504" xr:uid="{6758BD6F-7D55-4504-823E-67C8789A6D26}"/>
    <cellStyle name="PSSpacer 4" xfId="41505" xr:uid="{28A938DC-8FEA-47D8-843E-CAAA09533182}"/>
    <cellStyle name="PSSpacer 4 2" xfId="41506" xr:uid="{C48730B7-4E14-47D1-A3DE-333154D93E6A}"/>
    <cellStyle name="PSSpacer 5" xfId="41507" xr:uid="{98772759-9B56-41FC-8533-6C59BADCBC56}"/>
    <cellStyle name="PSSpacer 5 2" xfId="41508" xr:uid="{AC612222-24FD-4955-835B-3CD4DBEA17F0}"/>
    <cellStyle name="PSSpacer 6" xfId="41509" xr:uid="{62656472-2F03-4C65-BD75-E5DDF2F9C62E}"/>
    <cellStyle name="PSSpacer 6 2" xfId="41510" xr:uid="{0DAA8BDA-EA36-4807-8008-DD1BA340D951}"/>
    <cellStyle name="PSSpacer 7" xfId="41511" xr:uid="{0A501130-B080-4B8C-A7E1-EC6EDD2864CA}"/>
    <cellStyle name="PSSpacer 7 2" xfId="41512" xr:uid="{EB1919A7-AD63-40A0-8401-CDC7650A8AE8}"/>
    <cellStyle name="PSSpacer 8" xfId="41513" xr:uid="{D532059F-8064-4092-B5FC-E7A561B87D50}"/>
    <cellStyle name="PSSpacer 8 2" xfId="41514" xr:uid="{D0BF1F8D-5ED3-49BB-A9BC-8D7EE43B739C}"/>
    <cellStyle name="PSSpacer 8 2 2" xfId="41515" xr:uid="{EE97D9EC-0EEB-405B-B44B-A883555CCF10}"/>
    <cellStyle name="PSSpacer 8 3" xfId="41516" xr:uid="{A282B814-DE3E-422C-9F3F-9941CF667A30}"/>
    <cellStyle name="PSSpacer 9" xfId="41517" xr:uid="{9C5CA8C2-C26A-4658-85F7-BF9F0868C598}"/>
    <cellStyle name="PSSpacer 9 2" xfId="41518" xr:uid="{A84889F5-1269-40CA-8EF8-D2E20F2CF120}"/>
    <cellStyle name="PStest" xfId="1669" xr:uid="{00000000-0005-0000-0000-00001E360000}"/>
    <cellStyle name="QUESTION" xfId="25927" xr:uid="{00000000-0005-0000-0000-00001F360000}"/>
    <cellStyle name="R00A" xfId="1670" xr:uid="{00000000-0005-0000-0000-000020360000}"/>
    <cellStyle name="R00B" xfId="1671" xr:uid="{00000000-0005-0000-0000-000021360000}"/>
    <cellStyle name="R00L" xfId="1672" xr:uid="{00000000-0005-0000-0000-000022360000}"/>
    <cellStyle name="R01A" xfId="1673" xr:uid="{00000000-0005-0000-0000-000023360000}"/>
    <cellStyle name="R01A 2" xfId="32707" xr:uid="{86D715CB-D3D8-48D4-AAD9-0CE9509F6DD6}"/>
    <cellStyle name="R01B" xfId="1674" xr:uid="{00000000-0005-0000-0000-000024360000}"/>
    <cellStyle name="R01B 2" xfId="32708" xr:uid="{82F3E1CC-5727-4AE2-AAA1-20C2F6266B76}"/>
    <cellStyle name="R01H" xfId="1675" xr:uid="{00000000-0005-0000-0000-000025360000}"/>
    <cellStyle name="R01L" xfId="1676" xr:uid="{00000000-0005-0000-0000-000026360000}"/>
    <cellStyle name="R02A" xfId="1677" xr:uid="{00000000-0005-0000-0000-000027360000}"/>
    <cellStyle name="R02A 2" xfId="32709" xr:uid="{E4F8227B-C2EA-4DB1-9425-B1842A6C724D}"/>
    <cellStyle name="R02B" xfId="1678" xr:uid="{00000000-0005-0000-0000-000028360000}"/>
    <cellStyle name="R02H" xfId="1679" xr:uid="{00000000-0005-0000-0000-000029360000}"/>
    <cellStyle name="R02L" xfId="1680" xr:uid="{00000000-0005-0000-0000-00002A360000}"/>
    <cellStyle name="R03A" xfId="1681" xr:uid="{00000000-0005-0000-0000-00002B360000}"/>
    <cellStyle name="R03B" xfId="1682" xr:uid="{00000000-0005-0000-0000-00002C360000}"/>
    <cellStyle name="R03H" xfId="1683" xr:uid="{00000000-0005-0000-0000-00002D360000}"/>
    <cellStyle name="R03L" xfId="1684" xr:uid="{00000000-0005-0000-0000-00002E360000}"/>
    <cellStyle name="R04A" xfId="1685" xr:uid="{00000000-0005-0000-0000-00002F360000}"/>
    <cellStyle name="R04B" xfId="1686" xr:uid="{00000000-0005-0000-0000-000030360000}"/>
    <cellStyle name="R04H" xfId="1687" xr:uid="{00000000-0005-0000-0000-000031360000}"/>
    <cellStyle name="R04L" xfId="1688" xr:uid="{00000000-0005-0000-0000-000032360000}"/>
    <cellStyle name="R05A" xfId="1689" xr:uid="{00000000-0005-0000-0000-000033360000}"/>
    <cellStyle name="R05B" xfId="1690" xr:uid="{00000000-0005-0000-0000-000034360000}"/>
    <cellStyle name="R05H" xfId="1691" xr:uid="{00000000-0005-0000-0000-000035360000}"/>
    <cellStyle name="R05L" xfId="1692" xr:uid="{00000000-0005-0000-0000-000036360000}"/>
    <cellStyle name="R05L 2" xfId="1693" xr:uid="{00000000-0005-0000-0000-000037360000}"/>
    <cellStyle name="R06A" xfId="1694" xr:uid="{00000000-0005-0000-0000-000038360000}"/>
    <cellStyle name="R06B" xfId="1695" xr:uid="{00000000-0005-0000-0000-000039360000}"/>
    <cellStyle name="R06H" xfId="1696" xr:uid="{00000000-0005-0000-0000-00003A360000}"/>
    <cellStyle name="R06L" xfId="1697" xr:uid="{00000000-0005-0000-0000-00003B360000}"/>
    <cellStyle name="R07A" xfId="1698" xr:uid="{00000000-0005-0000-0000-00003C360000}"/>
    <cellStyle name="R07B" xfId="1699" xr:uid="{00000000-0005-0000-0000-00003D360000}"/>
    <cellStyle name="R07H" xfId="1700" xr:uid="{00000000-0005-0000-0000-00003E360000}"/>
    <cellStyle name="R07L" xfId="1701" xr:uid="{00000000-0005-0000-0000-00003F360000}"/>
    <cellStyle name="rborder" xfId="1702" xr:uid="{00000000-0005-0000-0000-000040360000}"/>
    <cellStyle name="red" xfId="1703" xr:uid="{00000000-0005-0000-0000-000041360000}"/>
    <cellStyle name="s_HardInc " xfId="1704" xr:uid="{00000000-0005-0000-0000-000042360000}"/>
    <cellStyle name="s_HardInc _ITC Great Plains Formula 1-12-09a" xfId="1705" xr:uid="{00000000-0005-0000-0000-000043360000}"/>
    <cellStyle name="SAPBEXaggData" xfId="2941" xr:uid="{00000000-0005-0000-0000-000044360000}"/>
    <cellStyle name="SAPBEXaggData 10" xfId="3388" xr:uid="{00000000-0005-0000-0000-000045360000}"/>
    <cellStyle name="SAPBEXaggData 10 2" xfId="5926" xr:uid="{00000000-0005-0000-0000-000046360000}"/>
    <cellStyle name="SAPBEXaggData 10 3" xfId="10223" xr:uid="{00000000-0005-0000-0000-000047360000}"/>
    <cellStyle name="SAPBEXaggData 10 4" xfId="12161" xr:uid="{00000000-0005-0000-0000-000048360000}"/>
    <cellStyle name="SAPBEXaggData 10 5" xfId="14644" xr:uid="{00000000-0005-0000-0000-000049360000}"/>
    <cellStyle name="SAPBEXaggData 10 6" xfId="15890" xr:uid="{00000000-0005-0000-0000-00004A360000}"/>
    <cellStyle name="SAPBEXaggData 10 7" xfId="19340" xr:uid="{00000000-0005-0000-0000-00004B360000}"/>
    <cellStyle name="SAPBEXaggData 10 8" xfId="20586" xr:uid="{00000000-0005-0000-0000-00004C360000}"/>
    <cellStyle name="SAPBEXaggData 10 9" xfId="23835" xr:uid="{00000000-0005-0000-0000-00004D360000}"/>
    <cellStyle name="SAPBEXaggData 11" xfId="3450" xr:uid="{00000000-0005-0000-0000-00004E360000}"/>
    <cellStyle name="SAPBEXaggData 11 2" xfId="5988" xr:uid="{00000000-0005-0000-0000-00004F360000}"/>
    <cellStyle name="SAPBEXaggData 11 3" xfId="7772" xr:uid="{00000000-0005-0000-0000-000050360000}"/>
    <cellStyle name="SAPBEXaggData 11 4" xfId="10175" xr:uid="{00000000-0005-0000-0000-000051360000}"/>
    <cellStyle name="SAPBEXaggData 11 5" xfId="12479" xr:uid="{00000000-0005-0000-0000-000052360000}"/>
    <cellStyle name="SAPBEXaggData 11 6" xfId="16944" xr:uid="{00000000-0005-0000-0000-000053360000}"/>
    <cellStyle name="SAPBEXaggData 11 7" xfId="17175" xr:uid="{00000000-0005-0000-0000-000054360000}"/>
    <cellStyle name="SAPBEXaggData 11 8" xfId="21640" xr:uid="{00000000-0005-0000-0000-000055360000}"/>
    <cellStyle name="SAPBEXaggData 11 9" xfId="21853" xr:uid="{00000000-0005-0000-0000-000056360000}"/>
    <cellStyle name="SAPBEXaggData 12" xfId="3371" xr:uid="{00000000-0005-0000-0000-000057360000}"/>
    <cellStyle name="SAPBEXaggData 12 2" xfId="5909" xr:uid="{00000000-0005-0000-0000-000058360000}"/>
    <cellStyle name="SAPBEXaggData 12 3" xfId="9537" xr:uid="{00000000-0005-0000-0000-000059360000}"/>
    <cellStyle name="SAPBEXaggData 12 4" xfId="11541" xr:uid="{00000000-0005-0000-0000-00005A360000}"/>
    <cellStyle name="SAPBEXaggData 12 5" xfId="13973" xr:uid="{00000000-0005-0000-0000-00005B360000}"/>
    <cellStyle name="SAPBEXaggData 12 6" xfId="16818" xr:uid="{00000000-0005-0000-0000-00005C360000}"/>
    <cellStyle name="SAPBEXaggData 12 7" xfId="18669" xr:uid="{00000000-0005-0000-0000-00005D360000}"/>
    <cellStyle name="SAPBEXaggData 12 8" xfId="21514" xr:uid="{00000000-0005-0000-0000-00005E360000}"/>
    <cellStyle name="SAPBEXaggData 12 9" xfId="23215" xr:uid="{00000000-0005-0000-0000-00005F360000}"/>
    <cellStyle name="SAPBEXaggData 13" xfId="3427" xr:uid="{00000000-0005-0000-0000-000060360000}"/>
    <cellStyle name="SAPBEXaggData 13 2" xfId="5965" xr:uid="{00000000-0005-0000-0000-000061360000}"/>
    <cellStyle name="SAPBEXaggData 13 3" xfId="9099" xr:uid="{00000000-0005-0000-0000-000062360000}"/>
    <cellStyle name="SAPBEXaggData 13 4" xfId="11748" xr:uid="{00000000-0005-0000-0000-000063360000}"/>
    <cellStyle name="SAPBEXaggData 13 5" xfId="13921" xr:uid="{00000000-0005-0000-0000-000064360000}"/>
    <cellStyle name="SAPBEXaggData 13 6" xfId="15372" xr:uid="{00000000-0005-0000-0000-000065360000}"/>
    <cellStyle name="SAPBEXaggData 13 7" xfId="18617" xr:uid="{00000000-0005-0000-0000-000066360000}"/>
    <cellStyle name="SAPBEXaggData 13 8" xfId="20068" xr:uid="{00000000-0005-0000-0000-000067360000}"/>
    <cellStyle name="SAPBEXaggData 13 9" xfId="23169" xr:uid="{00000000-0005-0000-0000-000068360000}"/>
    <cellStyle name="SAPBEXaggData 14" xfId="3588" xr:uid="{00000000-0005-0000-0000-000069360000}"/>
    <cellStyle name="SAPBEXaggData 14 2" xfId="6126" xr:uid="{00000000-0005-0000-0000-00006A360000}"/>
    <cellStyle name="SAPBEXaggData 14 3" xfId="8599" xr:uid="{00000000-0005-0000-0000-00006B360000}"/>
    <cellStyle name="SAPBEXaggData 14 4" xfId="10950" xr:uid="{00000000-0005-0000-0000-00006C360000}"/>
    <cellStyle name="SAPBEXaggData 14 5" xfId="13321" xr:uid="{00000000-0005-0000-0000-00006D360000}"/>
    <cellStyle name="SAPBEXaggData 14 6" xfId="16686" xr:uid="{00000000-0005-0000-0000-00006E360000}"/>
    <cellStyle name="SAPBEXaggData 14 7" xfId="18017" xr:uid="{00000000-0005-0000-0000-00006F360000}"/>
    <cellStyle name="SAPBEXaggData 14 8" xfId="21382" xr:uid="{00000000-0005-0000-0000-000070360000}"/>
    <cellStyle name="SAPBEXaggData 14 9" xfId="22621" xr:uid="{00000000-0005-0000-0000-000071360000}"/>
    <cellStyle name="SAPBEXaggData 15" xfId="3454" xr:uid="{00000000-0005-0000-0000-000072360000}"/>
    <cellStyle name="SAPBEXaggData 15 2" xfId="5992" xr:uid="{00000000-0005-0000-0000-000073360000}"/>
    <cellStyle name="SAPBEXaggData 15 3" xfId="8575" xr:uid="{00000000-0005-0000-0000-000074360000}"/>
    <cellStyle name="SAPBEXaggData 15 4" xfId="10759" xr:uid="{00000000-0005-0000-0000-000075360000}"/>
    <cellStyle name="SAPBEXaggData 15 5" xfId="13114" xr:uid="{00000000-0005-0000-0000-000076360000}"/>
    <cellStyle name="SAPBEXaggData 15 6" xfId="16264" xr:uid="{00000000-0005-0000-0000-000077360000}"/>
    <cellStyle name="SAPBEXaggData 15 7" xfId="17810" xr:uid="{00000000-0005-0000-0000-000078360000}"/>
    <cellStyle name="SAPBEXaggData 15 8" xfId="20960" xr:uid="{00000000-0005-0000-0000-000079360000}"/>
    <cellStyle name="SAPBEXaggData 15 9" xfId="22431" xr:uid="{00000000-0005-0000-0000-00007A360000}"/>
    <cellStyle name="SAPBEXaggData 16" xfId="3650" xr:uid="{00000000-0005-0000-0000-00007B360000}"/>
    <cellStyle name="SAPBEXaggData 16 2" xfId="6188" xr:uid="{00000000-0005-0000-0000-00007C360000}"/>
    <cellStyle name="SAPBEXaggData 16 3" xfId="8236" xr:uid="{00000000-0005-0000-0000-00007D360000}"/>
    <cellStyle name="SAPBEXaggData 16 4" xfId="11060" xr:uid="{00000000-0005-0000-0000-00007E360000}"/>
    <cellStyle name="SAPBEXaggData 16 5" xfId="13447" xr:uid="{00000000-0005-0000-0000-00007F360000}"/>
    <cellStyle name="SAPBEXaggData 16 6" xfId="16962" xr:uid="{00000000-0005-0000-0000-000080360000}"/>
    <cellStyle name="SAPBEXaggData 16 7" xfId="18143" xr:uid="{00000000-0005-0000-0000-000081360000}"/>
    <cellStyle name="SAPBEXaggData 16 8" xfId="21658" xr:uid="{00000000-0005-0000-0000-000082360000}"/>
    <cellStyle name="SAPBEXaggData 16 9" xfId="22733" xr:uid="{00000000-0005-0000-0000-000083360000}"/>
    <cellStyle name="SAPBEXaggData 17" xfId="3780" xr:uid="{00000000-0005-0000-0000-000084360000}"/>
    <cellStyle name="SAPBEXaggData 17 2" xfId="6318" xr:uid="{00000000-0005-0000-0000-000085360000}"/>
    <cellStyle name="SAPBEXaggData 17 3" xfId="9906" xr:uid="{00000000-0005-0000-0000-000086360000}"/>
    <cellStyle name="SAPBEXaggData 17 4" xfId="10567" xr:uid="{00000000-0005-0000-0000-000087360000}"/>
    <cellStyle name="SAPBEXaggData 17 5" xfId="12912" xr:uid="{00000000-0005-0000-0000-000088360000}"/>
    <cellStyle name="SAPBEXaggData 17 6" xfId="16623" xr:uid="{00000000-0005-0000-0000-000089360000}"/>
    <cellStyle name="SAPBEXaggData 17 7" xfId="17608" xr:uid="{00000000-0005-0000-0000-00008A360000}"/>
    <cellStyle name="SAPBEXaggData 17 8" xfId="21319" xr:uid="{00000000-0005-0000-0000-00008B360000}"/>
    <cellStyle name="SAPBEXaggData 17 9" xfId="22239" xr:uid="{00000000-0005-0000-0000-00008C360000}"/>
    <cellStyle name="SAPBEXaggData 18" xfId="3800" xr:uid="{00000000-0005-0000-0000-00008D360000}"/>
    <cellStyle name="SAPBEXaggData 18 2" xfId="6338" xr:uid="{00000000-0005-0000-0000-00008E360000}"/>
    <cellStyle name="SAPBEXaggData 18 3" xfId="8173" xr:uid="{00000000-0005-0000-0000-00008F360000}"/>
    <cellStyle name="SAPBEXaggData 18 4" xfId="10799" xr:uid="{00000000-0005-0000-0000-000090360000}"/>
    <cellStyle name="SAPBEXaggData 18 5" xfId="13158" xr:uid="{00000000-0005-0000-0000-000091360000}"/>
    <cellStyle name="SAPBEXaggData 18 6" xfId="15914" xr:uid="{00000000-0005-0000-0000-000092360000}"/>
    <cellStyle name="SAPBEXaggData 18 7" xfId="17854" xr:uid="{00000000-0005-0000-0000-000093360000}"/>
    <cellStyle name="SAPBEXaggData 18 8" xfId="20610" xr:uid="{00000000-0005-0000-0000-000094360000}"/>
    <cellStyle name="SAPBEXaggData 18 9" xfId="22470" xr:uid="{00000000-0005-0000-0000-000095360000}"/>
    <cellStyle name="SAPBEXaggData 19" xfId="3812" xr:uid="{00000000-0005-0000-0000-000096360000}"/>
    <cellStyle name="SAPBEXaggData 19 2" xfId="6350" xr:uid="{00000000-0005-0000-0000-000097360000}"/>
    <cellStyle name="SAPBEXaggData 19 3" xfId="8379" xr:uid="{00000000-0005-0000-0000-000098360000}"/>
    <cellStyle name="SAPBEXaggData 19 4" xfId="10375" xr:uid="{00000000-0005-0000-0000-000099360000}"/>
    <cellStyle name="SAPBEXaggData 19 5" xfId="12697" xr:uid="{00000000-0005-0000-0000-00009A360000}"/>
    <cellStyle name="SAPBEXaggData 19 6" xfId="15283" xr:uid="{00000000-0005-0000-0000-00009B360000}"/>
    <cellStyle name="SAPBEXaggData 19 7" xfId="17393" xr:uid="{00000000-0005-0000-0000-00009C360000}"/>
    <cellStyle name="SAPBEXaggData 19 8" xfId="19979" xr:uid="{00000000-0005-0000-0000-00009D360000}"/>
    <cellStyle name="SAPBEXaggData 19 9" xfId="22046" xr:uid="{00000000-0005-0000-0000-00009E360000}"/>
    <cellStyle name="SAPBEXaggData 2" xfId="3060" xr:uid="{00000000-0005-0000-0000-00009F360000}"/>
    <cellStyle name="SAPBEXaggData 2 2" xfId="5419" xr:uid="{00000000-0005-0000-0000-0000A0360000}"/>
    <cellStyle name="SAPBEXaggData 2 3" xfId="9894" xr:uid="{00000000-0005-0000-0000-0000A1360000}"/>
    <cellStyle name="SAPBEXaggData 2 4" xfId="11875" xr:uid="{00000000-0005-0000-0000-0000A2360000}"/>
    <cellStyle name="SAPBEXaggData 2 5" xfId="14339" xr:uid="{00000000-0005-0000-0000-0000A3360000}"/>
    <cellStyle name="SAPBEXaggData 2 6" xfId="15371" xr:uid="{00000000-0005-0000-0000-0000A4360000}"/>
    <cellStyle name="SAPBEXaggData 2 7" xfId="19035" xr:uid="{00000000-0005-0000-0000-0000A5360000}"/>
    <cellStyle name="SAPBEXaggData 2 8" xfId="20067" xr:uid="{00000000-0005-0000-0000-0000A6360000}"/>
    <cellStyle name="SAPBEXaggData 2 9" xfId="23551" xr:uid="{00000000-0005-0000-0000-0000A7360000}"/>
    <cellStyle name="SAPBEXaggData 20" xfId="3908" xr:uid="{00000000-0005-0000-0000-0000A8360000}"/>
    <cellStyle name="SAPBEXaggData 20 2" xfId="6446" xr:uid="{00000000-0005-0000-0000-0000A9360000}"/>
    <cellStyle name="SAPBEXaggData 20 3" xfId="8347" xr:uid="{00000000-0005-0000-0000-0000AA360000}"/>
    <cellStyle name="SAPBEXaggData 20 4" xfId="10608" xr:uid="{00000000-0005-0000-0000-0000AB360000}"/>
    <cellStyle name="SAPBEXaggData 20 5" xfId="12956" xr:uid="{00000000-0005-0000-0000-0000AC360000}"/>
    <cellStyle name="SAPBEXaggData 20 6" xfId="16199" xr:uid="{00000000-0005-0000-0000-0000AD360000}"/>
    <cellStyle name="SAPBEXaggData 20 7" xfId="17652" xr:uid="{00000000-0005-0000-0000-0000AE360000}"/>
    <cellStyle name="SAPBEXaggData 20 8" xfId="20895" xr:uid="{00000000-0005-0000-0000-0000AF360000}"/>
    <cellStyle name="SAPBEXaggData 20 9" xfId="22281" xr:uid="{00000000-0005-0000-0000-0000B0360000}"/>
    <cellStyle name="SAPBEXaggData 21" xfId="3857" xr:uid="{00000000-0005-0000-0000-0000B1360000}"/>
    <cellStyle name="SAPBEXaggData 21 2" xfId="6395" xr:uid="{00000000-0005-0000-0000-0000B2360000}"/>
    <cellStyle name="SAPBEXaggData 21 3" xfId="9946" xr:uid="{00000000-0005-0000-0000-0000B3360000}"/>
    <cellStyle name="SAPBEXaggData 21 4" xfId="11535" xr:uid="{00000000-0005-0000-0000-0000B4360000}"/>
    <cellStyle name="SAPBEXaggData 21 5" xfId="13967" xr:uid="{00000000-0005-0000-0000-0000B5360000}"/>
    <cellStyle name="SAPBEXaggData 21 6" xfId="16750" xr:uid="{00000000-0005-0000-0000-0000B6360000}"/>
    <cellStyle name="SAPBEXaggData 21 7" xfId="18663" xr:uid="{00000000-0005-0000-0000-0000B7360000}"/>
    <cellStyle name="SAPBEXaggData 21 8" xfId="21446" xr:uid="{00000000-0005-0000-0000-0000B8360000}"/>
    <cellStyle name="SAPBEXaggData 21 9" xfId="23209" xr:uid="{00000000-0005-0000-0000-0000B9360000}"/>
    <cellStyle name="SAPBEXaggData 22" xfId="4005" xr:uid="{00000000-0005-0000-0000-0000BA360000}"/>
    <cellStyle name="SAPBEXaggData 22 2" xfId="6543" xr:uid="{00000000-0005-0000-0000-0000BB360000}"/>
    <cellStyle name="SAPBEXaggData 22 3" xfId="8560" xr:uid="{00000000-0005-0000-0000-0000BC360000}"/>
    <cellStyle name="SAPBEXaggData 22 4" xfId="12075" xr:uid="{00000000-0005-0000-0000-0000BD360000}"/>
    <cellStyle name="SAPBEXaggData 22 5" xfId="14555" xr:uid="{00000000-0005-0000-0000-0000BE360000}"/>
    <cellStyle name="SAPBEXaggData 22 6" xfId="15143" xr:uid="{00000000-0005-0000-0000-0000BF360000}"/>
    <cellStyle name="SAPBEXaggData 22 7" xfId="19251" xr:uid="{00000000-0005-0000-0000-0000C0360000}"/>
    <cellStyle name="SAPBEXaggData 22 8" xfId="19839" xr:uid="{00000000-0005-0000-0000-0000C1360000}"/>
    <cellStyle name="SAPBEXaggData 22 9" xfId="23747" xr:uid="{00000000-0005-0000-0000-0000C2360000}"/>
    <cellStyle name="SAPBEXaggData 23" xfId="3984" xr:uid="{00000000-0005-0000-0000-0000C3360000}"/>
    <cellStyle name="SAPBEXaggData 23 2" xfId="6522" xr:uid="{00000000-0005-0000-0000-0000C4360000}"/>
    <cellStyle name="SAPBEXaggData 23 3" xfId="9390" xr:uid="{00000000-0005-0000-0000-0000C5360000}"/>
    <cellStyle name="SAPBEXaggData 23 4" xfId="11285" xr:uid="{00000000-0005-0000-0000-0000C6360000}"/>
    <cellStyle name="SAPBEXaggData 23 5" xfId="13691" xr:uid="{00000000-0005-0000-0000-0000C7360000}"/>
    <cellStyle name="SAPBEXaggData 23 6" xfId="15884" xr:uid="{00000000-0005-0000-0000-0000C8360000}"/>
    <cellStyle name="SAPBEXaggData 23 7" xfId="18387" xr:uid="{00000000-0005-0000-0000-0000C9360000}"/>
    <cellStyle name="SAPBEXaggData 23 8" xfId="20580" xr:uid="{00000000-0005-0000-0000-0000CA360000}"/>
    <cellStyle name="SAPBEXaggData 23 9" xfId="22959" xr:uid="{00000000-0005-0000-0000-0000CB360000}"/>
    <cellStyle name="SAPBEXaggData 24" xfId="4035" xr:uid="{00000000-0005-0000-0000-0000CC360000}"/>
    <cellStyle name="SAPBEXaggData 24 2" xfId="6573" xr:uid="{00000000-0005-0000-0000-0000CD360000}"/>
    <cellStyle name="SAPBEXaggData 24 3" xfId="8132" xr:uid="{00000000-0005-0000-0000-0000CE360000}"/>
    <cellStyle name="SAPBEXaggData 24 4" xfId="11499" xr:uid="{00000000-0005-0000-0000-0000CF360000}"/>
    <cellStyle name="SAPBEXaggData 24 5" xfId="13926" xr:uid="{00000000-0005-0000-0000-0000D0360000}"/>
    <cellStyle name="SAPBEXaggData 24 6" xfId="12499" xr:uid="{00000000-0005-0000-0000-0000D1360000}"/>
    <cellStyle name="SAPBEXaggData 24 7" xfId="18622" xr:uid="{00000000-0005-0000-0000-0000D2360000}"/>
    <cellStyle name="SAPBEXaggData 24 8" xfId="17195" xr:uid="{00000000-0005-0000-0000-0000D3360000}"/>
    <cellStyle name="SAPBEXaggData 24 9" xfId="23174" xr:uid="{00000000-0005-0000-0000-0000D4360000}"/>
    <cellStyle name="SAPBEXaggData 25" xfId="4142" xr:uid="{00000000-0005-0000-0000-0000D5360000}"/>
    <cellStyle name="SAPBEXaggData 25 2" xfId="6680" xr:uid="{00000000-0005-0000-0000-0000D6360000}"/>
    <cellStyle name="SAPBEXaggData 25 3" xfId="9727" xr:uid="{00000000-0005-0000-0000-0000D7360000}"/>
    <cellStyle name="SAPBEXaggData 25 4" xfId="10839" xr:uid="{00000000-0005-0000-0000-0000D8360000}"/>
    <cellStyle name="SAPBEXaggData 25 5" xfId="13204" xr:uid="{00000000-0005-0000-0000-0000D9360000}"/>
    <cellStyle name="SAPBEXaggData 25 6" xfId="14983" xr:uid="{00000000-0005-0000-0000-0000DA360000}"/>
    <cellStyle name="SAPBEXaggData 25 7" xfId="17900" xr:uid="{00000000-0005-0000-0000-0000DB360000}"/>
    <cellStyle name="SAPBEXaggData 25 8" xfId="19679" xr:uid="{00000000-0005-0000-0000-0000DC360000}"/>
    <cellStyle name="SAPBEXaggData 25 9" xfId="22510" xr:uid="{00000000-0005-0000-0000-0000DD360000}"/>
    <cellStyle name="SAPBEXaggData 26" xfId="4210" xr:uid="{00000000-0005-0000-0000-0000DE360000}"/>
    <cellStyle name="SAPBEXaggData 26 2" xfId="6748" xr:uid="{00000000-0005-0000-0000-0000DF360000}"/>
    <cellStyle name="SAPBEXaggData 26 3" xfId="9807" xr:uid="{00000000-0005-0000-0000-0000E0360000}"/>
    <cellStyle name="SAPBEXaggData 26 4" xfId="12046" xr:uid="{00000000-0005-0000-0000-0000E1360000}"/>
    <cellStyle name="SAPBEXaggData 26 5" xfId="14815" xr:uid="{00000000-0005-0000-0000-0000E2360000}"/>
    <cellStyle name="SAPBEXaggData 26 6" xfId="12369" xr:uid="{00000000-0005-0000-0000-0000E3360000}"/>
    <cellStyle name="SAPBEXaggData 26 7" xfId="19511" xr:uid="{00000000-0005-0000-0000-0000E4360000}"/>
    <cellStyle name="SAPBEXaggData 26 8" xfId="17065" xr:uid="{00000000-0005-0000-0000-0000E5360000}"/>
    <cellStyle name="SAPBEXaggData 26 9" xfId="23999" xr:uid="{00000000-0005-0000-0000-0000E6360000}"/>
    <cellStyle name="SAPBEXaggData 27" xfId="4157" xr:uid="{00000000-0005-0000-0000-0000E7360000}"/>
    <cellStyle name="SAPBEXaggData 27 2" xfId="6695" xr:uid="{00000000-0005-0000-0000-0000E8360000}"/>
    <cellStyle name="SAPBEXaggData 27 3" xfId="8605" xr:uid="{00000000-0005-0000-0000-0000E9360000}"/>
    <cellStyle name="SAPBEXaggData 27 4" xfId="11546" xr:uid="{00000000-0005-0000-0000-0000EA360000}"/>
    <cellStyle name="SAPBEXaggData 27 5" xfId="13980" xr:uid="{00000000-0005-0000-0000-0000EB360000}"/>
    <cellStyle name="SAPBEXaggData 27 6" xfId="16573" xr:uid="{00000000-0005-0000-0000-0000EC360000}"/>
    <cellStyle name="SAPBEXaggData 27 7" xfId="18676" xr:uid="{00000000-0005-0000-0000-0000ED360000}"/>
    <cellStyle name="SAPBEXaggData 27 8" xfId="21269" xr:uid="{00000000-0005-0000-0000-0000EE360000}"/>
    <cellStyle name="SAPBEXaggData 27 9" xfId="23220" xr:uid="{00000000-0005-0000-0000-0000EF360000}"/>
    <cellStyle name="SAPBEXaggData 28" xfId="4270" xr:uid="{00000000-0005-0000-0000-0000F0360000}"/>
    <cellStyle name="SAPBEXaggData 28 2" xfId="6808" xr:uid="{00000000-0005-0000-0000-0000F1360000}"/>
    <cellStyle name="SAPBEXaggData 28 3" xfId="8122" xr:uid="{00000000-0005-0000-0000-0000F2360000}"/>
    <cellStyle name="SAPBEXaggData 28 4" xfId="10644" xr:uid="{00000000-0005-0000-0000-0000F3360000}"/>
    <cellStyle name="SAPBEXaggData 28 5" xfId="12993" xr:uid="{00000000-0005-0000-0000-0000F4360000}"/>
    <cellStyle name="SAPBEXaggData 28 6" xfId="16097" xr:uid="{00000000-0005-0000-0000-0000F5360000}"/>
    <cellStyle name="SAPBEXaggData 28 7" xfId="17689" xr:uid="{00000000-0005-0000-0000-0000F6360000}"/>
    <cellStyle name="SAPBEXaggData 28 8" xfId="20793" xr:uid="{00000000-0005-0000-0000-0000F7360000}"/>
    <cellStyle name="SAPBEXaggData 28 9" xfId="22317" xr:uid="{00000000-0005-0000-0000-0000F8360000}"/>
    <cellStyle name="SAPBEXaggData 29" xfId="4313" xr:uid="{00000000-0005-0000-0000-0000F9360000}"/>
    <cellStyle name="SAPBEXaggData 29 2" xfId="6851" xr:uid="{00000000-0005-0000-0000-0000FA360000}"/>
    <cellStyle name="SAPBEXaggData 29 3" xfId="8230" xr:uid="{00000000-0005-0000-0000-0000FB360000}"/>
    <cellStyle name="SAPBEXaggData 29 4" xfId="11485" xr:uid="{00000000-0005-0000-0000-0000FC360000}"/>
    <cellStyle name="SAPBEXaggData 29 5" xfId="13910" xr:uid="{00000000-0005-0000-0000-0000FD360000}"/>
    <cellStyle name="SAPBEXaggData 29 6" xfId="16377" xr:uid="{00000000-0005-0000-0000-0000FE360000}"/>
    <cellStyle name="SAPBEXaggData 29 7" xfId="18606" xr:uid="{00000000-0005-0000-0000-0000FF360000}"/>
    <cellStyle name="SAPBEXaggData 29 8" xfId="21073" xr:uid="{00000000-0005-0000-0000-000000370000}"/>
    <cellStyle name="SAPBEXaggData 29 9" xfId="23160" xr:uid="{00000000-0005-0000-0000-000001370000}"/>
    <cellStyle name="SAPBEXaggData 3" xfId="3033" xr:uid="{00000000-0005-0000-0000-000002370000}"/>
    <cellStyle name="SAPBEXaggData 3 2" xfId="5572" xr:uid="{00000000-0005-0000-0000-000003370000}"/>
    <cellStyle name="SAPBEXaggData 3 3" xfId="9399" xr:uid="{00000000-0005-0000-0000-000004370000}"/>
    <cellStyle name="SAPBEXaggData 3 4" xfId="10628" xr:uid="{00000000-0005-0000-0000-000005370000}"/>
    <cellStyle name="SAPBEXaggData 3 5" xfId="12977" xr:uid="{00000000-0005-0000-0000-000006370000}"/>
    <cellStyle name="SAPBEXaggData 3 6" xfId="16809" xr:uid="{00000000-0005-0000-0000-000007370000}"/>
    <cellStyle name="SAPBEXaggData 3 7" xfId="17673" xr:uid="{00000000-0005-0000-0000-000008370000}"/>
    <cellStyle name="SAPBEXaggData 3 8" xfId="21505" xr:uid="{00000000-0005-0000-0000-000009370000}"/>
    <cellStyle name="SAPBEXaggData 3 9" xfId="22301" xr:uid="{00000000-0005-0000-0000-00000A370000}"/>
    <cellStyle name="SAPBEXaggData 30" xfId="4356" xr:uid="{00000000-0005-0000-0000-00000B370000}"/>
    <cellStyle name="SAPBEXaggData 30 2" xfId="6894" xr:uid="{00000000-0005-0000-0000-00000C370000}"/>
    <cellStyle name="SAPBEXaggData 30 3" xfId="9075" xr:uid="{00000000-0005-0000-0000-00000D370000}"/>
    <cellStyle name="SAPBEXaggData 30 4" xfId="10493" xr:uid="{00000000-0005-0000-0000-00000E370000}"/>
    <cellStyle name="SAPBEXaggData 30 5" xfId="12828" xr:uid="{00000000-0005-0000-0000-00000F370000}"/>
    <cellStyle name="SAPBEXaggData 30 6" xfId="12917" xr:uid="{00000000-0005-0000-0000-000010370000}"/>
    <cellStyle name="SAPBEXaggData 30 7" xfId="17524" xr:uid="{00000000-0005-0000-0000-000011370000}"/>
    <cellStyle name="SAPBEXaggData 30 8" xfId="17613" xr:uid="{00000000-0005-0000-0000-000012370000}"/>
    <cellStyle name="SAPBEXaggData 30 9" xfId="22163" xr:uid="{00000000-0005-0000-0000-000013370000}"/>
    <cellStyle name="SAPBEXaggData 31" xfId="4399" xr:uid="{00000000-0005-0000-0000-000014370000}"/>
    <cellStyle name="SAPBEXaggData 31 2" xfId="6937" xr:uid="{00000000-0005-0000-0000-000015370000}"/>
    <cellStyle name="SAPBEXaggData 31 3" xfId="10187" xr:uid="{00000000-0005-0000-0000-000016370000}"/>
    <cellStyle name="SAPBEXaggData 31 4" xfId="8881" xr:uid="{00000000-0005-0000-0000-000017370000}"/>
    <cellStyle name="SAPBEXaggData 31 5" xfId="12540" xr:uid="{00000000-0005-0000-0000-000018370000}"/>
    <cellStyle name="SAPBEXaggData 31 6" xfId="14844" xr:uid="{00000000-0005-0000-0000-000019370000}"/>
    <cellStyle name="SAPBEXaggData 31 7" xfId="17236" xr:uid="{00000000-0005-0000-0000-00001A370000}"/>
    <cellStyle name="SAPBEXaggData 31 8" xfId="19540" xr:uid="{00000000-0005-0000-0000-00001B370000}"/>
    <cellStyle name="SAPBEXaggData 31 9" xfId="21904" xr:uid="{00000000-0005-0000-0000-00001C370000}"/>
    <cellStyle name="SAPBEXaggData 32" xfId="4439" xr:uid="{00000000-0005-0000-0000-00001D370000}"/>
    <cellStyle name="SAPBEXaggData 32 2" xfId="6977" xr:uid="{00000000-0005-0000-0000-00001E370000}"/>
    <cellStyle name="SAPBEXaggData 32 3" xfId="8712" xr:uid="{00000000-0005-0000-0000-00001F370000}"/>
    <cellStyle name="SAPBEXaggData 32 4" xfId="10272" xr:uid="{00000000-0005-0000-0000-000020370000}"/>
    <cellStyle name="SAPBEXaggData 32 5" xfId="12582" xr:uid="{00000000-0005-0000-0000-000021370000}"/>
    <cellStyle name="SAPBEXaggData 32 6" xfId="16588" xr:uid="{00000000-0005-0000-0000-000022370000}"/>
    <cellStyle name="SAPBEXaggData 32 7" xfId="17278" xr:uid="{00000000-0005-0000-0000-000023370000}"/>
    <cellStyle name="SAPBEXaggData 32 8" xfId="21284" xr:uid="{00000000-0005-0000-0000-000024370000}"/>
    <cellStyle name="SAPBEXaggData 32 9" xfId="21941" xr:uid="{00000000-0005-0000-0000-000025370000}"/>
    <cellStyle name="SAPBEXaggData 33" xfId="4387" xr:uid="{00000000-0005-0000-0000-000026370000}"/>
    <cellStyle name="SAPBEXaggData 33 2" xfId="6925" xr:uid="{00000000-0005-0000-0000-000027370000}"/>
    <cellStyle name="SAPBEXaggData 33 3" xfId="9261" xr:uid="{00000000-0005-0000-0000-000028370000}"/>
    <cellStyle name="SAPBEXaggData 33 4" xfId="11308" xr:uid="{00000000-0005-0000-0000-000029370000}"/>
    <cellStyle name="SAPBEXaggData 33 5" xfId="12414" xr:uid="{00000000-0005-0000-0000-00002A370000}"/>
    <cellStyle name="SAPBEXaggData 33 6" xfId="15319" xr:uid="{00000000-0005-0000-0000-00002B370000}"/>
    <cellStyle name="SAPBEXaggData 33 7" xfId="17110" xr:uid="{00000000-0005-0000-0000-00002C370000}"/>
    <cellStyle name="SAPBEXaggData 33 8" xfId="20015" xr:uid="{00000000-0005-0000-0000-00002D370000}"/>
    <cellStyle name="SAPBEXaggData 33 9" xfId="21795" xr:uid="{00000000-0005-0000-0000-00002E370000}"/>
    <cellStyle name="SAPBEXaggData 34" xfId="4146" xr:uid="{00000000-0005-0000-0000-00002F370000}"/>
    <cellStyle name="SAPBEXaggData 34 2" xfId="6684" xr:uid="{00000000-0005-0000-0000-000030370000}"/>
    <cellStyle name="SAPBEXaggData 34 3" xfId="9231" xr:uid="{00000000-0005-0000-0000-000031370000}"/>
    <cellStyle name="SAPBEXaggData 34 4" xfId="10556" xr:uid="{00000000-0005-0000-0000-000032370000}"/>
    <cellStyle name="SAPBEXaggData 34 5" xfId="12899" xr:uid="{00000000-0005-0000-0000-000033370000}"/>
    <cellStyle name="SAPBEXaggData 34 6" xfId="16118" xr:uid="{00000000-0005-0000-0000-000034370000}"/>
    <cellStyle name="SAPBEXaggData 34 7" xfId="17595" xr:uid="{00000000-0005-0000-0000-000035370000}"/>
    <cellStyle name="SAPBEXaggData 34 8" xfId="20814" xr:uid="{00000000-0005-0000-0000-000036370000}"/>
    <cellStyle name="SAPBEXaggData 34 9" xfId="22227" xr:uid="{00000000-0005-0000-0000-000037370000}"/>
    <cellStyle name="SAPBEXaggData 35" xfId="4567" xr:uid="{00000000-0005-0000-0000-000038370000}"/>
    <cellStyle name="SAPBEXaggData 35 2" xfId="7105" xr:uid="{00000000-0005-0000-0000-000039370000}"/>
    <cellStyle name="SAPBEXaggData 35 3" xfId="8673" xr:uid="{00000000-0005-0000-0000-00003A370000}"/>
    <cellStyle name="SAPBEXaggData 35 4" xfId="10587" xr:uid="{00000000-0005-0000-0000-00003B370000}"/>
    <cellStyle name="SAPBEXaggData 35 5" xfId="12934" xr:uid="{00000000-0005-0000-0000-00003C370000}"/>
    <cellStyle name="SAPBEXaggData 35 6" xfId="16115" xr:uid="{00000000-0005-0000-0000-00003D370000}"/>
    <cellStyle name="SAPBEXaggData 35 7" xfId="17630" xr:uid="{00000000-0005-0000-0000-00003E370000}"/>
    <cellStyle name="SAPBEXaggData 35 8" xfId="20811" xr:uid="{00000000-0005-0000-0000-00003F370000}"/>
    <cellStyle name="SAPBEXaggData 35 9" xfId="22260" xr:uid="{00000000-0005-0000-0000-000040370000}"/>
    <cellStyle name="SAPBEXaggData 36" xfId="4614" xr:uid="{00000000-0005-0000-0000-000041370000}"/>
    <cellStyle name="SAPBEXaggData 36 2" xfId="7152" xr:uid="{00000000-0005-0000-0000-000042370000}"/>
    <cellStyle name="SAPBEXaggData 36 3" xfId="9577" xr:uid="{00000000-0005-0000-0000-000043370000}"/>
    <cellStyle name="SAPBEXaggData 36 4" xfId="10434" xr:uid="{00000000-0005-0000-0000-000044370000}"/>
    <cellStyle name="SAPBEXaggData 36 5" xfId="12760" xr:uid="{00000000-0005-0000-0000-000045370000}"/>
    <cellStyle name="SAPBEXaggData 36 6" xfId="15863" xr:uid="{00000000-0005-0000-0000-000046370000}"/>
    <cellStyle name="SAPBEXaggData 36 7" xfId="17456" xr:uid="{00000000-0005-0000-0000-000047370000}"/>
    <cellStyle name="SAPBEXaggData 36 8" xfId="20559" xr:uid="{00000000-0005-0000-0000-000048370000}"/>
    <cellStyle name="SAPBEXaggData 36 9" xfId="22105" xr:uid="{00000000-0005-0000-0000-000049370000}"/>
    <cellStyle name="SAPBEXaggData 37" xfId="4657" xr:uid="{00000000-0005-0000-0000-00004A370000}"/>
    <cellStyle name="SAPBEXaggData 37 2" xfId="7195" xr:uid="{00000000-0005-0000-0000-00004B370000}"/>
    <cellStyle name="SAPBEXaggData 37 3" xfId="10038" xr:uid="{00000000-0005-0000-0000-00004C370000}"/>
    <cellStyle name="SAPBEXaggData 37 4" xfId="11618" xr:uid="{00000000-0005-0000-0000-00004D370000}"/>
    <cellStyle name="SAPBEXaggData 37 5" xfId="14059" xr:uid="{00000000-0005-0000-0000-00004E370000}"/>
    <cellStyle name="SAPBEXaggData 37 6" xfId="15793" xr:uid="{00000000-0005-0000-0000-00004F370000}"/>
    <cellStyle name="SAPBEXaggData 37 7" xfId="18755" xr:uid="{00000000-0005-0000-0000-000050370000}"/>
    <cellStyle name="SAPBEXaggData 37 8" xfId="20489" xr:uid="{00000000-0005-0000-0000-000051370000}"/>
    <cellStyle name="SAPBEXaggData 37 9" xfId="23293" xr:uid="{00000000-0005-0000-0000-000052370000}"/>
    <cellStyle name="SAPBEXaggData 38" xfId="4611" xr:uid="{00000000-0005-0000-0000-000053370000}"/>
    <cellStyle name="SAPBEXaggData 38 2" xfId="7149" xr:uid="{00000000-0005-0000-0000-000054370000}"/>
    <cellStyle name="SAPBEXaggData 38 3" xfId="8522" xr:uid="{00000000-0005-0000-0000-000055370000}"/>
    <cellStyle name="SAPBEXaggData 38 4" xfId="11987" xr:uid="{00000000-0005-0000-0000-000056370000}"/>
    <cellStyle name="SAPBEXaggData 38 5" xfId="14465" xr:uid="{00000000-0005-0000-0000-000057370000}"/>
    <cellStyle name="SAPBEXaggData 38 6" xfId="15785" xr:uid="{00000000-0005-0000-0000-000058370000}"/>
    <cellStyle name="SAPBEXaggData 38 7" xfId="19161" xr:uid="{00000000-0005-0000-0000-000059370000}"/>
    <cellStyle name="SAPBEXaggData 38 8" xfId="20481" xr:uid="{00000000-0005-0000-0000-00005A370000}"/>
    <cellStyle name="SAPBEXaggData 38 9" xfId="23662" xr:uid="{00000000-0005-0000-0000-00005B370000}"/>
    <cellStyle name="SAPBEXaggData 39" xfId="4664" xr:uid="{00000000-0005-0000-0000-00005C370000}"/>
    <cellStyle name="SAPBEXaggData 39 2" xfId="7202" xr:uid="{00000000-0005-0000-0000-00005D370000}"/>
    <cellStyle name="SAPBEXaggData 39 3" xfId="7723" xr:uid="{00000000-0005-0000-0000-00005E370000}"/>
    <cellStyle name="SAPBEXaggData 39 4" xfId="11349" xr:uid="{00000000-0005-0000-0000-00005F370000}"/>
    <cellStyle name="SAPBEXaggData 39 5" xfId="13067" xr:uid="{00000000-0005-0000-0000-000060370000}"/>
    <cellStyle name="SAPBEXaggData 39 6" xfId="15307" xr:uid="{00000000-0005-0000-0000-000061370000}"/>
    <cellStyle name="SAPBEXaggData 39 7" xfId="17763" xr:uid="{00000000-0005-0000-0000-000062370000}"/>
    <cellStyle name="SAPBEXaggData 39 8" xfId="20003" xr:uid="{00000000-0005-0000-0000-000063370000}"/>
    <cellStyle name="SAPBEXaggData 39 9" xfId="22386" xr:uid="{00000000-0005-0000-0000-000064370000}"/>
    <cellStyle name="SAPBEXaggData 4" xfId="3123" xr:uid="{00000000-0005-0000-0000-000065370000}"/>
    <cellStyle name="SAPBEXaggData 4 2" xfId="5661" xr:uid="{00000000-0005-0000-0000-000066370000}"/>
    <cellStyle name="SAPBEXaggData 4 3" xfId="9040" xr:uid="{00000000-0005-0000-0000-000067370000}"/>
    <cellStyle name="SAPBEXaggData 4 4" xfId="11742" xr:uid="{00000000-0005-0000-0000-000068370000}"/>
    <cellStyle name="SAPBEXaggData 4 5" xfId="14193" xr:uid="{00000000-0005-0000-0000-000069370000}"/>
    <cellStyle name="SAPBEXaggData 4 6" xfId="16311" xr:uid="{00000000-0005-0000-0000-00006A370000}"/>
    <cellStyle name="SAPBEXaggData 4 7" xfId="18889" xr:uid="{00000000-0005-0000-0000-00006B370000}"/>
    <cellStyle name="SAPBEXaggData 4 8" xfId="21007" xr:uid="{00000000-0005-0000-0000-00006C370000}"/>
    <cellStyle name="SAPBEXaggData 4 9" xfId="23416" xr:uid="{00000000-0005-0000-0000-00006D370000}"/>
    <cellStyle name="SAPBEXaggData 40" xfId="4804" xr:uid="{00000000-0005-0000-0000-00006E370000}"/>
    <cellStyle name="SAPBEXaggData 40 2" xfId="7342" xr:uid="{00000000-0005-0000-0000-00006F370000}"/>
    <cellStyle name="SAPBEXaggData 40 3" xfId="8455" xr:uid="{00000000-0005-0000-0000-000070370000}"/>
    <cellStyle name="SAPBEXaggData 40 4" xfId="10541" xr:uid="{00000000-0005-0000-0000-000071370000}"/>
    <cellStyle name="SAPBEXaggData 40 5" xfId="12884" xr:uid="{00000000-0005-0000-0000-000072370000}"/>
    <cellStyle name="SAPBEXaggData 40 6" xfId="16770" xr:uid="{00000000-0005-0000-0000-000073370000}"/>
    <cellStyle name="SAPBEXaggData 40 7" xfId="17580" xr:uid="{00000000-0005-0000-0000-000074370000}"/>
    <cellStyle name="SAPBEXaggData 40 8" xfId="21466" xr:uid="{00000000-0005-0000-0000-000075370000}"/>
    <cellStyle name="SAPBEXaggData 40 9" xfId="22212" xr:uid="{00000000-0005-0000-0000-000076370000}"/>
    <cellStyle name="SAPBEXaggData 41" xfId="4844" xr:uid="{00000000-0005-0000-0000-000077370000}"/>
    <cellStyle name="SAPBEXaggData 41 2" xfId="7382" xr:uid="{00000000-0005-0000-0000-000078370000}"/>
    <cellStyle name="SAPBEXaggData 41 3" xfId="8609" xr:uid="{00000000-0005-0000-0000-000079370000}"/>
    <cellStyle name="SAPBEXaggData 41 4" xfId="10382" xr:uid="{00000000-0005-0000-0000-00007A370000}"/>
    <cellStyle name="SAPBEXaggData 41 5" xfId="12704" xr:uid="{00000000-0005-0000-0000-00007B370000}"/>
    <cellStyle name="SAPBEXaggData 41 6" xfId="16533" xr:uid="{00000000-0005-0000-0000-00007C370000}"/>
    <cellStyle name="SAPBEXaggData 41 7" xfId="17400" xr:uid="{00000000-0005-0000-0000-00007D370000}"/>
    <cellStyle name="SAPBEXaggData 41 8" xfId="21229" xr:uid="{00000000-0005-0000-0000-00007E370000}"/>
    <cellStyle name="SAPBEXaggData 41 9" xfId="22053" xr:uid="{00000000-0005-0000-0000-00007F370000}"/>
    <cellStyle name="SAPBEXaggData 42" xfId="4792" xr:uid="{00000000-0005-0000-0000-000080370000}"/>
    <cellStyle name="SAPBEXaggData 42 2" xfId="7330" xr:uid="{00000000-0005-0000-0000-000081370000}"/>
    <cellStyle name="SAPBEXaggData 42 3" xfId="8858" xr:uid="{00000000-0005-0000-0000-000082370000}"/>
    <cellStyle name="SAPBEXaggData 42 4" xfId="10490" xr:uid="{00000000-0005-0000-0000-000083370000}"/>
    <cellStyle name="SAPBEXaggData 42 5" xfId="14907" xr:uid="{00000000-0005-0000-0000-000084370000}"/>
    <cellStyle name="SAPBEXaggData 42 6" xfId="15824" xr:uid="{00000000-0005-0000-0000-000085370000}"/>
    <cellStyle name="SAPBEXaggData 42 7" xfId="19603" xr:uid="{00000000-0005-0000-0000-000086370000}"/>
    <cellStyle name="SAPBEXaggData 42 8" xfId="20520" xr:uid="{00000000-0005-0000-0000-000087370000}"/>
    <cellStyle name="SAPBEXaggData 42 9" xfId="24072" xr:uid="{00000000-0005-0000-0000-000088370000}"/>
    <cellStyle name="SAPBEXaggData 43" xfId="4906" xr:uid="{00000000-0005-0000-0000-000089370000}"/>
    <cellStyle name="SAPBEXaggData 43 2" xfId="7444" xr:uid="{00000000-0005-0000-0000-00008A370000}"/>
    <cellStyle name="SAPBEXaggData 43 3" xfId="7795" xr:uid="{00000000-0005-0000-0000-00008B370000}"/>
    <cellStyle name="SAPBEXaggData 43 4" xfId="10575" xr:uid="{00000000-0005-0000-0000-00008C370000}"/>
    <cellStyle name="SAPBEXaggData 43 5" xfId="12921" xr:uid="{00000000-0005-0000-0000-00008D370000}"/>
    <cellStyle name="SAPBEXaggData 43 6" xfId="15029" xr:uid="{00000000-0005-0000-0000-00008E370000}"/>
    <cellStyle name="SAPBEXaggData 43 7" xfId="17617" xr:uid="{00000000-0005-0000-0000-00008F370000}"/>
    <cellStyle name="SAPBEXaggData 43 8" xfId="19725" xr:uid="{00000000-0005-0000-0000-000090370000}"/>
    <cellStyle name="SAPBEXaggData 43 9" xfId="22247" xr:uid="{00000000-0005-0000-0000-000091370000}"/>
    <cellStyle name="SAPBEXaggData 44" xfId="4965" xr:uid="{00000000-0005-0000-0000-000092370000}"/>
    <cellStyle name="SAPBEXaggData 44 2" xfId="7503" xr:uid="{00000000-0005-0000-0000-000093370000}"/>
    <cellStyle name="SAPBEXaggData 44 3" xfId="8281" xr:uid="{00000000-0005-0000-0000-000094370000}"/>
    <cellStyle name="SAPBEXaggData 44 4" xfId="12089" xr:uid="{00000000-0005-0000-0000-000095370000}"/>
    <cellStyle name="SAPBEXaggData 44 5" xfId="14569" xr:uid="{00000000-0005-0000-0000-000096370000}"/>
    <cellStyle name="SAPBEXaggData 44 6" xfId="15897" xr:uid="{00000000-0005-0000-0000-000097370000}"/>
    <cellStyle name="SAPBEXaggData 44 7" xfId="19265" xr:uid="{00000000-0005-0000-0000-000098370000}"/>
    <cellStyle name="SAPBEXaggData 44 8" xfId="20593" xr:uid="{00000000-0005-0000-0000-000099370000}"/>
    <cellStyle name="SAPBEXaggData 44 9" xfId="23761" xr:uid="{00000000-0005-0000-0000-00009A370000}"/>
    <cellStyle name="SAPBEXaggData 45" xfId="5005" xr:uid="{00000000-0005-0000-0000-00009B370000}"/>
    <cellStyle name="SAPBEXaggData 45 2" xfId="7543" xr:uid="{00000000-0005-0000-0000-00009C370000}"/>
    <cellStyle name="SAPBEXaggData 45 3" xfId="9675" xr:uid="{00000000-0005-0000-0000-00009D370000}"/>
    <cellStyle name="SAPBEXaggData 45 4" xfId="11159" xr:uid="{00000000-0005-0000-0000-00009E370000}"/>
    <cellStyle name="SAPBEXaggData 45 5" xfId="13555" xr:uid="{00000000-0005-0000-0000-00009F370000}"/>
    <cellStyle name="SAPBEXaggData 45 6" xfId="15145" xr:uid="{00000000-0005-0000-0000-0000A0370000}"/>
    <cellStyle name="SAPBEXaggData 45 7" xfId="18251" xr:uid="{00000000-0005-0000-0000-0000A1370000}"/>
    <cellStyle name="SAPBEXaggData 45 8" xfId="19841" xr:uid="{00000000-0005-0000-0000-0000A2370000}"/>
    <cellStyle name="SAPBEXaggData 45 9" xfId="22832" xr:uid="{00000000-0005-0000-0000-0000A3370000}"/>
    <cellStyle name="SAPBEXaggData 46" xfId="5042" xr:uid="{00000000-0005-0000-0000-0000A4370000}"/>
    <cellStyle name="SAPBEXaggData 46 2" xfId="7580" xr:uid="{00000000-0005-0000-0000-0000A5370000}"/>
    <cellStyle name="SAPBEXaggData 46 3" xfId="8594" xr:uid="{00000000-0005-0000-0000-0000A6370000}"/>
    <cellStyle name="SAPBEXaggData 46 4" xfId="10437" xr:uid="{00000000-0005-0000-0000-0000A7370000}"/>
    <cellStyle name="SAPBEXaggData 46 5" xfId="12763" xr:uid="{00000000-0005-0000-0000-0000A8370000}"/>
    <cellStyle name="SAPBEXaggData 46 6" xfId="16460" xr:uid="{00000000-0005-0000-0000-0000A9370000}"/>
    <cellStyle name="SAPBEXaggData 46 7" xfId="17459" xr:uid="{00000000-0005-0000-0000-0000AA370000}"/>
    <cellStyle name="SAPBEXaggData 46 8" xfId="21156" xr:uid="{00000000-0005-0000-0000-0000AB370000}"/>
    <cellStyle name="SAPBEXaggData 46 9" xfId="22108" xr:uid="{00000000-0005-0000-0000-0000AC370000}"/>
    <cellStyle name="SAPBEXaggData 47" xfId="5072" xr:uid="{00000000-0005-0000-0000-0000AD370000}"/>
    <cellStyle name="SAPBEXaggData 47 2" xfId="7610" xr:uid="{00000000-0005-0000-0000-0000AE370000}"/>
    <cellStyle name="SAPBEXaggData 47 3" xfId="9793" xr:uid="{00000000-0005-0000-0000-0000AF370000}"/>
    <cellStyle name="SAPBEXaggData 47 4" xfId="10289" xr:uid="{00000000-0005-0000-0000-0000B0370000}"/>
    <cellStyle name="SAPBEXaggData 47 5" xfId="12602" xr:uid="{00000000-0005-0000-0000-0000B1370000}"/>
    <cellStyle name="SAPBEXaggData 47 6" xfId="15530" xr:uid="{00000000-0005-0000-0000-0000B2370000}"/>
    <cellStyle name="SAPBEXaggData 47 7" xfId="17298" xr:uid="{00000000-0005-0000-0000-0000B3370000}"/>
    <cellStyle name="SAPBEXaggData 47 8" xfId="20226" xr:uid="{00000000-0005-0000-0000-0000B4370000}"/>
    <cellStyle name="SAPBEXaggData 47 9" xfId="21959" xr:uid="{00000000-0005-0000-0000-0000B5370000}"/>
    <cellStyle name="SAPBEXaggData 48" xfId="5122" xr:uid="{00000000-0005-0000-0000-0000B6370000}"/>
    <cellStyle name="SAPBEXaggData 48 2" xfId="7660" xr:uid="{00000000-0005-0000-0000-0000B7370000}"/>
    <cellStyle name="SAPBEXaggData 48 3" xfId="9664" xr:uid="{00000000-0005-0000-0000-0000B8370000}"/>
    <cellStyle name="SAPBEXaggData 48 4" xfId="11860" xr:uid="{00000000-0005-0000-0000-0000B9370000}"/>
    <cellStyle name="SAPBEXaggData 48 5" xfId="14323" xr:uid="{00000000-0005-0000-0000-0000BA370000}"/>
    <cellStyle name="SAPBEXaggData 48 6" xfId="12566" xr:uid="{00000000-0005-0000-0000-0000BB370000}"/>
    <cellStyle name="SAPBEXaggData 48 7" xfId="19019" xr:uid="{00000000-0005-0000-0000-0000BC370000}"/>
    <cellStyle name="SAPBEXaggData 48 8" xfId="17262" xr:uid="{00000000-0005-0000-0000-0000BD370000}"/>
    <cellStyle name="SAPBEXaggData 48 9" xfId="23536" xr:uid="{00000000-0005-0000-0000-0000BE370000}"/>
    <cellStyle name="SAPBEXaggData 49" xfId="5191" xr:uid="{00000000-0005-0000-0000-0000BF370000}"/>
    <cellStyle name="SAPBEXaggData 49 2" xfId="7730" xr:uid="{00000000-0005-0000-0000-0000C0370000}"/>
    <cellStyle name="SAPBEXaggData 49 3" xfId="7972" xr:uid="{00000000-0005-0000-0000-0000C1370000}"/>
    <cellStyle name="SAPBEXaggData 49 4" xfId="11355" xr:uid="{00000000-0005-0000-0000-0000C2370000}"/>
    <cellStyle name="SAPBEXaggData 49 5" xfId="12413" xr:uid="{00000000-0005-0000-0000-0000C3370000}"/>
    <cellStyle name="SAPBEXaggData 49 6" xfId="16927" xr:uid="{00000000-0005-0000-0000-0000C4370000}"/>
    <cellStyle name="SAPBEXaggData 49 7" xfId="17109" xr:uid="{00000000-0005-0000-0000-0000C5370000}"/>
    <cellStyle name="SAPBEXaggData 49 8" xfId="21623" xr:uid="{00000000-0005-0000-0000-0000C6370000}"/>
    <cellStyle name="SAPBEXaggData 49 9" xfId="21794" xr:uid="{00000000-0005-0000-0000-0000C7370000}"/>
    <cellStyle name="SAPBEXaggData 5" xfId="3173" xr:uid="{00000000-0005-0000-0000-0000C8370000}"/>
    <cellStyle name="SAPBEXaggData 5 2" xfId="5711" xr:uid="{00000000-0005-0000-0000-0000C9370000}"/>
    <cellStyle name="SAPBEXaggData 5 3" xfId="8726" xr:uid="{00000000-0005-0000-0000-0000CA370000}"/>
    <cellStyle name="SAPBEXaggData 5 4" xfId="10836" xr:uid="{00000000-0005-0000-0000-0000CB370000}"/>
    <cellStyle name="SAPBEXaggData 5 5" xfId="13201" xr:uid="{00000000-0005-0000-0000-0000CC370000}"/>
    <cellStyle name="SAPBEXaggData 5 6" xfId="16243" xr:uid="{00000000-0005-0000-0000-0000CD370000}"/>
    <cellStyle name="SAPBEXaggData 5 7" xfId="17897" xr:uid="{00000000-0005-0000-0000-0000CE370000}"/>
    <cellStyle name="SAPBEXaggData 5 8" xfId="20939" xr:uid="{00000000-0005-0000-0000-0000CF370000}"/>
    <cellStyle name="SAPBEXaggData 5 9" xfId="22507" xr:uid="{00000000-0005-0000-0000-0000D0370000}"/>
    <cellStyle name="SAPBEXaggData 50" xfId="5232" xr:uid="{00000000-0005-0000-0000-0000D1370000}"/>
    <cellStyle name="SAPBEXaggData 50 2" xfId="8210" xr:uid="{00000000-0005-0000-0000-0000D2370000}"/>
    <cellStyle name="SAPBEXaggData 50 3" xfId="10386" xr:uid="{00000000-0005-0000-0000-0000D3370000}"/>
    <cellStyle name="SAPBEXaggData 50 4" xfId="12708" xr:uid="{00000000-0005-0000-0000-0000D4370000}"/>
    <cellStyle name="SAPBEXaggData 50 5" xfId="16133" xr:uid="{00000000-0005-0000-0000-0000D5370000}"/>
    <cellStyle name="SAPBEXaggData 50 6" xfId="17404" xr:uid="{00000000-0005-0000-0000-0000D6370000}"/>
    <cellStyle name="SAPBEXaggData 50 7" xfId="20829" xr:uid="{00000000-0005-0000-0000-0000D7370000}"/>
    <cellStyle name="SAPBEXaggData 50 8" xfId="22057" xr:uid="{00000000-0005-0000-0000-0000D8370000}"/>
    <cellStyle name="SAPBEXaggData 51" xfId="9515" xr:uid="{00000000-0005-0000-0000-0000D9370000}"/>
    <cellStyle name="SAPBEXaggData 52" xfId="10956" xr:uid="{00000000-0005-0000-0000-0000DA370000}"/>
    <cellStyle name="SAPBEXaggData 53" xfId="13327" xr:uid="{00000000-0005-0000-0000-0000DB370000}"/>
    <cellStyle name="SAPBEXaggData 54" xfId="15418" xr:uid="{00000000-0005-0000-0000-0000DC370000}"/>
    <cellStyle name="SAPBEXaggData 55" xfId="18023" xr:uid="{00000000-0005-0000-0000-0000DD370000}"/>
    <cellStyle name="SAPBEXaggData 56" xfId="20114" xr:uid="{00000000-0005-0000-0000-0000DE370000}"/>
    <cellStyle name="SAPBEXaggData 57" xfId="22627" xr:uid="{00000000-0005-0000-0000-0000DF370000}"/>
    <cellStyle name="SAPBEXaggData 58" xfId="25928" xr:uid="{00000000-0005-0000-0000-0000E0370000}"/>
    <cellStyle name="SAPBEXaggData 59" xfId="42197" xr:uid="{CA4AA155-A303-48DA-B12D-49708C600B23}"/>
    <cellStyle name="SAPBEXaggData 6" xfId="3216" xr:uid="{00000000-0005-0000-0000-0000E1370000}"/>
    <cellStyle name="SAPBEXaggData 6 2" xfId="5754" xr:uid="{00000000-0005-0000-0000-0000E2370000}"/>
    <cellStyle name="SAPBEXaggData 6 3" xfId="9844" xr:uid="{00000000-0005-0000-0000-0000E3370000}"/>
    <cellStyle name="SAPBEXaggData 6 4" xfId="11624" xr:uid="{00000000-0005-0000-0000-0000E4370000}"/>
    <cellStyle name="SAPBEXaggData 6 5" xfId="14880" xr:uid="{00000000-0005-0000-0000-0000E5370000}"/>
    <cellStyle name="SAPBEXaggData 6 6" xfId="15916" xr:uid="{00000000-0005-0000-0000-0000E6370000}"/>
    <cellStyle name="SAPBEXaggData 6 7" xfId="19576" xr:uid="{00000000-0005-0000-0000-0000E7370000}"/>
    <cellStyle name="SAPBEXaggData 6 8" xfId="20612" xr:uid="{00000000-0005-0000-0000-0000E8370000}"/>
    <cellStyle name="SAPBEXaggData 6 9" xfId="24050" xr:uid="{00000000-0005-0000-0000-0000E9370000}"/>
    <cellStyle name="SAPBEXaggData 7" xfId="3259" xr:uid="{00000000-0005-0000-0000-0000EA370000}"/>
    <cellStyle name="SAPBEXaggData 7 2" xfId="5797" xr:uid="{00000000-0005-0000-0000-0000EB370000}"/>
    <cellStyle name="SAPBEXaggData 7 3" xfId="9070" xr:uid="{00000000-0005-0000-0000-0000EC370000}"/>
    <cellStyle name="SAPBEXaggData 7 4" xfId="12004" xr:uid="{00000000-0005-0000-0000-0000ED370000}"/>
    <cellStyle name="SAPBEXaggData 7 5" xfId="14483" xr:uid="{00000000-0005-0000-0000-0000EE370000}"/>
    <cellStyle name="SAPBEXaggData 7 6" xfId="16193" xr:uid="{00000000-0005-0000-0000-0000EF370000}"/>
    <cellStyle name="SAPBEXaggData 7 7" xfId="19179" xr:uid="{00000000-0005-0000-0000-0000F0370000}"/>
    <cellStyle name="SAPBEXaggData 7 8" xfId="20889" xr:uid="{00000000-0005-0000-0000-0000F1370000}"/>
    <cellStyle name="SAPBEXaggData 7 9" xfId="23679" xr:uid="{00000000-0005-0000-0000-0000F2370000}"/>
    <cellStyle name="SAPBEXaggData 8" xfId="3302" xr:uid="{00000000-0005-0000-0000-0000F3370000}"/>
    <cellStyle name="SAPBEXaggData 8 2" xfId="5840" xr:uid="{00000000-0005-0000-0000-0000F4370000}"/>
    <cellStyle name="SAPBEXaggData 8 3" xfId="9591" xr:uid="{00000000-0005-0000-0000-0000F5370000}"/>
    <cellStyle name="SAPBEXaggData 8 4" xfId="10943" xr:uid="{00000000-0005-0000-0000-0000F6370000}"/>
    <cellStyle name="SAPBEXaggData 8 5" xfId="12685" xr:uid="{00000000-0005-0000-0000-0000F7370000}"/>
    <cellStyle name="SAPBEXaggData 8 6" xfId="15093" xr:uid="{00000000-0005-0000-0000-0000F8370000}"/>
    <cellStyle name="SAPBEXaggData 8 7" xfId="17381" xr:uid="{00000000-0005-0000-0000-0000F9370000}"/>
    <cellStyle name="SAPBEXaggData 8 8" xfId="19789" xr:uid="{00000000-0005-0000-0000-0000FA370000}"/>
    <cellStyle name="SAPBEXaggData 8 9" xfId="22034" xr:uid="{00000000-0005-0000-0000-0000FB370000}"/>
    <cellStyle name="SAPBEXaggData 9" xfId="3345" xr:uid="{00000000-0005-0000-0000-0000FC370000}"/>
    <cellStyle name="SAPBEXaggData 9 2" xfId="5883" xr:uid="{00000000-0005-0000-0000-0000FD370000}"/>
    <cellStyle name="SAPBEXaggData 9 3" xfId="9693" xr:uid="{00000000-0005-0000-0000-0000FE370000}"/>
    <cellStyle name="SAPBEXaggData 9 4" xfId="10914" xr:uid="{00000000-0005-0000-0000-0000FF370000}"/>
    <cellStyle name="SAPBEXaggData 9 5" xfId="13284" xr:uid="{00000000-0005-0000-0000-000000380000}"/>
    <cellStyle name="SAPBEXaggData 9 6" xfId="15324" xr:uid="{00000000-0005-0000-0000-000001380000}"/>
    <cellStyle name="SAPBEXaggData 9 7" xfId="17980" xr:uid="{00000000-0005-0000-0000-000002380000}"/>
    <cellStyle name="SAPBEXaggData 9 8" xfId="20020" xr:uid="{00000000-0005-0000-0000-000003380000}"/>
    <cellStyle name="SAPBEXaggData 9 9" xfId="22585" xr:uid="{00000000-0005-0000-0000-000004380000}"/>
    <cellStyle name="SAPBEXaggDataEmph" xfId="2942" xr:uid="{00000000-0005-0000-0000-000005380000}"/>
    <cellStyle name="SAPBEXaggDataEmph 10" xfId="3384" xr:uid="{00000000-0005-0000-0000-000006380000}"/>
    <cellStyle name="SAPBEXaggDataEmph 10 2" xfId="5922" xr:uid="{00000000-0005-0000-0000-000007380000}"/>
    <cellStyle name="SAPBEXaggDataEmph 10 3" xfId="8555" xr:uid="{00000000-0005-0000-0000-000008380000}"/>
    <cellStyle name="SAPBEXaggDataEmph 10 4" xfId="11960" xr:uid="{00000000-0005-0000-0000-000009380000}"/>
    <cellStyle name="SAPBEXaggDataEmph 10 5" xfId="14436" xr:uid="{00000000-0005-0000-0000-00000A380000}"/>
    <cellStyle name="SAPBEXaggDataEmph 10 6" xfId="16113" xr:uid="{00000000-0005-0000-0000-00000B380000}"/>
    <cellStyle name="SAPBEXaggDataEmph 10 7" xfId="19132" xr:uid="{00000000-0005-0000-0000-00000C380000}"/>
    <cellStyle name="SAPBEXaggDataEmph 10 8" xfId="20809" xr:uid="{00000000-0005-0000-0000-00000D380000}"/>
    <cellStyle name="SAPBEXaggDataEmph 10 9" xfId="23635" xr:uid="{00000000-0005-0000-0000-00000E380000}"/>
    <cellStyle name="SAPBEXaggDataEmph 11" xfId="3455" xr:uid="{00000000-0005-0000-0000-00000F380000}"/>
    <cellStyle name="SAPBEXaggDataEmph 11 2" xfId="5993" xr:uid="{00000000-0005-0000-0000-000010380000}"/>
    <cellStyle name="SAPBEXaggDataEmph 11 3" xfId="9180" xr:uid="{00000000-0005-0000-0000-000011380000}"/>
    <cellStyle name="SAPBEXaggDataEmph 11 4" xfId="10329" xr:uid="{00000000-0005-0000-0000-000012380000}"/>
    <cellStyle name="SAPBEXaggDataEmph 11 5" xfId="12648" xr:uid="{00000000-0005-0000-0000-000013380000}"/>
    <cellStyle name="SAPBEXaggDataEmph 11 6" xfId="16810" xr:uid="{00000000-0005-0000-0000-000014380000}"/>
    <cellStyle name="SAPBEXaggDataEmph 11 7" xfId="17344" xr:uid="{00000000-0005-0000-0000-000015380000}"/>
    <cellStyle name="SAPBEXaggDataEmph 11 8" xfId="21506" xr:uid="{00000000-0005-0000-0000-000016380000}"/>
    <cellStyle name="SAPBEXaggDataEmph 11 9" xfId="22000" xr:uid="{00000000-0005-0000-0000-000017380000}"/>
    <cellStyle name="SAPBEXaggDataEmph 12" xfId="3465" xr:uid="{00000000-0005-0000-0000-000018380000}"/>
    <cellStyle name="SAPBEXaggDataEmph 12 2" xfId="6003" xr:uid="{00000000-0005-0000-0000-000019380000}"/>
    <cellStyle name="SAPBEXaggDataEmph 12 3" xfId="9992" xr:uid="{00000000-0005-0000-0000-00001A380000}"/>
    <cellStyle name="SAPBEXaggDataEmph 12 4" xfId="10776" xr:uid="{00000000-0005-0000-0000-00001B380000}"/>
    <cellStyle name="SAPBEXaggDataEmph 12 5" xfId="12336" xr:uid="{00000000-0005-0000-0000-00001C380000}"/>
    <cellStyle name="SAPBEXaggDataEmph 12 6" xfId="14849" xr:uid="{00000000-0005-0000-0000-00001D380000}"/>
    <cellStyle name="SAPBEXaggDataEmph 12 7" xfId="17032" xr:uid="{00000000-0005-0000-0000-00001E380000}"/>
    <cellStyle name="SAPBEXaggDataEmph 12 8" xfId="19545" xr:uid="{00000000-0005-0000-0000-00001F380000}"/>
    <cellStyle name="SAPBEXaggDataEmph 12 9" xfId="21725" xr:uid="{00000000-0005-0000-0000-000020380000}"/>
    <cellStyle name="SAPBEXaggDataEmph 13" xfId="3543" xr:uid="{00000000-0005-0000-0000-000021380000}"/>
    <cellStyle name="SAPBEXaggDataEmph 13 2" xfId="6081" xr:uid="{00000000-0005-0000-0000-000022380000}"/>
    <cellStyle name="SAPBEXaggDataEmph 13 3" xfId="9225" xr:uid="{00000000-0005-0000-0000-000023380000}"/>
    <cellStyle name="SAPBEXaggDataEmph 13 4" xfId="11631" xr:uid="{00000000-0005-0000-0000-000024380000}"/>
    <cellStyle name="SAPBEXaggDataEmph 13 5" xfId="14074" xr:uid="{00000000-0005-0000-0000-000025380000}"/>
    <cellStyle name="SAPBEXaggDataEmph 13 6" xfId="13390" xr:uid="{00000000-0005-0000-0000-000026380000}"/>
    <cellStyle name="SAPBEXaggDataEmph 13 7" xfId="18770" xr:uid="{00000000-0005-0000-0000-000027380000}"/>
    <cellStyle name="SAPBEXaggDataEmph 13 8" xfId="18086" xr:uid="{00000000-0005-0000-0000-000028380000}"/>
    <cellStyle name="SAPBEXaggDataEmph 13 9" xfId="23306" xr:uid="{00000000-0005-0000-0000-000029380000}"/>
    <cellStyle name="SAPBEXaggDataEmph 14" xfId="3545" xr:uid="{00000000-0005-0000-0000-00002A380000}"/>
    <cellStyle name="SAPBEXaggDataEmph 14 2" xfId="6083" xr:uid="{00000000-0005-0000-0000-00002B380000}"/>
    <cellStyle name="SAPBEXaggDataEmph 14 3" xfId="5487" xr:uid="{00000000-0005-0000-0000-00002C380000}"/>
    <cellStyle name="SAPBEXaggDataEmph 14 4" xfId="10604" xr:uid="{00000000-0005-0000-0000-00002D380000}"/>
    <cellStyle name="SAPBEXaggDataEmph 14 5" xfId="12952" xr:uid="{00000000-0005-0000-0000-00002E380000}"/>
    <cellStyle name="SAPBEXaggDataEmph 14 6" xfId="16203" xr:uid="{00000000-0005-0000-0000-00002F380000}"/>
    <cellStyle name="SAPBEXaggDataEmph 14 7" xfId="17648" xr:uid="{00000000-0005-0000-0000-000030380000}"/>
    <cellStyle name="SAPBEXaggDataEmph 14 8" xfId="20899" xr:uid="{00000000-0005-0000-0000-000031380000}"/>
    <cellStyle name="SAPBEXaggDataEmph 14 9" xfId="22277" xr:uid="{00000000-0005-0000-0000-000032380000}"/>
    <cellStyle name="SAPBEXaggDataEmph 15" xfId="3667" xr:uid="{00000000-0005-0000-0000-000033380000}"/>
    <cellStyle name="SAPBEXaggDataEmph 15 2" xfId="6205" xr:uid="{00000000-0005-0000-0000-000034380000}"/>
    <cellStyle name="SAPBEXaggDataEmph 15 3" xfId="5490" xr:uid="{00000000-0005-0000-0000-000035380000}"/>
    <cellStyle name="SAPBEXaggDataEmph 15 4" xfId="10288" xr:uid="{00000000-0005-0000-0000-000036380000}"/>
    <cellStyle name="SAPBEXaggDataEmph 15 5" xfId="12601" xr:uid="{00000000-0005-0000-0000-000037380000}"/>
    <cellStyle name="SAPBEXaggDataEmph 15 6" xfId="13448" xr:uid="{00000000-0005-0000-0000-000038380000}"/>
    <cellStyle name="SAPBEXaggDataEmph 15 7" xfId="17297" xr:uid="{00000000-0005-0000-0000-000039380000}"/>
    <cellStyle name="SAPBEXaggDataEmph 15 8" xfId="18144" xr:uid="{00000000-0005-0000-0000-00003A380000}"/>
    <cellStyle name="SAPBEXaggDataEmph 15 9" xfId="21958" xr:uid="{00000000-0005-0000-0000-00003B380000}"/>
    <cellStyle name="SAPBEXaggDataEmph 16" xfId="3729" xr:uid="{00000000-0005-0000-0000-00003C380000}"/>
    <cellStyle name="SAPBEXaggDataEmph 16 2" xfId="6267" xr:uid="{00000000-0005-0000-0000-00003D380000}"/>
    <cellStyle name="SAPBEXaggDataEmph 16 3" xfId="8167" xr:uid="{00000000-0005-0000-0000-00003E380000}"/>
    <cellStyle name="SAPBEXaggDataEmph 16 4" xfId="11473" xr:uid="{00000000-0005-0000-0000-00003F380000}"/>
    <cellStyle name="SAPBEXaggDataEmph 16 5" xfId="13896" xr:uid="{00000000-0005-0000-0000-000040380000}"/>
    <cellStyle name="SAPBEXaggDataEmph 16 6" xfId="16401" xr:uid="{00000000-0005-0000-0000-000041380000}"/>
    <cellStyle name="SAPBEXaggDataEmph 16 7" xfId="18592" xr:uid="{00000000-0005-0000-0000-000042380000}"/>
    <cellStyle name="SAPBEXaggDataEmph 16 8" xfId="21097" xr:uid="{00000000-0005-0000-0000-000043380000}"/>
    <cellStyle name="SAPBEXaggDataEmph 16 9" xfId="23148" xr:uid="{00000000-0005-0000-0000-000044380000}"/>
    <cellStyle name="SAPBEXaggDataEmph 17" xfId="3784" xr:uid="{00000000-0005-0000-0000-000045380000}"/>
    <cellStyle name="SAPBEXaggDataEmph 17 2" xfId="6322" xr:uid="{00000000-0005-0000-0000-000046380000}"/>
    <cellStyle name="SAPBEXaggDataEmph 17 3" xfId="9972" xr:uid="{00000000-0005-0000-0000-000047380000}"/>
    <cellStyle name="SAPBEXaggDataEmph 17 4" xfId="11638" xr:uid="{00000000-0005-0000-0000-000048380000}"/>
    <cellStyle name="SAPBEXaggDataEmph 17 5" xfId="14082" xr:uid="{00000000-0005-0000-0000-000049380000}"/>
    <cellStyle name="SAPBEXaggDataEmph 17 6" xfId="16434" xr:uid="{00000000-0005-0000-0000-00004A380000}"/>
    <cellStyle name="SAPBEXaggDataEmph 17 7" xfId="18778" xr:uid="{00000000-0005-0000-0000-00004B380000}"/>
    <cellStyle name="SAPBEXaggDataEmph 17 8" xfId="21130" xr:uid="{00000000-0005-0000-0000-00004C380000}"/>
    <cellStyle name="SAPBEXaggDataEmph 17 9" xfId="23313" xr:uid="{00000000-0005-0000-0000-00004D380000}"/>
    <cellStyle name="SAPBEXaggDataEmph 18" xfId="3841" xr:uid="{00000000-0005-0000-0000-00004E380000}"/>
    <cellStyle name="SAPBEXaggDataEmph 18 2" xfId="6379" xr:uid="{00000000-0005-0000-0000-00004F380000}"/>
    <cellStyle name="SAPBEXaggDataEmph 18 3" xfId="10237" xr:uid="{00000000-0005-0000-0000-000050380000}"/>
    <cellStyle name="SAPBEXaggDataEmph 18 4" xfId="11814" xr:uid="{00000000-0005-0000-0000-000051380000}"/>
    <cellStyle name="SAPBEXaggDataEmph 18 5" xfId="14271" xr:uid="{00000000-0005-0000-0000-000052380000}"/>
    <cellStyle name="SAPBEXaggDataEmph 18 6" xfId="14480" xr:uid="{00000000-0005-0000-0000-000053380000}"/>
    <cellStyle name="SAPBEXaggDataEmph 18 7" xfId="18967" xr:uid="{00000000-0005-0000-0000-000054380000}"/>
    <cellStyle name="SAPBEXaggDataEmph 18 8" xfId="19176" xr:uid="{00000000-0005-0000-0000-000055380000}"/>
    <cellStyle name="SAPBEXaggDataEmph 18 9" xfId="23489" xr:uid="{00000000-0005-0000-0000-000056380000}"/>
    <cellStyle name="SAPBEXaggDataEmph 19" xfId="3816" xr:uid="{00000000-0005-0000-0000-000057380000}"/>
    <cellStyle name="SAPBEXaggDataEmph 19 2" xfId="6354" xr:uid="{00000000-0005-0000-0000-000058380000}"/>
    <cellStyle name="SAPBEXaggDataEmph 19 3" xfId="8015" xr:uid="{00000000-0005-0000-0000-000059380000}"/>
    <cellStyle name="SAPBEXaggDataEmph 19 4" xfId="11442" xr:uid="{00000000-0005-0000-0000-00005A380000}"/>
    <cellStyle name="SAPBEXaggDataEmph 19 5" xfId="13860" xr:uid="{00000000-0005-0000-0000-00005B380000}"/>
    <cellStyle name="SAPBEXaggDataEmph 19 6" xfId="16841" xr:uid="{00000000-0005-0000-0000-00005C380000}"/>
    <cellStyle name="SAPBEXaggDataEmph 19 7" xfId="18556" xr:uid="{00000000-0005-0000-0000-00005D380000}"/>
    <cellStyle name="SAPBEXaggDataEmph 19 8" xfId="21537" xr:uid="{00000000-0005-0000-0000-00005E380000}"/>
    <cellStyle name="SAPBEXaggDataEmph 19 9" xfId="23117" xr:uid="{00000000-0005-0000-0000-00005F380000}"/>
    <cellStyle name="SAPBEXaggDataEmph 2" xfId="3061" xr:uid="{00000000-0005-0000-0000-000060380000}"/>
    <cellStyle name="SAPBEXaggDataEmph 2 2" xfId="5599" xr:uid="{00000000-0005-0000-0000-000061380000}"/>
    <cellStyle name="SAPBEXaggDataEmph 2 3" xfId="9695" xr:uid="{00000000-0005-0000-0000-000062380000}"/>
    <cellStyle name="SAPBEXaggDataEmph 2 4" xfId="11532" xr:uid="{00000000-0005-0000-0000-000063380000}"/>
    <cellStyle name="SAPBEXaggDataEmph 2 5" xfId="13964" xr:uid="{00000000-0005-0000-0000-000064380000}"/>
    <cellStyle name="SAPBEXaggDataEmph 2 6" xfId="15279" xr:uid="{00000000-0005-0000-0000-000065380000}"/>
    <cellStyle name="SAPBEXaggDataEmph 2 7" xfId="18660" xr:uid="{00000000-0005-0000-0000-000066380000}"/>
    <cellStyle name="SAPBEXaggDataEmph 2 8" xfId="19975" xr:uid="{00000000-0005-0000-0000-000067380000}"/>
    <cellStyle name="SAPBEXaggDataEmph 2 9" xfId="23206" xr:uid="{00000000-0005-0000-0000-000068380000}"/>
    <cellStyle name="SAPBEXaggDataEmph 20" xfId="3904" xr:uid="{00000000-0005-0000-0000-000069380000}"/>
    <cellStyle name="SAPBEXaggDataEmph 20 2" xfId="6442" xr:uid="{00000000-0005-0000-0000-00006A380000}"/>
    <cellStyle name="SAPBEXaggDataEmph 20 3" xfId="9379" xr:uid="{00000000-0005-0000-0000-00006B380000}"/>
    <cellStyle name="SAPBEXaggDataEmph 20 4" xfId="11191" xr:uid="{00000000-0005-0000-0000-00006C380000}"/>
    <cellStyle name="SAPBEXaggDataEmph 20 5" xfId="13314" xr:uid="{00000000-0005-0000-0000-00006D380000}"/>
    <cellStyle name="SAPBEXaggDataEmph 20 6" xfId="15950" xr:uid="{00000000-0005-0000-0000-00006E380000}"/>
    <cellStyle name="SAPBEXaggDataEmph 20 7" xfId="18010" xr:uid="{00000000-0005-0000-0000-00006F380000}"/>
    <cellStyle name="SAPBEXaggDataEmph 20 8" xfId="20646" xr:uid="{00000000-0005-0000-0000-000070380000}"/>
    <cellStyle name="SAPBEXaggDataEmph 20 9" xfId="22614" xr:uid="{00000000-0005-0000-0000-000071380000}"/>
    <cellStyle name="SAPBEXaggDataEmph 21" xfId="3989" xr:uid="{00000000-0005-0000-0000-000072380000}"/>
    <cellStyle name="SAPBEXaggDataEmph 21 2" xfId="6527" xr:uid="{00000000-0005-0000-0000-000073380000}"/>
    <cellStyle name="SAPBEXaggDataEmph 21 3" xfId="8179" xr:uid="{00000000-0005-0000-0000-000074380000}"/>
    <cellStyle name="SAPBEXaggDataEmph 21 4" xfId="12085" xr:uid="{00000000-0005-0000-0000-000075380000}"/>
    <cellStyle name="SAPBEXaggDataEmph 21 5" xfId="14565" xr:uid="{00000000-0005-0000-0000-000076380000}"/>
    <cellStyle name="SAPBEXaggDataEmph 21 6" xfId="15658" xr:uid="{00000000-0005-0000-0000-000077380000}"/>
    <cellStyle name="SAPBEXaggDataEmph 21 7" xfId="19261" xr:uid="{00000000-0005-0000-0000-000078380000}"/>
    <cellStyle name="SAPBEXaggDataEmph 21 8" xfId="20354" xr:uid="{00000000-0005-0000-0000-000079380000}"/>
    <cellStyle name="SAPBEXaggDataEmph 21 9" xfId="23757" xr:uid="{00000000-0005-0000-0000-00007A380000}"/>
    <cellStyle name="SAPBEXaggDataEmph 22" xfId="4029" xr:uid="{00000000-0005-0000-0000-00007B380000}"/>
    <cellStyle name="SAPBEXaggDataEmph 22 2" xfId="6567" xr:uid="{00000000-0005-0000-0000-00007C380000}"/>
    <cellStyle name="SAPBEXaggDataEmph 22 3" xfId="7999" xr:uid="{00000000-0005-0000-0000-00007D380000}"/>
    <cellStyle name="SAPBEXaggDataEmph 22 4" xfId="11138" xr:uid="{00000000-0005-0000-0000-00007E380000}"/>
    <cellStyle name="SAPBEXaggDataEmph 22 5" xfId="13534" xr:uid="{00000000-0005-0000-0000-00007F380000}"/>
    <cellStyle name="SAPBEXaggDataEmph 22 6" xfId="15866" xr:uid="{00000000-0005-0000-0000-000080380000}"/>
    <cellStyle name="SAPBEXaggDataEmph 22 7" xfId="18230" xr:uid="{00000000-0005-0000-0000-000081380000}"/>
    <cellStyle name="SAPBEXaggDataEmph 22 8" xfId="20562" xr:uid="{00000000-0005-0000-0000-000082380000}"/>
    <cellStyle name="SAPBEXaggDataEmph 22 9" xfId="22811" xr:uid="{00000000-0005-0000-0000-000083380000}"/>
    <cellStyle name="SAPBEXaggDataEmph 23" xfId="3927" xr:uid="{00000000-0005-0000-0000-000084380000}"/>
    <cellStyle name="SAPBEXaggDataEmph 23 2" xfId="6465" xr:uid="{00000000-0005-0000-0000-000085380000}"/>
    <cellStyle name="SAPBEXaggDataEmph 23 3" xfId="9413" xr:uid="{00000000-0005-0000-0000-000086380000}"/>
    <cellStyle name="SAPBEXaggDataEmph 23 4" xfId="10243" xr:uid="{00000000-0005-0000-0000-000087380000}"/>
    <cellStyle name="SAPBEXaggDataEmph 23 5" xfId="12550" xr:uid="{00000000-0005-0000-0000-000088380000}"/>
    <cellStyle name="SAPBEXaggDataEmph 23 6" xfId="16273" xr:uid="{00000000-0005-0000-0000-000089380000}"/>
    <cellStyle name="SAPBEXaggDataEmph 23 7" xfId="17246" xr:uid="{00000000-0005-0000-0000-00008A380000}"/>
    <cellStyle name="SAPBEXaggDataEmph 23 8" xfId="20969" xr:uid="{00000000-0005-0000-0000-00008B380000}"/>
    <cellStyle name="SAPBEXaggDataEmph 23 9" xfId="21912" xr:uid="{00000000-0005-0000-0000-00008C380000}"/>
    <cellStyle name="SAPBEXaggDataEmph 24" xfId="4076" xr:uid="{00000000-0005-0000-0000-00008D380000}"/>
    <cellStyle name="SAPBEXaggDataEmph 24 2" xfId="6614" xr:uid="{00000000-0005-0000-0000-00008E380000}"/>
    <cellStyle name="SAPBEXaggDataEmph 24 3" xfId="9416" xr:uid="{00000000-0005-0000-0000-00008F380000}"/>
    <cellStyle name="SAPBEXaggDataEmph 24 4" xfId="11276" xr:uid="{00000000-0005-0000-0000-000090380000}"/>
    <cellStyle name="SAPBEXaggDataEmph 24 5" xfId="12343" xr:uid="{00000000-0005-0000-0000-000091380000}"/>
    <cellStyle name="SAPBEXaggDataEmph 24 6" xfId="15633" xr:uid="{00000000-0005-0000-0000-000092380000}"/>
    <cellStyle name="SAPBEXaggDataEmph 24 7" xfId="17039" xr:uid="{00000000-0005-0000-0000-000093380000}"/>
    <cellStyle name="SAPBEXaggDataEmph 24 8" xfId="20329" xr:uid="{00000000-0005-0000-0000-000094380000}"/>
    <cellStyle name="SAPBEXaggDataEmph 24 9" xfId="21731" xr:uid="{00000000-0005-0000-0000-000095380000}"/>
    <cellStyle name="SAPBEXaggDataEmph 25" xfId="4138" xr:uid="{00000000-0005-0000-0000-000096380000}"/>
    <cellStyle name="SAPBEXaggDataEmph 25 2" xfId="6676" xr:uid="{00000000-0005-0000-0000-000097380000}"/>
    <cellStyle name="SAPBEXaggDataEmph 25 3" xfId="9419" xr:uid="{00000000-0005-0000-0000-000098380000}"/>
    <cellStyle name="SAPBEXaggDataEmph 25 4" xfId="11302" xr:uid="{00000000-0005-0000-0000-000099380000}"/>
    <cellStyle name="SAPBEXaggDataEmph 25 5" xfId="13709" xr:uid="{00000000-0005-0000-0000-00009A380000}"/>
    <cellStyle name="SAPBEXaggDataEmph 25 6" xfId="15477" xr:uid="{00000000-0005-0000-0000-00009B380000}"/>
    <cellStyle name="SAPBEXaggDataEmph 25 7" xfId="18405" xr:uid="{00000000-0005-0000-0000-00009C380000}"/>
    <cellStyle name="SAPBEXaggDataEmph 25 8" xfId="20173" xr:uid="{00000000-0005-0000-0000-00009D380000}"/>
    <cellStyle name="SAPBEXaggDataEmph 25 9" xfId="22976" xr:uid="{00000000-0005-0000-0000-00009E380000}"/>
    <cellStyle name="SAPBEXaggDataEmph 26" xfId="4185" xr:uid="{00000000-0005-0000-0000-00009F380000}"/>
    <cellStyle name="SAPBEXaggDataEmph 26 2" xfId="6723" xr:uid="{00000000-0005-0000-0000-0000A0380000}"/>
    <cellStyle name="SAPBEXaggDataEmph 26 3" xfId="8661" xr:uid="{00000000-0005-0000-0000-0000A1380000}"/>
    <cellStyle name="SAPBEXaggDataEmph 26 4" xfId="10406" xr:uid="{00000000-0005-0000-0000-0000A2380000}"/>
    <cellStyle name="SAPBEXaggDataEmph 26 5" xfId="12729" xr:uid="{00000000-0005-0000-0000-0000A3380000}"/>
    <cellStyle name="SAPBEXaggDataEmph 26 6" xfId="16292" xr:uid="{00000000-0005-0000-0000-0000A4380000}"/>
    <cellStyle name="SAPBEXaggDataEmph 26 7" xfId="17425" xr:uid="{00000000-0005-0000-0000-0000A5380000}"/>
    <cellStyle name="SAPBEXaggDataEmph 26 8" xfId="20988" xr:uid="{00000000-0005-0000-0000-0000A6380000}"/>
    <cellStyle name="SAPBEXaggDataEmph 26 9" xfId="22077" xr:uid="{00000000-0005-0000-0000-0000A7380000}"/>
    <cellStyle name="SAPBEXaggDataEmph 27" xfId="4226" xr:uid="{00000000-0005-0000-0000-0000A8380000}"/>
    <cellStyle name="SAPBEXaggDataEmph 27 2" xfId="6764" xr:uid="{00000000-0005-0000-0000-0000A9380000}"/>
    <cellStyle name="SAPBEXaggDataEmph 27 3" xfId="8835" xr:uid="{00000000-0005-0000-0000-0000AA380000}"/>
    <cellStyle name="SAPBEXaggDataEmph 27 4" xfId="11408" xr:uid="{00000000-0005-0000-0000-0000AB380000}"/>
    <cellStyle name="SAPBEXaggDataEmph 27 5" xfId="13824" xr:uid="{00000000-0005-0000-0000-0000AC380000}"/>
    <cellStyle name="SAPBEXaggDataEmph 27 6" xfId="16327" xr:uid="{00000000-0005-0000-0000-0000AD380000}"/>
    <cellStyle name="SAPBEXaggDataEmph 27 7" xfId="18520" xr:uid="{00000000-0005-0000-0000-0000AE380000}"/>
    <cellStyle name="SAPBEXaggDataEmph 27 8" xfId="21023" xr:uid="{00000000-0005-0000-0000-0000AF380000}"/>
    <cellStyle name="SAPBEXaggDataEmph 27 9" xfId="23082" xr:uid="{00000000-0005-0000-0000-0000B0380000}"/>
    <cellStyle name="SAPBEXaggDataEmph 28" xfId="4266" xr:uid="{00000000-0005-0000-0000-0000B1380000}"/>
    <cellStyle name="SAPBEXaggDataEmph 28 2" xfId="6804" xr:uid="{00000000-0005-0000-0000-0000B2380000}"/>
    <cellStyle name="SAPBEXaggDataEmph 28 3" xfId="9378" xr:uid="{00000000-0005-0000-0000-0000B3380000}"/>
    <cellStyle name="SAPBEXaggDataEmph 28 4" xfId="11000" xr:uid="{00000000-0005-0000-0000-0000B4380000}"/>
    <cellStyle name="SAPBEXaggDataEmph 28 5" xfId="13375" xr:uid="{00000000-0005-0000-0000-0000B5380000}"/>
    <cellStyle name="SAPBEXaggDataEmph 28 6" xfId="16369" xr:uid="{00000000-0005-0000-0000-0000B6380000}"/>
    <cellStyle name="SAPBEXaggDataEmph 28 7" xfId="18071" xr:uid="{00000000-0005-0000-0000-0000B7380000}"/>
    <cellStyle name="SAPBEXaggDataEmph 28 8" xfId="21065" xr:uid="{00000000-0005-0000-0000-0000B8380000}"/>
    <cellStyle name="SAPBEXaggDataEmph 28 9" xfId="22673" xr:uid="{00000000-0005-0000-0000-0000B9380000}"/>
    <cellStyle name="SAPBEXaggDataEmph 29" xfId="4309" xr:uid="{00000000-0005-0000-0000-0000BA380000}"/>
    <cellStyle name="SAPBEXaggDataEmph 29 2" xfId="6847" xr:uid="{00000000-0005-0000-0000-0000BB380000}"/>
    <cellStyle name="SAPBEXaggDataEmph 29 3" xfId="9587" xr:uid="{00000000-0005-0000-0000-0000BC380000}"/>
    <cellStyle name="SAPBEXaggDataEmph 29 4" xfId="8906" xr:uid="{00000000-0005-0000-0000-0000BD380000}"/>
    <cellStyle name="SAPBEXaggDataEmph 29 5" xfId="12327" xr:uid="{00000000-0005-0000-0000-0000BE380000}"/>
    <cellStyle name="SAPBEXaggDataEmph 29 6" xfId="16771" xr:uid="{00000000-0005-0000-0000-0000BF380000}"/>
    <cellStyle name="SAPBEXaggDataEmph 29 7" xfId="17023" xr:uid="{00000000-0005-0000-0000-0000C0380000}"/>
    <cellStyle name="SAPBEXaggDataEmph 29 8" xfId="21467" xr:uid="{00000000-0005-0000-0000-0000C1380000}"/>
    <cellStyle name="SAPBEXaggDataEmph 29 9" xfId="21717" xr:uid="{00000000-0005-0000-0000-0000C2380000}"/>
    <cellStyle name="SAPBEXaggDataEmph 3" xfId="3106" xr:uid="{00000000-0005-0000-0000-0000C3380000}"/>
    <cellStyle name="SAPBEXaggDataEmph 3 2" xfId="5644" xr:uid="{00000000-0005-0000-0000-0000C4380000}"/>
    <cellStyle name="SAPBEXaggDataEmph 3 3" xfId="7988" xr:uid="{00000000-0005-0000-0000-0000C5380000}"/>
    <cellStyle name="SAPBEXaggDataEmph 3 4" xfId="10606" xr:uid="{00000000-0005-0000-0000-0000C6380000}"/>
    <cellStyle name="SAPBEXaggDataEmph 3 5" xfId="12954" xr:uid="{00000000-0005-0000-0000-0000C7380000}"/>
    <cellStyle name="SAPBEXaggDataEmph 3 6" xfId="16410" xr:uid="{00000000-0005-0000-0000-0000C8380000}"/>
    <cellStyle name="SAPBEXaggDataEmph 3 7" xfId="17650" xr:uid="{00000000-0005-0000-0000-0000C9380000}"/>
    <cellStyle name="SAPBEXaggDataEmph 3 8" xfId="21106" xr:uid="{00000000-0005-0000-0000-0000CA380000}"/>
    <cellStyle name="SAPBEXaggDataEmph 3 9" xfId="22279" xr:uid="{00000000-0005-0000-0000-0000CB380000}"/>
    <cellStyle name="SAPBEXaggDataEmph 30" xfId="4352" xr:uid="{00000000-0005-0000-0000-0000CC380000}"/>
    <cellStyle name="SAPBEXaggDataEmph 30 2" xfId="6890" xr:uid="{00000000-0005-0000-0000-0000CD380000}"/>
    <cellStyle name="SAPBEXaggDataEmph 30 3" xfId="8676" xr:uid="{00000000-0005-0000-0000-0000CE380000}"/>
    <cellStyle name="SAPBEXaggDataEmph 30 4" xfId="12054" xr:uid="{00000000-0005-0000-0000-0000CF380000}"/>
    <cellStyle name="SAPBEXaggDataEmph 30 5" xfId="14322" xr:uid="{00000000-0005-0000-0000-0000D0380000}"/>
    <cellStyle name="SAPBEXaggDataEmph 30 6" xfId="14427" xr:uid="{00000000-0005-0000-0000-0000D1380000}"/>
    <cellStyle name="SAPBEXaggDataEmph 30 7" xfId="19018" xr:uid="{00000000-0005-0000-0000-0000D2380000}"/>
    <cellStyle name="SAPBEXaggDataEmph 30 8" xfId="19123" xr:uid="{00000000-0005-0000-0000-0000D3380000}"/>
    <cellStyle name="SAPBEXaggDataEmph 30 9" xfId="23535" xr:uid="{00000000-0005-0000-0000-0000D4380000}"/>
    <cellStyle name="SAPBEXaggDataEmph 31" xfId="4395" xr:uid="{00000000-0005-0000-0000-0000D5380000}"/>
    <cellStyle name="SAPBEXaggDataEmph 31 2" xfId="6933" xr:uid="{00000000-0005-0000-0000-0000D6380000}"/>
    <cellStyle name="SAPBEXaggDataEmph 31 3" xfId="8040" xr:uid="{00000000-0005-0000-0000-0000D7380000}"/>
    <cellStyle name="SAPBEXaggDataEmph 31 4" xfId="10913" xr:uid="{00000000-0005-0000-0000-0000D8380000}"/>
    <cellStyle name="SAPBEXaggDataEmph 31 5" xfId="13283" xr:uid="{00000000-0005-0000-0000-0000D9380000}"/>
    <cellStyle name="SAPBEXaggDataEmph 31 6" xfId="15977" xr:uid="{00000000-0005-0000-0000-0000DA380000}"/>
    <cellStyle name="SAPBEXaggDataEmph 31 7" xfId="17979" xr:uid="{00000000-0005-0000-0000-0000DB380000}"/>
    <cellStyle name="SAPBEXaggDataEmph 31 8" xfId="20673" xr:uid="{00000000-0005-0000-0000-0000DC380000}"/>
    <cellStyle name="SAPBEXaggDataEmph 31 9" xfId="22584" xr:uid="{00000000-0005-0000-0000-0000DD380000}"/>
    <cellStyle name="SAPBEXaggDataEmph 32" xfId="4461" xr:uid="{00000000-0005-0000-0000-0000DE380000}"/>
    <cellStyle name="SAPBEXaggDataEmph 32 2" xfId="6999" xr:uid="{00000000-0005-0000-0000-0000DF380000}"/>
    <cellStyle name="SAPBEXaggDataEmph 32 3" xfId="9151" xr:uid="{00000000-0005-0000-0000-0000E0380000}"/>
    <cellStyle name="SAPBEXaggDataEmph 32 4" xfId="11107" xr:uid="{00000000-0005-0000-0000-0000E1380000}"/>
    <cellStyle name="SAPBEXaggDataEmph 32 5" xfId="13501" xr:uid="{00000000-0005-0000-0000-0000E2380000}"/>
    <cellStyle name="SAPBEXaggDataEmph 32 6" xfId="16166" xr:uid="{00000000-0005-0000-0000-0000E3380000}"/>
    <cellStyle name="SAPBEXaggDataEmph 32 7" xfId="18197" xr:uid="{00000000-0005-0000-0000-0000E4380000}"/>
    <cellStyle name="SAPBEXaggDataEmph 32 8" xfId="20862" xr:uid="{00000000-0005-0000-0000-0000E5380000}"/>
    <cellStyle name="SAPBEXaggDataEmph 32 9" xfId="22780" xr:uid="{00000000-0005-0000-0000-0000E6380000}"/>
    <cellStyle name="SAPBEXaggDataEmph 33" xfId="4463" xr:uid="{00000000-0005-0000-0000-0000E7380000}"/>
    <cellStyle name="SAPBEXaggDataEmph 33 2" xfId="7001" xr:uid="{00000000-0005-0000-0000-0000E8380000}"/>
    <cellStyle name="SAPBEXaggDataEmph 33 3" xfId="9027" xr:uid="{00000000-0005-0000-0000-0000E9380000}"/>
    <cellStyle name="SAPBEXaggDataEmph 33 4" xfId="11949" xr:uid="{00000000-0005-0000-0000-0000EA380000}"/>
    <cellStyle name="SAPBEXaggDataEmph 33 5" xfId="14422" xr:uid="{00000000-0005-0000-0000-0000EB380000}"/>
    <cellStyle name="SAPBEXaggDataEmph 33 6" xfId="16610" xr:uid="{00000000-0005-0000-0000-0000EC380000}"/>
    <cellStyle name="SAPBEXaggDataEmph 33 7" xfId="19118" xr:uid="{00000000-0005-0000-0000-0000ED380000}"/>
    <cellStyle name="SAPBEXaggDataEmph 33 8" xfId="21306" xr:uid="{00000000-0005-0000-0000-0000EE380000}"/>
    <cellStyle name="SAPBEXaggDataEmph 33 9" xfId="23624" xr:uid="{00000000-0005-0000-0000-0000EF380000}"/>
    <cellStyle name="SAPBEXaggDataEmph 34" xfId="4225" xr:uid="{00000000-0005-0000-0000-0000F0380000}"/>
    <cellStyle name="SAPBEXaggDataEmph 34 2" xfId="6763" xr:uid="{00000000-0005-0000-0000-0000F1380000}"/>
    <cellStyle name="SAPBEXaggDataEmph 34 3" xfId="9974" xr:uid="{00000000-0005-0000-0000-0000F2380000}"/>
    <cellStyle name="SAPBEXaggDataEmph 34 4" xfId="10925" xr:uid="{00000000-0005-0000-0000-0000F3380000}"/>
    <cellStyle name="SAPBEXaggDataEmph 34 5" xfId="13295" xr:uid="{00000000-0005-0000-0000-0000F4380000}"/>
    <cellStyle name="SAPBEXaggDataEmph 34 6" xfId="15205" xr:uid="{00000000-0005-0000-0000-0000F5380000}"/>
    <cellStyle name="SAPBEXaggDataEmph 34 7" xfId="17991" xr:uid="{00000000-0005-0000-0000-0000F6380000}"/>
    <cellStyle name="SAPBEXaggDataEmph 34 8" xfId="19901" xr:uid="{00000000-0005-0000-0000-0000F7380000}"/>
    <cellStyle name="SAPBEXaggDataEmph 34 9" xfId="22596" xr:uid="{00000000-0005-0000-0000-0000F8380000}"/>
    <cellStyle name="SAPBEXaggDataEmph 35" xfId="4490" xr:uid="{00000000-0005-0000-0000-0000F9380000}"/>
    <cellStyle name="SAPBEXaggDataEmph 35 2" xfId="7028" xr:uid="{00000000-0005-0000-0000-0000FA380000}"/>
    <cellStyle name="SAPBEXaggDataEmph 35 3" xfId="8400" xr:uid="{00000000-0005-0000-0000-0000FB380000}"/>
    <cellStyle name="SAPBEXaggDataEmph 35 4" xfId="10590" xr:uid="{00000000-0005-0000-0000-0000FC380000}"/>
    <cellStyle name="SAPBEXaggDataEmph 35 5" xfId="12938" xr:uid="{00000000-0005-0000-0000-0000FD380000}"/>
    <cellStyle name="SAPBEXaggDataEmph 35 6" xfId="16058" xr:uid="{00000000-0005-0000-0000-0000FE380000}"/>
    <cellStyle name="SAPBEXaggDataEmph 35 7" xfId="17634" xr:uid="{00000000-0005-0000-0000-0000FF380000}"/>
    <cellStyle name="SAPBEXaggDataEmph 35 8" xfId="20754" xr:uid="{00000000-0005-0000-0000-000000390000}"/>
    <cellStyle name="SAPBEXaggDataEmph 35 9" xfId="22263" xr:uid="{00000000-0005-0000-0000-000001390000}"/>
    <cellStyle name="SAPBEXaggDataEmph 36" xfId="4610" xr:uid="{00000000-0005-0000-0000-000002390000}"/>
    <cellStyle name="SAPBEXaggDataEmph 36 2" xfId="7148" xr:uid="{00000000-0005-0000-0000-000003390000}"/>
    <cellStyle name="SAPBEXaggDataEmph 36 3" xfId="9405" xr:uid="{00000000-0005-0000-0000-000004390000}"/>
    <cellStyle name="SAPBEXaggDataEmph 36 4" xfId="10940" xr:uid="{00000000-0005-0000-0000-000005390000}"/>
    <cellStyle name="SAPBEXaggDataEmph 36 5" xfId="13311" xr:uid="{00000000-0005-0000-0000-000006390000}"/>
    <cellStyle name="SAPBEXaggDataEmph 36 6" xfId="16283" xr:uid="{00000000-0005-0000-0000-000007390000}"/>
    <cellStyle name="SAPBEXaggDataEmph 36 7" xfId="18007" xr:uid="{00000000-0005-0000-0000-000008390000}"/>
    <cellStyle name="SAPBEXaggDataEmph 36 8" xfId="20979" xr:uid="{00000000-0005-0000-0000-000009390000}"/>
    <cellStyle name="SAPBEXaggDataEmph 36 9" xfId="22611" xr:uid="{00000000-0005-0000-0000-00000A390000}"/>
    <cellStyle name="SAPBEXaggDataEmph 37" xfId="4653" xr:uid="{00000000-0005-0000-0000-00000B390000}"/>
    <cellStyle name="SAPBEXaggDataEmph 37 2" xfId="7191" xr:uid="{00000000-0005-0000-0000-00000C390000}"/>
    <cellStyle name="SAPBEXaggDataEmph 37 3" xfId="10065" xr:uid="{00000000-0005-0000-0000-00000D390000}"/>
    <cellStyle name="SAPBEXaggDataEmph 37 4" xfId="12042" xr:uid="{00000000-0005-0000-0000-00000E390000}"/>
    <cellStyle name="SAPBEXaggDataEmph 37 5" xfId="14524" xr:uid="{00000000-0005-0000-0000-00000F390000}"/>
    <cellStyle name="SAPBEXaggDataEmph 37 6" xfId="14423" xr:uid="{00000000-0005-0000-0000-000010390000}"/>
    <cellStyle name="SAPBEXaggDataEmph 37 7" xfId="19220" xr:uid="{00000000-0005-0000-0000-000011390000}"/>
    <cellStyle name="SAPBEXaggDataEmph 37 8" xfId="19119" xr:uid="{00000000-0005-0000-0000-000012390000}"/>
    <cellStyle name="SAPBEXaggDataEmph 37 9" xfId="23717" xr:uid="{00000000-0005-0000-0000-000013390000}"/>
    <cellStyle name="SAPBEXaggDataEmph 38" xfId="4737" xr:uid="{00000000-0005-0000-0000-000014390000}"/>
    <cellStyle name="SAPBEXaggDataEmph 38 2" xfId="7275" xr:uid="{00000000-0005-0000-0000-000015390000}"/>
    <cellStyle name="SAPBEXaggDataEmph 38 3" xfId="8883" xr:uid="{00000000-0005-0000-0000-000016390000}"/>
    <cellStyle name="SAPBEXaggDataEmph 38 4" xfId="11438" xr:uid="{00000000-0005-0000-0000-000017390000}"/>
    <cellStyle name="SAPBEXaggDataEmph 38 5" xfId="13856" xr:uid="{00000000-0005-0000-0000-000018390000}"/>
    <cellStyle name="SAPBEXaggDataEmph 38 6" xfId="15920" xr:uid="{00000000-0005-0000-0000-000019390000}"/>
    <cellStyle name="SAPBEXaggDataEmph 38 7" xfId="18552" xr:uid="{00000000-0005-0000-0000-00001A390000}"/>
    <cellStyle name="SAPBEXaggDataEmph 38 8" xfId="20616" xr:uid="{00000000-0005-0000-0000-00001B390000}"/>
    <cellStyle name="SAPBEXaggDataEmph 38 9" xfId="23113" xr:uid="{00000000-0005-0000-0000-00001C390000}"/>
    <cellStyle name="SAPBEXaggDataEmph 39" xfId="4731" xr:uid="{00000000-0005-0000-0000-00001D390000}"/>
    <cellStyle name="SAPBEXaggDataEmph 39 2" xfId="7269" xr:uid="{00000000-0005-0000-0000-00001E390000}"/>
    <cellStyle name="SAPBEXaggDataEmph 39 3" xfId="9252" xr:uid="{00000000-0005-0000-0000-00001F390000}"/>
    <cellStyle name="SAPBEXaggDataEmph 39 4" xfId="11357" xr:uid="{00000000-0005-0000-0000-000020390000}"/>
    <cellStyle name="SAPBEXaggDataEmph 39 5" xfId="13769" xr:uid="{00000000-0005-0000-0000-000021390000}"/>
    <cellStyle name="SAPBEXaggDataEmph 39 6" xfId="16553" xr:uid="{00000000-0005-0000-0000-000022390000}"/>
    <cellStyle name="SAPBEXaggDataEmph 39 7" xfId="18465" xr:uid="{00000000-0005-0000-0000-000023390000}"/>
    <cellStyle name="SAPBEXaggDataEmph 39 8" xfId="21249" xr:uid="{00000000-0005-0000-0000-000024390000}"/>
    <cellStyle name="SAPBEXaggDataEmph 39 9" xfId="23031" xr:uid="{00000000-0005-0000-0000-000025390000}"/>
    <cellStyle name="SAPBEXaggDataEmph 4" xfId="3014" xr:uid="{00000000-0005-0000-0000-000026390000}"/>
    <cellStyle name="SAPBEXaggDataEmph 4 2" xfId="5553" xr:uid="{00000000-0005-0000-0000-000027390000}"/>
    <cellStyle name="SAPBEXaggDataEmph 4 3" xfId="8510" xr:uid="{00000000-0005-0000-0000-000028390000}"/>
    <cellStyle name="SAPBEXaggDataEmph 4 4" xfId="11837" xr:uid="{00000000-0005-0000-0000-000029390000}"/>
    <cellStyle name="SAPBEXaggDataEmph 4 5" xfId="14295" xr:uid="{00000000-0005-0000-0000-00002A390000}"/>
    <cellStyle name="SAPBEXaggDataEmph 4 6" xfId="15472" xr:uid="{00000000-0005-0000-0000-00002B390000}"/>
    <cellStyle name="SAPBEXaggDataEmph 4 7" xfId="18991" xr:uid="{00000000-0005-0000-0000-00002C390000}"/>
    <cellStyle name="SAPBEXaggDataEmph 4 8" xfId="20168" xr:uid="{00000000-0005-0000-0000-00002D390000}"/>
    <cellStyle name="SAPBEXaggDataEmph 4 9" xfId="23512" xr:uid="{00000000-0005-0000-0000-00002E390000}"/>
    <cellStyle name="SAPBEXaggDataEmph 40" xfId="4800" xr:uid="{00000000-0005-0000-0000-00002F390000}"/>
    <cellStyle name="SAPBEXaggDataEmph 40 2" xfId="7338" xr:uid="{00000000-0005-0000-0000-000030390000}"/>
    <cellStyle name="SAPBEXaggDataEmph 40 3" xfId="9481" xr:uid="{00000000-0005-0000-0000-000031390000}"/>
    <cellStyle name="SAPBEXaggDataEmph 40 4" xfId="11409" xr:uid="{00000000-0005-0000-0000-000032390000}"/>
    <cellStyle name="SAPBEXaggDataEmph 40 5" xfId="13825" xr:uid="{00000000-0005-0000-0000-000033390000}"/>
    <cellStyle name="SAPBEXaggDataEmph 40 6" xfId="16897" xr:uid="{00000000-0005-0000-0000-000034390000}"/>
    <cellStyle name="SAPBEXaggDataEmph 40 7" xfId="18521" xr:uid="{00000000-0005-0000-0000-000035390000}"/>
    <cellStyle name="SAPBEXaggDataEmph 40 8" xfId="21593" xr:uid="{00000000-0005-0000-0000-000036390000}"/>
    <cellStyle name="SAPBEXaggDataEmph 40 9" xfId="23083" xr:uid="{00000000-0005-0000-0000-000037390000}"/>
    <cellStyle name="SAPBEXaggDataEmph 41" xfId="4866" xr:uid="{00000000-0005-0000-0000-000038390000}"/>
    <cellStyle name="SAPBEXaggDataEmph 41 2" xfId="7404" xr:uid="{00000000-0005-0000-0000-000039390000}"/>
    <cellStyle name="SAPBEXaggDataEmph 41 3" xfId="10035" xr:uid="{00000000-0005-0000-0000-00003A390000}"/>
    <cellStyle name="SAPBEXaggDataEmph 41 4" xfId="11658" xr:uid="{00000000-0005-0000-0000-00003B390000}"/>
    <cellStyle name="SAPBEXaggDataEmph 41 5" xfId="14104" xr:uid="{00000000-0005-0000-0000-00003C390000}"/>
    <cellStyle name="SAPBEXaggDataEmph 41 6" xfId="16470" xr:uid="{00000000-0005-0000-0000-00003D390000}"/>
    <cellStyle name="SAPBEXaggDataEmph 41 7" xfId="18800" xr:uid="{00000000-0005-0000-0000-00003E390000}"/>
    <cellStyle name="SAPBEXaggDataEmph 41 8" xfId="21166" xr:uid="{00000000-0005-0000-0000-00003F390000}"/>
    <cellStyle name="SAPBEXaggDataEmph 41 9" xfId="23333" xr:uid="{00000000-0005-0000-0000-000040390000}"/>
    <cellStyle name="SAPBEXaggDataEmph 42" xfId="4868" xr:uid="{00000000-0005-0000-0000-000041390000}"/>
    <cellStyle name="SAPBEXaggDataEmph 42 2" xfId="7406" xr:uid="{00000000-0005-0000-0000-000042390000}"/>
    <cellStyle name="SAPBEXaggDataEmph 42 3" xfId="8044" xr:uid="{00000000-0005-0000-0000-000043390000}"/>
    <cellStyle name="SAPBEXaggDataEmph 42 4" xfId="11222" xr:uid="{00000000-0005-0000-0000-000044390000}"/>
    <cellStyle name="SAPBEXaggDataEmph 42 5" xfId="13625" xr:uid="{00000000-0005-0000-0000-000045390000}"/>
    <cellStyle name="SAPBEXaggDataEmph 42 6" xfId="16089" xr:uid="{00000000-0005-0000-0000-000046390000}"/>
    <cellStyle name="SAPBEXaggDataEmph 42 7" xfId="18321" xr:uid="{00000000-0005-0000-0000-000047390000}"/>
    <cellStyle name="SAPBEXaggDataEmph 42 8" xfId="20785" xr:uid="{00000000-0005-0000-0000-000048390000}"/>
    <cellStyle name="SAPBEXaggDataEmph 42 9" xfId="22897" xr:uid="{00000000-0005-0000-0000-000049390000}"/>
    <cellStyle name="SAPBEXaggDataEmph 43" xfId="4749" xr:uid="{00000000-0005-0000-0000-00004A390000}"/>
    <cellStyle name="SAPBEXaggDataEmph 43 2" xfId="7287" xr:uid="{00000000-0005-0000-0000-00004B390000}"/>
    <cellStyle name="SAPBEXaggDataEmph 43 3" xfId="8938" xr:uid="{00000000-0005-0000-0000-00004C390000}"/>
    <cellStyle name="SAPBEXaggDataEmph 43 4" xfId="11466" xr:uid="{00000000-0005-0000-0000-00004D390000}"/>
    <cellStyle name="SAPBEXaggDataEmph 43 5" xfId="13889" xr:uid="{00000000-0005-0000-0000-00004E390000}"/>
    <cellStyle name="SAPBEXaggDataEmph 43 6" xfId="16693" xr:uid="{00000000-0005-0000-0000-00004F390000}"/>
    <cellStyle name="SAPBEXaggDataEmph 43 7" xfId="18585" xr:uid="{00000000-0005-0000-0000-000050390000}"/>
    <cellStyle name="SAPBEXaggDataEmph 43 8" xfId="21389" xr:uid="{00000000-0005-0000-0000-000051390000}"/>
    <cellStyle name="SAPBEXaggDataEmph 43 9" xfId="23141" xr:uid="{00000000-0005-0000-0000-000052390000}"/>
    <cellStyle name="SAPBEXaggDataEmph 44" xfId="4902" xr:uid="{00000000-0005-0000-0000-000053390000}"/>
    <cellStyle name="SAPBEXaggDataEmph 44 2" xfId="7440" xr:uid="{00000000-0005-0000-0000-000054390000}"/>
    <cellStyle name="SAPBEXaggDataEmph 44 3" xfId="9716" xr:uid="{00000000-0005-0000-0000-000055390000}"/>
    <cellStyle name="SAPBEXaggDataEmph 44 4" xfId="10286" xr:uid="{00000000-0005-0000-0000-000056390000}"/>
    <cellStyle name="SAPBEXaggDataEmph 44 5" xfId="12599" xr:uid="{00000000-0005-0000-0000-000057390000}"/>
    <cellStyle name="SAPBEXaggDataEmph 44 6" xfId="16246" xr:uid="{00000000-0005-0000-0000-000058390000}"/>
    <cellStyle name="SAPBEXaggDataEmph 44 7" xfId="17295" xr:uid="{00000000-0005-0000-0000-000059390000}"/>
    <cellStyle name="SAPBEXaggDataEmph 44 8" xfId="20942" xr:uid="{00000000-0005-0000-0000-00005A390000}"/>
    <cellStyle name="SAPBEXaggDataEmph 44 9" xfId="21956" xr:uid="{00000000-0005-0000-0000-00005B390000}"/>
    <cellStyle name="SAPBEXaggDataEmph 45" xfId="5002" xr:uid="{00000000-0005-0000-0000-00005C390000}"/>
    <cellStyle name="SAPBEXaggDataEmph 45 2" xfId="7540" xr:uid="{00000000-0005-0000-0000-00005D390000}"/>
    <cellStyle name="SAPBEXaggDataEmph 45 3" xfId="8479" xr:uid="{00000000-0005-0000-0000-00005E390000}"/>
    <cellStyle name="SAPBEXaggDataEmph 45 4" xfId="11649" xr:uid="{00000000-0005-0000-0000-00005F390000}"/>
    <cellStyle name="SAPBEXaggDataEmph 45 5" xfId="14094" xr:uid="{00000000-0005-0000-0000-000060390000}"/>
    <cellStyle name="SAPBEXaggDataEmph 45 6" xfId="15693" xr:uid="{00000000-0005-0000-0000-000061390000}"/>
    <cellStyle name="SAPBEXaggDataEmph 45 7" xfId="18790" xr:uid="{00000000-0005-0000-0000-000062390000}"/>
    <cellStyle name="SAPBEXaggDataEmph 45 8" xfId="20389" xr:uid="{00000000-0005-0000-0000-000063390000}"/>
    <cellStyle name="SAPBEXaggDataEmph 45 9" xfId="23324" xr:uid="{00000000-0005-0000-0000-000064390000}"/>
    <cellStyle name="SAPBEXaggDataEmph 46" xfId="5039" xr:uid="{00000000-0005-0000-0000-000065390000}"/>
    <cellStyle name="SAPBEXaggDataEmph 46 2" xfId="7577" xr:uid="{00000000-0005-0000-0000-000066390000}"/>
    <cellStyle name="SAPBEXaggDataEmph 46 3" xfId="8533" xr:uid="{00000000-0005-0000-0000-000067390000}"/>
    <cellStyle name="SAPBEXaggDataEmph 46 4" xfId="11626" xr:uid="{00000000-0005-0000-0000-000068390000}"/>
    <cellStyle name="SAPBEXaggDataEmph 46 5" xfId="14068" xr:uid="{00000000-0005-0000-0000-000069390000}"/>
    <cellStyle name="SAPBEXaggDataEmph 46 6" xfId="15090" xr:uid="{00000000-0005-0000-0000-00006A390000}"/>
    <cellStyle name="SAPBEXaggDataEmph 46 7" xfId="18764" xr:uid="{00000000-0005-0000-0000-00006B390000}"/>
    <cellStyle name="SAPBEXaggDataEmph 46 8" xfId="19786" xr:uid="{00000000-0005-0000-0000-00006C390000}"/>
    <cellStyle name="SAPBEXaggDataEmph 46 9" xfId="23301" xr:uid="{00000000-0005-0000-0000-00006D390000}"/>
    <cellStyle name="SAPBEXaggDataEmph 47" xfId="5069" xr:uid="{00000000-0005-0000-0000-00006E390000}"/>
    <cellStyle name="SAPBEXaggDataEmph 47 2" xfId="7607" xr:uid="{00000000-0005-0000-0000-00006F390000}"/>
    <cellStyle name="SAPBEXaggDataEmph 47 3" xfId="10179" xr:uid="{00000000-0005-0000-0000-000070390000}"/>
    <cellStyle name="SAPBEXaggDataEmph 47 4" xfId="10829" xr:uid="{00000000-0005-0000-0000-000071390000}"/>
    <cellStyle name="SAPBEXaggDataEmph 47 5" xfId="13193" xr:uid="{00000000-0005-0000-0000-000072390000}"/>
    <cellStyle name="SAPBEXaggDataEmph 47 6" xfId="16447" xr:uid="{00000000-0005-0000-0000-000073390000}"/>
    <cellStyle name="SAPBEXaggDataEmph 47 7" xfId="17889" xr:uid="{00000000-0005-0000-0000-000074390000}"/>
    <cellStyle name="SAPBEXaggDataEmph 47 8" xfId="21143" xr:uid="{00000000-0005-0000-0000-000075390000}"/>
    <cellStyle name="SAPBEXaggDataEmph 47 9" xfId="22500" xr:uid="{00000000-0005-0000-0000-000076390000}"/>
    <cellStyle name="SAPBEXaggDataEmph 48" xfId="5123" xr:uid="{00000000-0005-0000-0000-000077390000}"/>
    <cellStyle name="SAPBEXaggDataEmph 48 2" xfId="7661" xr:uid="{00000000-0005-0000-0000-000078390000}"/>
    <cellStyle name="SAPBEXaggDataEmph 48 3" xfId="9518" xr:uid="{00000000-0005-0000-0000-000079390000}"/>
    <cellStyle name="SAPBEXaggDataEmph 48 4" xfId="11509" xr:uid="{00000000-0005-0000-0000-00007A390000}"/>
    <cellStyle name="SAPBEXaggDataEmph 48 5" xfId="13936" xr:uid="{00000000-0005-0000-0000-00007B390000}"/>
    <cellStyle name="SAPBEXaggDataEmph 48 6" xfId="15725" xr:uid="{00000000-0005-0000-0000-00007C390000}"/>
    <cellStyle name="SAPBEXaggDataEmph 48 7" xfId="18632" xr:uid="{00000000-0005-0000-0000-00007D390000}"/>
    <cellStyle name="SAPBEXaggDataEmph 48 8" xfId="20421" xr:uid="{00000000-0005-0000-0000-00007E390000}"/>
    <cellStyle name="SAPBEXaggDataEmph 48 9" xfId="23183" xr:uid="{00000000-0005-0000-0000-00007F390000}"/>
    <cellStyle name="SAPBEXaggDataEmph 49" xfId="5192" xr:uid="{00000000-0005-0000-0000-000080390000}"/>
    <cellStyle name="SAPBEXaggDataEmph 49 2" xfId="7731" xr:uid="{00000000-0005-0000-0000-000081390000}"/>
    <cellStyle name="SAPBEXaggDataEmph 49 3" xfId="9402" xr:uid="{00000000-0005-0000-0000-000082390000}"/>
    <cellStyle name="SAPBEXaggDataEmph 49 4" xfId="10372" xr:uid="{00000000-0005-0000-0000-000083390000}"/>
    <cellStyle name="SAPBEXaggDataEmph 49 5" xfId="12694" xr:uid="{00000000-0005-0000-0000-000084390000}"/>
    <cellStyle name="SAPBEXaggDataEmph 49 6" xfId="15330" xr:uid="{00000000-0005-0000-0000-000085390000}"/>
    <cellStyle name="SAPBEXaggDataEmph 49 7" xfId="17390" xr:uid="{00000000-0005-0000-0000-000086390000}"/>
    <cellStyle name="SAPBEXaggDataEmph 49 8" xfId="20026" xr:uid="{00000000-0005-0000-0000-000087390000}"/>
    <cellStyle name="SAPBEXaggDataEmph 49 9" xfId="22043" xr:uid="{00000000-0005-0000-0000-000088390000}"/>
    <cellStyle name="SAPBEXaggDataEmph 5" xfId="3169" xr:uid="{00000000-0005-0000-0000-000089390000}"/>
    <cellStyle name="SAPBEXaggDataEmph 5 2" xfId="5707" xr:uid="{00000000-0005-0000-0000-00008A390000}"/>
    <cellStyle name="SAPBEXaggDataEmph 5 3" xfId="10125" xr:uid="{00000000-0005-0000-0000-00008B390000}"/>
    <cellStyle name="SAPBEXaggDataEmph 5 4" xfId="11017" xr:uid="{00000000-0005-0000-0000-00008C390000}"/>
    <cellStyle name="SAPBEXaggDataEmph 5 5" xfId="13396" xr:uid="{00000000-0005-0000-0000-00008D390000}"/>
    <cellStyle name="SAPBEXaggDataEmph 5 6" xfId="15186" xr:uid="{00000000-0005-0000-0000-00008E390000}"/>
    <cellStyle name="SAPBEXaggDataEmph 5 7" xfId="18092" xr:uid="{00000000-0005-0000-0000-00008F390000}"/>
    <cellStyle name="SAPBEXaggDataEmph 5 8" xfId="19882" xr:uid="{00000000-0005-0000-0000-000090390000}"/>
    <cellStyle name="SAPBEXaggDataEmph 5 9" xfId="22690" xr:uid="{00000000-0005-0000-0000-000091390000}"/>
    <cellStyle name="SAPBEXaggDataEmph 50" xfId="5235" xr:uid="{00000000-0005-0000-0000-000092390000}"/>
    <cellStyle name="SAPBEXaggDataEmph 50 2" xfId="7958" xr:uid="{00000000-0005-0000-0000-000093390000}"/>
    <cellStyle name="SAPBEXaggDataEmph 50 3" xfId="12028" xr:uid="{00000000-0005-0000-0000-000094390000}"/>
    <cellStyle name="SAPBEXaggDataEmph 50 4" xfId="14509" xr:uid="{00000000-0005-0000-0000-000095390000}"/>
    <cellStyle name="SAPBEXaggDataEmph 50 5" xfId="14918" xr:uid="{00000000-0005-0000-0000-000096390000}"/>
    <cellStyle name="SAPBEXaggDataEmph 50 6" xfId="19205" xr:uid="{00000000-0005-0000-0000-000097390000}"/>
    <cellStyle name="SAPBEXaggDataEmph 50 7" xfId="19614" xr:uid="{00000000-0005-0000-0000-000098390000}"/>
    <cellStyle name="SAPBEXaggDataEmph 50 8" xfId="23703" xr:uid="{00000000-0005-0000-0000-000099390000}"/>
    <cellStyle name="SAPBEXaggDataEmph 51" xfId="8687" xr:uid="{00000000-0005-0000-0000-00009A390000}"/>
    <cellStyle name="SAPBEXaggDataEmph 52" xfId="10936" xr:uid="{00000000-0005-0000-0000-00009B390000}"/>
    <cellStyle name="SAPBEXaggDataEmph 53" xfId="13015" xr:uid="{00000000-0005-0000-0000-00009C390000}"/>
    <cellStyle name="SAPBEXaggDataEmph 54" xfId="14851" xr:uid="{00000000-0005-0000-0000-00009D390000}"/>
    <cellStyle name="SAPBEXaggDataEmph 55" xfId="17711" xr:uid="{00000000-0005-0000-0000-00009E390000}"/>
    <cellStyle name="SAPBEXaggDataEmph 56" xfId="19547" xr:uid="{00000000-0005-0000-0000-00009F390000}"/>
    <cellStyle name="SAPBEXaggDataEmph 57" xfId="22339" xr:uid="{00000000-0005-0000-0000-0000A0390000}"/>
    <cellStyle name="SAPBEXaggDataEmph 58" xfId="42196" xr:uid="{A4F99A4A-7BBA-47A4-9152-2FA96A4EBDCD}"/>
    <cellStyle name="SAPBEXaggDataEmph 6" xfId="3212" xr:uid="{00000000-0005-0000-0000-0000A1390000}"/>
    <cellStyle name="SAPBEXaggDataEmph 6 2" xfId="5750" xr:uid="{00000000-0005-0000-0000-0000A2390000}"/>
    <cellStyle name="SAPBEXaggDataEmph 6 3" xfId="9967" xr:uid="{00000000-0005-0000-0000-0000A3390000}"/>
    <cellStyle name="SAPBEXaggDataEmph 6 4" xfId="11871" xr:uid="{00000000-0005-0000-0000-0000A4390000}"/>
    <cellStyle name="SAPBEXaggDataEmph 6 5" xfId="14335" xr:uid="{00000000-0005-0000-0000-0000A5390000}"/>
    <cellStyle name="SAPBEXaggDataEmph 6 6" xfId="16890" xr:uid="{00000000-0005-0000-0000-0000A6390000}"/>
    <cellStyle name="SAPBEXaggDataEmph 6 7" xfId="19031" xr:uid="{00000000-0005-0000-0000-0000A7390000}"/>
    <cellStyle name="SAPBEXaggDataEmph 6 8" xfId="21586" xr:uid="{00000000-0005-0000-0000-0000A8390000}"/>
    <cellStyle name="SAPBEXaggDataEmph 6 9" xfId="23547" xr:uid="{00000000-0005-0000-0000-0000A9390000}"/>
    <cellStyle name="SAPBEXaggDataEmph 7" xfId="3255" xr:uid="{00000000-0005-0000-0000-0000AA390000}"/>
    <cellStyle name="SAPBEXaggDataEmph 7 2" xfId="5793" xr:uid="{00000000-0005-0000-0000-0000AB390000}"/>
    <cellStyle name="SAPBEXaggDataEmph 7 3" xfId="8438" xr:uid="{00000000-0005-0000-0000-0000AC390000}"/>
    <cellStyle name="SAPBEXaggDataEmph 7 4" xfId="8633" xr:uid="{00000000-0005-0000-0000-0000AD390000}"/>
    <cellStyle name="SAPBEXaggDataEmph 7 5" xfId="12537" xr:uid="{00000000-0005-0000-0000-0000AE390000}"/>
    <cellStyle name="SAPBEXaggDataEmph 7 6" xfId="16992" xr:uid="{00000000-0005-0000-0000-0000AF390000}"/>
    <cellStyle name="SAPBEXaggDataEmph 7 7" xfId="17233" xr:uid="{00000000-0005-0000-0000-0000B0390000}"/>
    <cellStyle name="SAPBEXaggDataEmph 7 8" xfId="21688" xr:uid="{00000000-0005-0000-0000-0000B1390000}"/>
    <cellStyle name="SAPBEXaggDataEmph 7 9" xfId="21901" xr:uid="{00000000-0005-0000-0000-0000B2390000}"/>
    <cellStyle name="SAPBEXaggDataEmph 8" xfId="3298" xr:uid="{00000000-0005-0000-0000-0000B3390000}"/>
    <cellStyle name="SAPBEXaggDataEmph 8 2" xfId="5836" xr:uid="{00000000-0005-0000-0000-0000B4390000}"/>
    <cellStyle name="SAPBEXaggDataEmph 8 3" xfId="9490" xr:uid="{00000000-0005-0000-0000-0000B5390000}"/>
    <cellStyle name="SAPBEXaggDataEmph 8 4" xfId="11041" xr:uid="{00000000-0005-0000-0000-0000B6390000}"/>
    <cellStyle name="SAPBEXaggDataEmph 8 5" xfId="13425" xr:uid="{00000000-0005-0000-0000-0000B7390000}"/>
    <cellStyle name="SAPBEXaggDataEmph 8 6" xfId="15696" xr:uid="{00000000-0005-0000-0000-0000B8390000}"/>
    <cellStyle name="SAPBEXaggDataEmph 8 7" xfId="18121" xr:uid="{00000000-0005-0000-0000-0000B9390000}"/>
    <cellStyle name="SAPBEXaggDataEmph 8 8" xfId="20392" xr:uid="{00000000-0005-0000-0000-0000BA390000}"/>
    <cellStyle name="SAPBEXaggDataEmph 8 9" xfId="22714" xr:uid="{00000000-0005-0000-0000-0000BB390000}"/>
    <cellStyle name="SAPBEXaggDataEmph 9" xfId="3341" xr:uid="{00000000-0005-0000-0000-0000BC390000}"/>
    <cellStyle name="SAPBEXaggDataEmph 9 2" xfId="5879" xr:uid="{00000000-0005-0000-0000-0000BD390000}"/>
    <cellStyle name="SAPBEXaggDataEmph 9 3" xfId="8813" xr:uid="{00000000-0005-0000-0000-0000BE390000}"/>
    <cellStyle name="SAPBEXaggDataEmph 9 4" xfId="12232" xr:uid="{00000000-0005-0000-0000-0000BF390000}"/>
    <cellStyle name="SAPBEXaggDataEmph 9 5" xfId="14245" xr:uid="{00000000-0005-0000-0000-0000C0390000}"/>
    <cellStyle name="SAPBEXaggDataEmph 9 6" xfId="15443" xr:uid="{00000000-0005-0000-0000-0000C1390000}"/>
    <cellStyle name="SAPBEXaggDataEmph 9 7" xfId="18941" xr:uid="{00000000-0005-0000-0000-0000C2390000}"/>
    <cellStyle name="SAPBEXaggDataEmph 9 8" xfId="20139" xr:uid="{00000000-0005-0000-0000-0000C3390000}"/>
    <cellStyle name="SAPBEXaggDataEmph 9 9" xfId="23463" xr:uid="{00000000-0005-0000-0000-0000C4390000}"/>
    <cellStyle name="SAPBEXaggItem" xfId="2943" xr:uid="{00000000-0005-0000-0000-0000C5390000}"/>
    <cellStyle name="SAPBEXaggItem 10" xfId="3386" xr:uid="{00000000-0005-0000-0000-0000C6390000}"/>
    <cellStyle name="SAPBEXaggItem 10 2" xfId="5924" xr:uid="{00000000-0005-0000-0000-0000C7390000}"/>
    <cellStyle name="SAPBEXaggItem 10 3" xfId="9622" xr:uid="{00000000-0005-0000-0000-0000C8390000}"/>
    <cellStyle name="SAPBEXaggItem 10 4" xfId="12240" xr:uid="{00000000-0005-0000-0000-0000C9390000}"/>
    <cellStyle name="SAPBEXaggItem 10 5" xfId="12623" xr:uid="{00000000-0005-0000-0000-0000CA390000}"/>
    <cellStyle name="SAPBEXaggItem 10 6" xfId="15370" xr:uid="{00000000-0005-0000-0000-0000CB390000}"/>
    <cellStyle name="SAPBEXaggItem 10 7" xfId="17319" xr:uid="{00000000-0005-0000-0000-0000CC390000}"/>
    <cellStyle name="SAPBEXaggItem 10 8" xfId="20066" xr:uid="{00000000-0005-0000-0000-0000CD390000}"/>
    <cellStyle name="SAPBEXaggItem 10 9" xfId="21978" xr:uid="{00000000-0005-0000-0000-0000CE390000}"/>
    <cellStyle name="SAPBEXaggItem 11" xfId="3256" xr:uid="{00000000-0005-0000-0000-0000CF390000}"/>
    <cellStyle name="SAPBEXaggItem 11 2" xfId="5794" xr:uid="{00000000-0005-0000-0000-0000D0390000}"/>
    <cellStyle name="SAPBEXaggItem 11 3" xfId="5458" xr:uid="{00000000-0005-0000-0000-0000D1390000}"/>
    <cellStyle name="SAPBEXaggItem 11 4" xfId="11531" xr:uid="{00000000-0005-0000-0000-0000D2390000}"/>
    <cellStyle name="SAPBEXaggItem 11 5" xfId="13963" xr:uid="{00000000-0005-0000-0000-0000D3390000}"/>
    <cellStyle name="SAPBEXaggItem 11 6" xfId="16846" xr:uid="{00000000-0005-0000-0000-0000D4390000}"/>
    <cellStyle name="SAPBEXaggItem 11 7" xfId="18659" xr:uid="{00000000-0005-0000-0000-0000D5390000}"/>
    <cellStyle name="SAPBEXaggItem 11 8" xfId="21542" xr:uid="{00000000-0005-0000-0000-0000D6390000}"/>
    <cellStyle name="SAPBEXaggItem 11 9" xfId="23205" xr:uid="{00000000-0005-0000-0000-0000D7390000}"/>
    <cellStyle name="SAPBEXaggItem 12" xfId="3452" xr:uid="{00000000-0005-0000-0000-0000D8390000}"/>
    <cellStyle name="SAPBEXaggItem 12 2" xfId="5990" xr:uid="{00000000-0005-0000-0000-0000D9390000}"/>
    <cellStyle name="SAPBEXaggItem 12 3" xfId="8612" xr:uid="{00000000-0005-0000-0000-0000DA390000}"/>
    <cellStyle name="SAPBEXaggItem 12 4" xfId="11151" xr:uid="{00000000-0005-0000-0000-0000DB390000}"/>
    <cellStyle name="SAPBEXaggItem 12 5" xfId="13547" xr:uid="{00000000-0005-0000-0000-0000DC390000}"/>
    <cellStyle name="SAPBEXaggItem 12 6" xfId="16594" xr:uid="{00000000-0005-0000-0000-0000DD390000}"/>
    <cellStyle name="SAPBEXaggItem 12 7" xfId="18243" xr:uid="{00000000-0005-0000-0000-0000DE390000}"/>
    <cellStyle name="SAPBEXaggItem 12 8" xfId="21290" xr:uid="{00000000-0005-0000-0000-0000DF390000}"/>
    <cellStyle name="SAPBEXaggItem 12 9" xfId="22824" xr:uid="{00000000-0005-0000-0000-0000E0390000}"/>
    <cellStyle name="SAPBEXaggItem 13" xfId="3548" xr:uid="{00000000-0005-0000-0000-0000E1390000}"/>
    <cellStyle name="SAPBEXaggItem 13 2" xfId="6086" xr:uid="{00000000-0005-0000-0000-0000E2390000}"/>
    <cellStyle name="SAPBEXaggItem 13 3" xfId="8919" xr:uid="{00000000-0005-0000-0000-0000E3390000}"/>
    <cellStyle name="SAPBEXaggItem 13 4" xfId="11621" xr:uid="{00000000-0005-0000-0000-0000E4390000}"/>
    <cellStyle name="SAPBEXaggItem 13 5" xfId="14062" xr:uid="{00000000-0005-0000-0000-0000E5390000}"/>
    <cellStyle name="SAPBEXaggItem 13 6" xfId="16530" xr:uid="{00000000-0005-0000-0000-0000E6390000}"/>
    <cellStyle name="SAPBEXaggItem 13 7" xfId="18758" xr:uid="{00000000-0005-0000-0000-0000E7390000}"/>
    <cellStyle name="SAPBEXaggItem 13 8" xfId="21226" xr:uid="{00000000-0005-0000-0000-0000E8390000}"/>
    <cellStyle name="SAPBEXaggItem 13 9" xfId="23296" xr:uid="{00000000-0005-0000-0000-0000E9390000}"/>
    <cellStyle name="SAPBEXaggItem 14" xfId="3547" xr:uid="{00000000-0005-0000-0000-0000EA390000}"/>
    <cellStyle name="SAPBEXaggItem 14 2" xfId="6085" xr:uid="{00000000-0005-0000-0000-0000EB390000}"/>
    <cellStyle name="SAPBEXaggItem 14 3" xfId="10228" xr:uid="{00000000-0005-0000-0000-0000EC390000}"/>
    <cellStyle name="SAPBEXaggItem 14 4" xfId="12021" xr:uid="{00000000-0005-0000-0000-0000ED390000}"/>
    <cellStyle name="SAPBEXaggItem 14 5" xfId="14501" xr:uid="{00000000-0005-0000-0000-0000EE390000}"/>
    <cellStyle name="SAPBEXaggItem 14 6" xfId="16934" xr:uid="{00000000-0005-0000-0000-0000EF390000}"/>
    <cellStyle name="SAPBEXaggItem 14 7" xfId="19197" xr:uid="{00000000-0005-0000-0000-0000F0390000}"/>
    <cellStyle name="SAPBEXaggItem 14 8" xfId="21630" xr:uid="{00000000-0005-0000-0000-0000F1390000}"/>
    <cellStyle name="SAPBEXaggItem 14 9" xfId="23696" xr:uid="{00000000-0005-0000-0000-0000F2390000}"/>
    <cellStyle name="SAPBEXaggItem 15" xfId="3595" xr:uid="{00000000-0005-0000-0000-0000F3390000}"/>
    <cellStyle name="SAPBEXaggItem 15 2" xfId="6133" xr:uid="{00000000-0005-0000-0000-0000F4390000}"/>
    <cellStyle name="SAPBEXaggItem 15 3" xfId="8960" xr:uid="{00000000-0005-0000-0000-0000F5390000}"/>
    <cellStyle name="SAPBEXaggItem 15 4" xfId="12101" xr:uid="{00000000-0005-0000-0000-0000F6390000}"/>
    <cellStyle name="SAPBEXaggItem 15 5" xfId="14602" xr:uid="{00000000-0005-0000-0000-0000F7390000}"/>
    <cellStyle name="SAPBEXaggItem 15 6" xfId="16318" xr:uid="{00000000-0005-0000-0000-0000F8390000}"/>
    <cellStyle name="SAPBEXaggItem 15 7" xfId="19298" xr:uid="{00000000-0005-0000-0000-0000F9390000}"/>
    <cellStyle name="SAPBEXaggItem 15 8" xfId="21014" xr:uid="{00000000-0005-0000-0000-0000FA390000}"/>
    <cellStyle name="SAPBEXaggItem 15 9" xfId="23794" xr:uid="{00000000-0005-0000-0000-0000FB390000}"/>
    <cellStyle name="SAPBEXaggItem 16" xfId="3676" xr:uid="{00000000-0005-0000-0000-0000FC390000}"/>
    <cellStyle name="SAPBEXaggItem 16 2" xfId="6214" xr:uid="{00000000-0005-0000-0000-0000FD390000}"/>
    <cellStyle name="SAPBEXaggItem 16 3" xfId="9168" xr:uid="{00000000-0005-0000-0000-0000FE390000}"/>
    <cellStyle name="SAPBEXaggItem 16 4" xfId="10280" xr:uid="{00000000-0005-0000-0000-0000FF390000}"/>
    <cellStyle name="SAPBEXaggItem 16 5" xfId="12591" xr:uid="{00000000-0005-0000-0000-0000003A0000}"/>
    <cellStyle name="SAPBEXaggItem 16 6" xfId="16811" xr:uid="{00000000-0005-0000-0000-0000013A0000}"/>
    <cellStyle name="SAPBEXaggItem 16 7" xfId="17287" xr:uid="{00000000-0005-0000-0000-0000023A0000}"/>
    <cellStyle name="SAPBEXaggItem 16 8" xfId="21507" xr:uid="{00000000-0005-0000-0000-0000033A0000}"/>
    <cellStyle name="SAPBEXaggItem 16 9" xfId="21950" xr:uid="{00000000-0005-0000-0000-0000043A0000}"/>
    <cellStyle name="SAPBEXaggItem 17" xfId="3779" xr:uid="{00000000-0005-0000-0000-0000053A0000}"/>
    <cellStyle name="SAPBEXaggItem 17 2" xfId="6317" xr:uid="{00000000-0005-0000-0000-0000063A0000}"/>
    <cellStyle name="SAPBEXaggItem 17 3" xfId="8374" xr:uid="{00000000-0005-0000-0000-0000073A0000}"/>
    <cellStyle name="SAPBEXaggItem 17 4" xfId="8637" xr:uid="{00000000-0005-0000-0000-0000083A0000}"/>
    <cellStyle name="SAPBEXaggItem 17 5" xfId="14943" xr:uid="{00000000-0005-0000-0000-0000093A0000}"/>
    <cellStyle name="SAPBEXaggItem 17 6" xfId="16680" xr:uid="{00000000-0005-0000-0000-00000A3A0000}"/>
    <cellStyle name="SAPBEXaggItem 17 7" xfId="19639" xr:uid="{00000000-0005-0000-0000-00000B3A0000}"/>
    <cellStyle name="SAPBEXaggItem 17 8" xfId="21376" xr:uid="{00000000-0005-0000-0000-00000C3A0000}"/>
    <cellStyle name="SAPBEXaggItem 17 9" xfId="24106" xr:uid="{00000000-0005-0000-0000-00000D3A0000}"/>
    <cellStyle name="SAPBEXaggItem 18" xfId="3806" xr:uid="{00000000-0005-0000-0000-00000E3A0000}"/>
    <cellStyle name="SAPBEXaggItem 18 2" xfId="6344" xr:uid="{00000000-0005-0000-0000-00000F3A0000}"/>
    <cellStyle name="SAPBEXaggItem 18 3" xfId="9097" xr:uid="{00000000-0005-0000-0000-0000103A0000}"/>
    <cellStyle name="SAPBEXaggItem 18 4" xfId="11964" xr:uid="{00000000-0005-0000-0000-0000113A0000}"/>
    <cellStyle name="SAPBEXaggItem 18 5" xfId="14199" xr:uid="{00000000-0005-0000-0000-0000123A0000}"/>
    <cellStyle name="SAPBEXaggItem 18 6" xfId="16733" xr:uid="{00000000-0005-0000-0000-0000133A0000}"/>
    <cellStyle name="SAPBEXaggItem 18 7" xfId="18895" xr:uid="{00000000-0005-0000-0000-0000143A0000}"/>
    <cellStyle name="SAPBEXaggItem 18 8" xfId="21429" xr:uid="{00000000-0005-0000-0000-0000153A0000}"/>
    <cellStyle name="SAPBEXaggItem 18 9" xfId="23422" xr:uid="{00000000-0005-0000-0000-0000163A0000}"/>
    <cellStyle name="SAPBEXaggItem 19" xfId="3802" xr:uid="{00000000-0005-0000-0000-0000173A0000}"/>
    <cellStyle name="SAPBEXaggItem 19 2" xfId="6340" xr:uid="{00000000-0005-0000-0000-0000183A0000}"/>
    <cellStyle name="SAPBEXaggItem 19 3" xfId="8665" xr:uid="{00000000-0005-0000-0000-0000193A0000}"/>
    <cellStyle name="SAPBEXaggItem 19 4" xfId="11464" xr:uid="{00000000-0005-0000-0000-00001A3A0000}"/>
    <cellStyle name="SAPBEXaggItem 19 5" xfId="13887" xr:uid="{00000000-0005-0000-0000-00001B3A0000}"/>
    <cellStyle name="SAPBEXaggItem 19 6" xfId="16251" xr:uid="{00000000-0005-0000-0000-00001C3A0000}"/>
    <cellStyle name="SAPBEXaggItem 19 7" xfId="18583" xr:uid="{00000000-0005-0000-0000-00001D3A0000}"/>
    <cellStyle name="SAPBEXaggItem 19 8" xfId="20947" xr:uid="{00000000-0005-0000-0000-00001E3A0000}"/>
    <cellStyle name="SAPBEXaggItem 19 9" xfId="23139" xr:uid="{00000000-0005-0000-0000-00001F3A0000}"/>
    <cellStyle name="SAPBEXaggItem 2" xfId="3062" xr:uid="{00000000-0005-0000-0000-0000203A0000}"/>
    <cellStyle name="SAPBEXaggItem 2 2" xfId="5600" xr:uid="{00000000-0005-0000-0000-0000213A0000}"/>
    <cellStyle name="SAPBEXaggItem 2 3" xfId="9193" xr:uid="{00000000-0005-0000-0000-0000223A0000}"/>
    <cellStyle name="SAPBEXaggItem 2 4" xfId="10253" xr:uid="{00000000-0005-0000-0000-0000233A0000}"/>
    <cellStyle name="SAPBEXaggItem 2 5" xfId="12561" xr:uid="{00000000-0005-0000-0000-0000243A0000}"/>
    <cellStyle name="SAPBEXaggItem 2 6" xfId="16548" xr:uid="{00000000-0005-0000-0000-0000253A0000}"/>
    <cellStyle name="SAPBEXaggItem 2 7" xfId="17257" xr:uid="{00000000-0005-0000-0000-0000263A0000}"/>
    <cellStyle name="SAPBEXaggItem 2 8" xfId="21244" xr:uid="{00000000-0005-0000-0000-0000273A0000}"/>
    <cellStyle name="SAPBEXaggItem 2 9" xfId="21922" xr:uid="{00000000-0005-0000-0000-0000283A0000}"/>
    <cellStyle name="SAPBEXaggItem 20" xfId="3906" xr:uid="{00000000-0005-0000-0000-0000293A0000}"/>
    <cellStyle name="SAPBEXaggItem 20 2" xfId="6444" xr:uid="{00000000-0005-0000-0000-00002A3A0000}"/>
    <cellStyle name="SAPBEXaggItem 20 3" xfId="8331" xr:uid="{00000000-0005-0000-0000-00002B3A0000}"/>
    <cellStyle name="SAPBEXaggItem 20 4" xfId="12078" xr:uid="{00000000-0005-0000-0000-00002C3A0000}"/>
    <cellStyle name="SAPBEXaggItem 20 5" xfId="14558" xr:uid="{00000000-0005-0000-0000-00002D3A0000}"/>
    <cellStyle name="SAPBEXaggItem 20 6" xfId="15285" xr:uid="{00000000-0005-0000-0000-00002E3A0000}"/>
    <cellStyle name="SAPBEXaggItem 20 7" xfId="19254" xr:uid="{00000000-0005-0000-0000-00002F3A0000}"/>
    <cellStyle name="SAPBEXaggItem 20 8" xfId="19981" xr:uid="{00000000-0005-0000-0000-0000303A0000}"/>
    <cellStyle name="SAPBEXaggItem 20 9" xfId="23750" xr:uid="{00000000-0005-0000-0000-0000313A0000}"/>
    <cellStyle name="SAPBEXaggItem 21" xfId="3750" xr:uid="{00000000-0005-0000-0000-0000323A0000}"/>
    <cellStyle name="SAPBEXaggItem 21 2" xfId="6288" xr:uid="{00000000-0005-0000-0000-0000333A0000}"/>
    <cellStyle name="SAPBEXaggItem 21 3" xfId="5457" xr:uid="{00000000-0005-0000-0000-0000343A0000}"/>
    <cellStyle name="SAPBEXaggItem 21 4" xfId="11032" xr:uid="{00000000-0005-0000-0000-0000353A0000}"/>
    <cellStyle name="SAPBEXaggItem 21 5" xfId="13414" xr:uid="{00000000-0005-0000-0000-0000363A0000}"/>
    <cellStyle name="SAPBEXaggItem 21 6" xfId="15475" xr:uid="{00000000-0005-0000-0000-0000373A0000}"/>
    <cellStyle name="SAPBEXaggItem 21 7" xfId="18110" xr:uid="{00000000-0005-0000-0000-0000383A0000}"/>
    <cellStyle name="SAPBEXaggItem 21 8" xfId="20171" xr:uid="{00000000-0005-0000-0000-0000393A0000}"/>
    <cellStyle name="SAPBEXaggItem 21 9" xfId="22705" xr:uid="{00000000-0005-0000-0000-00003A3A0000}"/>
    <cellStyle name="SAPBEXaggItem 22" xfId="3932" xr:uid="{00000000-0005-0000-0000-00003B3A0000}"/>
    <cellStyle name="SAPBEXaggItem 22 2" xfId="6470" xr:uid="{00000000-0005-0000-0000-00003C3A0000}"/>
    <cellStyle name="SAPBEXaggItem 22 3" xfId="9864" xr:uid="{00000000-0005-0000-0000-00003D3A0000}"/>
    <cellStyle name="SAPBEXaggItem 22 4" xfId="10806" xr:uid="{00000000-0005-0000-0000-00003E3A0000}"/>
    <cellStyle name="SAPBEXaggItem 22 5" xfId="13167" xr:uid="{00000000-0005-0000-0000-00003F3A0000}"/>
    <cellStyle name="SAPBEXaggItem 22 6" xfId="16346" xr:uid="{00000000-0005-0000-0000-0000403A0000}"/>
    <cellStyle name="SAPBEXaggItem 22 7" xfId="17863" xr:uid="{00000000-0005-0000-0000-0000413A0000}"/>
    <cellStyle name="SAPBEXaggItem 22 8" xfId="21042" xr:uid="{00000000-0005-0000-0000-0000423A0000}"/>
    <cellStyle name="SAPBEXaggItem 22 9" xfId="22477" xr:uid="{00000000-0005-0000-0000-0000433A0000}"/>
    <cellStyle name="SAPBEXaggItem 23" xfId="3756" xr:uid="{00000000-0005-0000-0000-0000443A0000}"/>
    <cellStyle name="SAPBEXaggItem 23 2" xfId="6294" xr:uid="{00000000-0005-0000-0000-0000453A0000}"/>
    <cellStyle name="SAPBEXaggItem 23 3" xfId="9870" xr:uid="{00000000-0005-0000-0000-0000463A0000}"/>
    <cellStyle name="SAPBEXaggItem 23 4" xfId="12246" xr:uid="{00000000-0005-0000-0000-0000473A0000}"/>
    <cellStyle name="SAPBEXaggItem 23 5" xfId="12313" xr:uid="{00000000-0005-0000-0000-0000483A0000}"/>
    <cellStyle name="SAPBEXaggItem 23 6" xfId="15461" xr:uid="{00000000-0005-0000-0000-0000493A0000}"/>
    <cellStyle name="SAPBEXaggItem 23 7" xfId="17009" xr:uid="{00000000-0005-0000-0000-00004A3A0000}"/>
    <cellStyle name="SAPBEXaggItem 23 8" xfId="20157" xr:uid="{00000000-0005-0000-0000-00004B3A0000}"/>
    <cellStyle name="SAPBEXaggItem 23 9" xfId="21704" xr:uid="{00000000-0005-0000-0000-00004C3A0000}"/>
    <cellStyle name="SAPBEXaggItem 24" xfId="3966" xr:uid="{00000000-0005-0000-0000-00004D3A0000}"/>
    <cellStyle name="SAPBEXaggItem 24 2" xfId="6504" xr:uid="{00000000-0005-0000-0000-00004E3A0000}"/>
    <cellStyle name="SAPBEXaggItem 24 3" xfId="8325" xr:uid="{00000000-0005-0000-0000-00004F3A0000}"/>
    <cellStyle name="SAPBEXaggItem 24 4" xfId="11500" xr:uid="{00000000-0005-0000-0000-0000503A0000}"/>
    <cellStyle name="SAPBEXaggItem 24 5" xfId="13927" xr:uid="{00000000-0005-0000-0000-0000513A0000}"/>
    <cellStyle name="SAPBEXaggItem 24 6" xfId="16396" xr:uid="{00000000-0005-0000-0000-0000523A0000}"/>
    <cellStyle name="SAPBEXaggItem 24 7" xfId="18623" xr:uid="{00000000-0005-0000-0000-0000533A0000}"/>
    <cellStyle name="SAPBEXaggItem 24 8" xfId="21092" xr:uid="{00000000-0005-0000-0000-0000543A0000}"/>
    <cellStyle name="SAPBEXaggItem 24 9" xfId="23175" xr:uid="{00000000-0005-0000-0000-0000553A0000}"/>
    <cellStyle name="SAPBEXaggItem 25" xfId="4140" xr:uid="{00000000-0005-0000-0000-0000563A0000}"/>
    <cellStyle name="SAPBEXaggItem 25 2" xfId="6678" xr:uid="{00000000-0005-0000-0000-0000573A0000}"/>
    <cellStyle name="SAPBEXaggItem 25 3" xfId="9645" xr:uid="{00000000-0005-0000-0000-0000583A0000}"/>
    <cellStyle name="SAPBEXaggItem 25 4" xfId="10718" xr:uid="{00000000-0005-0000-0000-0000593A0000}"/>
    <cellStyle name="SAPBEXaggItem 25 5" xfId="12360" xr:uid="{00000000-0005-0000-0000-00005A3A0000}"/>
    <cellStyle name="SAPBEXaggItem 25 6" xfId="16449" xr:uid="{00000000-0005-0000-0000-00005B3A0000}"/>
    <cellStyle name="SAPBEXaggItem 25 7" xfId="17056" xr:uid="{00000000-0005-0000-0000-00005C3A0000}"/>
    <cellStyle name="SAPBEXaggItem 25 8" xfId="21145" xr:uid="{00000000-0005-0000-0000-00005D3A0000}"/>
    <cellStyle name="SAPBEXaggItem 25 9" xfId="21747" xr:uid="{00000000-0005-0000-0000-00005E3A0000}"/>
    <cellStyle name="SAPBEXaggItem 26" xfId="4181" xr:uid="{00000000-0005-0000-0000-00005F3A0000}"/>
    <cellStyle name="SAPBEXaggItem 26 2" xfId="6719" xr:uid="{00000000-0005-0000-0000-0000603A0000}"/>
    <cellStyle name="SAPBEXaggItem 26 3" xfId="10130" xr:uid="{00000000-0005-0000-0000-0000613A0000}"/>
    <cellStyle name="SAPBEXaggItem 26 4" xfId="12213" xr:uid="{00000000-0005-0000-0000-0000623A0000}"/>
    <cellStyle name="SAPBEXaggItem 26 5" xfId="14841" xr:uid="{00000000-0005-0000-0000-0000633A0000}"/>
    <cellStyle name="SAPBEXaggItem 26 6" xfId="16908" xr:uid="{00000000-0005-0000-0000-0000643A0000}"/>
    <cellStyle name="SAPBEXaggItem 26 7" xfId="19537" xr:uid="{00000000-0005-0000-0000-0000653A0000}"/>
    <cellStyle name="SAPBEXaggItem 26 8" xfId="21604" xr:uid="{00000000-0005-0000-0000-0000663A0000}"/>
    <cellStyle name="SAPBEXaggItem 26 9" xfId="24022" xr:uid="{00000000-0005-0000-0000-0000673A0000}"/>
    <cellStyle name="SAPBEXaggItem 27" xfId="4227" xr:uid="{00000000-0005-0000-0000-0000683A0000}"/>
    <cellStyle name="SAPBEXaggItem 27 2" xfId="6765" xr:uid="{00000000-0005-0000-0000-0000693A0000}"/>
    <cellStyle name="SAPBEXaggItem 27 3" xfId="9710" xr:uid="{00000000-0005-0000-0000-00006A3A0000}"/>
    <cellStyle name="SAPBEXaggItem 27 4" xfId="11170" xr:uid="{00000000-0005-0000-0000-00006B3A0000}"/>
    <cellStyle name="SAPBEXaggItem 27 5" xfId="13566" xr:uid="{00000000-0005-0000-0000-00006C3A0000}"/>
    <cellStyle name="SAPBEXaggItem 27 6" xfId="15771" xr:uid="{00000000-0005-0000-0000-00006D3A0000}"/>
    <cellStyle name="SAPBEXaggItem 27 7" xfId="18262" xr:uid="{00000000-0005-0000-0000-00006E3A0000}"/>
    <cellStyle name="SAPBEXaggItem 27 8" xfId="20467" xr:uid="{00000000-0005-0000-0000-00006F3A0000}"/>
    <cellStyle name="SAPBEXaggItem 27 9" xfId="22843" xr:uid="{00000000-0005-0000-0000-0000703A0000}"/>
    <cellStyle name="SAPBEXaggItem 28" xfId="4268" xr:uid="{00000000-0005-0000-0000-0000713A0000}"/>
    <cellStyle name="SAPBEXaggItem 28 2" xfId="6806" xr:uid="{00000000-0005-0000-0000-0000723A0000}"/>
    <cellStyle name="SAPBEXaggItem 28 3" xfId="8076" xr:uid="{00000000-0005-0000-0000-0000733A0000}"/>
    <cellStyle name="SAPBEXaggItem 28 4" xfId="11684" xr:uid="{00000000-0005-0000-0000-0000743A0000}"/>
    <cellStyle name="SAPBEXaggItem 28 5" xfId="14132" xr:uid="{00000000-0005-0000-0000-0000753A0000}"/>
    <cellStyle name="SAPBEXaggItem 28 6" xfId="12544" xr:uid="{00000000-0005-0000-0000-0000763A0000}"/>
    <cellStyle name="SAPBEXaggItem 28 7" xfId="18828" xr:uid="{00000000-0005-0000-0000-0000773A0000}"/>
    <cellStyle name="SAPBEXaggItem 28 8" xfId="17240" xr:uid="{00000000-0005-0000-0000-0000783A0000}"/>
    <cellStyle name="SAPBEXaggItem 28 9" xfId="23358" xr:uid="{00000000-0005-0000-0000-0000793A0000}"/>
    <cellStyle name="SAPBEXaggItem 29" xfId="4311" xr:uid="{00000000-0005-0000-0000-00007A3A0000}"/>
    <cellStyle name="SAPBEXaggItem 29 2" xfId="6849" xr:uid="{00000000-0005-0000-0000-00007B3A0000}"/>
    <cellStyle name="SAPBEXaggItem 29 3" xfId="8805" xr:uid="{00000000-0005-0000-0000-00007C3A0000}"/>
    <cellStyle name="SAPBEXaggItem 29 4" xfId="12228" xr:uid="{00000000-0005-0000-0000-00007D3A0000}"/>
    <cellStyle name="SAPBEXaggItem 29 5" xfId="14097" xr:uid="{00000000-0005-0000-0000-00007E3A0000}"/>
    <cellStyle name="SAPBEXaggItem 29 6" xfId="16999" xr:uid="{00000000-0005-0000-0000-00007F3A0000}"/>
    <cellStyle name="SAPBEXaggItem 29 7" xfId="18793" xr:uid="{00000000-0005-0000-0000-0000803A0000}"/>
    <cellStyle name="SAPBEXaggItem 29 8" xfId="21695" xr:uid="{00000000-0005-0000-0000-0000813A0000}"/>
    <cellStyle name="SAPBEXaggItem 29 9" xfId="23326" xr:uid="{00000000-0005-0000-0000-0000823A0000}"/>
    <cellStyle name="SAPBEXaggItem 3" xfId="3117" xr:uid="{00000000-0005-0000-0000-0000833A0000}"/>
    <cellStyle name="SAPBEXaggItem 3 2" xfId="5655" xr:uid="{00000000-0005-0000-0000-0000843A0000}"/>
    <cellStyle name="SAPBEXaggItem 3 3" xfId="8476" xr:uid="{00000000-0005-0000-0000-0000853A0000}"/>
    <cellStyle name="SAPBEXaggItem 3 4" xfId="12068" xr:uid="{00000000-0005-0000-0000-0000863A0000}"/>
    <cellStyle name="SAPBEXaggItem 3 5" xfId="14548" xr:uid="{00000000-0005-0000-0000-0000873A0000}"/>
    <cellStyle name="SAPBEXaggItem 3 6" xfId="12862" xr:uid="{00000000-0005-0000-0000-0000883A0000}"/>
    <cellStyle name="SAPBEXaggItem 3 7" xfId="19244" xr:uid="{00000000-0005-0000-0000-0000893A0000}"/>
    <cellStyle name="SAPBEXaggItem 3 8" xfId="17558" xr:uid="{00000000-0005-0000-0000-00008A3A0000}"/>
    <cellStyle name="SAPBEXaggItem 3 9" xfId="23740" xr:uid="{00000000-0005-0000-0000-00008B3A0000}"/>
    <cellStyle name="SAPBEXaggItem 30" xfId="4354" xr:uid="{00000000-0005-0000-0000-00008C3A0000}"/>
    <cellStyle name="SAPBEXaggItem 30 2" xfId="6892" xr:uid="{00000000-0005-0000-0000-00008D3A0000}"/>
    <cellStyle name="SAPBEXaggItem 30 3" xfId="9877" xr:uid="{00000000-0005-0000-0000-00008E3A0000}"/>
    <cellStyle name="SAPBEXaggItem 30 4" xfId="12276" xr:uid="{00000000-0005-0000-0000-00008F3A0000}"/>
    <cellStyle name="SAPBEXaggItem 30 5" xfId="13511" xr:uid="{00000000-0005-0000-0000-0000903A0000}"/>
    <cellStyle name="SAPBEXaggItem 30 6" xfId="15167" xr:uid="{00000000-0005-0000-0000-0000913A0000}"/>
    <cellStyle name="SAPBEXaggItem 30 7" xfId="18207" xr:uid="{00000000-0005-0000-0000-0000923A0000}"/>
    <cellStyle name="SAPBEXaggItem 30 8" xfId="19863" xr:uid="{00000000-0005-0000-0000-0000933A0000}"/>
    <cellStyle name="SAPBEXaggItem 30 9" xfId="22790" xr:uid="{00000000-0005-0000-0000-0000943A0000}"/>
    <cellStyle name="SAPBEXaggItem 31" xfId="4397" xr:uid="{00000000-0005-0000-0000-0000953A0000}"/>
    <cellStyle name="SAPBEXaggItem 31 2" xfId="6935" xr:uid="{00000000-0005-0000-0000-0000963A0000}"/>
    <cellStyle name="SAPBEXaggItem 31 3" xfId="8660" xr:uid="{00000000-0005-0000-0000-0000973A0000}"/>
    <cellStyle name="SAPBEXaggItem 31 4" xfId="11759" xr:uid="{00000000-0005-0000-0000-0000983A0000}"/>
    <cellStyle name="SAPBEXaggItem 31 5" xfId="14210" xr:uid="{00000000-0005-0000-0000-0000993A0000}"/>
    <cellStyle name="SAPBEXaggItem 31 6" xfId="16405" xr:uid="{00000000-0005-0000-0000-00009A3A0000}"/>
    <cellStyle name="SAPBEXaggItem 31 7" xfId="18906" xr:uid="{00000000-0005-0000-0000-00009B3A0000}"/>
    <cellStyle name="SAPBEXaggItem 31 8" xfId="21101" xr:uid="{00000000-0005-0000-0000-00009C3A0000}"/>
    <cellStyle name="SAPBEXaggItem 31 9" xfId="23433" xr:uid="{00000000-0005-0000-0000-00009D3A0000}"/>
    <cellStyle name="SAPBEXaggItem 32" xfId="4466" xr:uid="{00000000-0005-0000-0000-00009E3A0000}"/>
    <cellStyle name="SAPBEXaggItem 32 2" xfId="7004" xr:uid="{00000000-0005-0000-0000-00009F3A0000}"/>
    <cellStyle name="SAPBEXaggItem 32 3" xfId="8161" xr:uid="{00000000-0005-0000-0000-0000A03A0000}"/>
    <cellStyle name="SAPBEXaggItem 32 4" xfId="11914" xr:uid="{00000000-0005-0000-0000-0000A13A0000}"/>
    <cellStyle name="SAPBEXaggItem 32 5" xfId="14386" xr:uid="{00000000-0005-0000-0000-0000A23A0000}"/>
    <cellStyle name="SAPBEXaggItem 32 6" xfId="16424" xr:uid="{00000000-0005-0000-0000-0000A33A0000}"/>
    <cellStyle name="SAPBEXaggItem 32 7" xfId="19082" xr:uid="{00000000-0005-0000-0000-0000A43A0000}"/>
    <cellStyle name="SAPBEXaggItem 32 8" xfId="21120" xr:uid="{00000000-0005-0000-0000-0000A53A0000}"/>
    <cellStyle name="SAPBEXaggItem 32 9" xfId="23589" xr:uid="{00000000-0005-0000-0000-0000A63A0000}"/>
    <cellStyle name="SAPBEXaggItem 33" xfId="4231" xr:uid="{00000000-0005-0000-0000-0000A73A0000}"/>
    <cellStyle name="SAPBEXaggItem 33 2" xfId="6769" xr:uid="{00000000-0005-0000-0000-0000A83A0000}"/>
    <cellStyle name="SAPBEXaggItem 33 3" xfId="9493" xr:uid="{00000000-0005-0000-0000-0000A93A0000}"/>
    <cellStyle name="SAPBEXaggItem 33 4" xfId="8085" xr:uid="{00000000-0005-0000-0000-0000AA3A0000}"/>
    <cellStyle name="SAPBEXaggItem 33 5" xfId="12522" xr:uid="{00000000-0005-0000-0000-0000AB3A0000}"/>
    <cellStyle name="SAPBEXaggItem 33 6" xfId="15289" xr:uid="{00000000-0005-0000-0000-0000AC3A0000}"/>
    <cellStyle name="SAPBEXaggItem 33 7" xfId="17218" xr:uid="{00000000-0005-0000-0000-0000AD3A0000}"/>
    <cellStyle name="SAPBEXaggItem 33 8" xfId="19985" xr:uid="{00000000-0005-0000-0000-0000AE3A0000}"/>
    <cellStyle name="SAPBEXaggItem 33 9" xfId="21889" xr:uid="{00000000-0005-0000-0000-0000AF3A0000}"/>
    <cellStyle name="SAPBEXaggItem 34" xfId="4548" xr:uid="{00000000-0005-0000-0000-0000B03A0000}"/>
    <cellStyle name="SAPBEXaggItem 34 2" xfId="7086" xr:uid="{00000000-0005-0000-0000-0000B13A0000}"/>
    <cellStyle name="SAPBEXaggItem 34 3" xfId="8422" xr:uid="{00000000-0005-0000-0000-0000B23A0000}"/>
    <cellStyle name="SAPBEXaggItem 34 4" xfId="12303" xr:uid="{00000000-0005-0000-0000-0000B33A0000}"/>
    <cellStyle name="SAPBEXaggItem 34 5" xfId="14691" xr:uid="{00000000-0005-0000-0000-0000B43A0000}"/>
    <cellStyle name="SAPBEXaggItem 34 6" xfId="16442" xr:uid="{00000000-0005-0000-0000-0000B53A0000}"/>
    <cellStyle name="SAPBEXaggItem 34 7" xfId="19387" xr:uid="{00000000-0005-0000-0000-0000B63A0000}"/>
    <cellStyle name="SAPBEXaggItem 34 8" xfId="21138" xr:uid="{00000000-0005-0000-0000-0000B73A0000}"/>
    <cellStyle name="SAPBEXaggItem 34 9" xfId="23878" xr:uid="{00000000-0005-0000-0000-0000B83A0000}"/>
    <cellStyle name="SAPBEXaggItem 35" xfId="4500" xr:uid="{00000000-0005-0000-0000-0000B93A0000}"/>
    <cellStyle name="SAPBEXaggItem 35 2" xfId="7038" xr:uid="{00000000-0005-0000-0000-0000BA3A0000}"/>
    <cellStyle name="SAPBEXaggItem 35 3" xfId="10129" xr:uid="{00000000-0005-0000-0000-0000BB3A0000}"/>
    <cellStyle name="SAPBEXaggItem 35 4" xfId="10872" xr:uid="{00000000-0005-0000-0000-0000BC3A0000}"/>
    <cellStyle name="SAPBEXaggItem 35 5" xfId="13238" xr:uid="{00000000-0005-0000-0000-0000BD3A0000}"/>
    <cellStyle name="SAPBEXaggItem 35 6" xfId="15181" xr:uid="{00000000-0005-0000-0000-0000BE3A0000}"/>
    <cellStyle name="SAPBEXaggItem 35 7" xfId="17934" xr:uid="{00000000-0005-0000-0000-0000BF3A0000}"/>
    <cellStyle name="SAPBEXaggItem 35 8" xfId="19877" xr:uid="{00000000-0005-0000-0000-0000C03A0000}"/>
    <cellStyle name="SAPBEXaggItem 35 9" xfId="22543" xr:uid="{00000000-0005-0000-0000-0000C13A0000}"/>
    <cellStyle name="SAPBEXaggItem 36" xfId="4612" xr:uid="{00000000-0005-0000-0000-0000C23A0000}"/>
    <cellStyle name="SAPBEXaggItem 36 2" xfId="7150" xr:uid="{00000000-0005-0000-0000-0000C33A0000}"/>
    <cellStyle name="SAPBEXaggItem 36 3" xfId="9470" xr:uid="{00000000-0005-0000-0000-0000C43A0000}"/>
    <cellStyle name="SAPBEXaggItem 36 4" xfId="11070" xr:uid="{00000000-0005-0000-0000-0000C53A0000}"/>
    <cellStyle name="SAPBEXaggItem 36 5" xfId="13458" xr:uid="{00000000-0005-0000-0000-0000C63A0000}"/>
    <cellStyle name="SAPBEXaggItem 36 6" xfId="16562" xr:uid="{00000000-0005-0000-0000-0000C73A0000}"/>
    <cellStyle name="SAPBEXaggItem 36 7" xfId="18154" xr:uid="{00000000-0005-0000-0000-0000C83A0000}"/>
    <cellStyle name="SAPBEXaggItem 36 8" xfId="21258" xr:uid="{00000000-0005-0000-0000-0000C93A0000}"/>
    <cellStyle name="SAPBEXaggItem 36 9" xfId="22743" xr:uid="{00000000-0005-0000-0000-0000CA3A0000}"/>
    <cellStyle name="SAPBEXaggItem 37" xfId="4655" xr:uid="{00000000-0005-0000-0000-0000CB3A0000}"/>
    <cellStyle name="SAPBEXaggItem 37 2" xfId="7193" xr:uid="{00000000-0005-0000-0000-0000CC3A0000}"/>
    <cellStyle name="SAPBEXaggItem 37 3" xfId="10096" xr:uid="{00000000-0005-0000-0000-0000CD3A0000}"/>
    <cellStyle name="SAPBEXaggItem 37 4" xfId="12194" xr:uid="{00000000-0005-0000-0000-0000CE3A0000}"/>
    <cellStyle name="SAPBEXaggItem 37 5" xfId="14580" xr:uid="{00000000-0005-0000-0000-0000CF3A0000}"/>
    <cellStyle name="SAPBEXaggItem 37 6" xfId="16939" xr:uid="{00000000-0005-0000-0000-0000D03A0000}"/>
    <cellStyle name="SAPBEXaggItem 37 7" xfId="19276" xr:uid="{00000000-0005-0000-0000-0000D13A0000}"/>
    <cellStyle name="SAPBEXaggItem 37 8" xfId="21635" xr:uid="{00000000-0005-0000-0000-0000D23A0000}"/>
    <cellStyle name="SAPBEXaggItem 37 9" xfId="23772" xr:uid="{00000000-0005-0000-0000-0000D33A0000}"/>
    <cellStyle name="SAPBEXaggItem 38" xfId="4566" xr:uid="{00000000-0005-0000-0000-0000D43A0000}"/>
    <cellStyle name="SAPBEXaggItem 38 2" xfId="7104" xr:uid="{00000000-0005-0000-0000-0000D53A0000}"/>
    <cellStyle name="SAPBEXaggItem 38 3" xfId="8348" xr:uid="{00000000-0005-0000-0000-0000D63A0000}"/>
    <cellStyle name="SAPBEXaggItem 38 4" xfId="11435" xr:uid="{00000000-0005-0000-0000-0000D73A0000}"/>
    <cellStyle name="SAPBEXaggItem 38 5" xfId="13853" xr:uid="{00000000-0005-0000-0000-0000D83A0000}"/>
    <cellStyle name="SAPBEXaggItem 38 6" xfId="16547" xr:uid="{00000000-0005-0000-0000-0000D93A0000}"/>
    <cellStyle name="SAPBEXaggItem 38 7" xfId="18549" xr:uid="{00000000-0005-0000-0000-0000DA3A0000}"/>
    <cellStyle name="SAPBEXaggItem 38 8" xfId="21243" xr:uid="{00000000-0005-0000-0000-0000DB3A0000}"/>
    <cellStyle name="SAPBEXaggItem 38 9" xfId="23110" xr:uid="{00000000-0005-0000-0000-0000DC3A0000}"/>
    <cellStyle name="SAPBEXaggItem 39" xfId="4621" xr:uid="{00000000-0005-0000-0000-0000DD3A0000}"/>
    <cellStyle name="SAPBEXaggItem 39 2" xfId="7159" xr:uid="{00000000-0005-0000-0000-0000DE3A0000}"/>
    <cellStyle name="SAPBEXaggItem 39 3" xfId="8235" xr:uid="{00000000-0005-0000-0000-0000DF3A0000}"/>
    <cellStyle name="SAPBEXaggItem 39 4" xfId="11678" xr:uid="{00000000-0005-0000-0000-0000E03A0000}"/>
    <cellStyle name="SAPBEXaggItem 39 5" xfId="14125" xr:uid="{00000000-0005-0000-0000-0000E13A0000}"/>
    <cellStyle name="SAPBEXaggItem 39 6" xfId="12619" xr:uid="{00000000-0005-0000-0000-0000E23A0000}"/>
    <cellStyle name="SAPBEXaggItem 39 7" xfId="18821" xr:uid="{00000000-0005-0000-0000-0000E33A0000}"/>
    <cellStyle name="SAPBEXaggItem 39 8" xfId="17315" xr:uid="{00000000-0005-0000-0000-0000E43A0000}"/>
    <cellStyle name="SAPBEXaggItem 39 9" xfId="23352" xr:uid="{00000000-0005-0000-0000-0000E53A0000}"/>
    <cellStyle name="SAPBEXaggItem 4" xfId="3018" xr:uid="{00000000-0005-0000-0000-0000E63A0000}"/>
    <cellStyle name="SAPBEXaggItem 4 2" xfId="5557" xr:uid="{00000000-0005-0000-0000-0000E73A0000}"/>
    <cellStyle name="SAPBEXaggItem 4 3" xfId="9876" xr:uid="{00000000-0005-0000-0000-0000E83A0000}"/>
    <cellStyle name="SAPBEXaggItem 4 4" xfId="11468" xr:uid="{00000000-0005-0000-0000-0000E93A0000}"/>
    <cellStyle name="SAPBEXaggItem 4 5" xfId="13891" xr:uid="{00000000-0005-0000-0000-0000EA3A0000}"/>
    <cellStyle name="SAPBEXaggItem 4 6" xfId="15635" xr:uid="{00000000-0005-0000-0000-0000EB3A0000}"/>
    <cellStyle name="SAPBEXaggItem 4 7" xfId="18587" xr:uid="{00000000-0005-0000-0000-0000EC3A0000}"/>
    <cellStyle name="SAPBEXaggItem 4 8" xfId="20331" xr:uid="{00000000-0005-0000-0000-0000ED3A0000}"/>
    <cellStyle name="SAPBEXaggItem 4 9" xfId="23143" xr:uid="{00000000-0005-0000-0000-0000EE3A0000}"/>
    <cellStyle name="SAPBEXaggItem 40" xfId="4802" xr:uid="{00000000-0005-0000-0000-0000EF3A0000}"/>
    <cellStyle name="SAPBEXaggItem 40 2" xfId="7340" xr:uid="{00000000-0005-0000-0000-0000F03A0000}"/>
    <cellStyle name="SAPBEXaggItem 40 3" xfId="9619" xr:uid="{00000000-0005-0000-0000-0000F13A0000}"/>
    <cellStyle name="SAPBEXaggItem 40 4" xfId="11091" xr:uid="{00000000-0005-0000-0000-0000F23A0000}"/>
    <cellStyle name="SAPBEXaggItem 40 5" xfId="13482" xr:uid="{00000000-0005-0000-0000-0000F33A0000}"/>
    <cellStyle name="SAPBEXaggItem 40 6" xfId="15038" xr:uid="{00000000-0005-0000-0000-0000F43A0000}"/>
    <cellStyle name="SAPBEXaggItem 40 7" xfId="18178" xr:uid="{00000000-0005-0000-0000-0000F53A0000}"/>
    <cellStyle name="SAPBEXaggItem 40 8" xfId="19734" xr:uid="{00000000-0005-0000-0000-0000F63A0000}"/>
    <cellStyle name="SAPBEXaggItem 40 9" xfId="22764" xr:uid="{00000000-0005-0000-0000-0000F73A0000}"/>
    <cellStyle name="SAPBEXaggItem 41" xfId="4871" xr:uid="{00000000-0005-0000-0000-0000F83A0000}"/>
    <cellStyle name="SAPBEXaggItem 41 2" xfId="7409" xr:uid="{00000000-0005-0000-0000-0000F93A0000}"/>
    <cellStyle name="SAPBEXaggItem 41 3" xfId="8335" xr:uid="{00000000-0005-0000-0000-0000FA3A0000}"/>
    <cellStyle name="SAPBEXaggItem 41 4" xfId="11600" xr:uid="{00000000-0005-0000-0000-0000FB3A0000}"/>
    <cellStyle name="SAPBEXaggItem 41 5" xfId="14038" xr:uid="{00000000-0005-0000-0000-0000FC3A0000}"/>
    <cellStyle name="SAPBEXaggItem 41 6" xfId="16132" xr:uid="{00000000-0005-0000-0000-0000FD3A0000}"/>
    <cellStyle name="SAPBEXaggItem 41 7" xfId="18734" xr:uid="{00000000-0005-0000-0000-0000FE3A0000}"/>
    <cellStyle name="SAPBEXaggItem 41 8" xfId="20828" xr:uid="{00000000-0005-0000-0000-0000FF3A0000}"/>
    <cellStyle name="SAPBEXaggItem 41 9" xfId="23274" xr:uid="{00000000-0005-0000-0000-0000003B0000}"/>
    <cellStyle name="SAPBEXaggItem 42" xfId="4780" xr:uid="{00000000-0005-0000-0000-0000013B0000}"/>
    <cellStyle name="SAPBEXaggItem 42 2" xfId="7318" xr:uid="{00000000-0005-0000-0000-0000023B0000}"/>
    <cellStyle name="SAPBEXaggItem 42 3" xfId="9132" xr:uid="{00000000-0005-0000-0000-0000033B0000}"/>
    <cellStyle name="SAPBEXaggItem 42 4" xfId="10380" xr:uid="{00000000-0005-0000-0000-0000043B0000}"/>
    <cellStyle name="SAPBEXaggItem 42 5" xfId="12702" xr:uid="{00000000-0005-0000-0000-0000053B0000}"/>
    <cellStyle name="SAPBEXaggItem 42 6" xfId="15828" xr:uid="{00000000-0005-0000-0000-0000063B0000}"/>
    <cellStyle name="SAPBEXaggItem 42 7" xfId="17398" xr:uid="{00000000-0005-0000-0000-0000073B0000}"/>
    <cellStyle name="SAPBEXaggItem 42 8" xfId="20524" xr:uid="{00000000-0005-0000-0000-0000083B0000}"/>
    <cellStyle name="SAPBEXaggItem 42 9" xfId="22051" xr:uid="{00000000-0005-0000-0000-0000093B0000}"/>
    <cellStyle name="SAPBEXaggItem 43" xfId="4641" xr:uid="{00000000-0005-0000-0000-00000A3B0000}"/>
    <cellStyle name="SAPBEXaggItem 43 2" xfId="7179" xr:uid="{00000000-0005-0000-0000-00000B3B0000}"/>
    <cellStyle name="SAPBEXaggItem 43 3" xfId="8010" xr:uid="{00000000-0005-0000-0000-00000C3B0000}"/>
    <cellStyle name="SAPBEXaggItem 43 4" xfId="10543" xr:uid="{00000000-0005-0000-0000-00000D3B0000}"/>
    <cellStyle name="SAPBEXaggItem 43 5" xfId="12886" xr:uid="{00000000-0005-0000-0000-00000E3B0000}"/>
    <cellStyle name="SAPBEXaggItem 43 6" xfId="15276" xr:uid="{00000000-0005-0000-0000-00000F3B0000}"/>
    <cellStyle name="SAPBEXaggItem 43 7" xfId="17582" xr:uid="{00000000-0005-0000-0000-0000103B0000}"/>
    <cellStyle name="SAPBEXaggItem 43 8" xfId="19972" xr:uid="{00000000-0005-0000-0000-0000113B0000}"/>
    <cellStyle name="SAPBEXaggItem 43 9" xfId="22214" xr:uid="{00000000-0005-0000-0000-0000123B0000}"/>
    <cellStyle name="SAPBEXaggItem 44" xfId="4963" xr:uid="{00000000-0005-0000-0000-0000133B0000}"/>
    <cellStyle name="SAPBEXaggItem 44 2" xfId="7501" xr:uid="{00000000-0005-0000-0000-0000143B0000}"/>
    <cellStyle name="SAPBEXaggItem 44 3" xfId="9017" xr:uid="{00000000-0005-0000-0000-0000153B0000}"/>
    <cellStyle name="SAPBEXaggItem 44 4" xfId="10648" xr:uid="{00000000-0005-0000-0000-0000163B0000}"/>
    <cellStyle name="SAPBEXaggItem 44 5" xfId="12997" xr:uid="{00000000-0005-0000-0000-0000173B0000}"/>
    <cellStyle name="SAPBEXaggItem 44 6" xfId="15586" xr:uid="{00000000-0005-0000-0000-0000183B0000}"/>
    <cellStyle name="SAPBEXaggItem 44 7" xfId="17693" xr:uid="{00000000-0005-0000-0000-0000193B0000}"/>
    <cellStyle name="SAPBEXaggItem 44 8" xfId="20282" xr:uid="{00000000-0005-0000-0000-00001A3B0000}"/>
    <cellStyle name="SAPBEXaggItem 44 9" xfId="22321" xr:uid="{00000000-0005-0000-0000-00001B3B0000}"/>
    <cellStyle name="SAPBEXaggItem 45" xfId="5003" xr:uid="{00000000-0005-0000-0000-00001C3B0000}"/>
    <cellStyle name="SAPBEXaggItem 45 2" xfId="7541" xr:uid="{00000000-0005-0000-0000-00001D3B0000}"/>
    <cellStyle name="SAPBEXaggItem 45 3" xfId="9668" xr:uid="{00000000-0005-0000-0000-00001E3B0000}"/>
    <cellStyle name="SAPBEXaggItem 45 4" xfId="11974" xr:uid="{00000000-0005-0000-0000-00001F3B0000}"/>
    <cellStyle name="SAPBEXaggItem 45 5" xfId="13320" xr:uid="{00000000-0005-0000-0000-0000203B0000}"/>
    <cellStyle name="SAPBEXaggItem 45 6" xfId="16195" xr:uid="{00000000-0005-0000-0000-0000213B0000}"/>
    <cellStyle name="SAPBEXaggItem 45 7" xfId="18016" xr:uid="{00000000-0005-0000-0000-0000223B0000}"/>
    <cellStyle name="SAPBEXaggItem 45 8" xfId="20891" xr:uid="{00000000-0005-0000-0000-0000233B0000}"/>
    <cellStyle name="SAPBEXaggItem 45 9" xfId="22620" xr:uid="{00000000-0005-0000-0000-0000243B0000}"/>
    <cellStyle name="SAPBEXaggItem 46" xfId="5040" xr:uid="{00000000-0005-0000-0000-0000253B0000}"/>
    <cellStyle name="SAPBEXaggItem 46 2" xfId="7578" xr:uid="{00000000-0005-0000-0000-0000263B0000}"/>
    <cellStyle name="SAPBEXaggItem 46 3" xfId="9446" xr:uid="{00000000-0005-0000-0000-0000273B0000}"/>
    <cellStyle name="SAPBEXaggItem 46 4" xfId="11865" xr:uid="{00000000-0005-0000-0000-0000283B0000}"/>
    <cellStyle name="SAPBEXaggItem 46 5" xfId="14328" xr:uid="{00000000-0005-0000-0000-0000293B0000}"/>
    <cellStyle name="SAPBEXaggItem 46 6" xfId="15485" xr:uid="{00000000-0005-0000-0000-00002A3B0000}"/>
    <cellStyle name="SAPBEXaggItem 46 7" xfId="19024" xr:uid="{00000000-0005-0000-0000-00002B3B0000}"/>
    <cellStyle name="SAPBEXaggItem 46 8" xfId="20181" xr:uid="{00000000-0005-0000-0000-00002C3B0000}"/>
    <cellStyle name="SAPBEXaggItem 46 9" xfId="23541" xr:uid="{00000000-0005-0000-0000-00002D3B0000}"/>
    <cellStyle name="SAPBEXaggItem 47" xfId="5070" xr:uid="{00000000-0005-0000-0000-00002E3B0000}"/>
    <cellStyle name="SAPBEXaggItem 47 2" xfId="7608" xr:uid="{00000000-0005-0000-0000-00002F3B0000}"/>
    <cellStyle name="SAPBEXaggItem 47 3" xfId="9843" xr:uid="{00000000-0005-0000-0000-0000303B0000}"/>
    <cellStyle name="SAPBEXaggItem 47 4" xfId="10363" xr:uid="{00000000-0005-0000-0000-0000313B0000}"/>
    <cellStyle name="SAPBEXaggItem 47 5" xfId="14806" xr:uid="{00000000-0005-0000-0000-0000323B0000}"/>
    <cellStyle name="SAPBEXaggItem 47 6" xfId="16948" xr:uid="{00000000-0005-0000-0000-0000333B0000}"/>
    <cellStyle name="SAPBEXaggItem 47 7" xfId="19502" xr:uid="{00000000-0005-0000-0000-0000343B0000}"/>
    <cellStyle name="SAPBEXaggItem 47 8" xfId="21644" xr:uid="{00000000-0005-0000-0000-0000353B0000}"/>
    <cellStyle name="SAPBEXaggItem 47 9" xfId="23990" xr:uid="{00000000-0005-0000-0000-0000363B0000}"/>
    <cellStyle name="SAPBEXaggItem 48" xfId="5124" xr:uid="{00000000-0005-0000-0000-0000373B0000}"/>
    <cellStyle name="SAPBEXaggItem 48 2" xfId="7662" xr:uid="{00000000-0005-0000-0000-0000383B0000}"/>
    <cellStyle name="SAPBEXaggItem 48 3" xfId="9514" xr:uid="{00000000-0005-0000-0000-0000393B0000}"/>
    <cellStyle name="SAPBEXaggItem 48 4" xfId="7985" xr:uid="{00000000-0005-0000-0000-00003A3B0000}"/>
    <cellStyle name="SAPBEXaggItem 48 5" xfId="12397" xr:uid="{00000000-0005-0000-0000-00003B3B0000}"/>
    <cellStyle name="SAPBEXaggItem 48 6" xfId="16008" xr:uid="{00000000-0005-0000-0000-00003C3B0000}"/>
    <cellStyle name="SAPBEXaggItem 48 7" xfId="17093" xr:uid="{00000000-0005-0000-0000-00003D3B0000}"/>
    <cellStyle name="SAPBEXaggItem 48 8" xfId="20704" xr:uid="{00000000-0005-0000-0000-00003E3B0000}"/>
    <cellStyle name="SAPBEXaggItem 48 9" xfId="21781" xr:uid="{00000000-0005-0000-0000-00003F3B0000}"/>
    <cellStyle name="SAPBEXaggItem 49" xfId="5193" xr:uid="{00000000-0005-0000-0000-0000403B0000}"/>
    <cellStyle name="SAPBEXaggItem 49 2" xfId="7732" xr:uid="{00000000-0005-0000-0000-0000413B0000}"/>
    <cellStyle name="SAPBEXaggItem 49 3" xfId="5515" xr:uid="{00000000-0005-0000-0000-0000423B0000}"/>
    <cellStyle name="SAPBEXaggItem 49 4" xfId="11365" xr:uid="{00000000-0005-0000-0000-0000433B0000}"/>
    <cellStyle name="SAPBEXaggItem 49 5" xfId="13778" xr:uid="{00000000-0005-0000-0000-0000443B0000}"/>
    <cellStyle name="SAPBEXaggItem 49 6" xfId="15986" xr:uid="{00000000-0005-0000-0000-0000453B0000}"/>
    <cellStyle name="SAPBEXaggItem 49 7" xfId="18474" xr:uid="{00000000-0005-0000-0000-0000463B0000}"/>
    <cellStyle name="SAPBEXaggItem 49 8" xfId="20682" xr:uid="{00000000-0005-0000-0000-0000473B0000}"/>
    <cellStyle name="SAPBEXaggItem 49 9" xfId="23039" xr:uid="{00000000-0005-0000-0000-0000483B0000}"/>
    <cellStyle name="SAPBEXaggItem 5" xfId="3171" xr:uid="{00000000-0005-0000-0000-0000493B0000}"/>
    <cellStyle name="SAPBEXaggItem 5 2" xfId="5709" xr:uid="{00000000-0005-0000-0000-00004A3B0000}"/>
    <cellStyle name="SAPBEXaggItem 5 3" xfId="9670" xr:uid="{00000000-0005-0000-0000-00004B3B0000}"/>
    <cellStyle name="SAPBEXaggItem 5 4" xfId="11214" xr:uid="{00000000-0005-0000-0000-00004C3B0000}"/>
    <cellStyle name="SAPBEXaggItem 5 5" xfId="13616" xr:uid="{00000000-0005-0000-0000-00004D3B0000}"/>
    <cellStyle name="SAPBEXaggItem 5 6" xfId="16704" xr:uid="{00000000-0005-0000-0000-00004E3B0000}"/>
    <cellStyle name="SAPBEXaggItem 5 7" xfId="18312" xr:uid="{00000000-0005-0000-0000-00004F3B0000}"/>
    <cellStyle name="SAPBEXaggItem 5 8" xfId="21400" xr:uid="{00000000-0005-0000-0000-0000503B0000}"/>
    <cellStyle name="SAPBEXaggItem 5 9" xfId="22889" xr:uid="{00000000-0005-0000-0000-0000513B0000}"/>
    <cellStyle name="SAPBEXaggItem 50" xfId="5233" xr:uid="{00000000-0005-0000-0000-0000523B0000}"/>
    <cellStyle name="SAPBEXaggItem 50 2" xfId="5492" xr:uid="{00000000-0005-0000-0000-0000533B0000}"/>
    <cellStyle name="SAPBEXaggItem 50 3" xfId="10876" xr:uid="{00000000-0005-0000-0000-0000543B0000}"/>
    <cellStyle name="SAPBEXaggItem 50 4" xfId="13243" xr:uid="{00000000-0005-0000-0000-0000553B0000}"/>
    <cellStyle name="SAPBEXaggItem 50 5" xfId="15966" xr:uid="{00000000-0005-0000-0000-0000563B0000}"/>
    <cellStyle name="SAPBEXaggItem 50 6" xfId="17939" xr:uid="{00000000-0005-0000-0000-0000573B0000}"/>
    <cellStyle name="SAPBEXaggItem 50 7" xfId="20662" xr:uid="{00000000-0005-0000-0000-0000583B0000}"/>
    <cellStyle name="SAPBEXaggItem 50 8" xfId="22547" xr:uid="{00000000-0005-0000-0000-0000593B0000}"/>
    <cellStyle name="SAPBEXaggItem 51" xfId="9552" xr:uid="{00000000-0005-0000-0000-00005A3B0000}"/>
    <cellStyle name="SAPBEXaggItem 52" xfId="10917" xr:uid="{00000000-0005-0000-0000-00005B3B0000}"/>
    <cellStyle name="SAPBEXaggItem 53" xfId="13287" xr:uid="{00000000-0005-0000-0000-00005C3B0000}"/>
    <cellStyle name="SAPBEXaggItem 54" xfId="16099" xr:uid="{00000000-0005-0000-0000-00005D3B0000}"/>
    <cellStyle name="SAPBEXaggItem 55" xfId="17983" xr:uid="{00000000-0005-0000-0000-00005E3B0000}"/>
    <cellStyle name="SAPBEXaggItem 56" xfId="20795" xr:uid="{00000000-0005-0000-0000-00005F3B0000}"/>
    <cellStyle name="SAPBEXaggItem 57" xfId="22588" xr:uid="{00000000-0005-0000-0000-0000603B0000}"/>
    <cellStyle name="SAPBEXaggItem 58" xfId="25929" xr:uid="{00000000-0005-0000-0000-0000613B0000}"/>
    <cellStyle name="SAPBEXaggItem 6" xfId="3214" xr:uid="{00000000-0005-0000-0000-0000623B0000}"/>
    <cellStyle name="SAPBEXaggItem 6 2" xfId="5752" xr:uid="{00000000-0005-0000-0000-0000633B0000}"/>
    <cellStyle name="SAPBEXaggItem 6 3" xfId="9896" xr:uid="{00000000-0005-0000-0000-0000643B0000}"/>
    <cellStyle name="SAPBEXaggItem 6 4" xfId="11078" xr:uid="{00000000-0005-0000-0000-0000653B0000}"/>
    <cellStyle name="SAPBEXaggItem 6 5" xfId="13467" xr:uid="{00000000-0005-0000-0000-0000663B0000}"/>
    <cellStyle name="SAPBEXaggItem 6 6" xfId="15225" xr:uid="{00000000-0005-0000-0000-0000673B0000}"/>
    <cellStyle name="SAPBEXaggItem 6 7" xfId="18163" xr:uid="{00000000-0005-0000-0000-0000683B0000}"/>
    <cellStyle name="SAPBEXaggItem 6 8" xfId="19921" xr:uid="{00000000-0005-0000-0000-0000693B0000}"/>
    <cellStyle name="SAPBEXaggItem 6 9" xfId="22751" xr:uid="{00000000-0005-0000-0000-00006A3B0000}"/>
    <cellStyle name="SAPBEXaggItem 7" xfId="3257" xr:uid="{00000000-0005-0000-0000-00006B3B0000}"/>
    <cellStyle name="SAPBEXaggItem 7 2" xfId="5795" xr:uid="{00000000-0005-0000-0000-00006C3B0000}"/>
    <cellStyle name="SAPBEXaggItem 7 3" xfId="5530" xr:uid="{00000000-0005-0000-0000-00006D3B0000}"/>
    <cellStyle name="SAPBEXaggItem 7 4" xfId="10480" xr:uid="{00000000-0005-0000-0000-00006E3B0000}"/>
    <cellStyle name="SAPBEXaggItem 7 5" xfId="12814" xr:uid="{00000000-0005-0000-0000-00006F3B0000}"/>
    <cellStyle name="SAPBEXaggItem 7 6" xfId="15622" xr:uid="{00000000-0005-0000-0000-0000703B0000}"/>
    <cellStyle name="SAPBEXaggItem 7 7" xfId="17510" xr:uid="{00000000-0005-0000-0000-0000713B0000}"/>
    <cellStyle name="SAPBEXaggItem 7 8" xfId="20318" xr:uid="{00000000-0005-0000-0000-0000723B0000}"/>
    <cellStyle name="SAPBEXaggItem 7 9" xfId="22150" xr:uid="{00000000-0005-0000-0000-0000733B0000}"/>
    <cellStyle name="SAPBEXaggItem 8" xfId="3300" xr:uid="{00000000-0005-0000-0000-0000743B0000}"/>
    <cellStyle name="SAPBEXaggItem 8 2" xfId="5838" xr:uid="{00000000-0005-0000-0000-0000753B0000}"/>
    <cellStyle name="SAPBEXaggItem 8 3" xfId="9331" xr:uid="{00000000-0005-0000-0000-0000763B0000}"/>
    <cellStyle name="SAPBEXaggItem 8 4" xfId="10596" xr:uid="{00000000-0005-0000-0000-0000773B0000}"/>
    <cellStyle name="SAPBEXaggItem 8 5" xfId="12944" xr:uid="{00000000-0005-0000-0000-0000783B0000}"/>
    <cellStyle name="SAPBEXaggItem 8 6" xfId="16042" xr:uid="{00000000-0005-0000-0000-0000793B0000}"/>
    <cellStyle name="SAPBEXaggItem 8 7" xfId="17640" xr:uid="{00000000-0005-0000-0000-00007A3B0000}"/>
    <cellStyle name="SAPBEXaggItem 8 8" xfId="20738" xr:uid="{00000000-0005-0000-0000-00007B3B0000}"/>
    <cellStyle name="SAPBEXaggItem 8 9" xfId="22269" xr:uid="{00000000-0005-0000-0000-00007C3B0000}"/>
    <cellStyle name="SAPBEXaggItem 9" xfId="3343" xr:uid="{00000000-0005-0000-0000-00007D3B0000}"/>
    <cellStyle name="SAPBEXaggItem 9 2" xfId="5881" xr:uid="{00000000-0005-0000-0000-00007E3B0000}"/>
    <cellStyle name="SAPBEXaggItem 9 3" xfId="8472" xr:uid="{00000000-0005-0000-0000-00007F3B0000}"/>
    <cellStyle name="SAPBEXaggItem 9 4" xfId="11237" xr:uid="{00000000-0005-0000-0000-0000803B0000}"/>
    <cellStyle name="SAPBEXaggItem 9 5" xfId="13642" xr:uid="{00000000-0005-0000-0000-0000813B0000}"/>
    <cellStyle name="SAPBEXaggItem 9 6" xfId="16052" xr:uid="{00000000-0005-0000-0000-0000823B0000}"/>
    <cellStyle name="SAPBEXaggItem 9 7" xfId="18338" xr:uid="{00000000-0005-0000-0000-0000833B0000}"/>
    <cellStyle name="SAPBEXaggItem 9 8" xfId="20748" xr:uid="{00000000-0005-0000-0000-0000843B0000}"/>
    <cellStyle name="SAPBEXaggItem 9 9" xfId="22911" xr:uid="{00000000-0005-0000-0000-0000853B0000}"/>
    <cellStyle name="SAPBEXaggItemX" xfId="2944" xr:uid="{00000000-0005-0000-0000-0000863B0000}"/>
    <cellStyle name="SAPBEXaggItemX 10" xfId="3387" xr:uid="{00000000-0005-0000-0000-0000873B0000}"/>
    <cellStyle name="SAPBEXaggItemX 10 2" xfId="5925" xr:uid="{00000000-0005-0000-0000-0000883B0000}"/>
    <cellStyle name="SAPBEXaggItemX 10 3" xfId="9519" xr:uid="{00000000-0005-0000-0000-0000893B0000}"/>
    <cellStyle name="SAPBEXaggItemX 10 4" xfId="12142" xr:uid="{00000000-0005-0000-0000-00008A3B0000}"/>
    <cellStyle name="SAPBEXaggItemX 10 5" xfId="14625" xr:uid="{00000000-0005-0000-0000-00008B3B0000}"/>
    <cellStyle name="SAPBEXaggItemX 10 6" xfId="16218" xr:uid="{00000000-0005-0000-0000-00008C3B0000}"/>
    <cellStyle name="SAPBEXaggItemX 10 7" xfId="19321" xr:uid="{00000000-0005-0000-0000-00008D3B0000}"/>
    <cellStyle name="SAPBEXaggItemX 10 8" xfId="20914" xr:uid="{00000000-0005-0000-0000-00008E3B0000}"/>
    <cellStyle name="SAPBEXaggItemX 10 9" xfId="23816" xr:uid="{00000000-0005-0000-0000-00008F3B0000}"/>
    <cellStyle name="SAPBEXaggItemX 11" xfId="3383" xr:uid="{00000000-0005-0000-0000-0000903B0000}"/>
    <cellStyle name="SAPBEXaggItemX 11 2" xfId="5921" xr:uid="{00000000-0005-0000-0000-0000913B0000}"/>
    <cellStyle name="SAPBEXaggItemX 11 3" xfId="9071" xr:uid="{00000000-0005-0000-0000-0000923B0000}"/>
    <cellStyle name="SAPBEXaggItemX 11 4" xfId="10427" xr:uid="{00000000-0005-0000-0000-0000933B0000}"/>
    <cellStyle name="SAPBEXaggItemX 11 5" xfId="12408" xr:uid="{00000000-0005-0000-0000-0000943B0000}"/>
    <cellStyle name="SAPBEXaggItemX 11 6" xfId="15271" xr:uid="{00000000-0005-0000-0000-0000953B0000}"/>
    <cellStyle name="SAPBEXaggItemX 11 7" xfId="17104" xr:uid="{00000000-0005-0000-0000-0000963B0000}"/>
    <cellStyle name="SAPBEXaggItemX 11 8" xfId="19967" xr:uid="{00000000-0005-0000-0000-0000973B0000}"/>
    <cellStyle name="SAPBEXaggItemX 11 9" xfId="21790" xr:uid="{00000000-0005-0000-0000-0000983B0000}"/>
    <cellStyle name="SAPBEXaggItemX 12" xfId="3220" xr:uid="{00000000-0005-0000-0000-0000993B0000}"/>
    <cellStyle name="SAPBEXaggItemX 12 2" xfId="5758" xr:uid="{00000000-0005-0000-0000-00009A3B0000}"/>
    <cellStyle name="SAPBEXaggItemX 12 3" xfId="9184" xr:uid="{00000000-0005-0000-0000-00009B3B0000}"/>
    <cellStyle name="SAPBEXaggItemX 12 4" xfId="10789" xr:uid="{00000000-0005-0000-0000-00009C3B0000}"/>
    <cellStyle name="SAPBEXaggItemX 12 5" xfId="13148" xr:uid="{00000000-0005-0000-0000-00009D3B0000}"/>
    <cellStyle name="SAPBEXaggItemX 12 6" xfId="15210" xr:uid="{00000000-0005-0000-0000-00009E3B0000}"/>
    <cellStyle name="SAPBEXaggItemX 12 7" xfId="17844" xr:uid="{00000000-0005-0000-0000-00009F3B0000}"/>
    <cellStyle name="SAPBEXaggItemX 12 8" xfId="19906" xr:uid="{00000000-0005-0000-0000-0000A03B0000}"/>
    <cellStyle name="SAPBEXaggItemX 12 9" xfId="22460" xr:uid="{00000000-0005-0000-0000-0000A13B0000}"/>
    <cellStyle name="SAPBEXaggItemX 13" xfId="3412" xr:uid="{00000000-0005-0000-0000-0000A23B0000}"/>
    <cellStyle name="SAPBEXaggItemX 13 2" xfId="5950" xr:uid="{00000000-0005-0000-0000-0000A33B0000}"/>
    <cellStyle name="SAPBEXaggItemX 13 3" xfId="9249" xr:uid="{00000000-0005-0000-0000-0000A43B0000}"/>
    <cellStyle name="SAPBEXaggItemX 13 4" xfId="10116" xr:uid="{00000000-0005-0000-0000-0000A53B0000}"/>
    <cellStyle name="SAPBEXaggItemX 13 5" xfId="12465" xr:uid="{00000000-0005-0000-0000-0000A63B0000}"/>
    <cellStyle name="SAPBEXaggItemX 13 6" xfId="15231" xr:uid="{00000000-0005-0000-0000-0000A73B0000}"/>
    <cellStyle name="SAPBEXaggItemX 13 7" xfId="17161" xr:uid="{00000000-0005-0000-0000-0000A83B0000}"/>
    <cellStyle name="SAPBEXaggItemX 13 8" xfId="19927" xr:uid="{00000000-0005-0000-0000-0000A93B0000}"/>
    <cellStyle name="SAPBEXaggItemX 13 9" xfId="21842" xr:uid="{00000000-0005-0000-0000-0000AA3B0000}"/>
    <cellStyle name="SAPBEXaggItemX 14" xfId="3544" xr:uid="{00000000-0005-0000-0000-0000AB3B0000}"/>
    <cellStyle name="SAPBEXaggItemX 14 2" xfId="6082" xr:uid="{00000000-0005-0000-0000-0000AC3B0000}"/>
    <cellStyle name="SAPBEXaggItemX 14 3" xfId="9186" xr:uid="{00000000-0005-0000-0000-0000AD3B0000}"/>
    <cellStyle name="SAPBEXaggItemX 14 4" xfId="10748" xr:uid="{00000000-0005-0000-0000-0000AE3B0000}"/>
    <cellStyle name="SAPBEXaggItemX 14 5" xfId="13103" xr:uid="{00000000-0005-0000-0000-0000AF3B0000}"/>
    <cellStyle name="SAPBEXaggItemX 14 6" xfId="15525" xr:uid="{00000000-0005-0000-0000-0000B03B0000}"/>
    <cellStyle name="SAPBEXaggItemX 14 7" xfId="17799" xr:uid="{00000000-0005-0000-0000-0000B13B0000}"/>
    <cellStyle name="SAPBEXaggItemX 14 8" xfId="20221" xr:uid="{00000000-0005-0000-0000-0000B23B0000}"/>
    <cellStyle name="SAPBEXaggItemX 14 9" xfId="22420" xr:uid="{00000000-0005-0000-0000-0000B33B0000}"/>
    <cellStyle name="SAPBEXaggItemX 15" xfId="3590" xr:uid="{00000000-0005-0000-0000-0000B43B0000}"/>
    <cellStyle name="SAPBEXaggItemX 15 2" xfId="6128" xr:uid="{00000000-0005-0000-0000-0000B53B0000}"/>
    <cellStyle name="SAPBEXaggItemX 15 3" xfId="8127" xr:uid="{00000000-0005-0000-0000-0000B63B0000}"/>
    <cellStyle name="SAPBEXaggItemX 15 4" xfId="10959" xr:uid="{00000000-0005-0000-0000-0000B73B0000}"/>
    <cellStyle name="SAPBEXaggItemX 15 5" xfId="13330" xr:uid="{00000000-0005-0000-0000-0000B83B0000}"/>
    <cellStyle name="SAPBEXaggItemX 15 6" xfId="16960" xr:uid="{00000000-0005-0000-0000-0000B93B0000}"/>
    <cellStyle name="SAPBEXaggItemX 15 7" xfId="18026" xr:uid="{00000000-0005-0000-0000-0000BA3B0000}"/>
    <cellStyle name="SAPBEXaggItemX 15 8" xfId="21656" xr:uid="{00000000-0005-0000-0000-0000BB3B0000}"/>
    <cellStyle name="SAPBEXaggItemX 15 9" xfId="22630" xr:uid="{00000000-0005-0000-0000-0000BC3B0000}"/>
    <cellStyle name="SAPBEXaggItemX 16" xfId="3628" xr:uid="{00000000-0005-0000-0000-0000BD3B0000}"/>
    <cellStyle name="SAPBEXaggItemX 16 2" xfId="6166" xr:uid="{00000000-0005-0000-0000-0000BE3B0000}"/>
    <cellStyle name="SAPBEXaggItemX 16 3" xfId="8084" xr:uid="{00000000-0005-0000-0000-0000BF3B0000}"/>
    <cellStyle name="SAPBEXaggItemX 16 4" xfId="11101" xr:uid="{00000000-0005-0000-0000-0000C03B0000}"/>
    <cellStyle name="SAPBEXaggItemX 16 5" xfId="13036" xr:uid="{00000000-0005-0000-0000-0000C13B0000}"/>
    <cellStyle name="SAPBEXaggItemX 16 6" xfId="15585" xr:uid="{00000000-0005-0000-0000-0000C23B0000}"/>
    <cellStyle name="SAPBEXaggItemX 16 7" xfId="17732" xr:uid="{00000000-0005-0000-0000-0000C33B0000}"/>
    <cellStyle name="SAPBEXaggItemX 16 8" xfId="20281" xr:uid="{00000000-0005-0000-0000-0000C43B0000}"/>
    <cellStyle name="SAPBEXaggItemX 16 9" xfId="22357" xr:uid="{00000000-0005-0000-0000-0000C53B0000}"/>
    <cellStyle name="SAPBEXaggItemX 17" xfId="3646" xr:uid="{00000000-0005-0000-0000-0000C63B0000}"/>
    <cellStyle name="SAPBEXaggItemX 17 2" xfId="6184" xr:uid="{00000000-0005-0000-0000-0000C73B0000}"/>
    <cellStyle name="SAPBEXaggItemX 17 3" xfId="9652" xr:uid="{00000000-0005-0000-0000-0000C83B0000}"/>
    <cellStyle name="SAPBEXaggItemX 17 4" xfId="10669" xr:uid="{00000000-0005-0000-0000-0000C93B0000}"/>
    <cellStyle name="SAPBEXaggItemX 17 5" xfId="13018" xr:uid="{00000000-0005-0000-0000-0000CA3B0000}"/>
    <cellStyle name="SAPBEXaggItemX 17 6" xfId="16687" xr:uid="{00000000-0005-0000-0000-0000CB3B0000}"/>
    <cellStyle name="SAPBEXaggItemX 17 7" xfId="17714" xr:uid="{00000000-0005-0000-0000-0000CC3B0000}"/>
    <cellStyle name="SAPBEXaggItemX 17 8" xfId="21383" xr:uid="{00000000-0005-0000-0000-0000CD3B0000}"/>
    <cellStyle name="SAPBEXaggItemX 17 9" xfId="22342" xr:uid="{00000000-0005-0000-0000-0000CE3B0000}"/>
    <cellStyle name="SAPBEXaggItemX 18" xfId="3593" xr:uid="{00000000-0005-0000-0000-0000CF3B0000}"/>
    <cellStyle name="SAPBEXaggItemX 18 2" xfId="6131" xr:uid="{00000000-0005-0000-0000-0000D03B0000}"/>
    <cellStyle name="SAPBEXaggItemX 18 3" xfId="8436" xr:uid="{00000000-0005-0000-0000-0000D13B0000}"/>
    <cellStyle name="SAPBEXaggItemX 18 4" xfId="10471" xr:uid="{00000000-0005-0000-0000-0000D23B0000}"/>
    <cellStyle name="SAPBEXaggItemX 18 5" xfId="12804" xr:uid="{00000000-0005-0000-0000-0000D33B0000}"/>
    <cellStyle name="SAPBEXaggItemX 18 6" xfId="16463" xr:uid="{00000000-0005-0000-0000-0000D43B0000}"/>
    <cellStyle name="SAPBEXaggItemX 18 7" xfId="17500" xr:uid="{00000000-0005-0000-0000-0000D53B0000}"/>
    <cellStyle name="SAPBEXaggItemX 18 8" xfId="21159" xr:uid="{00000000-0005-0000-0000-0000D63B0000}"/>
    <cellStyle name="SAPBEXaggItemX 18 9" xfId="22141" xr:uid="{00000000-0005-0000-0000-0000D73B0000}"/>
    <cellStyle name="SAPBEXaggItemX 19" xfId="3550" xr:uid="{00000000-0005-0000-0000-0000D83B0000}"/>
    <cellStyle name="SAPBEXaggItemX 19 2" xfId="6088" xr:uid="{00000000-0005-0000-0000-0000D93B0000}"/>
    <cellStyle name="SAPBEXaggItemX 19 3" xfId="9273" xr:uid="{00000000-0005-0000-0000-0000DA3B0000}"/>
    <cellStyle name="SAPBEXaggItemX 19 4" xfId="11902" xr:uid="{00000000-0005-0000-0000-0000DB3B0000}"/>
    <cellStyle name="SAPBEXaggItemX 19 5" xfId="14374" xr:uid="{00000000-0005-0000-0000-0000DC3B0000}"/>
    <cellStyle name="SAPBEXaggItemX 19 6" xfId="16913" xr:uid="{00000000-0005-0000-0000-0000DD3B0000}"/>
    <cellStyle name="SAPBEXaggItemX 19 7" xfId="19070" xr:uid="{00000000-0005-0000-0000-0000DE3B0000}"/>
    <cellStyle name="SAPBEXaggItemX 19 8" xfId="21609" xr:uid="{00000000-0005-0000-0000-0000DF3B0000}"/>
    <cellStyle name="SAPBEXaggItemX 19 9" xfId="23577" xr:uid="{00000000-0005-0000-0000-0000E03B0000}"/>
    <cellStyle name="SAPBEXaggItemX 2" xfId="3063" xr:uid="{00000000-0005-0000-0000-0000E13B0000}"/>
    <cellStyle name="SAPBEXaggItemX 2 2" xfId="5601" xr:uid="{00000000-0005-0000-0000-0000E23B0000}"/>
    <cellStyle name="SAPBEXaggItemX 2 3" xfId="8182" xr:uid="{00000000-0005-0000-0000-0000E33B0000}"/>
    <cellStyle name="SAPBEXaggItemX 2 4" xfId="12055" xr:uid="{00000000-0005-0000-0000-0000E43B0000}"/>
    <cellStyle name="SAPBEXaggItemX 2 5" xfId="14535" xr:uid="{00000000-0005-0000-0000-0000E53B0000}"/>
    <cellStyle name="SAPBEXaggItemX 2 6" xfId="14047" xr:uid="{00000000-0005-0000-0000-0000E63B0000}"/>
    <cellStyle name="SAPBEXaggItemX 2 7" xfId="19231" xr:uid="{00000000-0005-0000-0000-0000E73B0000}"/>
    <cellStyle name="SAPBEXaggItemX 2 8" xfId="18743" xr:uid="{00000000-0005-0000-0000-0000E83B0000}"/>
    <cellStyle name="SAPBEXaggItemX 2 9" xfId="23727" xr:uid="{00000000-0005-0000-0000-0000E93B0000}"/>
    <cellStyle name="SAPBEXaggItemX 20" xfId="3683" xr:uid="{00000000-0005-0000-0000-0000EA3B0000}"/>
    <cellStyle name="SAPBEXaggItemX 20 2" xfId="6221" xr:uid="{00000000-0005-0000-0000-0000EB3B0000}"/>
    <cellStyle name="SAPBEXaggItemX 20 3" xfId="8478" xr:uid="{00000000-0005-0000-0000-0000EC3B0000}"/>
    <cellStyle name="SAPBEXaggItemX 20 4" xfId="12185" xr:uid="{00000000-0005-0000-0000-0000ED3B0000}"/>
    <cellStyle name="SAPBEXaggItemX 20 5" xfId="14669" xr:uid="{00000000-0005-0000-0000-0000EE3B0000}"/>
    <cellStyle name="SAPBEXaggItemX 20 6" xfId="15024" xr:uid="{00000000-0005-0000-0000-0000EF3B0000}"/>
    <cellStyle name="SAPBEXaggItemX 20 7" xfId="19365" xr:uid="{00000000-0005-0000-0000-0000F03B0000}"/>
    <cellStyle name="SAPBEXaggItemX 20 8" xfId="19720" xr:uid="{00000000-0005-0000-0000-0000F13B0000}"/>
    <cellStyle name="SAPBEXaggItemX 20 9" xfId="23859" xr:uid="{00000000-0005-0000-0000-0000F23B0000}"/>
    <cellStyle name="SAPBEXaggItemX 21" xfId="3557" xr:uid="{00000000-0005-0000-0000-0000F33B0000}"/>
    <cellStyle name="SAPBEXaggItemX 21 2" xfId="6095" xr:uid="{00000000-0005-0000-0000-0000F43B0000}"/>
    <cellStyle name="SAPBEXaggItemX 21 3" xfId="9153" xr:uid="{00000000-0005-0000-0000-0000F53B0000}"/>
    <cellStyle name="SAPBEXaggItemX 21 4" xfId="11550" xr:uid="{00000000-0005-0000-0000-0000F63B0000}"/>
    <cellStyle name="SAPBEXaggItemX 21 5" xfId="13985" xr:uid="{00000000-0005-0000-0000-0000F73B0000}"/>
    <cellStyle name="SAPBEXaggItemX 21 6" xfId="15243" xr:uid="{00000000-0005-0000-0000-0000F83B0000}"/>
    <cellStyle name="SAPBEXaggItemX 21 7" xfId="18681" xr:uid="{00000000-0005-0000-0000-0000F93B0000}"/>
    <cellStyle name="SAPBEXaggItemX 21 8" xfId="19939" xr:uid="{00000000-0005-0000-0000-0000FA3B0000}"/>
    <cellStyle name="SAPBEXaggItemX 21 9" xfId="23224" xr:uid="{00000000-0005-0000-0000-0000FB3B0000}"/>
    <cellStyle name="SAPBEXaggItemX 22" xfId="3829" xr:uid="{00000000-0005-0000-0000-0000FC3B0000}"/>
    <cellStyle name="SAPBEXaggItemX 22 2" xfId="6367" xr:uid="{00000000-0005-0000-0000-0000FD3B0000}"/>
    <cellStyle name="SAPBEXaggItemX 22 3" xfId="9836" xr:uid="{00000000-0005-0000-0000-0000FE3B0000}"/>
    <cellStyle name="SAPBEXaggItemX 22 4" xfId="10800" xr:uid="{00000000-0005-0000-0000-0000FF3B0000}"/>
    <cellStyle name="SAPBEXaggItemX 22 5" xfId="13160" xr:uid="{00000000-0005-0000-0000-0000003C0000}"/>
    <cellStyle name="SAPBEXaggItemX 22 6" xfId="16581" xr:uid="{00000000-0005-0000-0000-0000013C0000}"/>
    <cellStyle name="SAPBEXaggItemX 22 7" xfId="17856" xr:uid="{00000000-0005-0000-0000-0000023C0000}"/>
    <cellStyle name="SAPBEXaggItemX 22 8" xfId="21277" xr:uid="{00000000-0005-0000-0000-0000033C0000}"/>
    <cellStyle name="SAPBEXaggItemX 22 9" xfId="22471" xr:uid="{00000000-0005-0000-0000-0000043C0000}"/>
    <cellStyle name="SAPBEXaggItemX 23" xfId="3808" xr:uid="{00000000-0005-0000-0000-0000053C0000}"/>
    <cellStyle name="SAPBEXaggItemX 23 2" xfId="6346" xr:uid="{00000000-0005-0000-0000-0000063C0000}"/>
    <cellStyle name="SAPBEXaggItemX 23 3" xfId="7714" xr:uid="{00000000-0005-0000-0000-0000073C0000}"/>
    <cellStyle name="SAPBEXaggItemX 23 4" xfId="8227" xr:uid="{00000000-0005-0000-0000-0000083C0000}"/>
    <cellStyle name="SAPBEXaggItemX 23 5" xfId="12515" xr:uid="{00000000-0005-0000-0000-0000093C0000}"/>
    <cellStyle name="SAPBEXaggItemX 23 6" xfId="15094" xr:uid="{00000000-0005-0000-0000-00000A3C0000}"/>
    <cellStyle name="SAPBEXaggItemX 23 7" xfId="17211" xr:uid="{00000000-0005-0000-0000-00000B3C0000}"/>
    <cellStyle name="SAPBEXaggItemX 23 8" xfId="19790" xr:uid="{00000000-0005-0000-0000-00000C3C0000}"/>
    <cellStyle name="SAPBEXaggItemX 23 9" xfId="21882" xr:uid="{00000000-0005-0000-0000-00000D3C0000}"/>
    <cellStyle name="SAPBEXaggItemX 24" xfId="3907" xr:uid="{00000000-0005-0000-0000-00000E3C0000}"/>
    <cellStyle name="SAPBEXaggItemX 24 2" xfId="6445" xr:uid="{00000000-0005-0000-0000-00000F3C0000}"/>
    <cellStyle name="SAPBEXaggItemX 24 3" xfId="8578" xr:uid="{00000000-0005-0000-0000-0000103C0000}"/>
    <cellStyle name="SAPBEXaggItemX 24 4" xfId="8074" xr:uid="{00000000-0005-0000-0000-0000113C0000}"/>
    <cellStyle name="SAPBEXaggItemX 24 5" xfId="12459" xr:uid="{00000000-0005-0000-0000-0000123C0000}"/>
    <cellStyle name="SAPBEXaggItemX 24 6" xfId="16595" xr:uid="{00000000-0005-0000-0000-0000133C0000}"/>
    <cellStyle name="SAPBEXaggItemX 24 7" xfId="17155" xr:uid="{00000000-0005-0000-0000-0000143C0000}"/>
    <cellStyle name="SAPBEXaggItemX 24 8" xfId="21291" xr:uid="{00000000-0005-0000-0000-0000153C0000}"/>
    <cellStyle name="SAPBEXaggItemX 24 9" xfId="21836" xr:uid="{00000000-0005-0000-0000-0000163C0000}"/>
    <cellStyle name="SAPBEXaggItemX 25" xfId="3950" xr:uid="{00000000-0005-0000-0000-0000173C0000}"/>
    <cellStyle name="SAPBEXaggItemX 25 2" xfId="6488" xr:uid="{00000000-0005-0000-0000-0000183C0000}"/>
    <cellStyle name="SAPBEXaggItemX 25 3" xfId="9461" xr:uid="{00000000-0005-0000-0000-0000193C0000}"/>
    <cellStyle name="SAPBEXaggItemX 25 4" xfId="11537" xr:uid="{00000000-0005-0000-0000-00001A3C0000}"/>
    <cellStyle name="SAPBEXaggItemX 25 5" xfId="13969" xr:uid="{00000000-0005-0000-0000-00001B3C0000}"/>
    <cellStyle name="SAPBEXaggItemX 25 6" xfId="15408" xr:uid="{00000000-0005-0000-0000-00001C3C0000}"/>
    <cellStyle name="SAPBEXaggItemX 25 7" xfId="18665" xr:uid="{00000000-0005-0000-0000-00001D3C0000}"/>
    <cellStyle name="SAPBEXaggItemX 25 8" xfId="20104" xr:uid="{00000000-0005-0000-0000-00001E3C0000}"/>
    <cellStyle name="SAPBEXaggItemX 25 9" xfId="23211" xr:uid="{00000000-0005-0000-0000-00001F3C0000}"/>
    <cellStyle name="SAPBEXaggItemX 26" xfId="3968" xr:uid="{00000000-0005-0000-0000-0000203C0000}"/>
    <cellStyle name="SAPBEXaggItemX 26 2" xfId="6506" xr:uid="{00000000-0005-0000-0000-0000213C0000}"/>
    <cellStyle name="SAPBEXaggItemX 26 3" xfId="8863" xr:uid="{00000000-0005-0000-0000-0000223C0000}"/>
    <cellStyle name="SAPBEXaggItemX 26 4" xfId="11127" xr:uid="{00000000-0005-0000-0000-0000233C0000}"/>
    <cellStyle name="SAPBEXaggItemX 26 5" xfId="13522" xr:uid="{00000000-0005-0000-0000-0000243C0000}"/>
    <cellStyle name="SAPBEXaggItemX 26 6" xfId="16433" xr:uid="{00000000-0005-0000-0000-0000253C0000}"/>
    <cellStyle name="SAPBEXaggItemX 26 7" xfId="18218" xr:uid="{00000000-0005-0000-0000-0000263C0000}"/>
    <cellStyle name="SAPBEXaggItemX 26 8" xfId="21129" xr:uid="{00000000-0005-0000-0000-0000273C0000}"/>
    <cellStyle name="SAPBEXaggItemX 26 9" xfId="22800" xr:uid="{00000000-0005-0000-0000-0000283C0000}"/>
    <cellStyle name="SAPBEXaggItemX 27" xfId="3991" xr:uid="{00000000-0005-0000-0000-0000293C0000}"/>
    <cellStyle name="SAPBEXaggItemX 27 2" xfId="6529" xr:uid="{00000000-0005-0000-0000-00002A3C0000}"/>
    <cellStyle name="SAPBEXaggItemX 27 3" xfId="10076" xr:uid="{00000000-0005-0000-0000-00002B3C0000}"/>
    <cellStyle name="SAPBEXaggItemX 27 4" xfId="10861" xr:uid="{00000000-0005-0000-0000-00002C3C0000}"/>
    <cellStyle name="SAPBEXaggItemX 27 5" xfId="13226" xr:uid="{00000000-0005-0000-0000-00002D3C0000}"/>
    <cellStyle name="SAPBEXaggItemX 27 6" xfId="16636" xr:uid="{00000000-0005-0000-0000-00002E3C0000}"/>
    <cellStyle name="SAPBEXaggItemX 27 7" xfId="17922" xr:uid="{00000000-0005-0000-0000-00002F3C0000}"/>
    <cellStyle name="SAPBEXaggItemX 27 8" xfId="21332" xr:uid="{00000000-0005-0000-0000-0000303C0000}"/>
    <cellStyle name="SAPBEXaggItemX 27 9" xfId="22532" xr:uid="{00000000-0005-0000-0000-0000313C0000}"/>
    <cellStyle name="SAPBEXaggItemX 28" xfId="3973" xr:uid="{00000000-0005-0000-0000-0000323C0000}"/>
    <cellStyle name="SAPBEXaggItemX 28 2" xfId="6511" xr:uid="{00000000-0005-0000-0000-0000333C0000}"/>
    <cellStyle name="SAPBEXaggItemX 28 3" xfId="8669" xr:uid="{00000000-0005-0000-0000-0000343C0000}"/>
    <cellStyle name="SAPBEXaggItemX 28 4" xfId="8094" xr:uid="{00000000-0005-0000-0000-0000353C0000}"/>
    <cellStyle name="SAPBEXaggItemX 28 5" xfId="12419" xr:uid="{00000000-0005-0000-0000-0000363C0000}"/>
    <cellStyle name="SAPBEXaggItemX 28 6" xfId="12454" xr:uid="{00000000-0005-0000-0000-0000373C0000}"/>
    <cellStyle name="SAPBEXaggItemX 28 7" xfId="17115" xr:uid="{00000000-0005-0000-0000-0000383C0000}"/>
    <cellStyle name="SAPBEXaggItemX 28 8" xfId="17150" xr:uid="{00000000-0005-0000-0000-0000393C0000}"/>
    <cellStyle name="SAPBEXaggItemX 28 9" xfId="21799" xr:uid="{00000000-0005-0000-0000-00003A3C0000}"/>
    <cellStyle name="SAPBEXaggItemX 29" xfId="4036" xr:uid="{00000000-0005-0000-0000-00003B3C0000}"/>
    <cellStyle name="SAPBEXaggItemX 29 2" xfId="6574" xr:uid="{00000000-0005-0000-0000-00003C3C0000}"/>
    <cellStyle name="SAPBEXaggItemX 29 3" xfId="8916" xr:uid="{00000000-0005-0000-0000-00003D3C0000}"/>
    <cellStyle name="SAPBEXaggItemX 29 4" xfId="10265" xr:uid="{00000000-0005-0000-0000-00003E3C0000}"/>
    <cellStyle name="SAPBEXaggItemX 29 5" xfId="12575" xr:uid="{00000000-0005-0000-0000-00003F3C0000}"/>
    <cellStyle name="SAPBEXaggItemX 29 6" xfId="15506" xr:uid="{00000000-0005-0000-0000-0000403C0000}"/>
    <cellStyle name="SAPBEXaggItemX 29 7" xfId="17271" xr:uid="{00000000-0005-0000-0000-0000413C0000}"/>
    <cellStyle name="SAPBEXaggItemX 29 8" xfId="20202" xr:uid="{00000000-0005-0000-0000-0000423C0000}"/>
    <cellStyle name="SAPBEXaggItemX 29 9" xfId="21934" xr:uid="{00000000-0005-0000-0000-0000433C0000}"/>
    <cellStyle name="SAPBEXaggItemX 3" xfId="3107" xr:uid="{00000000-0005-0000-0000-0000443C0000}"/>
    <cellStyle name="SAPBEXaggItemX 3 2" xfId="5645" xr:uid="{00000000-0005-0000-0000-0000453C0000}"/>
    <cellStyle name="SAPBEXaggItemX 3 3" xfId="8874" xr:uid="{00000000-0005-0000-0000-0000463C0000}"/>
    <cellStyle name="SAPBEXaggItemX 3 4" xfId="11218" xr:uid="{00000000-0005-0000-0000-0000473C0000}"/>
    <cellStyle name="SAPBEXaggItemX 3 5" xfId="13621" xr:uid="{00000000-0005-0000-0000-0000483C0000}"/>
    <cellStyle name="SAPBEXaggItemX 3 6" xfId="15978" xr:uid="{00000000-0005-0000-0000-0000493C0000}"/>
    <cellStyle name="SAPBEXaggItemX 3 7" xfId="18317" xr:uid="{00000000-0005-0000-0000-00004A3C0000}"/>
    <cellStyle name="SAPBEXaggItemX 3 8" xfId="20674" xr:uid="{00000000-0005-0000-0000-00004B3C0000}"/>
    <cellStyle name="SAPBEXaggItemX 3 9" xfId="22893" xr:uid="{00000000-0005-0000-0000-00004C3C0000}"/>
    <cellStyle name="SAPBEXaggItemX 30" xfId="4141" xr:uid="{00000000-0005-0000-0000-00004D3C0000}"/>
    <cellStyle name="SAPBEXaggItemX 30 2" xfId="6679" xr:uid="{00000000-0005-0000-0000-00004E3C0000}"/>
    <cellStyle name="SAPBEXaggItemX 30 3" xfId="8700" xr:uid="{00000000-0005-0000-0000-00004F3C0000}"/>
    <cellStyle name="SAPBEXaggItemX 30 4" xfId="11920" xr:uid="{00000000-0005-0000-0000-0000503C0000}"/>
    <cellStyle name="SAPBEXaggItemX 30 5" xfId="14392" xr:uid="{00000000-0005-0000-0000-0000513C0000}"/>
    <cellStyle name="SAPBEXaggItemX 30 6" xfId="17000" xr:uid="{00000000-0005-0000-0000-0000523C0000}"/>
    <cellStyle name="SAPBEXaggItemX 30 7" xfId="19088" xr:uid="{00000000-0005-0000-0000-0000533C0000}"/>
    <cellStyle name="SAPBEXaggItemX 30 8" xfId="21696" xr:uid="{00000000-0005-0000-0000-0000543C0000}"/>
    <cellStyle name="SAPBEXaggItemX 30 9" xfId="23595" xr:uid="{00000000-0005-0000-0000-0000553C0000}"/>
    <cellStyle name="SAPBEXaggItemX 31" xfId="4183" xr:uid="{00000000-0005-0000-0000-0000563C0000}"/>
    <cellStyle name="SAPBEXaggItemX 31 2" xfId="6721" xr:uid="{00000000-0005-0000-0000-0000573C0000}"/>
    <cellStyle name="SAPBEXaggItemX 31 3" xfId="9777" xr:uid="{00000000-0005-0000-0000-0000583C0000}"/>
    <cellStyle name="SAPBEXaggItemX 31 4" xfId="8597" xr:uid="{00000000-0005-0000-0000-0000593C0000}"/>
    <cellStyle name="SAPBEXaggItemX 31 5" xfId="12404" xr:uid="{00000000-0005-0000-0000-00005A3C0000}"/>
    <cellStyle name="SAPBEXaggItemX 31 6" xfId="16446" xr:uid="{00000000-0005-0000-0000-00005B3C0000}"/>
    <cellStyle name="SAPBEXaggItemX 31 7" xfId="17100" xr:uid="{00000000-0005-0000-0000-00005C3C0000}"/>
    <cellStyle name="SAPBEXaggItemX 31 8" xfId="21142" xr:uid="{00000000-0005-0000-0000-00005D3C0000}"/>
    <cellStyle name="SAPBEXaggItemX 31 9" xfId="21786" xr:uid="{00000000-0005-0000-0000-00005E3C0000}"/>
    <cellStyle name="SAPBEXaggItemX 32" xfId="4228" xr:uid="{00000000-0005-0000-0000-00005F3C0000}"/>
    <cellStyle name="SAPBEXaggItemX 32 2" xfId="6766" xr:uid="{00000000-0005-0000-0000-0000603C0000}"/>
    <cellStyle name="SAPBEXaggItemX 32 3" xfId="9761" xr:uid="{00000000-0005-0000-0000-0000613C0000}"/>
    <cellStyle name="SAPBEXaggItemX 32 4" xfId="11943" xr:uid="{00000000-0005-0000-0000-0000623C0000}"/>
    <cellStyle name="SAPBEXaggItemX 32 5" xfId="14416" xr:uid="{00000000-0005-0000-0000-0000633C0000}"/>
    <cellStyle name="SAPBEXaggItemX 32 6" xfId="15946" xr:uid="{00000000-0005-0000-0000-0000643C0000}"/>
    <cellStyle name="SAPBEXaggItemX 32 7" xfId="19112" xr:uid="{00000000-0005-0000-0000-0000653C0000}"/>
    <cellStyle name="SAPBEXaggItemX 32 8" xfId="20642" xr:uid="{00000000-0005-0000-0000-0000663C0000}"/>
    <cellStyle name="SAPBEXaggItemX 32 9" xfId="23618" xr:uid="{00000000-0005-0000-0000-0000673C0000}"/>
    <cellStyle name="SAPBEXaggItemX 33" xfId="4269" xr:uid="{00000000-0005-0000-0000-0000683C0000}"/>
    <cellStyle name="SAPBEXaggItemX 33 2" xfId="6807" xr:uid="{00000000-0005-0000-0000-0000693C0000}"/>
    <cellStyle name="SAPBEXaggItemX 33 3" xfId="9640" xr:uid="{00000000-0005-0000-0000-00006A3C0000}"/>
    <cellStyle name="SAPBEXaggItemX 33 4" xfId="9415" xr:uid="{00000000-0005-0000-0000-00006B3C0000}"/>
    <cellStyle name="SAPBEXaggItemX 33 5" xfId="12370" xr:uid="{00000000-0005-0000-0000-00006C3C0000}"/>
    <cellStyle name="SAPBEXaggItemX 33 6" xfId="15609" xr:uid="{00000000-0005-0000-0000-00006D3C0000}"/>
    <cellStyle name="SAPBEXaggItemX 33 7" xfId="17066" xr:uid="{00000000-0005-0000-0000-00006E3C0000}"/>
    <cellStyle name="SAPBEXaggItemX 33 8" xfId="20305" xr:uid="{00000000-0005-0000-0000-00006F3C0000}"/>
    <cellStyle name="SAPBEXaggItemX 33 9" xfId="21755" xr:uid="{00000000-0005-0000-0000-0000703C0000}"/>
    <cellStyle name="SAPBEXaggItemX 34" xfId="4312" xr:uid="{00000000-0005-0000-0000-0000713C0000}"/>
    <cellStyle name="SAPBEXaggItemX 34 2" xfId="6850" xr:uid="{00000000-0005-0000-0000-0000723C0000}"/>
    <cellStyle name="SAPBEXaggItemX 34 3" xfId="8905" xr:uid="{00000000-0005-0000-0000-0000733C0000}"/>
    <cellStyle name="SAPBEXaggItemX 34 4" xfId="11079" xr:uid="{00000000-0005-0000-0000-0000743C0000}"/>
    <cellStyle name="SAPBEXaggItemX 34 5" xfId="13468" xr:uid="{00000000-0005-0000-0000-0000753C0000}"/>
    <cellStyle name="SAPBEXaggItemX 34 6" xfId="16764" xr:uid="{00000000-0005-0000-0000-0000763C0000}"/>
    <cellStyle name="SAPBEXaggItemX 34 7" xfId="18164" xr:uid="{00000000-0005-0000-0000-0000773C0000}"/>
    <cellStyle name="SAPBEXaggItemX 34 8" xfId="21460" xr:uid="{00000000-0005-0000-0000-0000783C0000}"/>
    <cellStyle name="SAPBEXaggItemX 34 9" xfId="22752" xr:uid="{00000000-0005-0000-0000-0000793C0000}"/>
    <cellStyle name="SAPBEXaggItemX 35" xfId="4355" xr:uid="{00000000-0005-0000-0000-00007A3C0000}"/>
    <cellStyle name="SAPBEXaggItemX 35 2" xfId="6893" xr:uid="{00000000-0005-0000-0000-00007B3C0000}"/>
    <cellStyle name="SAPBEXaggItemX 35 3" xfId="10174" xr:uid="{00000000-0005-0000-0000-00007C3C0000}"/>
    <cellStyle name="SAPBEXaggItemX 35 4" xfId="11973" xr:uid="{00000000-0005-0000-0000-00007D3C0000}"/>
    <cellStyle name="SAPBEXaggItemX 35 5" xfId="14450" xr:uid="{00000000-0005-0000-0000-00007E3C0000}"/>
    <cellStyle name="SAPBEXaggItemX 35 6" xfId="15028" xr:uid="{00000000-0005-0000-0000-00007F3C0000}"/>
    <cellStyle name="SAPBEXaggItemX 35 7" xfId="19146" xr:uid="{00000000-0005-0000-0000-0000803C0000}"/>
    <cellStyle name="SAPBEXaggItemX 35 8" xfId="19724" xr:uid="{00000000-0005-0000-0000-0000813C0000}"/>
    <cellStyle name="SAPBEXaggItemX 35 9" xfId="23648" xr:uid="{00000000-0005-0000-0000-0000823C0000}"/>
    <cellStyle name="SAPBEXaggItemX 36" xfId="4398" xr:uid="{00000000-0005-0000-0000-0000833C0000}"/>
    <cellStyle name="SAPBEXaggItemX 36 2" xfId="6936" xr:uid="{00000000-0005-0000-0000-0000843C0000}"/>
    <cellStyle name="SAPBEXaggItemX 36 3" xfId="5455" xr:uid="{00000000-0005-0000-0000-0000853C0000}"/>
    <cellStyle name="SAPBEXaggItemX 36 4" xfId="9920" xr:uid="{00000000-0005-0000-0000-0000863C0000}"/>
    <cellStyle name="SAPBEXaggItemX 36 5" xfId="14900" xr:uid="{00000000-0005-0000-0000-0000873C0000}"/>
    <cellStyle name="SAPBEXaggItemX 36 6" xfId="15637" xr:uid="{00000000-0005-0000-0000-0000883C0000}"/>
    <cellStyle name="SAPBEXaggItemX 36 7" xfId="19596" xr:uid="{00000000-0005-0000-0000-0000893C0000}"/>
    <cellStyle name="SAPBEXaggItemX 36 8" xfId="20333" xr:uid="{00000000-0005-0000-0000-00008A3C0000}"/>
    <cellStyle name="SAPBEXaggItemX 36 9" xfId="24065" xr:uid="{00000000-0005-0000-0000-00008B3C0000}"/>
    <cellStyle name="SAPBEXaggItemX 37" xfId="4267" xr:uid="{00000000-0005-0000-0000-00008C3C0000}"/>
    <cellStyle name="SAPBEXaggItemX 37 2" xfId="6805" xr:uid="{00000000-0005-0000-0000-00008D3C0000}"/>
    <cellStyle name="SAPBEXaggItemX 37 3" xfId="8975" xr:uid="{00000000-0005-0000-0000-00008E3C0000}"/>
    <cellStyle name="SAPBEXaggItemX 37 4" xfId="11559" xr:uid="{00000000-0005-0000-0000-00008F3C0000}"/>
    <cellStyle name="SAPBEXaggItemX 37 5" xfId="13994" xr:uid="{00000000-0005-0000-0000-0000903C0000}"/>
    <cellStyle name="SAPBEXaggItemX 37 6" xfId="15837" xr:uid="{00000000-0005-0000-0000-0000913C0000}"/>
    <cellStyle name="SAPBEXaggItemX 37 7" xfId="18690" xr:uid="{00000000-0005-0000-0000-0000923C0000}"/>
    <cellStyle name="SAPBEXaggItemX 37 8" xfId="20533" xr:uid="{00000000-0005-0000-0000-0000933C0000}"/>
    <cellStyle name="SAPBEXaggItemX 37 9" xfId="23233" xr:uid="{00000000-0005-0000-0000-0000943C0000}"/>
    <cellStyle name="SAPBEXaggItemX 38" xfId="4382" xr:uid="{00000000-0005-0000-0000-0000953C0000}"/>
    <cellStyle name="SAPBEXaggItemX 38 2" xfId="6920" xr:uid="{00000000-0005-0000-0000-0000963C0000}"/>
    <cellStyle name="SAPBEXaggItemX 38 3" xfId="8610" xr:uid="{00000000-0005-0000-0000-0000973C0000}"/>
    <cellStyle name="SAPBEXaggItemX 38 4" xfId="10359" xr:uid="{00000000-0005-0000-0000-0000983C0000}"/>
    <cellStyle name="SAPBEXaggItemX 38 5" xfId="12681" xr:uid="{00000000-0005-0000-0000-0000993C0000}"/>
    <cellStyle name="SAPBEXaggItemX 38 6" xfId="15238" xr:uid="{00000000-0005-0000-0000-00009A3C0000}"/>
    <cellStyle name="SAPBEXaggItemX 38 7" xfId="17377" xr:uid="{00000000-0005-0000-0000-00009B3C0000}"/>
    <cellStyle name="SAPBEXaggItemX 38 8" xfId="19934" xr:uid="{00000000-0005-0000-0000-00009C3C0000}"/>
    <cellStyle name="SAPBEXaggItemX 38 9" xfId="22030" xr:uid="{00000000-0005-0000-0000-00009D3C0000}"/>
    <cellStyle name="SAPBEXaggItemX 39" xfId="4559" xr:uid="{00000000-0005-0000-0000-00009E3C0000}"/>
    <cellStyle name="SAPBEXaggItemX 39 2" xfId="7097" xr:uid="{00000000-0005-0000-0000-00009F3C0000}"/>
    <cellStyle name="SAPBEXaggItemX 39 3" xfId="9590" xr:uid="{00000000-0005-0000-0000-0000A03C0000}"/>
    <cellStyle name="SAPBEXaggItemX 39 4" xfId="10821" xr:uid="{00000000-0005-0000-0000-0000A13C0000}"/>
    <cellStyle name="SAPBEXaggItemX 39 5" xfId="13184" xr:uid="{00000000-0005-0000-0000-0000A23C0000}"/>
    <cellStyle name="SAPBEXaggItemX 39 6" xfId="15088" xr:uid="{00000000-0005-0000-0000-0000A33C0000}"/>
    <cellStyle name="SAPBEXaggItemX 39 7" xfId="17880" xr:uid="{00000000-0005-0000-0000-0000A43C0000}"/>
    <cellStyle name="SAPBEXaggItemX 39 8" xfId="19784" xr:uid="{00000000-0005-0000-0000-0000A53C0000}"/>
    <cellStyle name="SAPBEXaggItemX 39 9" xfId="22492" xr:uid="{00000000-0005-0000-0000-0000A63C0000}"/>
    <cellStyle name="SAPBEXaggItemX 4" xfId="3016" xr:uid="{00000000-0005-0000-0000-0000A73C0000}"/>
    <cellStyle name="SAPBEXaggItemX 4 2" xfId="5555" xr:uid="{00000000-0005-0000-0000-0000A83C0000}"/>
    <cellStyle name="SAPBEXaggItemX 4 3" xfId="9717" xr:uid="{00000000-0005-0000-0000-0000A93C0000}"/>
    <cellStyle name="SAPBEXaggItemX 4 4" xfId="12092" xr:uid="{00000000-0005-0000-0000-0000AA3C0000}"/>
    <cellStyle name="SAPBEXaggItemX 4 5" xfId="14572" xr:uid="{00000000-0005-0000-0000-0000AB3C0000}"/>
    <cellStyle name="SAPBEXaggItemX 4 6" xfId="16010" xr:uid="{00000000-0005-0000-0000-0000AC3C0000}"/>
    <cellStyle name="SAPBEXaggItemX 4 7" xfId="19268" xr:uid="{00000000-0005-0000-0000-0000AD3C0000}"/>
    <cellStyle name="SAPBEXaggItemX 4 8" xfId="20706" xr:uid="{00000000-0005-0000-0000-0000AE3C0000}"/>
    <cellStyle name="SAPBEXaggItemX 4 9" xfId="23764" xr:uid="{00000000-0005-0000-0000-0000AF3C0000}"/>
    <cellStyle name="SAPBEXaggItemX 40" xfId="4565" xr:uid="{00000000-0005-0000-0000-0000B03C0000}"/>
    <cellStyle name="SAPBEXaggItemX 40 2" xfId="7103" xr:uid="{00000000-0005-0000-0000-0000B13C0000}"/>
    <cellStyle name="SAPBEXaggItemX 40 3" xfId="9118" xr:uid="{00000000-0005-0000-0000-0000B23C0000}"/>
    <cellStyle name="SAPBEXaggItemX 40 4" xfId="11505" xr:uid="{00000000-0005-0000-0000-0000B33C0000}"/>
    <cellStyle name="SAPBEXaggItemX 40 5" xfId="13932" xr:uid="{00000000-0005-0000-0000-0000B43C0000}"/>
    <cellStyle name="SAPBEXaggItemX 40 6" xfId="15592" xr:uid="{00000000-0005-0000-0000-0000B53C0000}"/>
    <cellStyle name="SAPBEXaggItemX 40 7" xfId="18628" xr:uid="{00000000-0005-0000-0000-0000B63C0000}"/>
    <cellStyle name="SAPBEXaggItemX 40 8" xfId="20288" xr:uid="{00000000-0005-0000-0000-0000B73C0000}"/>
    <cellStyle name="SAPBEXaggItemX 40 9" xfId="23179" xr:uid="{00000000-0005-0000-0000-0000B83C0000}"/>
    <cellStyle name="SAPBEXaggItemX 41" xfId="4613" xr:uid="{00000000-0005-0000-0000-0000B93C0000}"/>
    <cellStyle name="SAPBEXaggItemX 41 2" xfId="7151" xr:uid="{00000000-0005-0000-0000-0000BA3C0000}"/>
    <cellStyle name="SAPBEXaggItemX 41 3" xfId="10082" xr:uid="{00000000-0005-0000-0000-0000BB3C0000}"/>
    <cellStyle name="SAPBEXaggItemX 41 4" xfId="7962" xr:uid="{00000000-0005-0000-0000-0000BC3C0000}"/>
    <cellStyle name="SAPBEXaggItemX 41 5" xfId="12513" xr:uid="{00000000-0005-0000-0000-0000BD3C0000}"/>
    <cellStyle name="SAPBEXaggItemX 41 6" xfId="16418" xr:uid="{00000000-0005-0000-0000-0000BE3C0000}"/>
    <cellStyle name="SAPBEXaggItemX 41 7" xfId="17209" xr:uid="{00000000-0005-0000-0000-0000BF3C0000}"/>
    <cellStyle name="SAPBEXaggItemX 41 8" xfId="21114" xr:uid="{00000000-0005-0000-0000-0000C03C0000}"/>
    <cellStyle name="SAPBEXaggItemX 41 9" xfId="21880" xr:uid="{00000000-0005-0000-0000-0000C13C0000}"/>
    <cellStyle name="SAPBEXaggItemX 42" xfId="4656" xr:uid="{00000000-0005-0000-0000-0000C23C0000}"/>
    <cellStyle name="SAPBEXaggItemX 42 2" xfId="7194" xr:uid="{00000000-0005-0000-0000-0000C33C0000}"/>
    <cellStyle name="SAPBEXaggItemX 42 3" xfId="8082" xr:uid="{00000000-0005-0000-0000-0000C43C0000}"/>
    <cellStyle name="SAPBEXaggItemX 42 4" xfId="10299" xr:uid="{00000000-0005-0000-0000-0000C53C0000}"/>
    <cellStyle name="SAPBEXaggItemX 42 5" xfId="12613" xr:uid="{00000000-0005-0000-0000-0000C63C0000}"/>
    <cellStyle name="SAPBEXaggItemX 42 6" xfId="15762" xr:uid="{00000000-0005-0000-0000-0000C73C0000}"/>
    <cellStyle name="SAPBEXaggItemX 42 7" xfId="17309" xr:uid="{00000000-0005-0000-0000-0000C83C0000}"/>
    <cellStyle name="SAPBEXaggItemX 42 8" xfId="20458" xr:uid="{00000000-0005-0000-0000-0000C93C0000}"/>
    <cellStyle name="SAPBEXaggItemX 42 9" xfId="21969" xr:uid="{00000000-0005-0000-0000-0000CA3C0000}"/>
    <cellStyle name="SAPBEXaggItemX 43" xfId="4698" xr:uid="{00000000-0005-0000-0000-0000CB3C0000}"/>
    <cellStyle name="SAPBEXaggItemX 43 2" xfId="7236" xr:uid="{00000000-0005-0000-0000-0000CC3C0000}"/>
    <cellStyle name="SAPBEXaggItemX 43 3" xfId="9450" xr:uid="{00000000-0005-0000-0000-0000CD3C0000}"/>
    <cellStyle name="SAPBEXaggItemX 43 4" xfId="10519" xr:uid="{00000000-0005-0000-0000-0000CE3C0000}"/>
    <cellStyle name="SAPBEXaggItemX 43 5" xfId="12859" xr:uid="{00000000-0005-0000-0000-0000CF3C0000}"/>
    <cellStyle name="SAPBEXaggItemX 43 6" xfId="16249" xr:uid="{00000000-0005-0000-0000-0000D03C0000}"/>
    <cellStyle name="SAPBEXaggItemX 43 7" xfId="17555" xr:uid="{00000000-0005-0000-0000-0000D13C0000}"/>
    <cellStyle name="SAPBEXaggItemX 43 8" xfId="20945" xr:uid="{00000000-0005-0000-0000-0000D23C0000}"/>
    <cellStyle name="SAPBEXaggItemX 43 9" xfId="22190" xr:uid="{00000000-0005-0000-0000-0000D33C0000}"/>
    <cellStyle name="SAPBEXaggItemX 44" xfId="4716" xr:uid="{00000000-0005-0000-0000-0000D43C0000}"/>
    <cellStyle name="SAPBEXaggItemX 44 2" xfId="7254" xr:uid="{00000000-0005-0000-0000-0000D53C0000}"/>
    <cellStyle name="SAPBEXaggItemX 44 3" xfId="10092" xr:uid="{00000000-0005-0000-0000-0000D63C0000}"/>
    <cellStyle name="SAPBEXaggItemX 44 4" xfId="11269" xr:uid="{00000000-0005-0000-0000-0000D73C0000}"/>
    <cellStyle name="SAPBEXaggItemX 44 5" xfId="13675" xr:uid="{00000000-0005-0000-0000-0000D83C0000}"/>
    <cellStyle name="SAPBEXaggItemX 44 6" xfId="16563" xr:uid="{00000000-0005-0000-0000-0000D93C0000}"/>
    <cellStyle name="SAPBEXaggItemX 44 7" xfId="18371" xr:uid="{00000000-0005-0000-0000-0000DA3C0000}"/>
    <cellStyle name="SAPBEXaggItemX 44 8" xfId="21259" xr:uid="{00000000-0005-0000-0000-0000DB3C0000}"/>
    <cellStyle name="SAPBEXaggItemX 44 9" xfId="22943" xr:uid="{00000000-0005-0000-0000-0000DC3C0000}"/>
    <cellStyle name="SAPBEXaggItemX 45" xfId="4578" xr:uid="{00000000-0005-0000-0000-0000DD3C0000}"/>
    <cellStyle name="SAPBEXaggItemX 45 2" xfId="7116" xr:uid="{00000000-0005-0000-0000-0000DE3C0000}"/>
    <cellStyle name="SAPBEXaggItemX 45 3" xfId="9689" xr:uid="{00000000-0005-0000-0000-0000DF3C0000}"/>
    <cellStyle name="SAPBEXaggItemX 45 4" xfId="11272" xr:uid="{00000000-0005-0000-0000-0000E03C0000}"/>
    <cellStyle name="SAPBEXaggItemX 45 5" xfId="13678" xr:uid="{00000000-0005-0000-0000-0000E13C0000}"/>
    <cellStyle name="SAPBEXaggItemX 45 6" xfId="15112" xr:uid="{00000000-0005-0000-0000-0000E23C0000}"/>
    <cellStyle name="SAPBEXaggItemX 45 7" xfId="18374" xr:uid="{00000000-0005-0000-0000-0000E33C0000}"/>
    <cellStyle name="SAPBEXaggItemX 45 8" xfId="19808" xr:uid="{00000000-0005-0000-0000-0000E43C0000}"/>
    <cellStyle name="SAPBEXaggItemX 45 9" xfId="22946" xr:uid="{00000000-0005-0000-0000-0000E53C0000}"/>
    <cellStyle name="SAPBEXaggItemX 46" xfId="4803" xr:uid="{00000000-0005-0000-0000-0000E63C0000}"/>
    <cellStyle name="SAPBEXaggItemX 46 2" xfId="7341" xr:uid="{00000000-0005-0000-0000-0000E73C0000}"/>
    <cellStyle name="SAPBEXaggItemX 46 3" xfId="8463" xr:uid="{00000000-0005-0000-0000-0000E83C0000}"/>
    <cellStyle name="SAPBEXaggItemX 46 4" xfId="11996" xr:uid="{00000000-0005-0000-0000-0000E93C0000}"/>
    <cellStyle name="SAPBEXaggItemX 46 5" xfId="14242" xr:uid="{00000000-0005-0000-0000-0000EA3C0000}"/>
    <cellStyle name="SAPBEXaggItemX 46 6" xfId="16850" xr:uid="{00000000-0005-0000-0000-0000EB3C0000}"/>
    <cellStyle name="SAPBEXaggItemX 46 7" xfId="18938" xr:uid="{00000000-0005-0000-0000-0000EC3C0000}"/>
    <cellStyle name="SAPBEXaggItemX 46 8" xfId="21546" xr:uid="{00000000-0005-0000-0000-0000ED3C0000}"/>
    <cellStyle name="SAPBEXaggItemX 46 9" xfId="23462" xr:uid="{00000000-0005-0000-0000-0000EE3C0000}"/>
    <cellStyle name="SAPBEXaggItemX 47" xfId="4720" xr:uid="{00000000-0005-0000-0000-0000EF3C0000}"/>
    <cellStyle name="SAPBEXaggItemX 47 2" xfId="7258" xr:uid="{00000000-0005-0000-0000-0000F03C0000}"/>
    <cellStyle name="SAPBEXaggItemX 47 3" xfId="9006" xr:uid="{00000000-0005-0000-0000-0000F13C0000}"/>
    <cellStyle name="SAPBEXaggItemX 47 4" xfId="10995" xr:uid="{00000000-0005-0000-0000-0000F23C0000}"/>
    <cellStyle name="SAPBEXaggItemX 47 5" xfId="13369" xr:uid="{00000000-0005-0000-0000-0000F33C0000}"/>
    <cellStyle name="SAPBEXaggItemX 47 6" xfId="15801" xr:uid="{00000000-0005-0000-0000-0000F43C0000}"/>
    <cellStyle name="SAPBEXaggItemX 47 7" xfId="18065" xr:uid="{00000000-0005-0000-0000-0000F53C0000}"/>
    <cellStyle name="SAPBEXaggItemX 47 8" xfId="20497" xr:uid="{00000000-0005-0000-0000-0000F63C0000}"/>
    <cellStyle name="SAPBEXaggItemX 47 9" xfId="22668" xr:uid="{00000000-0005-0000-0000-0000F73C0000}"/>
    <cellStyle name="SAPBEXaggItemX 48" xfId="4787" xr:uid="{00000000-0005-0000-0000-0000F83C0000}"/>
    <cellStyle name="SAPBEXaggItemX 48 2" xfId="7325" xr:uid="{00000000-0005-0000-0000-0000F93C0000}"/>
    <cellStyle name="SAPBEXaggItemX 48 3" xfId="8864" xr:uid="{00000000-0005-0000-0000-0000FA3C0000}"/>
    <cellStyle name="SAPBEXaggItemX 48 4" xfId="8311" xr:uid="{00000000-0005-0000-0000-0000FB3C0000}"/>
    <cellStyle name="SAPBEXaggItemX 48 5" xfId="14827" xr:uid="{00000000-0005-0000-0000-0000FC3C0000}"/>
    <cellStyle name="SAPBEXaggItemX 48 6" xfId="16724" xr:uid="{00000000-0005-0000-0000-0000FD3C0000}"/>
    <cellStyle name="SAPBEXaggItemX 48 7" xfId="19523" xr:uid="{00000000-0005-0000-0000-0000FE3C0000}"/>
    <cellStyle name="SAPBEXaggItemX 48 8" xfId="21420" xr:uid="{00000000-0005-0000-0000-0000FF3C0000}"/>
    <cellStyle name="SAPBEXaggItemX 48 9" xfId="24010" xr:uid="{00000000-0005-0000-0000-0000003D0000}"/>
    <cellStyle name="SAPBEXaggItemX 49" xfId="4947" xr:uid="{00000000-0005-0000-0000-0000013D0000}"/>
    <cellStyle name="SAPBEXaggItemX 49 2" xfId="7485" xr:uid="{00000000-0005-0000-0000-0000023D0000}"/>
    <cellStyle name="SAPBEXaggItemX 49 3" xfId="8459" xr:uid="{00000000-0005-0000-0000-0000033D0000}"/>
    <cellStyle name="SAPBEXaggItemX 49 4" xfId="11417" xr:uid="{00000000-0005-0000-0000-0000043D0000}"/>
    <cellStyle name="SAPBEXaggItemX 49 5" xfId="13833" xr:uid="{00000000-0005-0000-0000-0000053D0000}"/>
    <cellStyle name="SAPBEXaggItemX 49 6" xfId="16823" xr:uid="{00000000-0005-0000-0000-0000063D0000}"/>
    <cellStyle name="SAPBEXaggItemX 49 7" xfId="18529" xr:uid="{00000000-0005-0000-0000-0000073D0000}"/>
    <cellStyle name="SAPBEXaggItemX 49 8" xfId="21519" xr:uid="{00000000-0005-0000-0000-0000083D0000}"/>
    <cellStyle name="SAPBEXaggItemX 49 9" xfId="23091" xr:uid="{00000000-0005-0000-0000-0000093D0000}"/>
    <cellStyle name="SAPBEXaggItemX 5" xfId="3172" xr:uid="{00000000-0005-0000-0000-00000A3D0000}"/>
    <cellStyle name="SAPBEXaggItemX 5 2" xfId="5710" xr:uid="{00000000-0005-0000-0000-00000B3D0000}"/>
    <cellStyle name="SAPBEXaggItemX 5 3" xfId="8037" xr:uid="{00000000-0005-0000-0000-00000C3D0000}"/>
    <cellStyle name="SAPBEXaggItemX 5 4" xfId="11318" xr:uid="{00000000-0005-0000-0000-00000D3D0000}"/>
    <cellStyle name="SAPBEXaggItemX 5 5" xfId="13727" xr:uid="{00000000-0005-0000-0000-00000E3D0000}"/>
    <cellStyle name="SAPBEXaggItemX 5 6" xfId="16232" xr:uid="{00000000-0005-0000-0000-00000F3D0000}"/>
    <cellStyle name="SAPBEXaggItemX 5 7" xfId="18423" xr:uid="{00000000-0005-0000-0000-0000103D0000}"/>
    <cellStyle name="SAPBEXaggItemX 5 8" xfId="20928" xr:uid="{00000000-0005-0000-0000-0000113D0000}"/>
    <cellStyle name="SAPBEXaggItemX 5 9" xfId="22992" xr:uid="{00000000-0005-0000-0000-0000123D0000}"/>
    <cellStyle name="SAPBEXaggItemX 50" xfId="4964" xr:uid="{00000000-0005-0000-0000-0000133D0000}"/>
    <cellStyle name="SAPBEXaggItemX 50 2" xfId="7502" xr:uid="{00000000-0005-0000-0000-0000143D0000}"/>
    <cellStyle name="SAPBEXaggItemX 50 3" xfId="8568" xr:uid="{00000000-0005-0000-0000-0000153D0000}"/>
    <cellStyle name="SAPBEXaggItemX 50 4" xfId="11520" xr:uid="{00000000-0005-0000-0000-0000163D0000}"/>
    <cellStyle name="SAPBEXaggItemX 50 5" xfId="13948" xr:uid="{00000000-0005-0000-0000-0000173D0000}"/>
    <cellStyle name="SAPBEXaggItemX 50 6" xfId="15962" xr:uid="{00000000-0005-0000-0000-0000183D0000}"/>
    <cellStyle name="SAPBEXaggItemX 50 7" xfId="18644" xr:uid="{00000000-0005-0000-0000-0000193D0000}"/>
    <cellStyle name="SAPBEXaggItemX 50 8" xfId="20658" xr:uid="{00000000-0005-0000-0000-00001A3D0000}"/>
    <cellStyle name="SAPBEXaggItemX 50 9" xfId="23194" xr:uid="{00000000-0005-0000-0000-00001B3D0000}"/>
    <cellStyle name="SAPBEXaggItemX 51" xfId="5004" xr:uid="{00000000-0005-0000-0000-00001C3D0000}"/>
    <cellStyle name="SAPBEXaggItemX 51 2" xfId="7542" xr:uid="{00000000-0005-0000-0000-00001D3D0000}"/>
    <cellStyle name="SAPBEXaggItemX 51 3" xfId="9594" xr:uid="{00000000-0005-0000-0000-00001E3D0000}"/>
    <cellStyle name="SAPBEXaggItemX 51 4" xfId="11080" xr:uid="{00000000-0005-0000-0000-00001F3D0000}"/>
    <cellStyle name="SAPBEXaggItemX 51 5" xfId="13469" xr:uid="{00000000-0005-0000-0000-0000203D0000}"/>
    <cellStyle name="SAPBEXaggItemX 51 6" xfId="15909" xr:uid="{00000000-0005-0000-0000-0000213D0000}"/>
    <cellStyle name="SAPBEXaggItemX 51 7" xfId="18165" xr:uid="{00000000-0005-0000-0000-0000223D0000}"/>
    <cellStyle name="SAPBEXaggItemX 51 8" xfId="20605" xr:uid="{00000000-0005-0000-0000-0000233D0000}"/>
    <cellStyle name="SAPBEXaggItemX 51 9" xfId="22753" xr:uid="{00000000-0005-0000-0000-0000243D0000}"/>
    <cellStyle name="SAPBEXaggItemX 52" xfId="5041" xr:uid="{00000000-0005-0000-0000-0000253D0000}"/>
    <cellStyle name="SAPBEXaggItemX 52 2" xfId="7579" xr:uid="{00000000-0005-0000-0000-0000263D0000}"/>
    <cellStyle name="SAPBEXaggItemX 52 3" xfId="8553" xr:uid="{00000000-0005-0000-0000-0000273D0000}"/>
    <cellStyle name="SAPBEXaggItemX 52 4" xfId="10513" xr:uid="{00000000-0005-0000-0000-0000283D0000}"/>
    <cellStyle name="SAPBEXaggItemX 52 5" xfId="12853" xr:uid="{00000000-0005-0000-0000-0000293D0000}"/>
    <cellStyle name="SAPBEXaggItemX 52 6" xfId="16796" xr:uid="{00000000-0005-0000-0000-00002A3D0000}"/>
    <cellStyle name="SAPBEXaggItemX 52 7" xfId="17549" xr:uid="{00000000-0005-0000-0000-00002B3D0000}"/>
    <cellStyle name="SAPBEXaggItemX 52 8" xfId="21492" xr:uid="{00000000-0005-0000-0000-00002C3D0000}"/>
    <cellStyle name="SAPBEXaggItemX 52 9" xfId="22184" xr:uid="{00000000-0005-0000-0000-00002D3D0000}"/>
    <cellStyle name="SAPBEXaggItemX 53" xfId="5071" xr:uid="{00000000-0005-0000-0000-00002E3D0000}"/>
    <cellStyle name="SAPBEXaggItemX 53 2" xfId="7609" xr:uid="{00000000-0005-0000-0000-00002F3D0000}"/>
    <cellStyle name="SAPBEXaggItemX 53 3" xfId="8007" xr:uid="{00000000-0005-0000-0000-0000303D0000}"/>
    <cellStyle name="SAPBEXaggItemX 53 4" xfId="11037" xr:uid="{00000000-0005-0000-0000-0000313D0000}"/>
    <cellStyle name="SAPBEXaggItemX 53 5" xfId="13420" xr:uid="{00000000-0005-0000-0000-0000323D0000}"/>
    <cellStyle name="SAPBEXaggItemX 53 6" xfId="16210" xr:uid="{00000000-0005-0000-0000-0000333D0000}"/>
    <cellStyle name="SAPBEXaggItemX 53 7" xfId="18116" xr:uid="{00000000-0005-0000-0000-0000343D0000}"/>
    <cellStyle name="SAPBEXaggItemX 53 8" xfId="20906" xr:uid="{00000000-0005-0000-0000-0000353D0000}"/>
    <cellStyle name="SAPBEXaggItemX 53 9" xfId="22710" xr:uid="{00000000-0005-0000-0000-0000363D0000}"/>
    <cellStyle name="SAPBEXaggItemX 54" xfId="5125" xr:uid="{00000000-0005-0000-0000-0000373D0000}"/>
    <cellStyle name="SAPBEXaggItemX 54 2" xfId="7663" xr:uid="{00000000-0005-0000-0000-0000383D0000}"/>
    <cellStyle name="SAPBEXaggItemX 54 3" xfId="8404" xr:uid="{00000000-0005-0000-0000-0000393D0000}"/>
    <cellStyle name="SAPBEXaggItemX 54 4" xfId="12150" xr:uid="{00000000-0005-0000-0000-00003A3D0000}"/>
    <cellStyle name="SAPBEXaggItemX 54 5" xfId="14633" xr:uid="{00000000-0005-0000-0000-00003B3D0000}"/>
    <cellStyle name="SAPBEXaggItemX 54 6" xfId="15830" xr:uid="{00000000-0005-0000-0000-00003C3D0000}"/>
    <cellStyle name="SAPBEXaggItemX 54 7" xfId="19329" xr:uid="{00000000-0005-0000-0000-00003D3D0000}"/>
    <cellStyle name="SAPBEXaggItemX 54 8" xfId="20526" xr:uid="{00000000-0005-0000-0000-00003E3D0000}"/>
    <cellStyle name="SAPBEXaggItemX 54 9" xfId="23824" xr:uid="{00000000-0005-0000-0000-00003F3D0000}"/>
    <cellStyle name="SAPBEXaggItemX 55" xfId="5194" xr:uid="{00000000-0005-0000-0000-0000403D0000}"/>
    <cellStyle name="SAPBEXaggItemX 55 2" xfId="7733" xr:uid="{00000000-0005-0000-0000-0000413D0000}"/>
    <cellStyle name="SAPBEXaggItemX 55 3" xfId="9545" xr:uid="{00000000-0005-0000-0000-0000423D0000}"/>
    <cellStyle name="SAPBEXaggItemX 55 4" xfId="11782" xr:uid="{00000000-0005-0000-0000-0000433D0000}"/>
    <cellStyle name="SAPBEXaggItemX 55 5" xfId="12467" xr:uid="{00000000-0005-0000-0000-0000443D0000}"/>
    <cellStyle name="SAPBEXaggItemX 55 6" xfId="15726" xr:uid="{00000000-0005-0000-0000-0000453D0000}"/>
    <cellStyle name="SAPBEXaggItemX 55 7" xfId="17163" xr:uid="{00000000-0005-0000-0000-0000463D0000}"/>
    <cellStyle name="SAPBEXaggItemX 55 8" xfId="20422" xr:uid="{00000000-0005-0000-0000-0000473D0000}"/>
    <cellStyle name="SAPBEXaggItemX 55 9" xfId="21843" xr:uid="{00000000-0005-0000-0000-0000483D0000}"/>
    <cellStyle name="SAPBEXaggItemX 56" xfId="5180" xr:uid="{00000000-0005-0000-0000-0000493D0000}"/>
    <cellStyle name="SAPBEXaggItemX 56 2" xfId="9141" xr:uid="{00000000-0005-0000-0000-00004A3D0000}"/>
    <cellStyle name="SAPBEXaggItemX 56 3" xfId="10462" xr:uid="{00000000-0005-0000-0000-00004B3D0000}"/>
    <cellStyle name="SAPBEXaggItemX 56 4" xfId="12794" xr:uid="{00000000-0005-0000-0000-00004C3D0000}"/>
    <cellStyle name="SAPBEXaggItemX 56 5" xfId="15351" xr:uid="{00000000-0005-0000-0000-00004D3D0000}"/>
    <cellStyle name="SAPBEXaggItemX 56 6" xfId="17490" xr:uid="{00000000-0005-0000-0000-00004E3D0000}"/>
    <cellStyle name="SAPBEXaggItemX 56 7" xfId="20047" xr:uid="{00000000-0005-0000-0000-00004F3D0000}"/>
    <cellStyle name="SAPBEXaggItemX 56 8" xfId="22133" xr:uid="{00000000-0005-0000-0000-0000503D0000}"/>
    <cellStyle name="SAPBEXaggItemX 57" xfId="8519" xr:uid="{00000000-0005-0000-0000-0000513D0000}"/>
    <cellStyle name="SAPBEXaggItemX 58" xfId="10658" xr:uid="{00000000-0005-0000-0000-0000523D0000}"/>
    <cellStyle name="SAPBEXaggItemX 59" xfId="13007" xr:uid="{00000000-0005-0000-0000-0000533D0000}"/>
    <cellStyle name="SAPBEXaggItemX 6" xfId="3215" xr:uid="{00000000-0005-0000-0000-0000543D0000}"/>
    <cellStyle name="SAPBEXaggItemX 6 2" xfId="5753" xr:uid="{00000000-0005-0000-0000-0000553D0000}"/>
    <cellStyle name="SAPBEXaggItemX 6 3" xfId="8058" xr:uid="{00000000-0005-0000-0000-0000563D0000}"/>
    <cellStyle name="SAPBEXaggItemX 6 4" xfId="10259" xr:uid="{00000000-0005-0000-0000-0000573D0000}"/>
    <cellStyle name="SAPBEXaggItemX 6 5" xfId="12568" xr:uid="{00000000-0005-0000-0000-0000583D0000}"/>
    <cellStyle name="SAPBEXaggItemX 6 6" xfId="15031" xr:uid="{00000000-0005-0000-0000-0000593D0000}"/>
    <cellStyle name="SAPBEXaggItemX 6 7" xfId="17264" xr:uid="{00000000-0005-0000-0000-00005A3D0000}"/>
    <cellStyle name="SAPBEXaggItemX 6 8" xfId="19727" xr:uid="{00000000-0005-0000-0000-00005B3D0000}"/>
    <cellStyle name="SAPBEXaggItemX 6 9" xfId="21928" xr:uid="{00000000-0005-0000-0000-00005C3D0000}"/>
    <cellStyle name="SAPBEXaggItemX 60" xfId="16374" xr:uid="{00000000-0005-0000-0000-00005D3D0000}"/>
    <cellStyle name="SAPBEXaggItemX 61" xfId="17703" xr:uid="{00000000-0005-0000-0000-00005E3D0000}"/>
    <cellStyle name="SAPBEXaggItemX 62" xfId="21070" xr:uid="{00000000-0005-0000-0000-00005F3D0000}"/>
    <cellStyle name="SAPBEXaggItemX 63" xfId="22331" xr:uid="{00000000-0005-0000-0000-0000603D0000}"/>
    <cellStyle name="SAPBEXaggItemX 64" xfId="25930" xr:uid="{00000000-0005-0000-0000-0000613D0000}"/>
    <cellStyle name="SAPBEXaggItemX 7" xfId="3258" xr:uid="{00000000-0005-0000-0000-0000623D0000}"/>
    <cellStyle name="SAPBEXaggItemX 7 2" xfId="5796" xr:uid="{00000000-0005-0000-0000-0000633D0000}"/>
    <cellStyle name="SAPBEXaggItemX 7 3" xfId="9018" xr:uid="{00000000-0005-0000-0000-0000643D0000}"/>
    <cellStyle name="SAPBEXaggItemX 7 4" xfId="10269" xr:uid="{00000000-0005-0000-0000-0000653D0000}"/>
    <cellStyle name="SAPBEXaggItemX 7 5" xfId="12579" xr:uid="{00000000-0005-0000-0000-0000663D0000}"/>
    <cellStyle name="SAPBEXaggItemX 7 6" xfId="16029" xr:uid="{00000000-0005-0000-0000-0000673D0000}"/>
    <cellStyle name="SAPBEXaggItemX 7 7" xfId="17275" xr:uid="{00000000-0005-0000-0000-0000683D0000}"/>
    <cellStyle name="SAPBEXaggItemX 7 8" xfId="20725" xr:uid="{00000000-0005-0000-0000-0000693D0000}"/>
    <cellStyle name="SAPBEXaggItemX 7 9" xfId="21938" xr:uid="{00000000-0005-0000-0000-00006A3D0000}"/>
    <cellStyle name="SAPBEXaggItemX 8" xfId="3301" xr:uid="{00000000-0005-0000-0000-00006B3D0000}"/>
    <cellStyle name="SAPBEXaggItemX 8 2" xfId="5839" xr:uid="{00000000-0005-0000-0000-00006C3D0000}"/>
    <cellStyle name="SAPBEXaggItemX 8 3" xfId="9304" xr:uid="{00000000-0005-0000-0000-00006D3D0000}"/>
    <cellStyle name="SAPBEXaggItemX 8 4" xfId="10999" xr:uid="{00000000-0005-0000-0000-00006E3D0000}"/>
    <cellStyle name="SAPBEXaggItemX 8 5" xfId="13374" xr:uid="{00000000-0005-0000-0000-00006F3D0000}"/>
    <cellStyle name="SAPBEXaggItemX 8 6" xfId="16567" xr:uid="{00000000-0005-0000-0000-0000703D0000}"/>
    <cellStyle name="SAPBEXaggItemX 8 7" xfId="18070" xr:uid="{00000000-0005-0000-0000-0000713D0000}"/>
    <cellStyle name="SAPBEXaggItemX 8 8" xfId="21263" xr:uid="{00000000-0005-0000-0000-0000723D0000}"/>
    <cellStyle name="SAPBEXaggItemX 8 9" xfId="22672" xr:uid="{00000000-0005-0000-0000-0000733D0000}"/>
    <cellStyle name="SAPBEXaggItemX 9" xfId="3344" xr:uid="{00000000-0005-0000-0000-0000743D0000}"/>
    <cellStyle name="SAPBEXaggItemX 9 2" xfId="5882" xr:uid="{00000000-0005-0000-0000-0000753D0000}"/>
    <cellStyle name="SAPBEXaggItemX 9 3" xfId="8153" xr:uid="{00000000-0005-0000-0000-0000763D0000}"/>
    <cellStyle name="SAPBEXaggItemX 9 4" xfId="11301" xr:uid="{00000000-0005-0000-0000-0000773D0000}"/>
    <cellStyle name="SAPBEXaggItemX 9 5" xfId="13708" xr:uid="{00000000-0005-0000-0000-0000783D0000}"/>
    <cellStyle name="SAPBEXaggItemX 9 6" xfId="16066" xr:uid="{00000000-0005-0000-0000-0000793D0000}"/>
    <cellStyle name="SAPBEXaggItemX 9 7" xfId="18404" xr:uid="{00000000-0005-0000-0000-00007A3D0000}"/>
    <cellStyle name="SAPBEXaggItemX 9 8" xfId="20762" xr:uid="{00000000-0005-0000-0000-00007B3D0000}"/>
    <cellStyle name="SAPBEXaggItemX 9 9" xfId="22975" xr:uid="{00000000-0005-0000-0000-00007C3D0000}"/>
    <cellStyle name="SAPBEXchaText" xfId="2945" xr:uid="{00000000-0005-0000-0000-00007D3D0000}"/>
    <cellStyle name="SAPBEXchaText 10" xfId="3410" xr:uid="{00000000-0005-0000-0000-00007E3D0000}"/>
    <cellStyle name="SAPBEXchaText 10 2" xfId="5948" xr:uid="{00000000-0005-0000-0000-00007F3D0000}"/>
    <cellStyle name="SAPBEXchaText 10 3" xfId="8743" xr:uid="{00000000-0005-0000-0000-0000803D0000}"/>
    <cellStyle name="SAPBEXchaText 10 4" xfId="12040" xr:uid="{00000000-0005-0000-0000-0000813D0000}"/>
    <cellStyle name="SAPBEXchaText 10 5" xfId="14522" xr:uid="{00000000-0005-0000-0000-0000823D0000}"/>
    <cellStyle name="SAPBEXchaText 10 6" xfId="13957" xr:uid="{00000000-0005-0000-0000-0000833D0000}"/>
    <cellStyle name="SAPBEXchaText 10 7" xfId="19218" xr:uid="{00000000-0005-0000-0000-0000843D0000}"/>
    <cellStyle name="SAPBEXchaText 10 8" xfId="18653" xr:uid="{00000000-0005-0000-0000-0000853D0000}"/>
    <cellStyle name="SAPBEXchaText 10 9" xfId="23715" xr:uid="{00000000-0005-0000-0000-0000863D0000}"/>
    <cellStyle name="SAPBEXchaText 11" xfId="3180" xr:uid="{00000000-0005-0000-0000-0000873D0000}"/>
    <cellStyle name="SAPBEXchaText 11 2" xfId="5718" xr:uid="{00000000-0005-0000-0000-0000883D0000}"/>
    <cellStyle name="SAPBEXchaText 11 3" xfId="9528" xr:uid="{00000000-0005-0000-0000-0000893D0000}"/>
    <cellStyle name="SAPBEXchaText 11 4" xfId="11149" xr:uid="{00000000-0005-0000-0000-00008A3D0000}"/>
    <cellStyle name="SAPBEXchaText 11 5" xfId="13545" xr:uid="{00000000-0005-0000-0000-00008B3D0000}"/>
    <cellStyle name="SAPBEXchaText 11 6" xfId="16027" xr:uid="{00000000-0005-0000-0000-00008C3D0000}"/>
    <cellStyle name="SAPBEXchaText 11 7" xfId="18241" xr:uid="{00000000-0005-0000-0000-00008D3D0000}"/>
    <cellStyle name="SAPBEXchaText 11 8" xfId="20723" xr:uid="{00000000-0005-0000-0000-00008E3D0000}"/>
    <cellStyle name="SAPBEXchaText 11 9" xfId="22822" xr:uid="{00000000-0005-0000-0000-00008F3D0000}"/>
    <cellStyle name="SAPBEXchaText 12" xfId="3495" xr:uid="{00000000-0005-0000-0000-0000903D0000}"/>
    <cellStyle name="SAPBEXchaText 12 2" xfId="6033" xr:uid="{00000000-0005-0000-0000-0000913D0000}"/>
    <cellStyle name="SAPBEXchaText 12 3" xfId="5508" xr:uid="{00000000-0005-0000-0000-0000923D0000}"/>
    <cellStyle name="SAPBEXchaText 12 4" xfId="9365" xr:uid="{00000000-0005-0000-0000-0000933D0000}"/>
    <cellStyle name="SAPBEXchaText 12 5" xfId="12331" xr:uid="{00000000-0005-0000-0000-0000943D0000}"/>
    <cellStyle name="SAPBEXchaText 12 6" xfId="15020" xr:uid="{00000000-0005-0000-0000-0000953D0000}"/>
    <cellStyle name="SAPBEXchaText 12 7" xfId="17027" xr:uid="{00000000-0005-0000-0000-0000963D0000}"/>
    <cellStyle name="SAPBEXchaText 12 8" xfId="19716" xr:uid="{00000000-0005-0000-0000-0000973D0000}"/>
    <cellStyle name="SAPBEXchaText 12 9" xfId="21720" xr:uid="{00000000-0005-0000-0000-0000983D0000}"/>
    <cellStyle name="SAPBEXchaText 13" xfId="3481" xr:uid="{00000000-0005-0000-0000-0000993D0000}"/>
    <cellStyle name="SAPBEXchaText 13 2" xfId="6019" xr:uid="{00000000-0005-0000-0000-00009A3D0000}"/>
    <cellStyle name="SAPBEXchaText 13 3" xfId="8795" xr:uid="{00000000-0005-0000-0000-00009B3D0000}"/>
    <cellStyle name="SAPBEXchaText 13 4" xfId="11263" xr:uid="{00000000-0005-0000-0000-00009C3D0000}"/>
    <cellStyle name="SAPBEXchaText 13 5" xfId="13393" xr:uid="{00000000-0005-0000-0000-00009D3D0000}"/>
    <cellStyle name="SAPBEXchaText 13 6" xfId="15707" xr:uid="{00000000-0005-0000-0000-00009E3D0000}"/>
    <cellStyle name="SAPBEXchaText 13 7" xfId="18089" xr:uid="{00000000-0005-0000-0000-00009F3D0000}"/>
    <cellStyle name="SAPBEXchaText 13 8" xfId="20403" xr:uid="{00000000-0005-0000-0000-0000A03D0000}"/>
    <cellStyle name="SAPBEXchaText 13 9" xfId="22687" xr:uid="{00000000-0005-0000-0000-0000A13D0000}"/>
    <cellStyle name="SAPBEXchaText 14" xfId="3614" xr:uid="{00000000-0005-0000-0000-0000A23D0000}"/>
    <cellStyle name="SAPBEXchaText 14 2" xfId="6152" xr:uid="{00000000-0005-0000-0000-0000A33D0000}"/>
    <cellStyle name="SAPBEXchaText 14 3" xfId="9800" xr:uid="{00000000-0005-0000-0000-0000A43D0000}"/>
    <cellStyle name="SAPBEXchaText 14 4" xfId="11267" xr:uid="{00000000-0005-0000-0000-0000A53D0000}"/>
    <cellStyle name="SAPBEXchaText 14 5" xfId="13673" xr:uid="{00000000-0005-0000-0000-0000A63D0000}"/>
    <cellStyle name="SAPBEXchaText 14 6" xfId="15934" xr:uid="{00000000-0005-0000-0000-0000A73D0000}"/>
    <cellStyle name="SAPBEXchaText 14 7" xfId="18369" xr:uid="{00000000-0005-0000-0000-0000A83D0000}"/>
    <cellStyle name="SAPBEXchaText 14 8" xfId="20630" xr:uid="{00000000-0005-0000-0000-0000A93D0000}"/>
    <cellStyle name="SAPBEXchaText 14 9" xfId="22941" xr:uid="{00000000-0005-0000-0000-0000AA3D0000}"/>
    <cellStyle name="SAPBEXchaText 15" xfId="3374" xr:uid="{00000000-0005-0000-0000-0000AB3D0000}"/>
    <cellStyle name="SAPBEXchaText 15 2" xfId="5912" xr:uid="{00000000-0005-0000-0000-0000AC3D0000}"/>
    <cellStyle name="SAPBEXchaText 15 3" xfId="8507" xr:uid="{00000000-0005-0000-0000-0000AD3D0000}"/>
    <cellStyle name="SAPBEXchaText 15 4" xfId="11181" xr:uid="{00000000-0005-0000-0000-0000AE3D0000}"/>
    <cellStyle name="SAPBEXchaText 15 5" xfId="13579" xr:uid="{00000000-0005-0000-0000-0000AF3D0000}"/>
    <cellStyle name="SAPBEXchaText 15 6" xfId="15546" xr:uid="{00000000-0005-0000-0000-0000B03D0000}"/>
    <cellStyle name="SAPBEXchaText 15 7" xfId="18275" xr:uid="{00000000-0005-0000-0000-0000B13D0000}"/>
    <cellStyle name="SAPBEXchaText 15 8" xfId="20242" xr:uid="{00000000-0005-0000-0000-0000B23D0000}"/>
    <cellStyle name="SAPBEXchaText 15 9" xfId="22854" xr:uid="{00000000-0005-0000-0000-0000B33D0000}"/>
    <cellStyle name="SAPBEXchaText 16" xfId="3594" xr:uid="{00000000-0005-0000-0000-0000B43D0000}"/>
    <cellStyle name="SAPBEXchaText 16 2" xfId="6132" xr:uid="{00000000-0005-0000-0000-0000B53D0000}"/>
    <cellStyle name="SAPBEXchaText 16 3" xfId="9840" xr:uid="{00000000-0005-0000-0000-0000B63D0000}"/>
    <cellStyle name="SAPBEXchaText 16 4" xfId="10643" xr:uid="{00000000-0005-0000-0000-0000B73D0000}"/>
    <cellStyle name="SAPBEXchaText 16 5" xfId="12992" xr:uid="{00000000-0005-0000-0000-0000B83D0000}"/>
    <cellStyle name="SAPBEXchaText 16 6" xfId="16375" xr:uid="{00000000-0005-0000-0000-0000B93D0000}"/>
    <cellStyle name="SAPBEXchaText 16 7" xfId="17688" xr:uid="{00000000-0005-0000-0000-0000BA3D0000}"/>
    <cellStyle name="SAPBEXchaText 16 8" xfId="21071" xr:uid="{00000000-0005-0000-0000-0000BB3D0000}"/>
    <cellStyle name="SAPBEXchaText 16 9" xfId="22316" xr:uid="{00000000-0005-0000-0000-0000BC3D0000}"/>
    <cellStyle name="SAPBEXchaText 17" xfId="3707" xr:uid="{00000000-0005-0000-0000-0000BD3D0000}"/>
    <cellStyle name="SAPBEXchaText 17 2" xfId="6245" xr:uid="{00000000-0005-0000-0000-0000BE3D0000}"/>
    <cellStyle name="SAPBEXchaText 17 3" xfId="9383" xr:uid="{00000000-0005-0000-0000-0000BF3D0000}"/>
    <cellStyle name="SAPBEXchaText 17 4" xfId="7834" xr:uid="{00000000-0005-0000-0000-0000C03D0000}"/>
    <cellStyle name="SAPBEXchaText 17 5" xfId="12376" xr:uid="{00000000-0005-0000-0000-0000C13D0000}"/>
    <cellStyle name="SAPBEXchaText 17 6" xfId="16668" xr:uid="{00000000-0005-0000-0000-0000C23D0000}"/>
    <cellStyle name="SAPBEXchaText 17 7" xfId="17072" xr:uid="{00000000-0005-0000-0000-0000C33D0000}"/>
    <cellStyle name="SAPBEXchaText 17 8" xfId="21364" xr:uid="{00000000-0005-0000-0000-0000C43D0000}"/>
    <cellStyle name="SAPBEXchaText 17 9" xfId="21761" xr:uid="{00000000-0005-0000-0000-0000C53D0000}"/>
    <cellStyle name="SAPBEXchaText 18" xfId="3723" xr:uid="{00000000-0005-0000-0000-0000C63D0000}"/>
    <cellStyle name="SAPBEXchaText 18 2" xfId="6261" xr:uid="{00000000-0005-0000-0000-0000C73D0000}"/>
    <cellStyle name="SAPBEXchaText 18 3" xfId="9069" xr:uid="{00000000-0005-0000-0000-0000C83D0000}"/>
    <cellStyle name="SAPBEXchaText 18 4" xfId="11029" xr:uid="{00000000-0005-0000-0000-0000C93D0000}"/>
    <cellStyle name="SAPBEXchaText 18 5" xfId="13411" xr:uid="{00000000-0005-0000-0000-0000CA3D0000}"/>
    <cellStyle name="SAPBEXchaText 18 6" xfId="16674" xr:uid="{00000000-0005-0000-0000-0000CB3D0000}"/>
    <cellStyle name="SAPBEXchaText 18 7" xfId="18107" xr:uid="{00000000-0005-0000-0000-0000CC3D0000}"/>
    <cellStyle name="SAPBEXchaText 18 8" xfId="21370" xr:uid="{00000000-0005-0000-0000-0000CD3D0000}"/>
    <cellStyle name="SAPBEXchaText 18 9" xfId="22702" xr:uid="{00000000-0005-0000-0000-0000CE3D0000}"/>
    <cellStyle name="SAPBEXchaText 19" xfId="3769" xr:uid="{00000000-0005-0000-0000-0000CF3D0000}"/>
    <cellStyle name="SAPBEXchaText 19 2" xfId="6307" xr:uid="{00000000-0005-0000-0000-0000D03D0000}"/>
    <cellStyle name="SAPBEXchaText 19 3" xfId="9363" xr:uid="{00000000-0005-0000-0000-0000D13D0000}"/>
    <cellStyle name="SAPBEXchaText 19 4" xfId="12290" xr:uid="{00000000-0005-0000-0000-0000D23D0000}"/>
    <cellStyle name="SAPBEXchaText 19 5" xfId="14198" xr:uid="{00000000-0005-0000-0000-0000D33D0000}"/>
    <cellStyle name="SAPBEXchaText 19 6" xfId="15014" xr:uid="{00000000-0005-0000-0000-0000D43D0000}"/>
    <cellStyle name="SAPBEXchaText 19 7" xfId="18894" xr:uid="{00000000-0005-0000-0000-0000D53D0000}"/>
    <cellStyle name="SAPBEXchaText 19 8" xfId="19710" xr:uid="{00000000-0005-0000-0000-0000D63D0000}"/>
    <cellStyle name="SAPBEXchaText 19 9" xfId="23421" xr:uid="{00000000-0005-0000-0000-0000D73D0000}"/>
    <cellStyle name="SAPBEXchaText 2" xfId="3064" xr:uid="{00000000-0005-0000-0000-0000D83D0000}"/>
    <cellStyle name="SAPBEXchaText 2 10" xfId="25932" xr:uid="{00000000-0005-0000-0000-0000D93D0000}"/>
    <cellStyle name="SAPBEXchaText 2 2" xfId="5420" xr:uid="{00000000-0005-0000-0000-0000DA3D0000}"/>
    <cellStyle name="SAPBEXchaText 2 2 2" xfId="25933" xr:uid="{00000000-0005-0000-0000-0000DB3D0000}"/>
    <cellStyle name="SAPBEXchaText 2 3" xfId="7721" xr:uid="{00000000-0005-0000-0000-0000DC3D0000}"/>
    <cellStyle name="SAPBEXchaText 2 4" xfId="10832" xr:uid="{00000000-0005-0000-0000-0000DD3D0000}"/>
    <cellStyle name="SAPBEXchaText 2 5" xfId="13196" xr:uid="{00000000-0005-0000-0000-0000DE3D0000}"/>
    <cellStyle name="SAPBEXchaText 2 6" xfId="15357" xr:uid="{00000000-0005-0000-0000-0000DF3D0000}"/>
    <cellStyle name="SAPBEXchaText 2 7" xfId="17892" xr:uid="{00000000-0005-0000-0000-0000E03D0000}"/>
    <cellStyle name="SAPBEXchaText 2 8" xfId="20053" xr:uid="{00000000-0005-0000-0000-0000E13D0000}"/>
    <cellStyle name="SAPBEXchaText 2 9" xfId="22503" xr:uid="{00000000-0005-0000-0000-0000E23D0000}"/>
    <cellStyle name="SAPBEXchaText 20" xfId="3930" xr:uid="{00000000-0005-0000-0000-0000E33D0000}"/>
    <cellStyle name="SAPBEXchaText 20 2" xfId="6468" xr:uid="{00000000-0005-0000-0000-0000E43D0000}"/>
    <cellStyle name="SAPBEXchaText 20 3" xfId="8662" xr:uid="{00000000-0005-0000-0000-0000E53D0000}"/>
    <cellStyle name="SAPBEXchaText 20 4" xfId="10499" xr:uid="{00000000-0005-0000-0000-0000E63D0000}"/>
    <cellStyle name="SAPBEXchaText 20 5" xfId="12837" xr:uid="{00000000-0005-0000-0000-0000E73D0000}"/>
    <cellStyle name="SAPBEXchaText 20 6" xfId="14346" xr:uid="{00000000-0005-0000-0000-0000E83D0000}"/>
    <cellStyle name="SAPBEXchaText 20 7" xfId="17533" xr:uid="{00000000-0005-0000-0000-0000E93D0000}"/>
    <cellStyle name="SAPBEXchaText 20 8" xfId="19042" xr:uid="{00000000-0005-0000-0000-0000EA3D0000}"/>
    <cellStyle name="SAPBEXchaText 20 9" xfId="22170" xr:uid="{00000000-0005-0000-0000-0000EB3D0000}"/>
    <cellStyle name="SAPBEXchaText 21" xfId="3665" xr:uid="{00000000-0005-0000-0000-0000EC3D0000}"/>
    <cellStyle name="SAPBEXchaText 21 2" xfId="6203" xr:uid="{00000000-0005-0000-0000-0000ED3D0000}"/>
    <cellStyle name="SAPBEXchaText 21 3" xfId="5446" xr:uid="{00000000-0005-0000-0000-0000EE3D0000}"/>
    <cellStyle name="SAPBEXchaText 21 4" xfId="10472" xr:uid="{00000000-0005-0000-0000-0000EF3D0000}"/>
    <cellStyle name="SAPBEXchaText 21 5" xfId="14805" xr:uid="{00000000-0005-0000-0000-0000F03D0000}"/>
    <cellStyle name="SAPBEXchaText 21 6" xfId="15451" xr:uid="{00000000-0005-0000-0000-0000F13D0000}"/>
    <cellStyle name="SAPBEXchaText 21 7" xfId="19501" xr:uid="{00000000-0005-0000-0000-0000F23D0000}"/>
    <cellStyle name="SAPBEXchaText 21 8" xfId="20147" xr:uid="{00000000-0005-0000-0000-0000F33D0000}"/>
    <cellStyle name="SAPBEXchaText 21 9" xfId="23989" xr:uid="{00000000-0005-0000-0000-0000F43D0000}"/>
    <cellStyle name="SAPBEXchaText 22" xfId="3955" xr:uid="{00000000-0005-0000-0000-0000F53D0000}"/>
    <cellStyle name="SAPBEXchaText 22 2" xfId="6493" xr:uid="{00000000-0005-0000-0000-0000F63D0000}"/>
    <cellStyle name="SAPBEXchaText 22 3" xfId="10162" xr:uid="{00000000-0005-0000-0000-0000F73D0000}"/>
    <cellStyle name="SAPBEXchaText 22 4" xfId="10524" xr:uid="{00000000-0005-0000-0000-0000F83D0000}"/>
    <cellStyle name="SAPBEXchaText 22 5" xfId="12865" xr:uid="{00000000-0005-0000-0000-0000F93D0000}"/>
    <cellStyle name="SAPBEXchaText 22 6" xfId="13171" xr:uid="{00000000-0005-0000-0000-0000FA3D0000}"/>
    <cellStyle name="SAPBEXchaText 22 7" xfId="17561" xr:uid="{00000000-0005-0000-0000-0000FB3D0000}"/>
    <cellStyle name="SAPBEXchaText 22 8" xfId="17867" xr:uid="{00000000-0005-0000-0000-0000FC3D0000}"/>
    <cellStyle name="SAPBEXchaText 22 9" xfId="22195" xr:uid="{00000000-0005-0000-0000-0000FD3D0000}"/>
    <cellStyle name="SAPBEXchaText 23" xfId="4055" xr:uid="{00000000-0005-0000-0000-0000FE3D0000}"/>
    <cellStyle name="SAPBEXchaText 23 2" xfId="6593" xr:uid="{00000000-0005-0000-0000-0000FF3D0000}"/>
    <cellStyle name="SAPBEXchaText 23 3" xfId="9832" xr:uid="{00000000-0005-0000-0000-0000003E0000}"/>
    <cellStyle name="SAPBEXchaText 23 4" xfId="10795" xr:uid="{00000000-0005-0000-0000-0000013E0000}"/>
    <cellStyle name="SAPBEXchaText 23 5" xfId="13154" xr:uid="{00000000-0005-0000-0000-0000023E0000}"/>
    <cellStyle name="SAPBEXchaText 23 6" xfId="15177" xr:uid="{00000000-0005-0000-0000-0000033E0000}"/>
    <cellStyle name="SAPBEXchaText 23 7" xfId="17850" xr:uid="{00000000-0005-0000-0000-0000043E0000}"/>
    <cellStyle name="SAPBEXchaText 23 8" xfId="19873" xr:uid="{00000000-0005-0000-0000-0000053E0000}"/>
    <cellStyle name="SAPBEXchaText 23 9" xfId="22466" xr:uid="{00000000-0005-0000-0000-0000063E0000}"/>
    <cellStyle name="SAPBEXchaText 24" xfId="4121" xr:uid="{00000000-0005-0000-0000-0000073E0000}"/>
    <cellStyle name="SAPBEXchaText 24 2" xfId="6659" xr:uid="{00000000-0005-0000-0000-0000083E0000}"/>
    <cellStyle name="SAPBEXchaText 24 3" xfId="8724" xr:uid="{00000000-0005-0000-0000-0000093E0000}"/>
    <cellStyle name="SAPBEXchaText 24 4" xfId="10381" xr:uid="{00000000-0005-0000-0000-00000A3E0000}"/>
    <cellStyle name="SAPBEXchaText 24 5" xfId="12703" xr:uid="{00000000-0005-0000-0000-00000B3E0000}"/>
    <cellStyle name="SAPBEXchaText 24 6" xfId="15634" xr:uid="{00000000-0005-0000-0000-00000C3E0000}"/>
    <cellStyle name="SAPBEXchaText 24 7" xfId="17399" xr:uid="{00000000-0005-0000-0000-00000D3E0000}"/>
    <cellStyle name="SAPBEXchaText 24 8" xfId="20330" xr:uid="{00000000-0005-0000-0000-00000E3E0000}"/>
    <cellStyle name="SAPBEXchaText 24 9" xfId="22052" xr:uid="{00000000-0005-0000-0000-00000F3E0000}"/>
    <cellStyle name="SAPBEXchaText 25" xfId="4164" xr:uid="{00000000-0005-0000-0000-0000103E0000}"/>
    <cellStyle name="SAPBEXchaText 25 2" xfId="6702" xr:uid="{00000000-0005-0000-0000-0000113E0000}"/>
    <cellStyle name="SAPBEXchaText 25 3" xfId="8024" xr:uid="{00000000-0005-0000-0000-0000123E0000}"/>
    <cellStyle name="SAPBEXchaText 25 4" xfId="10388" xr:uid="{00000000-0005-0000-0000-0000133E0000}"/>
    <cellStyle name="SAPBEXchaText 25 5" xfId="12711" xr:uid="{00000000-0005-0000-0000-0000143E0000}"/>
    <cellStyle name="SAPBEXchaText 25 6" xfId="16828" xr:uid="{00000000-0005-0000-0000-0000153E0000}"/>
    <cellStyle name="SAPBEXchaText 25 7" xfId="17407" xr:uid="{00000000-0005-0000-0000-0000163E0000}"/>
    <cellStyle name="SAPBEXchaText 25 8" xfId="21524" xr:uid="{00000000-0005-0000-0000-0000173E0000}"/>
    <cellStyle name="SAPBEXchaText 25 9" xfId="22059" xr:uid="{00000000-0005-0000-0000-0000183E0000}"/>
    <cellStyle name="SAPBEXchaText 26" xfId="4184" xr:uid="{00000000-0005-0000-0000-0000193E0000}"/>
    <cellStyle name="SAPBEXchaText 26 2" xfId="6722" xr:uid="{00000000-0005-0000-0000-00001A3E0000}"/>
    <cellStyle name="SAPBEXchaText 26 3" xfId="8832" xr:uid="{00000000-0005-0000-0000-00001B3E0000}"/>
    <cellStyle name="SAPBEXchaText 26 4" xfId="11103" xr:uid="{00000000-0005-0000-0000-00001C3E0000}"/>
    <cellStyle name="SAPBEXchaText 26 5" xfId="13234" xr:uid="{00000000-0005-0000-0000-00001D3E0000}"/>
    <cellStyle name="SAPBEXchaText 26 6" xfId="16963" xr:uid="{00000000-0005-0000-0000-00001E3E0000}"/>
    <cellStyle name="SAPBEXchaText 26 7" xfId="17930" xr:uid="{00000000-0005-0000-0000-00001F3E0000}"/>
    <cellStyle name="SAPBEXchaText 26 8" xfId="21659" xr:uid="{00000000-0005-0000-0000-0000203E0000}"/>
    <cellStyle name="SAPBEXchaText 26 9" xfId="22540" xr:uid="{00000000-0005-0000-0000-0000213E0000}"/>
    <cellStyle name="SAPBEXchaText 27" xfId="4249" xr:uid="{00000000-0005-0000-0000-0000223E0000}"/>
    <cellStyle name="SAPBEXchaText 27 2" xfId="6787" xr:uid="{00000000-0005-0000-0000-0000233E0000}"/>
    <cellStyle name="SAPBEXchaText 27 3" xfId="8861" xr:uid="{00000000-0005-0000-0000-0000243E0000}"/>
    <cellStyle name="SAPBEXchaText 27 4" xfId="11210" xr:uid="{00000000-0005-0000-0000-0000253E0000}"/>
    <cellStyle name="SAPBEXchaText 27 5" xfId="13612" xr:uid="{00000000-0005-0000-0000-0000263E0000}"/>
    <cellStyle name="SAPBEXchaText 27 6" xfId="16965" xr:uid="{00000000-0005-0000-0000-0000273E0000}"/>
    <cellStyle name="SAPBEXchaText 27 7" xfId="18308" xr:uid="{00000000-0005-0000-0000-0000283E0000}"/>
    <cellStyle name="SAPBEXchaText 27 8" xfId="21661" xr:uid="{00000000-0005-0000-0000-0000293E0000}"/>
    <cellStyle name="SAPBEXchaText 27 9" xfId="22885" xr:uid="{00000000-0005-0000-0000-00002A3E0000}"/>
    <cellStyle name="SAPBEXchaText 28" xfId="4292" xr:uid="{00000000-0005-0000-0000-00002B3E0000}"/>
    <cellStyle name="SAPBEXchaText 28 2" xfId="6830" xr:uid="{00000000-0005-0000-0000-00002C3E0000}"/>
    <cellStyle name="SAPBEXchaText 28 3" xfId="8754" xr:uid="{00000000-0005-0000-0000-00002D3E0000}"/>
    <cellStyle name="SAPBEXchaText 28 4" xfId="12271" xr:uid="{00000000-0005-0000-0000-00002E3E0000}"/>
    <cellStyle name="SAPBEXchaText 28 5" xfId="13306" xr:uid="{00000000-0005-0000-0000-00002F3E0000}"/>
    <cellStyle name="SAPBEXchaText 28 6" xfId="15888" xr:uid="{00000000-0005-0000-0000-0000303E0000}"/>
    <cellStyle name="SAPBEXchaText 28 7" xfId="18002" xr:uid="{00000000-0005-0000-0000-0000313E0000}"/>
    <cellStyle name="SAPBEXchaText 28 8" xfId="20584" xr:uid="{00000000-0005-0000-0000-0000323E0000}"/>
    <cellStyle name="SAPBEXchaText 28 9" xfId="22606" xr:uid="{00000000-0005-0000-0000-0000333E0000}"/>
    <cellStyle name="SAPBEXchaText 29" xfId="4335" xr:uid="{00000000-0005-0000-0000-0000343E0000}"/>
    <cellStyle name="SAPBEXchaText 29 2" xfId="6873" xr:uid="{00000000-0005-0000-0000-0000353E0000}"/>
    <cellStyle name="SAPBEXchaText 29 3" xfId="8546" xr:uid="{00000000-0005-0000-0000-0000363E0000}"/>
    <cellStyle name="SAPBEXchaText 29 4" xfId="10610" xr:uid="{00000000-0005-0000-0000-0000373E0000}"/>
    <cellStyle name="SAPBEXchaText 29 5" xfId="14906" xr:uid="{00000000-0005-0000-0000-0000383E0000}"/>
    <cellStyle name="SAPBEXchaText 29 6" xfId="15879" xr:uid="{00000000-0005-0000-0000-0000393E0000}"/>
    <cellStyle name="SAPBEXchaText 29 7" xfId="19602" xr:uid="{00000000-0005-0000-0000-00003A3E0000}"/>
    <cellStyle name="SAPBEXchaText 29 8" xfId="20575" xr:uid="{00000000-0005-0000-0000-00003B3E0000}"/>
    <cellStyle name="SAPBEXchaText 29 9" xfId="24071" xr:uid="{00000000-0005-0000-0000-00003C3E0000}"/>
    <cellStyle name="SAPBEXchaText 3" xfId="3028" xr:uid="{00000000-0005-0000-0000-00003D3E0000}"/>
    <cellStyle name="SAPBEXchaText 3 10" xfId="25934" xr:uid="{00000000-0005-0000-0000-00003E3E0000}"/>
    <cellStyle name="SAPBEXchaText 3 2" xfId="5567" xr:uid="{00000000-0005-0000-0000-00003F3E0000}"/>
    <cellStyle name="SAPBEXchaText 3 3" xfId="8539" xr:uid="{00000000-0005-0000-0000-0000403E0000}"/>
    <cellStyle name="SAPBEXchaText 3 4" xfId="11886" xr:uid="{00000000-0005-0000-0000-0000413E0000}"/>
    <cellStyle name="SAPBEXchaText 3 5" xfId="14353" xr:uid="{00000000-0005-0000-0000-0000423E0000}"/>
    <cellStyle name="SAPBEXchaText 3 6" xfId="16175" xr:uid="{00000000-0005-0000-0000-0000433E0000}"/>
    <cellStyle name="SAPBEXchaText 3 7" xfId="19049" xr:uid="{00000000-0005-0000-0000-0000443E0000}"/>
    <cellStyle name="SAPBEXchaText 3 8" xfId="20871" xr:uid="{00000000-0005-0000-0000-0000453E0000}"/>
    <cellStyle name="SAPBEXchaText 3 9" xfId="23562" xr:uid="{00000000-0005-0000-0000-0000463E0000}"/>
    <cellStyle name="SAPBEXchaText 30" xfId="4378" xr:uid="{00000000-0005-0000-0000-0000473E0000}"/>
    <cellStyle name="SAPBEXchaText 30 2" xfId="6916" xr:uid="{00000000-0005-0000-0000-0000483E0000}"/>
    <cellStyle name="SAPBEXchaText 30 3" xfId="10024" xr:uid="{00000000-0005-0000-0000-0000493E0000}"/>
    <cellStyle name="SAPBEXchaText 30 4" xfId="12133" xr:uid="{00000000-0005-0000-0000-00004A3E0000}"/>
    <cellStyle name="SAPBEXchaText 30 5" xfId="14615" xr:uid="{00000000-0005-0000-0000-00004B3E0000}"/>
    <cellStyle name="SAPBEXchaText 30 6" xfId="14846" xr:uid="{00000000-0005-0000-0000-00004C3E0000}"/>
    <cellStyle name="SAPBEXchaText 30 7" xfId="19311" xr:uid="{00000000-0005-0000-0000-00004D3E0000}"/>
    <cellStyle name="SAPBEXchaText 30 8" xfId="19542" xr:uid="{00000000-0005-0000-0000-00004E3E0000}"/>
    <cellStyle name="SAPBEXchaText 30 9" xfId="23807" xr:uid="{00000000-0005-0000-0000-00004F3E0000}"/>
    <cellStyle name="SAPBEXchaText 31" xfId="4421" xr:uid="{00000000-0005-0000-0000-0000503E0000}"/>
    <cellStyle name="SAPBEXchaText 31 2" xfId="6959" xr:uid="{00000000-0005-0000-0000-0000513E0000}"/>
    <cellStyle name="SAPBEXchaText 31 3" xfId="9445" xr:uid="{00000000-0005-0000-0000-0000523E0000}"/>
    <cellStyle name="SAPBEXchaText 31 4" xfId="11581" xr:uid="{00000000-0005-0000-0000-0000533E0000}"/>
    <cellStyle name="SAPBEXchaText 31 5" xfId="14018" xr:uid="{00000000-0005-0000-0000-0000543E0000}"/>
    <cellStyle name="SAPBEXchaText 31 6" xfId="16883" xr:uid="{00000000-0005-0000-0000-0000553E0000}"/>
    <cellStyle name="SAPBEXchaText 31 7" xfId="18714" xr:uid="{00000000-0005-0000-0000-0000563E0000}"/>
    <cellStyle name="SAPBEXchaText 31 8" xfId="21579" xr:uid="{00000000-0005-0000-0000-0000573E0000}"/>
    <cellStyle name="SAPBEXchaText 31 9" xfId="23255" xr:uid="{00000000-0005-0000-0000-0000583E0000}"/>
    <cellStyle name="SAPBEXchaText 32" xfId="4394" xr:uid="{00000000-0005-0000-0000-0000593E0000}"/>
    <cellStyle name="SAPBEXchaText 32 2" xfId="6932" xr:uid="{00000000-0005-0000-0000-00005A3E0000}"/>
    <cellStyle name="SAPBEXchaText 32 3" xfId="10083" xr:uid="{00000000-0005-0000-0000-00005B3E0000}"/>
    <cellStyle name="SAPBEXchaText 32 4" xfId="9270" xr:uid="{00000000-0005-0000-0000-00005C3E0000}"/>
    <cellStyle name="SAPBEXchaText 32 5" xfId="13494" xr:uid="{00000000-0005-0000-0000-00005D3E0000}"/>
    <cellStyle name="SAPBEXchaText 32 6" xfId="15055" xr:uid="{00000000-0005-0000-0000-00005E3E0000}"/>
    <cellStyle name="SAPBEXchaText 32 7" xfId="18190" xr:uid="{00000000-0005-0000-0000-00005F3E0000}"/>
    <cellStyle name="SAPBEXchaText 32 8" xfId="19751" xr:uid="{00000000-0005-0000-0000-0000603E0000}"/>
    <cellStyle name="SAPBEXchaText 32 9" xfId="22774" xr:uid="{00000000-0005-0000-0000-0000613E0000}"/>
    <cellStyle name="SAPBEXchaText 33" xfId="4484" xr:uid="{00000000-0005-0000-0000-0000623E0000}"/>
    <cellStyle name="SAPBEXchaText 33 2" xfId="7022" xr:uid="{00000000-0005-0000-0000-0000633E0000}"/>
    <cellStyle name="SAPBEXchaText 33 3" xfId="9181" xr:uid="{00000000-0005-0000-0000-0000643E0000}"/>
    <cellStyle name="SAPBEXchaText 33 4" xfId="11387" xr:uid="{00000000-0005-0000-0000-0000653E0000}"/>
    <cellStyle name="SAPBEXchaText 33 5" xfId="13802" xr:uid="{00000000-0005-0000-0000-0000663E0000}"/>
    <cellStyle name="SAPBEXchaText 33 6" xfId="15302" xr:uid="{00000000-0005-0000-0000-0000673E0000}"/>
    <cellStyle name="SAPBEXchaText 33 7" xfId="18498" xr:uid="{00000000-0005-0000-0000-0000683E0000}"/>
    <cellStyle name="SAPBEXchaText 33 8" xfId="19998" xr:uid="{00000000-0005-0000-0000-0000693E0000}"/>
    <cellStyle name="SAPBEXchaText 33 9" xfId="23061" xr:uid="{00000000-0005-0000-0000-00006A3E0000}"/>
    <cellStyle name="SAPBEXchaText 34" xfId="4549" xr:uid="{00000000-0005-0000-0000-00006B3E0000}"/>
    <cellStyle name="SAPBEXchaText 34 2" xfId="7087" xr:uid="{00000000-0005-0000-0000-00006C3E0000}"/>
    <cellStyle name="SAPBEXchaText 34 3" xfId="8384" xr:uid="{00000000-0005-0000-0000-00006D3E0000}"/>
    <cellStyle name="SAPBEXchaText 34 4" xfId="11977" xr:uid="{00000000-0005-0000-0000-00006E3E0000}"/>
    <cellStyle name="SAPBEXchaText 34 5" xfId="14455" xr:uid="{00000000-0005-0000-0000-00006F3E0000}"/>
    <cellStyle name="SAPBEXchaText 34 6" xfId="16101" xr:uid="{00000000-0005-0000-0000-0000703E0000}"/>
    <cellStyle name="SAPBEXchaText 34 7" xfId="19151" xr:uid="{00000000-0005-0000-0000-0000713E0000}"/>
    <cellStyle name="SAPBEXchaText 34 8" xfId="20797" xr:uid="{00000000-0005-0000-0000-0000723E0000}"/>
    <cellStyle name="SAPBEXchaText 34 9" xfId="23652" xr:uid="{00000000-0005-0000-0000-0000733E0000}"/>
    <cellStyle name="SAPBEXchaText 35" xfId="4593" xr:uid="{00000000-0005-0000-0000-0000743E0000}"/>
    <cellStyle name="SAPBEXchaText 35 2" xfId="7131" xr:uid="{00000000-0005-0000-0000-0000753E0000}"/>
    <cellStyle name="SAPBEXchaText 35 3" xfId="10108" xr:uid="{00000000-0005-0000-0000-0000763E0000}"/>
    <cellStyle name="SAPBEXchaText 35 4" xfId="11310" xr:uid="{00000000-0005-0000-0000-0000773E0000}"/>
    <cellStyle name="SAPBEXchaText 35 5" xfId="13450" xr:uid="{00000000-0005-0000-0000-0000783E0000}"/>
    <cellStyle name="SAPBEXchaText 35 6" xfId="15200" xr:uid="{00000000-0005-0000-0000-0000793E0000}"/>
    <cellStyle name="SAPBEXchaText 35 7" xfId="18146" xr:uid="{00000000-0005-0000-0000-00007A3E0000}"/>
    <cellStyle name="SAPBEXchaText 35 8" xfId="19896" xr:uid="{00000000-0005-0000-0000-00007B3E0000}"/>
    <cellStyle name="SAPBEXchaText 35 9" xfId="22735" xr:uid="{00000000-0005-0000-0000-00007C3E0000}"/>
    <cellStyle name="SAPBEXchaText 36" xfId="4636" xr:uid="{00000000-0005-0000-0000-00007D3E0000}"/>
    <cellStyle name="SAPBEXchaText 36 2" xfId="7174" xr:uid="{00000000-0005-0000-0000-00007E3E0000}"/>
    <cellStyle name="SAPBEXchaText 36 3" xfId="10084" xr:uid="{00000000-0005-0000-0000-00007F3E0000}"/>
    <cellStyle name="SAPBEXchaText 36 4" xfId="11415" xr:uid="{00000000-0005-0000-0000-0000803E0000}"/>
    <cellStyle name="SAPBEXchaText 36 5" xfId="13831" xr:uid="{00000000-0005-0000-0000-0000813E0000}"/>
    <cellStyle name="SAPBEXchaText 36 6" xfId="16361" xr:uid="{00000000-0005-0000-0000-0000823E0000}"/>
    <cellStyle name="SAPBEXchaText 36 7" xfId="18527" xr:uid="{00000000-0005-0000-0000-0000833E0000}"/>
    <cellStyle name="SAPBEXchaText 36 8" xfId="21057" xr:uid="{00000000-0005-0000-0000-0000843E0000}"/>
    <cellStyle name="SAPBEXchaText 36 9" xfId="23089" xr:uid="{00000000-0005-0000-0000-0000853E0000}"/>
    <cellStyle name="SAPBEXchaText 37" xfId="4679" xr:uid="{00000000-0005-0000-0000-0000863E0000}"/>
    <cellStyle name="SAPBEXchaText 37 2" xfId="7217" xr:uid="{00000000-0005-0000-0000-0000873E0000}"/>
    <cellStyle name="SAPBEXchaText 37 3" xfId="10015" xr:uid="{00000000-0005-0000-0000-0000883E0000}"/>
    <cellStyle name="SAPBEXchaText 37 4" xfId="10793" xr:uid="{00000000-0005-0000-0000-0000893E0000}"/>
    <cellStyle name="SAPBEXchaText 37 5" xfId="13152" xr:uid="{00000000-0005-0000-0000-00008A3E0000}"/>
    <cellStyle name="SAPBEXchaText 37 6" xfId="15268" xr:uid="{00000000-0005-0000-0000-00008B3E0000}"/>
    <cellStyle name="SAPBEXchaText 37 7" xfId="17848" xr:uid="{00000000-0005-0000-0000-00008C3E0000}"/>
    <cellStyle name="SAPBEXchaText 37 8" xfId="19964" xr:uid="{00000000-0005-0000-0000-00008D3E0000}"/>
    <cellStyle name="SAPBEXchaText 37 9" xfId="22464" xr:uid="{00000000-0005-0000-0000-00008E3E0000}"/>
    <cellStyle name="SAPBEXchaText 38" xfId="4631" xr:uid="{00000000-0005-0000-0000-00008F3E0000}"/>
    <cellStyle name="SAPBEXchaText 38 2" xfId="7169" xr:uid="{00000000-0005-0000-0000-0000903E0000}"/>
    <cellStyle name="SAPBEXchaText 38 3" xfId="9374" xr:uid="{00000000-0005-0000-0000-0000913E0000}"/>
    <cellStyle name="SAPBEXchaText 38 4" xfId="8682" xr:uid="{00000000-0005-0000-0000-0000923E0000}"/>
    <cellStyle name="SAPBEXchaText 38 5" xfId="12449" xr:uid="{00000000-0005-0000-0000-0000933E0000}"/>
    <cellStyle name="SAPBEXchaText 38 6" xfId="15520" xr:uid="{00000000-0005-0000-0000-0000943E0000}"/>
    <cellStyle name="SAPBEXchaText 38 7" xfId="17145" xr:uid="{00000000-0005-0000-0000-0000953E0000}"/>
    <cellStyle name="SAPBEXchaText 38 8" xfId="20216" xr:uid="{00000000-0005-0000-0000-0000963E0000}"/>
    <cellStyle name="SAPBEXchaText 38 9" xfId="21828" xr:uid="{00000000-0005-0000-0000-0000973E0000}"/>
    <cellStyle name="SAPBEXchaText 39" xfId="4418" xr:uid="{00000000-0005-0000-0000-0000983E0000}"/>
    <cellStyle name="SAPBEXchaText 39 2" xfId="6956" xr:uid="{00000000-0005-0000-0000-0000993E0000}"/>
    <cellStyle name="SAPBEXchaText 39 3" xfId="9925" xr:uid="{00000000-0005-0000-0000-00009A3E0000}"/>
    <cellStyle name="SAPBEXchaText 39 4" xfId="12217" xr:uid="{00000000-0005-0000-0000-00009B3E0000}"/>
    <cellStyle name="SAPBEXchaText 39 5" xfId="14837" xr:uid="{00000000-0005-0000-0000-00009C3E0000}"/>
    <cellStyle name="SAPBEXchaText 39 6" xfId="16719" xr:uid="{00000000-0005-0000-0000-00009D3E0000}"/>
    <cellStyle name="SAPBEXchaText 39 7" xfId="19533" xr:uid="{00000000-0005-0000-0000-00009E3E0000}"/>
    <cellStyle name="SAPBEXchaText 39 8" xfId="21415" xr:uid="{00000000-0005-0000-0000-00009F3E0000}"/>
    <cellStyle name="SAPBEXchaText 39 9" xfId="24018" xr:uid="{00000000-0005-0000-0000-0000A03E0000}"/>
    <cellStyle name="SAPBEXchaText 4" xfId="3152" xr:uid="{00000000-0005-0000-0000-0000A13E0000}"/>
    <cellStyle name="SAPBEXchaText 4 2" xfId="5690" xr:uid="{00000000-0005-0000-0000-0000A23E0000}"/>
    <cellStyle name="SAPBEXchaText 4 3" xfId="8686" xr:uid="{00000000-0005-0000-0000-0000A33E0000}"/>
    <cellStyle name="SAPBEXchaText 4 4" xfId="10304" xr:uid="{00000000-0005-0000-0000-0000A43E0000}"/>
    <cellStyle name="SAPBEXchaText 4 5" xfId="12618" xr:uid="{00000000-0005-0000-0000-0000A53E0000}"/>
    <cellStyle name="SAPBEXchaText 4 6" xfId="16493" xr:uid="{00000000-0005-0000-0000-0000A63E0000}"/>
    <cellStyle name="SAPBEXchaText 4 7" xfId="17314" xr:uid="{00000000-0005-0000-0000-0000A73E0000}"/>
    <cellStyle name="SAPBEXchaText 4 8" xfId="21189" xr:uid="{00000000-0005-0000-0000-0000A83E0000}"/>
    <cellStyle name="SAPBEXchaText 4 9" xfId="21974" xr:uid="{00000000-0005-0000-0000-0000A93E0000}"/>
    <cellStyle name="SAPBEXchaText 40" xfId="4826" xr:uid="{00000000-0005-0000-0000-0000AA3E0000}"/>
    <cellStyle name="SAPBEXchaText 40 2" xfId="7364" xr:uid="{00000000-0005-0000-0000-0000AB3E0000}"/>
    <cellStyle name="SAPBEXchaText 40 3" xfId="9316" xr:uid="{00000000-0005-0000-0000-0000AC3E0000}"/>
    <cellStyle name="SAPBEXchaText 40 4" xfId="10737" xr:uid="{00000000-0005-0000-0000-0000AD3E0000}"/>
    <cellStyle name="SAPBEXchaText 40 5" xfId="13092" xr:uid="{00000000-0005-0000-0000-0000AE3E0000}"/>
    <cellStyle name="SAPBEXchaText 40 6" xfId="15381" xr:uid="{00000000-0005-0000-0000-0000AF3E0000}"/>
    <cellStyle name="SAPBEXchaText 40 7" xfId="17788" xr:uid="{00000000-0005-0000-0000-0000B03E0000}"/>
    <cellStyle name="SAPBEXchaText 40 8" xfId="20077" xr:uid="{00000000-0005-0000-0000-0000B13E0000}"/>
    <cellStyle name="SAPBEXchaText 40 9" xfId="22410" xr:uid="{00000000-0005-0000-0000-0000B23E0000}"/>
    <cellStyle name="SAPBEXchaText 41" xfId="4799" xr:uid="{00000000-0005-0000-0000-0000B33E0000}"/>
    <cellStyle name="SAPBEXchaText 41 2" xfId="7337" xr:uid="{00000000-0005-0000-0000-0000B43E0000}"/>
    <cellStyle name="SAPBEXchaText 41 3" xfId="7705" xr:uid="{00000000-0005-0000-0000-0000B53E0000}"/>
    <cellStyle name="SAPBEXchaText 41 4" xfId="11868" xr:uid="{00000000-0005-0000-0000-0000B63E0000}"/>
    <cellStyle name="SAPBEXchaText 41 5" xfId="14331" xr:uid="{00000000-0005-0000-0000-0000B73E0000}"/>
    <cellStyle name="SAPBEXchaText 41 6" xfId="16976" xr:uid="{00000000-0005-0000-0000-0000B83E0000}"/>
    <cellStyle name="SAPBEXchaText 41 7" xfId="19027" xr:uid="{00000000-0005-0000-0000-0000B93E0000}"/>
    <cellStyle name="SAPBEXchaText 41 8" xfId="21672" xr:uid="{00000000-0005-0000-0000-0000BA3E0000}"/>
    <cellStyle name="SAPBEXchaText 41 9" xfId="23544" xr:uid="{00000000-0005-0000-0000-0000BB3E0000}"/>
    <cellStyle name="SAPBEXchaText 42" xfId="4889" xr:uid="{00000000-0005-0000-0000-0000BC3E0000}"/>
    <cellStyle name="SAPBEXchaText 42 2" xfId="7427" xr:uid="{00000000-0005-0000-0000-0000BD3E0000}"/>
    <cellStyle name="SAPBEXchaText 42 3" xfId="8469" xr:uid="{00000000-0005-0000-0000-0000BE3E0000}"/>
    <cellStyle name="SAPBEXchaText 42 4" xfId="12177" xr:uid="{00000000-0005-0000-0000-0000BF3E0000}"/>
    <cellStyle name="SAPBEXchaText 42 5" xfId="12321" xr:uid="{00000000-0005-0000-0000-0000C03E0000}"/>
    <cellStyle name="SAPBEXchaText 42 6" xfId="15623" xr:uid="{00000000-0005-0000-0000-0000C13E0000}"/>
    <cellStyle name="SAPBEXchaText 42 7" xfId="17017" xr:uid="{00000000-0005-0000-0000-0000C23E0000}"/>
    <cellStyle name="SAPBEXchaText 42 8" xfId="20319" xr:uid="{00000000-0005-0000-0000-0000C33E0000}"/>
    <cellStyle name="SAPBEXchaText 42 9" xfId="21711" xr:uid="{00000000-0005-0000-0000-0000C43E0000}"/>
    <cellStyle name="SAPBEXchaText 43" xfId="4958" xr:uid="{00000000-0005-0000-0000-0000C53E0000}"/>
    <cellStyle name="SAPBEXchaText 43 2" xfId="7496" xr:uid="{00000000-0005-0000-0000-0000C63E0000}"/>
    <cellStyle name="SAPBEXchaText 43 3" xfId="8506" xr:uid="{00000000-0005-0000-0000-0000C73E0000}"/>
    <cellStyle name="SAPBEXchaText 43 4" xfId="10724" xr:uid="{00000000-0005-0000-0000-0000C83E0000}"/>
    <cellStyle name="SAPBEXchaText 43 5" xfId="13079" xr:uid="{00000000-0005-0000-0000-0000C93E0000}"/>
    <cellStyle name="SAPBEXchaText 43 6" xfId="16785" xr:uid="{00000000-0005-0000-0000-0000CA3E0000}"/>
    <cellStyle name="SAPBEXchaText 43 7" xfId="17775" xr:uid="{00000000-0005-0000-0000-0000CB3E0000}"/>
    <cellStyle name="SAPBEXchaText 43 8" xfId="21481" xr:uid="{00000000-0005-0000-0000-0000CC3E0000}"/>
    <cellStyle name="SAPBEXchaText 43 9" xfId="22397" xr:uid="{00000000-0005-0000-0000-0000CD3E0000}"/>
    <cellStyle name="SAPBEXchaText 44" xfId="4986" xr:uid="{00000000-0005-0000-0000-0000CE3E0000}"/>
    <cellStyle name="SAPBEXchaText 44 2" xfId="7524" xr:uid="{00000000-0005-0000-0000-0000CF3E0000}"/>
    <cellStyle name="SAPBEXchaText 44 3" xfId="7713" xr:uid="{00000000-0005-0000-0000-0000D03E0000}"/>
    <cellStyle name="SAPBEXchaText 44 4" xfId="11925" xr:uid="{00000000-0005-0000-0000-0000D13E0000}"/>
    <cellStyle name="SAPBEXchaText 44 5" xfId="14398" xr:uid="{00000000-0005-0000-0000-0000D23E0000}"/>
    <cellStyle name="SAPBEXchaText 44 6" xfId="15187" xr:uid="{00000000-0005-0000-0000-0000D33E0000}"/>
    <cellStyle name="SAPBEXchaText 44 7" xfId="19094" xr:uid="{00000000-0005-0000-0000-0000D43E0000}"/>
    <cellStyle name="SAPBEXchaText 44 8" xfId="19883" xr:uid="{00000000-0005-0000-0000-0000D53E0000}"/>
    <cellStyle name="SAPBEXchaText 44 9" xfId="23600" xr:uid="{00000000-0005-0000-0000-0000D63E0000}"/>
    <cellStyle name="SAPBEXchaText 45" xfId="5024" xr:uid="{00000000-0005-0000-0000-0000D73E0000}"/>
    <cellStyle name="SAPBEXchaText 45 2" xfId="7562" xr:uid="{00000000-0005-0000-0000-0000D83E0000}"/>
    <cellStyle name="SAPBEXchaText 45 3" xfId="9873" xr:uid="{00000000-0005-0000-0000-0000D93E0000}"/>
    <cellStyle name="SAPBEXchaText 45 4" xfId="10425" xr:uid="{00000000-0005-0000-0000-0000DA3E0000}"/>
    <cellStyle name="SAPBEXchaText 45 5" xfId="12750" xr:uid="{00000000-0005-0000-0000-0000DB3E0000}"/>
    <cellStyle name="SAPBEXchaText 45 6" xfId="15329" xr:uid="{00000000-0005-0000-0000-0000DC3E0000}"/>
    <cellStyle name="SAPBEXchaText 45 7" xfId="17446" xr:uid="{00000000-0005-0000-0000-0000DD3E0000}"/>
    <cellStyle name="SAPBEXchaText 45 8" xfId="20025" xr:uid="{00000000-0005-0000-0000-0000DE3E0000}"/>
    <cellStyle name="SAPBEXchaText 45 9" xfId="22096" xr:uid="{00000000-0005-0000-0000-0000DF3E0000}"/>
    <cellStyle name="SAPBEXchaText 46" xfId="5059" xr:uid="{00000000-0005-0000-0000-0000E03E0000}"/>
    <cellStyle name="SAPBEXchaText 46 2" xfId="7597" xr:uid="{00000000-0005-0000-0000-0000E13E0000}"/>
    <cellStyle name="SAPBEXchaText 46 3" xfId="7949" xr:uid="{00000000-0005-0000-0000-0000E23E0000}"/>
    <cellStyle name="SAPBEXchaText 46 4" xfId="10750" xr:uid="{00000000-0005-0000-0000-0000E33E0000}"/>
    <cellStyle name="SAPBEXchaText 46 5" xfId="13105" xr:uid="{00000000-0005-0000-0000-0000E43E0000}"/>
    <cellStyle name="SAPBEXchaText 46 6" xfId="15645" xr:uid="{00000000-0005-0000-0000-0000E53E0000}"/>
    <cellStyle name="SAPBEXchaText 46 7" xfId="17801" xr:uid="{00000000-0005-0000-0000-0000E63E0000}"/>
    <cellStyle name="SAPBEXchaText 46 8" xfId="20341" xr:uid="{00000000-0005-0000-0000-0000E73E0000}"/>
    <cellStyle name="SAPBEXchaText 46 9" xfId="22422" xr:uid="{00000000-0005-0000-0000-0000E83E0000}"/>
    <cellStyle name="SAPBEXchaText 47" xfId="5089" xr:uid="{00000000-0005-0000-0000-0000E93E0000}"/>
    <cellStyle name="SAPBEXchaText 47 2" xfId="7627" xr:uid="{00000000-0005-0000-0000-0000EA3E0000}"/>
    <cellStyle name="SAPBEXchaText 47 3" xfId="8497" xr:uid="{00000000-0005-0000-0000-0000EB3E0000}"/>
    <cellStyle name="SAPBEXchaText 47 4" xfId="10893" xr:uid="{00000000-0005-0000-0000-0000EC3E0000}"/>
    <cellStyle name="SAPBEXchaText 47 5" xfId="13262" xr:uid="{00000000-0005-0000-0000-0000ED3E0000}"/>
    <cellStyle name="SAPBEXchaText 47 6" xfId="15998" xr:uid="{00000000-0005-0000-0000-0000EE3E0000}"/>
    <cellStyle name="SAPBEXchaText 47 7" xfId="17958" xr:uid="{00000000-0005-0000-0000-0000EF3E0000}"/>
    <cellStyle name="SAPBEXchaText 47 8" xfId="20694" xr:uid="{00000000-0005-0000-0000-0000F03E0000}"/>
    <cellStyle name="SAPBEXchaText 47 9" xfId="22564" xr:uid="{00000000-0005-0000-0000-0000F13E0000}"/>
    <cellStyle name="SAPBEXchaText 48" xfId="5126" xr:uid="{00000000-0005-0000-0000-0000F23E0000}"/>
    <cellStyle name="SAPBEXchaText 48 2" xfId="7664" xr:uid="{00000000-0005-0000-0000-0000F33E0000}"/>
    <cellStyle name="SAPBEXchaText 48 3" xfId="10124" xr:uid="{00000000-0005-0000-0000-0000F43E0000}"/>
    <cellStyle name="SAPBEXchaText 48 4" xfId="12044" xr:uid="{00000000-0005-0000-0000-0000F53E0000}"/>
    <cellStyle name="SAPBEXchaText 48 5" xfId="12320" xr:uid="{00000000-0005-0000-0000-0000F63E0000}"/>
    <cellStyle name="SAPBEXchaText 48 6" xfId="14864" xr:uid="{00000000-0005-0000-0000-0000F73E0000}"/>
    <cellStyle name="SAPBEXchaText 48 7" xfId="17016" xr:uid="{00000000-0005-0000-0000-0000F83E0000}"/>
    <cellStyle name="SAPBEXchaText 48 8" xfId="19560" xr:uid="{00000000-0005-0000-0000-0000F93E0000}"/>
    <cellStyle name="SAPBEXchaText 48 9" xfId="21710" xr:uid="{00000000-0005-0000-0000-0000FA3E0000}"/>
    <cellStyle name="SAPBEXchaText 49" xfId="5195" xr:uid="{00000000-0005-0000-0000-0000FB3E0000}"/>
    <cellStyle name="SAPBEXchaText 49 2" xfId="7734" xr:uid="{00000000-0005-0000-0000-0000FC3E0000}"/>
    <cellStyle name="SAPBEXchaText 49 3" xfId="8590" xr:uid="{00000000-0005-0000-0000-0000FD3E0000}"/>
    <cellStyle name="SAPBEXchaText 49 4" xfId="10399" xr:uid="{00000000-0005-0000-0000-0000FE3E0000}"/>
    <cellStyle name="SAPBEXchaText 49 5" xfId="12722" xr:uid="{00000000-0005-0000-0000-0000FF3E0000}"/>
    <cellStyle name="SAPBEXchaText 49 6" xfId="16269" xr:uid="{00000000-0005-0000-0000-0000003F0000}"/>
    <cellStyle name="SAPBEXchaText 49 7" xfId="17418" xr:uid="{00000000-0005-0000-0000-0000013F0000}"/>
    <cellStyle name="SAPBEXchaText 49 8" xfId="20965" xr:uid="{00000000-0005-0000-0000-0000023F0000}"/>
    <cellStyle name="SAPBEXchaText 49 9" xfId="22070" xr:uid="{00000000-0005-0000-0000-0000033F0000}"/>
    <cellStyle name="SAPBEXchaText 5" xfId="3195" xr:uid="{00000000-0005-0000-0000-0000043F0000}"/>
    <cellStyle name="SAPBEXchaText 5 2" xfId="5733" xr:uid="{00000000-0005-0000-0000-0000053F0000}"/>
    <cellStyle name="SAPBEXchaText 5 3" xfId="8496" xr:uid="{00000000-0005-0000-0000-0000063F0000}"/>
    <cellStyle name="SAPBEXchaText 5 4" xfId="11663" xr:uid="{00000000-0005-0000-0000-0000073F0000}"/>
    <cellStyle name="SAPBEXchaText 5 5" xfId="14110" xr:uid="{00000000-0005-0000-0000-0000083F0000}"/>
    <cellStyle name="SAPBEXchaText 5 6" xfId="16178" xr:uid="{00000000-0005-0000-0000-0000093F0000}"/>
    <cellStyle name="SAPBEXchaText 5 7" xfId="18806" xr:uid="{00000000-0005-0000-0000-00000A3F0000}"/>
    <cellStyle name="SAPBEXchaText 5 8" xfId="20874" xr:uid="{00000000-0005-0000-0000-00000B3F0000}"/>
    <cellStyle name="SAPBEXchaText 5 9" xfId="23338" xr:uid="{00000000-0005-0000-0000-00000C3F0000}"/>
    <cellStyle name="SAPBEXchaText 50" xfId="5183" xr:uid="{00000000-0005-0000-0000-00000D3F0000}"/>
    <cellStyle name="SAPBEXchaText 50 2" xfId="9182" xr:uid="{00000000-0005-0000-0000-00000E3F0000}"/>
    <cellStyle name="SAPBEXchaText 50 3" xfId="12223" xr:uid="{00000000-0005-0000-0000-00000F3F0000}"/>
    <cellStyle name="SAPBEXchaText 50 4" xfId="14829" xr:uid="{00000000-0005-0000-0000-0000103F0000}"/>
    <cellStyle name="SAPBEXchaText 50 5" xfId="15706" xr:uid="{00000000-0005-0000-0000-0000113F0000}"/>
    <cellStyle name="SAPBEXchaText 50 6" xfId="19525" xr:uid="{00000000-0005-0000-0000-0000123F0000}"/>
    <cellStyle name="SAPBEXchaText 50 7" xfId="20402" xr:uid="{00000000-0005-0000-0000-0000133F0000}"/>
    <cellStyle name="SAPBEXchaText 50 8" xfId="24011" xr:uid="{00000000-0005-0000-0000-0000143F0000}"/>
    <cellStyle name="SAPBEXchaText 51" xfId="9756" xr:uid="{00000000-0005-0000-0000-0000153F0000}"/>
    <cellStyle name="SAPBEXchaText 52" xfId="7724" xr:uid="{00000000-0005-0000-0000-0000163F0000}"/>
    <cellStyle name="SAPBEXchaText 53" xfId="12393" xr:uid="{00000000-0005-0000-0000-0000173F0000}"/>
    <cellStyle name="SAPBEXchaText 54" xfId="15903" xr:uid="{00000000-0005-0000-0000-0000183F0000}"/>
    <cellStyle name="SAPBEXchaText 55" xfId="17089" xr:uid="{00000000-0005-0000-0000-0000193F0000}"/>
    <cellStyle name="SAPBEXchaText 56" xfId="20599" xr:uid="{00000000-0005-0000-0000-00001A3F0000}"/>
    <cellStyle name="SAPBEXchaText 57" xfId="21778" xr:uid="{00000000-0005-0000-0000-00001B3F0000}"/>
    <cellStyle name="SAPBEXchaText 58" xfId="25931" xr:uid="{00000000-0005-0000-0000-00001C3F0000}"/>
    <cellStyle name="SAPBEXchaText 6" xfId="3238" xr:uid="{00000000-0005-0000-0000-00001D3F0000}"/>
    <cellStyle name="SAPBEXchaText 6 2" xfId="5776" xr:uid="{00000000-0005-0000-0000-00001E3F0000}"/>
    <cellStyle name="SAPBEXchaText 6 3" xfId="9389" xr:uid="{00000000-0005-0000-0000-00001F3F0000}"/>
    <cellStyle name="SAPBEXchaText 6 4" xfId="10135" xr:uid="{00000000-0005-0000-0000-0000203F0000}"/>
    <cellStyle name="SAPBEXchaText 6 5" xfId="12484" xr:uid="{00000000-0005-0000-0000-0000213F0000}"/>
    <cellStyle name="SAPBEXchaText 6 6" xfId="16260" xr:uid="{00000000-0005-0000-0000-0000223F0000}"/>
    <cellStyle name="SAPBEXchaText 6 7" xfId="17180" xr:uid="{00000000-0005-0000-0000-0000233F0000}"/>
    <cellStyle name="SAPBEXchaText 6 8" xfId="20956" xr:uid="{00000000-0005-0000-0000-0000243F0000}"/>
    <cellStyle name="SAPBEXchaText 6 9" xfId="21857" xr:uid="{00000000-0005-0000-0000-0000253F0000}"/>
    <cellStyle name="SAPBEXchaText 7" xfId="3281" xr:uid="{00000000-0005-0000-0000-0000263F0000}"/>
    <cellStyle name="SAPBEXchaText 7 2" xfId="5819" xr:uid="{00000000-0005-0000-0000-0000273F0000}"/>
    <cellStyle name="SAPBEXchaText 7 3" xfId="9095" xr:uid="{00000000-0005-0000-0000-0000283F0000}"/>
    <cellStyle name="SAPBEXchaText 7 4" xfId="11751" xr:uid="{00000000-0005-0000-0000-0000293F0000}"/>
    <cellStyle name="SAPBEXchaText 7 5" xfId="14879" xr:uid="{00000000-0005-0000-0000-00002A3F0000}"/>
    <cellStyle name="SAPBEXchaText 7 6" xfId="16404" xr:uid="{00000000-0005-0000-0000-00002B3F0000}"/>
    <cellStyle name="SAPBEXchaText 7 7" xfId="19575" xr:uid="{00000000-0005-0000-0000-00002C3F0000}"/>
    <cellStyle name="SAPBEXchaText 7 8" xfId="21100" xr:uid="{00000000-0005-0000-0000-00002D3F0000}"/>
    <cellStyle name="SAPBEXchaText 7 9" xfId="24049" xr:uid="{00000000-0005-0000-0000-00002E3F0000}"/>
    <cellStyle name="SAPBEXchaText 8" xfId="3324" xr:uid="{00000000-0005-0000-0000-00002F3F0000}"/>
    <cellStyle name="SAPBEXchaText 8 2" xfId="5862" xr:uid="{00000000-0005-0000-0000-0000303F0000}"/>
    <cellStyle name="SAPBEXchaText 8 3" xfId="10183" xr:uid="{00000000-0005-0000-0000-0000313F0000}"/>
    <cellStyle name="SAPBEXchaText 8 4" xfId="10260" xr:uid="{00000000-0005-0000-0000-0000323F0000}"/>
    <cellStyle name="SAPBEXchaText 8 5" xfId="12569" xr:uid="{00000000-0005-0000-0000-0000333F0000}"/>
    <cellStyle name="SAPBEXchaText 8 6" xfId="16174" xr:uid="{00000000-0005-0000-0000-0000343F0000}"/>
    <cellStyle name="SAPBEXchaText 8 7" xfId="17265" xr:uid="{00000000-0005-0000-0000-0000353F0000}"/>
    <cellStyle name="SAPBEXchaText 8 8" xfId="20870" xr:uid="{00000000-0005-0000-0000-0000363F0000}"/>
    <cellStyle name="SAPBEXchaText 8 9" xfId="21929" xr:uid="{00000000-0005-0000-0000-0000373F0000}"/>
    <cellStyle name="SAPBEXchaText 9" xfId="3367" xr:uid="{00000000-0005-0000-0000-0000383F0000}"/>
    <cellStyle name="SAPBEXchaText 9 2" xfId="5905" xr:uid="{00000000-0005-0000-0000-0000393F0000}"/>
    <cellStyle name="SAPBEXchaText 9 3" xfId="9718" xr:uid="{00000000-0005-0000-0000-00003A3F0000}"/>
    <cellStyle name="SAPBEXchaText 9 4" xfId="10600" xr:uid="{00000000-0005-0000-0000-00003B3F0000}"/>
    <cellStyle name="SAPBEXchaText 9 5" xfId="12948" xr:uid="{00000000-0005-0000-0000-00003C3F0000}"/>
    <cellStyle name="SAPBEXchaText 9 6" xfId="16007" xr:uid="{00000000-0005-0000-0000-00003D3F0000}"/>
    <cellStyle name="SAPBEXchaText 9 7" xfId="17644" xr:uid="{00000000-0005-0000-0000-00003E3F0000}"/>
    <cellStyle name="SAPBEXchaText 9 8" xfId="20703" xr:uid="{00000000-0005-0000-0000-00003F3F0000}"/>
    <cellStyle name="SAPBEXchaText 9 9" xfId="22273" xr:uid="{00000000-0005-0000-0000-0000403F0000}"/>
    <cellStyle name="SAPBEXexcBad7" xfId="2946" xr:uid="{00000000-0005-0000-0000-0000413F0000}"/>
    <cellStyle name="SAPBEXexcBad7 10" xfId="3421" xr:uid="{00000000-0005-0000-0000-0000423F0000}"/>
    <cellStyle name="SAPBEXexcBad7 10 2" xfId="5959" xr:uid="{00000000-0005-0000-0000-0000433F0000}"/>
    <cellStyle name="SAPBEXexcBad7 10 3" xfId="10206" xr:uid="{00000000-0005-0000-0000-0000443F0000}"/>
    <cellStyle name="SAPBEXexcBad7 10 4" xfId="12070" xr:uid="{00000000-0005-0000-0000-0000453F0000}"/>
    <cellStyle name="SAPBEXexcBad7 10 5" xfId="14550" xr:uid="{00000000-0005-0000-0000-0000463F0000}"/>
    <cellStyle name="SAPBEXexcBad7 10 6" xfId="12666" xr:uid="{00000000-0005-0000-0000-0000473F0000}"/>
    <cellStyle name="SAPBEXexcBad7 10 7" xfId="19246" xr:uid="{00000000-0005-0000-0000-0000483F0000}"/>
    <cellStyle name="SAPBEXexcBad7 10 8" xfId="17362" xr:uid="{00000000-0005-0000-0000-0000493F0000}"/>
    <cellStyle name="SAPBEXexcBad7 10 9" xfId="23742" xr:uid="{00000000-0005-0000-0000-00004A3F0000}"/>
    <cellStyle name="SAPBEXexcBad7 11" xfId="3306" xr:uid="{00000000-0005-0000-0000-00004B3F0000}"/>
    <cellStyle name="SAPBEXexcBad7 11 2" xfId="5844" xr:uid="{00000000-0005-0000-0000-00004C3F0000}"/>
    <cellStyle name="SAPBEXexcBad7 11 3" xfId="9734" xr:uid="{00000000-0005-0000-0000-00004D3F0000}"/>
    <cellStyle name="SAPBEXexcBad7 11 4" xfId="11866" xr:uid="{00000000-0005-0000-0000-00004E3F0000}"/>
    <cellStyle name="SAPBEXexcBad7 11 5" xfId="14329" xr:uid="{00000000-0005-0000-0000-00004F3F0000}"/>
    <cellStyle name="SAPBEXexcBad7 11 6" xfId="15007" xr:uid="{00000000-0005-0000-0000-0000503F0000}"/>
    <cellStyle name="SAPBEXexcBad7 11 7" xfId="19025" xr:uid="{00000000-0005-0000-0000-0000513F0000}"/>
    <cellStyle name="SAPBEXexcBad7 11 8" xfId="19703" xr:uid="{00000000-0005-0000-0000-0000523F0000}"/>
    <cellStyle name="SAPBEXexcBad7 11 9" xfId="23542" xr:uid="{00000000-0005-0000-0000-0000533F0000}"/>
    <cellStyle name="SAPBEXexcBad7 12" xfId="3414" xr:uid="{00000000-0005-0000-0000-0000543F0000}"/>
    <cellStyle name="SAPBEXexcBad7 12 2" xfId="5952" xr:uid="{00000000-0005-0000-0000-0000553F0000}"/>
    <cellStyle name="SAPBEXexcBad7 12 3" xfId="9050" xr:uid="{00000000-0005-0000-0000-0000563F0000}"/>
    <cellStyle name="SAPBEXexcBad7 12 4" xfId="11488" xr:uid="{00000000-0005-0000-0000-0000573F0000}"/>
    <cellStyle name="SAPBEXexcBad7 12 5" xfId="13913" xr:uid="{00000000-0005-0000-0000-0000583F0000}"/>
    <cellStyle name="SAPBEXexcBad7 12 6" xfId="16319" xr:uid="{00000000-0005-0000-0000-0000593F0000}"/>
    <cellStyle name="SAPBEXexcBad7 12 7" xfId="18609" xr:uid="{00000000-0005-0000-0000-00005A3F0000}"/>
    <cellStyle name="SAPBEXexcBad7 12 8" xfId="21015" xr:uid="{00000000-0005-0000-0000-00005B3F0000}"/>
    <cellStyle name="SAPBEXexcBad7 12 9" xfId="23163" xr:uid="{00000000-0005-0000-0000-00005C3F0000}"/>
    <cellStyle name="SAPBEXexcBad7 13" xfId="3576" xr:uid="{00000000-0005-0000-0000-00005D3F0000}"/>
    <cellStyle name="SAPBEXexcBad7 13 2" xfId="6114" xr:uid="{00000000-0005-0000-0000-00005E3F0000}"/>
    <cellStyle name="SAPBEXexcBad7 13 3" xfId="7968" xr:uid="{00000000-0005-0000-0000-00005F3F0000}"/>
    <cellStyle name="SAPBEXexcBad7 13 4" xfId="10850" xr:uid="{00000000-0005-0000-0000-0000603F0000}"/>
    <cellStyle name="SAPBEXexcBad7 13 5" xfId="13215" xr:uid="{00000000-0005-0000-0000-0000613F0000}"/>
    <cellStyle name="SAPBEXexcBad7 13 6" xfId="15416" xr:uid="{00000000-0005-0000-0000-0000623F0000}"/>
    <cellStyle name="SAPBEXexcBad7 13 7" xfId="17911" xr:uid="{00000000-0005-0000-0000-0000633F0000}"/>
    <cellStyle name="SAPBEXexcBad7 13 8" xfId="20112" xr:uid="{00000000-0005-0000-0000-0000643F0000}"/>
    <cellStyle name="SAPBEXexcBad7 13 9" xfId="22521" xr:uid="{00000000-0005-0000-0000-0000653F0000}"/>
    <cellStyle name="SAPBEXexcBad7 14" xfId="3431" xr:uid="{00000000-0005-0000-0000-0000663F0000}"/>
    <cellStyle name="SAPBEXexcBad7 14 2" xfId="5969" xr:uid="{00000000-0005-0000-0000-0000673F0000}"/>
    <cellStyle name="SAPBEXexcBad7 14 3" xfId="9349" xr:uid="{00000000-0005-0000-0000-0000683F0000}"/>
    <cellStyle name="SAPBEXexcBad7 14 4" xfId="11160" xr:uid="{00000000-0005-0000-0000-0000693F0000}"/>
    <cellStyle name="SAPBEXexcBad7 14 5" xfId="13556" xr:uid="{00000000-0005-0000-0000-00006A3F0000}"/>
    <cellStyle name="SAPBEXexcBad7 14 6" xfId="16391" xr:uid="{00000000-0005-0000-0000-00006B3F0000}"/>
    <cellStyle name="SAPBEXexcBad7 14 7" xfId="18252" xr:uid="{00000000-0005-0000-0000-00006C3F0000}"/>
    <cellStyle name="SAPBEXexcBad7 14 8" xfId="21087" xr:uid="{00000000-0005-0000-0000-00006D3F0000}"/>
    <cellStyle name="SAPBEXexcBad7 14 9" xfId="22833" xr:uid="{00000000-0005-0000-0000-00006E3F0000}"/>
    <cellStyle name="SAPBEXexcBad7 15" xfId="3657" xr:uid="{00000000-0005-0000-0000-00006F3F0000}"/>
    <cellStyle name="SAPBEXexcBad7 15 2" xfId="6195" xr:uid="{00000000-0005-0000-0000-0000703F0000}"/>
    <cellStyle name="SAPBEXexcBad7 15 3" xfId="8452" xr:uid="{00000000-0005-0000-0000-0000713F0000}"/>
    <cellStyle name="SAPBEXexcBad7 15 4" xfId="11880" xr:uid="{00000000-0005-0000-0000-0000723F0000}"/>
    <cellStyle name="SAPBEXexcBad7 15 5" xfId="14345" xr:uid="{00000000-0005-0000-0000-0000733F0000}"/>
    <cellStyle name="SAPBEXexcBad7 15 6" xfId="16239" xr:uid="{00000000-0005-0000-0000-0000743F0000}"/>
    <cellStyle name="SAPBEXexcBad7 15 7" xfId="19041" xr:uid="{00000000-0005-0000-0000-0000753F0000}"/>
    <cellStyle name="SAPBEXexcBad7 15 8" xfId="20935" xr:uid="{00000000-0005-0000-0000-0000763F0000}"/>
    <cellStyle name="SAPBEXexcBad7 15 9" xfId="23556" xr:uid="{00000000-0005-0000-0000-0000773F0000}"/>
    <cellStyle name="SAPBEXexcBad7 16" xfId="3719" xr:uid="{00000000-0005-0000-0000-0000783F0000}"/>
    <cellStyle name="SAPBEXexcBad7 16 2" xfId="6257" xr:uid="{00000000-0005-0000-0000-0000793F0000}"/>
    <cellStyle name="SAPBEXexcBad7 16 3" xfId="8414" xr:uid="{00000000-0005-0000-0000-00007A3F0000}"/>
    <cellStyle name="SAPBEXexcBad7 16 4" xfId="11174" xr:uid="{00000000-0005-0000-0000-00007B3F0000}"/>
    <cellStyle name="SAPBEXexcBad7 16 5" xfId="13571" xr:uid="{00000000-0005-0000-0000-00007C3F0000}"/>
    <cellStyle name="SAPBEXexcBad7 16 6" xfId="16057" xr:uid="{00000000-0005-0000-0000-00007D3F0000}"/>
    <cellStyle name="SAPBEXexcBad7 16 7" xfId="18267" xr:uid="{00000000-0005-0000-0000-00007E3F0000}"/>
    <cellStyle name="SAPBEXexcBad7 16 8" xfId="20753" xr:uid="{00000000-0005-0000-0000-00007F3F0000}"/>
    <cellStyle name="SAPBEXexcBad7 16 9" xfId="22847" xr:uid="{00000000-0005-0000-0000-0000803F0000}"/>
    <cellStyle name="SAPBEXexcBad7 17" xfId="3470" xr:uid="{00000000-0005-0000-0000-0000813F0000}"/>
    <cellStyle name="SAPBEXexcBad7 17 2" xfId="6008" xr:uid="{00000000-0005-0000-0000-0000823F0000}"/>
    <cellStyle name="SAPBEXexcBad7 17 3" xfId="9935" xr:uid="{00000000-0005-0000-0000-0000833F0000}"/>
    <cellStyle name="SAPBEXexcBad7 17 4" xfId="12304" xr:uid="{00000000-0005-0000-0000-0000843F0000}"/>
    <cellStyle name="SAPBEXexcBad7 17 5" xfId="12316" xr:uid="{00000000-0005-0000-0000-0000853F0000}"/>
    <cellStyle name="SAPBEXexcBad7 17 6" xfId="16481" xr:uid="{00000000-0005-0000-0000-0000863F0000}"/>
    <cellStyle name="SAPBEXexcBad7 17 7" xfId="17012" xr:uid="{00000000-0005-0000-0000-0000873F0000}"/>
    <cellStyle name="SAPBEXexcBad7 17 8" xfId="21177" xr:uid="{00000000-0005-0000-0000-0000883F0000}"/>
    <cellStyle name="SAPBEXexcBad7 17 9" xfId="21707" xr:uid="{00000000-0005-0000-0000-0000893F0000}"/>
    <cellStyle name="SAPBEXexcBad7 18" xfId="3626" xr:uid="{00000000-0005-0000-0000-00008A3F0000}"/>
    <cellStyle name="SAPBEXexcBad7 18 2" xfId="6164" xr:uid="{00000000-0005-0000-0000-00008B3F0000}"/>
    <cellStyle name="SAPBEXexcBad7 18 3" xfId="9491" xr:uid="{00000000-0005-0000-0000-00008C3F0000}"/>
    <cellStyle name="SAPBEXexcBad7 18 4" xfId="10257" xr:uid="{00000000-0005-0000-0000-00008D3F0000}"/>
    <cellStyle name="SAPBEXexcBad7 18 5" xfId="12565" xr:uid="{00000000-0005-0000-0000-00008E3F0000}"/>
    <cellStyle name="SAPBEXexcBad7 18 6" xfId="13914" xr:uid="{00000000-0005-0000-0000-00008F3F0000}"/>
    <cellStyle name="SAPBEXexcBad7 18 7" xfId="17261" xr:uid="{00000000-0005-0000-0000-0000903F0000}"/>
    <cellStyle name="SAPBEXexcBad7 18 8" xfId="18610" xr:uid="{00000000-0005-0000-0000-0000913F0000}"/>
    <cellStyle name="SAPBEXexcBad7 18 9" xfId="21926" xr:uid="{00000000-0005-0000-0000-0000923F0000}"/>
    <cellStyle name="SAPBEXexcBad7 19" xfId="3898" xr:uid="{00000000-0005-0000-0000-0000933F0000}"/>
    <cellStyle name="SAPBEXexcBad7 19 2" xfId="6436" xr:uid="{00000000-0005-0000-0000-0000943F0000}"/>
    <cellStyle name="SAPBEXexcBad7 19 3" xfId="9859" xr:uid="{00000000-0005-0000-0000-0000953F0000}"/>
    <cellStyle name="SAPBEXexcBad7 19 4" xfId="10814" xr:uid="{00000000-0005-0000-0000-0000963F0000}"/>
    <cellStyle name="SAPBEXexcBad7 19 5" xfId="13177" xr:uid="{00000000-0005-0000-0000-0000973F0000}"/>
    <cellStyle name="SAPBEXexcBad7 19 6" xfId="16817" xr:uid="{00000000-0005-0000-0000-0000983F0000}"/>
    <cellStyle name="SAPBEXexcBad7 19 7" xfId="17873" xr:uid="{00000000-0005-0000-0000-0000993F0000}"/>
    <cellStyle name="SAPBEXexcBad7 19 8" xfId="21513" xr:uid="{00000000-0005-0000-0000-00009A3F0000}"/>
    <cellStyle name="SAPBEXexcBad7 19 9" xfId="22485" xr:uid="{00000000-0005-0000-0000-00009B3F0000}"/>
    <cellStyle name="SAPBEXexcBad7 2" xfId="3065" xr:uid="{00000000-0005-0000-0000-00009C3F0000}"/>
    <cellStyle name="SAPBEXexcBad7 2 2" xfId="5603" xr:uid="{00000000-0005-0000-0000-00009D3F0000}"/>
    <cellStyle name="SAPBEXexcBad7 2 3" xfId="9738" xr:uid="{00000000-0005-0000-0000-00009E3F0000}"/>
    <cellStyle name="SAPBEXexcBad7 2 4" xfId="11176" xr:uid="{00000000-0005-0000-0000-00009F3F0000}"/>
    <cellStyle name="SAPBEXexcBad7 2 5" xfId="13573" xr:uid="{00000000-0005-0000-0000-0000A03F0000}"/>
    <cellStyle name="SAPBEXexcBad7 2 6" xfId="15858" xr:uid="{00000000-0005-0000-0000-0000A13F0000}"/>
    <cellStyle name="SAPBEXexcBad7 2 7" xfId="18269" xr:uid="{00000000-0005-0000-0000-0000A23F0000}"/>
    <cellStyle name="SAPBEXexcBad7 2 8" xfId="20554" xr:uid="{00000000-0005-0000-0000-0000A33F0000}"/>
    <cellStyle name="SAPBEXexcBad7 2 9" xfId="22849" xr:uid="{00000000-0005-0000-0000-0000A43F0000}"/>
    <cellStyle name="SAPBEXexcBad7 20" xfId="3941" xr:uid="{00000000-0005-0000-0000-0000A53F0000}"/>
    <cellStyle name="SAPBEXexcBad7 20 2" xfId="6479" xr:uid="{00000000-0005-0000-0000-0000A63F0000}"/>
    <cellStyle name="SAPBEXexcBad7 20 3" xfId="8261" xr:uid="{00000000-0005-0000-0000-0000A73F0000}"/>
    <cellStyle name="SAPBEXexcBad7 20 4" xfId="10885" xr:uid="{00000000-0005-0000-0000-0000A83F0000}"/>
    <cellStyle name="SAPBEXexcBad7 20 5" xfId="13252" xr:uid="{00000000-0005-0000-0000-0000A93F0000}"/>
    <cellStyle name="SAPBEXexcBad7 20 6" xfId="15027" xr:uid="{00000000-0005-0000-0000-0000AA3F0000}"/>
    <cellStyle name="SAPBEXexcBad7 20 7" xfId="17948" xr:uid="{00000000-0005-0000-0000-0000AB3F0000}"/>
    <cellStyle name="SAPBEXexcBad7 20 8" xfId="19723" xr:uid="{00000000-0005-0000-0000-0000AC3F0000}"/>
    <cellStyle name="SAPBEXexcBad7 20 9" xfId="22556" xr:uid="{00000000-0005-0000-0000-0000AD3F0000}"/>
    <cellStyle name="SAPBEXexcBad7 21" xfId="3979" xr:uid="{00000000-0005-0000-0000-0000AE3F0000}"/>
    <cellStyle name="SAPBEXexcBad7 21 2" xfId="6517" xr:uid="{00000000-0005-0000-0000-0000AF3F0000}"/>
    <cellStyle name="SAPBEXexcBad7 21 3" xfId="9574" xr:uid="{00000000-0005-0000-0000-0000B03F0000}"/>
    <cellStyle name="SAPBEXexcBad7 21 4" xfId="11156" xr:uid="{00000000-0005-0000-0000-0000B13F0000}"/>
    <cellStyle name="SAPBEXexcBad7 21 5" xfId="13552" xr:uid="{00000000-0005-0000-0000-0000B23F0000}"/>
    <cellStyle name="SAPBEXexcBad7 21 6" xfId="15142" xr:uid="{00000000-0005-0000-0000-0000B33F0000}"/>
    <cellStyle name="SAPBEXexcBad7 21 7" xfId="18248" xr:uid="{00000000-0005-0000-0000-0000B43F0000}"/>
    <cellStyle name="SAPBEXexcBad7 21 8" xfId="19838" xr:uid="{00000000-0005-0000-0000-0000B53F0000}"/>
    <cellStyle name="SAPBEXexcBad7 21 9" xfId="22829" xr:uid="{00000000-0005-0000-0000-0000B63F0000}"/>
    <cellStyle name="SAPBEXexcBad7 22" xfId="3958" xr:uid="{00000000-0005-0000-0000-0000B73F0000}"/>
    <cellStyle name="SAPBEXexcBad7 22 2" xfId="6496" xr:uid="{00000000-0005-0000-0000-0000B83F0000}"/>
    <cellStyle name="SAPBEXexcBad7 22 3" xfId="7946" xr:uid="{00000000-0005-0000-0000-0000B93F0000}"/>
    <cellStyle name="SAPBEXexcBad7 22 4" xfId="12082" xr:uid="{00000000-0005-0000-0000-0000BA3F0000}"/>
    <cellStyle name="SAPBEXexcBad7 22 5" xfId="14562" xr:uid="{00000000-0005-0000-0000-0000BB3F0000}"/>
    <cellStyle name="SAPBEXexcBad7 22 6" xfId="15649" xr:uid="{00000000-0005-0000-0000-0000BC3F0000}"/>
    <cellStyle name="SAPBEXexcBad7 22 7" xfId="19258" xr:uid="{00000000-0005-0000-0000-0000BD3F0000}"/>
    <cellStyle name="SAPBEXexcBad7 22 8" xfId="20345" xr:uid="{00000000-0005-0000-0000-0000BE3F0000}"/>
    <cellStyle name="SAPBEXexcBad7 22 9" xfId="23754" xr:uid="{00000000-0005-0000-0000-0000BF3F0000}"/>
    <cellStyle name="SAPBEXexcBad7 23" xfId="3937" xr:uid="{00000000-0005-0000-0000-0000C03F0000}"/>
    <cellStyle name="SAPBEXexcBad7 23 2" xfId="6475" xr:uid="{00000000-0005-0000-0000-0000C13F0000}"/>
    <cellStyle name="SAPBEXexcBad7 23 3" xfId="9105" xr:uid="{00000000-0005-0000-0000-0000C23F0000}"/>
    <cellStyle name="SAPBEXexcBad7 23 4" xfId="11401" xr:uid="{00000000-0005-0000-0000-0000C33F0000}"/>
    <cellStyle name="SAPBEXexcBad7 23 5" xfId="13816" xr:uid="{00000000-0005-0000-0000-0000C43F0000}"/>
    <cellStyle name="SAPBEXexcBad7 23 6" xfId="15048" xr:uid="{00000000-0005-0000-0000-0000C53F0000}"/>
    <cellStyle name="SAPBEXexcBad7 23 7" xfId="18512" xr:uid="{00000000-0005-0000-0000-0000C63F0000}"/>
    <cellStyle name="SAPBEXexcBad7 23 8" xfId="19744" xr:uid="{00000000-0005-0000-0000-0000C73F0000}"/>
    <cellStyle name="SAPBEXexcBad7 23 9" xfId="23075" xr:uid="{00000000-0005-0000-0000-0000C83F0000}"/>
    <cellStyle name="SAPBEXexcBad7 24" xfId="4132" xr:uid="{00000000-0005-0000-0000-0000C93F0000}"/>
    <cellStyle name="SAPBEXexcBad7 24 2" xfId="6670" xr:uid="{00000000-0005-0000-0000-0000CA3F0000}"/>
    <cellStyle name="SAPBEXexcBad7 24 3" xfId="8453" xr:uid="{00000000-0005-0000-0000-0000CB3F0000}"/>
    <cellStyle name="SAPBEXexcBad7 24 4" xfId="10360" xr:uid="{00000000-0005-0000-0000-0000CC3F0000}"/>
    <cellStyle name="SAPBEXexcBad7 24 5" xfId="12682" xr:uid="{00000000-0005-0000-0000-0000CD3F0000}"/>
    <cellStyle name="SAPBEXexcBad7 24 6" xfId="15045" xr:uid="{00000000-0005-0000-0000-0000CE3F0000}"/>
    <cellStyle name="SAPBEXexcBad7 24 7" xfId="17378" xr:uid="{00000000-0005-0000-0000-0000CF3F0000}"/>
    <cellStyle name="SAPBEXexcBad7 24 8" xfId="19741" xr:uid="{00000000-0005-0000-0000-0000D03F0000}"/>
    <cellStyle name="SAPBEXexcBad7 24 9" xfId="22031" xr:uid="{00000000-0005-0000-0000-0000D13F0000}"/>
    <cellStyle name="SAPBEXexcBad7 25" xfId="4175" xr:uid="{00000000-0005-0000-0000-0000D23F0000}"/>
    <cellStyle name="SAPBEXexcBad7 25 2" xfId="6713" xr:uid="{00000000-0005-0000-0000-0000D33F0000}"/>
    <cellStyle name="SAPBEXexcBad7 25 3" xfId="9715" xr:uid="{00000000-0005-0000-0000-0000D43F0000}"/>
    <cellStyle name="SAPBEXexcBad7 25 4" xfId="10728" xr:uid="{00000000-0005-0000-0000-0000D53F0000}"/>
    <cellStyle name="SAPBEXexcBad7 25 5" xfId="13083" xr:uid="{00000000-0005-0000-0000-0000D63F0000}"/>
    <cellStyle name="SAPBEXexcBad7 25 6" xfId="16857" xr:uid="{00000000-0005-0000-0000-0000D73F0000}"/>
    <cellStyle name="SAPBEXexcBad7 25 7" xfId="17779" xr:uid="{00000000-0005-0000-0000-0000D83F0000}"/>
    <cellStyle name="SAPBEXexcBad7 25 8" xfId="21553" xr:uid="{00000000-0005-0000-0000-0000D93F0000}"/>
    <cellStyle name="SAPBEXexcBad7 25 9" xfId="22401" xr:uid="{00000000-0005-0000-0000-0000DA3F0000}"/>
    <cellStyle name="SAPBEXexcBad7 26" xfId="4207" xr:uid="{00000000-0005-0000-0000-0000DB3F0000}"/>
    <cellStyle name="SAPBEXexcBad7 26 2" xfId="6745" xr:uid="{00000000-0005-0000-0000-0000DC3F0000}"/>
    <cellStyle name="SAPBEXexcBad7 26 3" xfId="9090" xr:uid="{00000000-0005-0000-0000-0000DD3F0000}"/>
    <cellStyle name="SAPBEXexcBad7 26 4" xfId="10887" xr:uid="{00000000-0005-0000-0000-0000DE3F0000}"/>
    <cellStyle name="SAPBEXexcBad7 26 5" xfId="13255" xr:uid="{00000000-0005-0000-0000-0000DF3F0000}"/>
    <cellStyle name="SAPBEXexcBad7 26 6" xfId="15336" xr:uid="{00000000-0005-0000-0000-0000E03F0000}"/>
    <cellStyle name="SAPBEXexcBad7 26 7" xfId="17951" xr:uid="{00000000-0005-0000-0000-0000E13F0000}"/>
    <cellStyle name="SAPBEXexcBad7 26 8" xfId="20032" xr:uid="{00000000-0005-0000-0000-0000E23F0000}"/>
    <cellStyle name="SAPBEXexcBad7 26 9" xfId="22558" xr:uid="{00000000-0005-0000-0000-0000E33F0000}"/>
    <cellStyle name="SAPBEXexcBad7 27" xfId="4260" xr:uid="{00000000-0005-0000-0000-0000E43F0000}"/>
    <cellStyle name="SAPBEXexcBad7 27 2" xfId="6798" xr:uid="{00000000-0005-0000-0000-0000E53F0000}"/>
    <cellStyle name="SAPBEXexcBad7 27 3" xfId="8586" xr:uid="{00000000-0005-0000-0000-0000E63F0000}"/>
    <cellStyle name="SAPBEXexcBad7 27 4" xfId="9302" xr:uid="{00000000-0005-0000-0000-0000E73F0000}"/>
    <cellStyle name="SAPBEXexcBad7 27 5" xfId="13307" xr:uid="{00000000-0005-0000-0000-0000E83F0000}"/>
    <cellStyle name="SAPBEXexcBad7 27 6" xfId="15318" xr:uid="{00000000-0005-0000-0000-0000E93F0000}"/>
    <cellStyle name="SAPBEXexcBad7 27 7" xfId="18003" xr:uid="{00000000-0005-0000-0000-0000EA3F0000}"/>
    <cellStyle name="SAPBEXexcBad7 27 8" xfId="20014" xr:uid="{00000000-0005-0000-0000-0000EB3F0000}"/>
    <cellStyle name="SAPBEXexcBad7 27 9" xfId="22607" xr:uid="{00000000-0005-0000-0000-0000EC3F0000}"/>
    <cellStyle name="SAPBEXexcBad7 28" xfId="4303" xr:uid="{00000000-0005-0000-0000-0000ED3F0000}"/>
    <cellStyle name="SAPBEXexcBad7 28 2" xfId="6841" xr:uid="{00000000-0005-0000-0000-0000EE3F0000}"/>
    <cellStyle name="SAPBEXexcBad7 28 3" xfId="8475" xr:uid="{00000000-0005-0000-0000-0000EF3F0000}"/>
    <cellStyle name="SAPBEXexcBad7 28 4" xfId="11420" xr:uid="{00000000-0005-0000-0000-0000F03F0000}"/>
    <cellStyle name="SAPBEXexcBad7 28 5" xfId="13837" xr:uid="{00000000-0005-0000-0000-0000F13F0000}"/>
    <cellStyle name="SAPBEXexcBad7 28 6" xfId="15543" xr:uid="{00000000-0005-0000-0000-0000F23F0000}"/>
    <cellStyle name="SAPBEXexcBad7 28 7" xfId="18533" xr:uid="{00000000-0005-0000-0000-0000F33F0000}"/>
    <cellStyle name="SAPBEXexcBad7 28 8" xfId="20239" xr:uid="{00000000-0005-0000-0000-0000F43F0000}"/>
    <cellStyle name="SAPBEXexcBad7 28 9" xfId="23094" xr:uid="{00000000-0005-0000-0000-0000F53F0000}"/>
    <cellStyle name="SAPBEXexcBad7 29" xfId="4346" xr:uid="{00000000-0005-0000-0000-0000F63F0000}"/>
    <cellStyle name="SAPBEXexcBad7 29 2" xfId="6884" xr:uid="{00000000-0005-0000-0000-0000F73F0000}"/>
    <cellStyle name="SAPBEXexcBad7 29 3" xfId="9932" xr:uid="{00000000-0005-0000-0000-0000F83F0000}"/>
    <cellStyle name="SAPBEXexcBad7 29 4" xfId="11756" xr:uid="{00000000-0005-0000-0000-0000F93F0000}"/>
    <cellStyle name="SAPBEXexcBad7 29 5" xfId="14207" xr:uid="{00000000-0005-0000-0000-0000FA3F0000}"/>
    <cellStyle name="SAPBEXexcBad7 29 6" xfId="15184" xr:uid="{00000000-0005-0000-0000-0000FB3F0000}"/>
    <cellStyle name="SAPBEXexcBad7 29 7" xfId="18903" xr:uid="{00000000-0005-0000-0000-0000FC3F0000}"/>
    <cellStyle name="SAPBEXexcBad7 29 8" xfId="19880" xr:uid="{00000000-0005-0000-0000-0000FD3F0000}"/>
    <cellStyle name="SAPBEXexcBad7 29 9" xfId="23430" xr:uid="{00000000-0005-0000-0000-0000FE3F0000}"/>
    <cellStyle name="SAPBEXexcBad7 3" xfId="3031" xr:uid="{00000000-0005-0000-0000-0000FF3F0000}"/>
    <cellStyle name="SAPBEXexcBad7 3 2" xfId="5570" xr:uid="{00000000-0005-0000-0000-000000400000}"/>
    <cellStyle name="SAPBEXexcBad7 3 3" xfId="8656" xr:uid="{00000000-0005-0000-0000-000001400000}"/>
    <cellStyle name="SAPBEXexcBad7 3 4" xfId="8638" xr:uid="{00000000-0005-0000-0000-000002400000}"/>
    <cellStyle name="SAPBEXexcBad7 3 5" xfId="12520" xr:uid="{00000000-0005-0000-0000-000003400000}"/>
    <cellStyle name="SAPBEXexcBad7 3 6" xfId="15139" xr:uid="{00000000-0005-0000-0000-000004400000}"/>
    <cellStyle name="SAPBEXexcBad7 3 7" xfId="17216" xr:uid="{00000000-0005-0000-0000-000005400000}"/>
    <cellStyle name="SAPBEXexcBad7 3 8" xfId="19835" xr:uid="{00000000-0005-0000-0000-000006400000}"/>
    <cellStyle name="SAPBEXexcBad7 3 9" xfId="21887" xr:uid="{00000000-0005-0000-0000-000007400000}"/>
    <cellStyle name="SAPBEXexcBad7 30" xfId="4389" xr:uid="{00000000-0005-0000-0000-000008400000}"/>
    <cellStyle name="SAPBEXexcBad7 30 2" xfId="6927" xr:uid="{00000000-0005-0000-0000-000009400000}"/>
    <cellStyle name="SAPBEXexcBad7 30 3" xfId="9128" xr:uid="{00000000-0005-0000-0000-00000A400000}"/>
    <cellStyle name="SAPBEXexcBad7 30 4" xfId="10974" xr:uid="{00000000-0005-0000-0000-00000B400000}"/>
    <cellStyle name="SAPBEXexcBad7 30 5" xfId="13346" xr:uid="{00000000-0005-0000-0000-00000C400000}"/>
    <cellStyle name="SAPBEXexcBad7 30 6" xfId="16760" xr:uid="{00000000-0005-0000-0000-00000D400000}"/>
    <cellStyle name="SAPBEXexcBad7 30 7" xfId="18042" xr:uid="{00000000-0005-0000-0000-00000E400000}"/>
    <cellStyle name="SAPBEXexcBad7 30 8" xfId="21456" xr:uid="{00000000-0005-0000-0000-00000F400000}"/>
    <cellStyle name="SAPBEXexcBad7 30 9" xfId="22645" xr:uid="{00000000-0005-0000-0000-000010400000}"/>
    <cellStyle name="SAPBEXexcBad7 31" xfId="4432" xr:uid="{00000000-0005-0000-0000-000011400000}"/>
    <cellStyle name="SAPBEXexcBad7 31 2" xfId="6970" xr:uid="{00000000-0005-0000-0000-000012400000}"/>
    <cellStyle name="SAPBEXexcBad7 31 3" xfId="8229" xr:uid="{00000000-0005-0000-0000-000013400000}"/>
    <cellStyle name="SAPBEXexcBad7 31 4" xfId="11152" xr:uid="{00000000-0005-0000-0000-000014400000}"/>
    <cellStyle name="SAPBEXexcBad7 31 5" xfId="13302" xr:uid="{00000000-0005-0000-0000-000015400000}"/>
    <cellStyle name="SAPBEXexcBad7 31 6" xfId="16072" xr:uid="{00000000-0005-0000-0000-000016400000}"/>
    <cellStyle name="SAPBEXexcBad7 31 7" xfId="17998" xr:uid="{00000000-0005-0000-0000-000017400000}"/>
    <cellStyle name="SAPBEXexcBad7 31 8" xfId="20768" xr:uid="{00000000-0005-0000-0000-000018400000}"/>
    <cellStyle name="SAPBEXexcBad7 31 9" xfId="22603" xr:uid="{00000000-0005-0000-0000-000019400000}"/>
    <cellStyle name="SAPBEXexcBad7 32" xfId="4192" xr:uid="{00000000-0005-0000-0000-00001A400000}"/>
    <cellStyle name="SAPBEXexcBad7 32 2" xfId="6730" xr:uid="{00000000-0005-0000-0000-00001B400000}"/>
    <cellStyle name="SAPBEXexcBad7 32 3" xfId="10172" xr:uid="{00000000-0005-0000-0000-00001C400000}"/>
    <cellStyle name="SAPBEXexcBad7 32 4" xfId="10754" xr:uid="{00000000-0005-0000-0000-00001D400000}"/>
    <cellStyle name="SAPBEXexcBad7 32 5" xfId="13109" xr:uid="{00000000-0005-0000-0000-00001E400000}"/>
    <cellStyle name="SAPBEXexcBad7 32 6" xfId="15308" xr:uid="{00000000-0005-0000-0000-00001F400000}"/>
    <cellStyle name="SAPBEXexcBad7 32 7" xfId="17805" xr:uid="{00000000-0005-0000-0000-000020400000}"/>
    <cellStyle name="SAPBEXexcBad7 32 8" xfId="20004" xr:uid="{00000000-0005-0000-0000-000021400000}"/>
    <cellStyle name="SAPBEXexcBad7 32 9" xfId="22426" xr:uid="{00000000-0005-0000-0000-000022400000}"/>
    <cellStyle name="SAPBEXexcBad7 33" xfId="4274" xr:uid="{00000000-0005-0000-0000-000023400000}"/>
    <cellStyle name="SAPBEXexcBad7 33 2" xfId="6812" xr:uid="{00000000-0005-0000-0000-000024400000}"/>
    <cellStyle name="SAPBEXexcBad7 33 3" xfId="8376" xr:uid="{00000000-0005-0000-0000-000025400000}"/>
    <cellStyle name="SAPBEXexcBad7 33 4" xfId="11666" xr:uid="{00000000-0005-0000-0000-000026400000}"/>
    <cellStyle name="SAPBEXexcBad7 33 5" xfId="14113" xr:uid="{00000000-0005-0000-0000-000027400000}"/>
    <cellStyle name="SAPBEXexcBad7 33 6" xfId="15698" xr:uid="{00000000-0005-0000-0000-000028400000}"/>
    <cellStyle name="SAPBEXexcBad7 33 7" xfId="18809" xr:uid="{00000000-0005-0000-0000-000029400000}"/>
    <cellStyle name="SAPBEXexcBad7 33 8" xfId="20394" xr:uid="{00000000-0005-0000-0000-00002A400000}"/>
    <cellStyle name="SAPBEXexcBad7 33 9" xfId="23341" xr:uid="{00000000-0005-0000-0000-00002B400000}"/>
    <cellStyle name="SAPBEXexcBad7 34" xfId="4525" xr:uid="{00000000-0005-0000-0000-00002C400000}"/>
    <cellStyle name="SAPBEXexcBad7 34 2" xfId="7063" xr:uid="{00000000-0005-0000-0000-00002D400000}"/>
    <cellStyle name="SAPBEXexcBad7 34 3" xfId="10167" xr:uid="{00000000-0005-0000-0000-00002E400000}"/>
    <cellStyle name="SAPBEXexcBad7 34 4" xfId="11043" xr:uid="{00000000-0005-0000-0000-00002F400000}"/>
    <cellStyle name="SAPBEXexcBad7 34 5" xfId="13427" xr:uid="{00000000-0005-0000-0000-000030400000}"/>
    <cellStyle name="SAPBEXexcBad7 34 6" xfId="15795" xr:uid="{00000000-0005-0000-0000-000031400000}"/>
    <cellStyle name="SAPBEXexcBad7 34 7" xfId="18123" xr:uid="{00000000-0005-0000-0000-000032400000}"/>
    <cellStyle name="SAPBEXexcBad7 34 8" xfId="20491" xr:uid="{00000000-0005-0000-0000-000033400000}"/>
    <cellStyle name="SAPBEXexcBad7 34 9" xfId="22716" xr:uid="{00000000-0005-0000-0000-000034400000}"/>
    <cellStyle name="SAPBEXexcBad7 35" xfId="4604" xr:uid="{00000000-0005-0000-0000-000035400000}"/>
    <cellStyle name="SAPBEXexcBad7 35 2" xfId="7142" xr:uid="{00000000-0005-0000-0000-000036400000}"/>
    <cellStyle name="SAPBEXexcBad7 35 3" xfId="8570" xr:uid="{00000000-0005-0000-0000-000037400000}"/>
    <cellStyle name="SAPBEXexcBad7 35 4" xfId="12199" xr:uid="{00000000-0005-0000-0000-000038400000}"/>
    <cellStyle name="SAPBEXexcBad7 35 5" xfId="14681" xr:uid="{00000000-0005-0000-0000-000039400000}"/>
    <cellStyle name="SAPBEXexcBad7 35 6" xfId="16717" xr:uid="{00000000-0005-0000-0000-00003A400000}"/>
    <cellStyle name="SAPBEXexcBad7 35 7" xfId="19377" xr:uid="{00000000-0005-0000-0000-00003B400000}"/>
    <cellStyle name="SAPBEXexcBad7 35 8" xfId="21413" xr:uid="{00000000-0005-0000-0000-00003C400000}"/>
    <cellStyle name="SAPBEXexcBad7 35 9" xfId="23868" xr:uid="{00000000-0005-0000-0000-00003D400000}"/>
    <cellStyle name="SAPBEXexcBad7 36" xfId="4647" xr:uid="{00000000-0005-0000-0000-00003E400000}"/>
    <cellStyle name="SAPBEXexcBad7 36 2" xfId="7185" xr:uid="{00000000-0005-0000-0000-00003F400000}"/>
    <cellStyle name="SAPBEXexcBad7 36 3" xfId="9979" xr:uid="{00000000-0005-0000-0000-000040400000}"/>
    <cellStyle name="SAPBEXexcBad7 36 4" xfId="11573" xr:uid="{00000000-0005-0000-0000-000041400000}"/>
    <cellStyle name="SAPBEXexcBad7 36 5" xfId="13711" xr:uid="{00000000-0005-0000-0000-000042400000}"/>
    <cellStyle name="SAPBEXexcBad7 36 6" xfId="15873" xr:uid="{00000000-0005-0000-0000-000043400000}"/>
    <cellStyle name="SAPBEXexcBad7 36 7" xfId="18407" xr:uid="{00000000-0005-0000-0000-000044400000}"/>
    <cellStyle name="SAPBEXexcBad7 36 8" xfId="20569" xr:uid="{00000000-0005-0000-0000-000045400000}"/>
    <cellStyle name="SAPBEXexcBad7 36 9" xfId="22978" xr:uid="{00000000-0005-0000-0000-000046400000}"/>
    <cellStyle name="SAPBEXexcBad7 37" xfId="4689" xr:uid="{00000000-0005-0000-0000-000047400000}"/>
    <cellStyle name="SAPBEXexcBad7 37 2" xfId="7227" xr:uid="{00000000-0005-0000-0000-000048400000}"/>
    <cellStyle name="SAPBEXexcBad7 37 3" xfId="9850" xr:uid="{00000000-0005-0000-0000-000049400000}"/>
    <cellStyle name="SAPBEXexcBad7 37 4" xfId="10683" xr:uid="{00000000-0005-0000-0000-00004A400000}"/>
    <cellStyle name="SAPBEXexcBad7 37 5" xfId="13034" xr:uid="{00000000-0005-0000-0000-00004B400000}"/>
    <cellStyle name="SAPBEXexcBad7 37 6" xfId="13100" xr:uid="{00000000-0005-0000-0000-00004C400000}"/>
    <cellStyle name="SAPBEXexcBad7 37 7" xfId="17730" xr:uid="{00000000-0005-0000-0000-00004D400000}"/>
    <cellStyle name="SAPBEXexcBad7 37 8" xfId="17796" xr:uid="{00000000-0005-0000-0000-00004E400000}"/>
    <cellStyle name="SAPBEXexcBad7 37 9" xfId="22356" xr:uid="{00000000-0005-0000-0000-00004F400000}"/>
    <cellStyle name="SAPBEXexcBad7 38" xfId="4727" xr:uid="{00000000-0005-0000-0000-000050400000}"/>
    <cellStyle name="SAPBEXexcBad7 38 2" xfId="7265" xr:uid="{00000000-0005-0000-0000-000051400000}"/>
    <cellStyle name="SAPBEXexcBad7 38 3" xfId="8286" xr:uid="{00000000-0005-0000-0000-000052400000}"/>
    <cellStyle name="SAPBEXexcBad7 38 4" xfId="11869" xr:uid="{00000000-0005-0000-0000-000053400000}"/>
    <cellStyle name="SAPBEXexcBad7 38 5" xfId="14333" xr:uid="{00000000-0005-0000-0000-000054400000}"/>
    <cellStyle name="SAPBEXexcBad7 38 6" xfId="16494" xr:uid="{00000000-0005-0000-0000-000055400000}"/>
    <cellStyle name="SAPBEXexcBad7 38 7" xfId="19029" xr:uid="{00000000-0005-0000-0000-000056400000}"/>
    <cellStyle name="SAPBEXexcBad7 38 8" xfId="21190" xr:uid="{00000000-0005-0000-0000-000057400000}"/>
    <cellStyle name="SAPBEXexcBad7 38 9" xfId="23545" xr:uid="{00000000-0005-0000-0000-000058400000}"/>
    <cellStyle name="SAPBEXexcBad7 39" xfId="4794" xr:uid="{00000000-0005-0000-0000-000059400000}"/>
    <cellStyle name="SAPBEXexcBad7 39 2" xfId="7332" xr:uid="{00000000-0005-0000-0000-00005A400000}"/>
    <cellStyle name="SAPBEXexcBad7 39 3" xfId="9285" xr:uid="{00000000-0005-0000-0000-00005B400000}"/>
    <cellStyle name="SAPBEXexcBad7 39 4" xfId="11216" xr:uid="{00000000-0005-0000-0000-00005C400000}"/>
    <cellStyle name="SAPBEXexcBad7 39 5" xfId="13619" xr:uid="{00000000-0005-0000-0000-00005D400000}"/>
    <cellStyle name="SAPBEXexcBad7 39 6" xfId="15573" xr:uid="{00000000-0005-0000-0000-00005E400000}"/>
    <cellStyle name="SAPBEXexcBad7 39 7" xfId="18315" xr:uid="{00000000-0005-0000-0000-00005F400000}"/>
    <cellStyle name="SAPBEXexcBad7 39 8" xfId="20269" xr:uid="{00000000-0005-0000-0000-000060400000}"/>
    <cellStyle name="SAPBEXexcBad7 39 9" xfId="22891" xr:uid="{00000000-0005-0000-0000-000061400000}"/>
    <cellStyle name="SAPBEXexcBad7 4" xfId="3163" xr:uid="{00000000-0005-0000-0000-000062400000}"/>
    <cellStyle name="SAPBEXexcBad7 4 2" xfId="5701" xr:uid="{00000000-0005-0000-0000-000063400000}"/>
    <cellStyle name="SAPBEXexcBad7 4 3" xfId="8876" xr:uid="{00000000-0005-0000-0000-000064400000}"/>
    <cellStyle name="SAPBEXexcBad7 4 4" xfId="11926" xr:uid="{00000000-0005-0000-0000-000065400000}"/>
    <cellStyle name="SAPBEXexcBad7 4 5" xfId="14399" xr:uid="{00000000-0005-0000-0000-000066400000}"/>
    <cellStyle name="SAPBEXexcBad7 4 6" xfId="15374" xr:uid="{00000000-0005-0000-0000-000067400000}"/>
    <cellStyle name="SAPBEXexcBad7 4 7" xfId="19095" xr:uid="{00000000-0005-0000-0000-000068400000}"/>
    <cellStyle name="SAPBEXexcBad7 4 8" xfId="20070" xr:uid="{00000000-0005-0000-0000-000069400000}"/>
    <cellStyle name="SAPBEXexcBad7 4 9" xfId="23601" xr:uid="{00000000-0005-0000-0000-00006A400000}"/>
    <cellStyle name="SAPBEXexcBad7 40" xfId="4837" xr:uid="{00000000-0005-0000-0000-00006B400000}"/>
    <cellStyle name="SAPBEXexcBad7 40 2" xfId="7375" xr:uid="{00000000-0005-0000-0000-00006C400000}"/>
    <cellStyle name="SAPBEXexcBad7 40 3" xfId="8888" xr:uid="{00000000-0005-0000-0000-00006D400000}"/>
    <cellStyle name="SAPBEXexcBad7 40 4" xfId="12062" xr:uid="{00000000-0005-0000-0000-00006E400000}"/>
    <cellStyle name="SAPBEXexcBad7 40 5" xfId="14542" xr:uid="{00000000-0005-0000-0000-00006F400000}"/>
    <cellStyle name="SAPBEXexcBad7 40 6" xfId="14283" xr:uid="{00000000-0005-0000-0000-000070400000}"/>
    <cellStyle name="SAPBEXexcBad7 40 7" xfId="19238" xr:uid="{00000000-0005-0000-0000-000071400000}"/>
    <cellStyle name="SAPBEXexcBad7 40 8" xfId="18979" xr:uid="{00000000-0005-0000-0000-000072400000}"/>
    <cellStyle name="SAPBEXexcBad7 40 9" xfId="23734" xr:uid="{00000000-0005-0000-0000-000073400000}"/>
    <cellStyle name="SAPBEXexcBad7 41" xfId="4746" xr:uid="{00000000-0005-0000-0000-000074400000}"/>
    <cellStyle name="SAPBEXexcBad7 41 2" xfId="7284" xr:uid="{00000000-0005-0000-0000-000075400000}"/>
    <cellStyle name="SAPBEXexcBad7 41 3" xfId="9368" xr:uid="{00000000-0005-0000-0000-000076400000}"/>
    <cellStyle name="SAPBEXexcBad7 41 4" xfId="11204" xr:uid="{00000000-0005-0000-0000-000077400000}"/>
    <cellStyle name="SAPBEXexcBad7 41 5" xfId="13605" xr:uid="{00000000-0005-0000-0000-000078400000}"/>
    <cellStyle name="SAPBEXexcBad7 41 6" xfId="16628" xr:uid="{00000000-0005-0000-0000-000079400000}"/>
    <cellStyle name="SAPBEXexcBad7 41 7" xfId="18301" xr:uid="{00000000-0005-0000-0000-00007A400000}"/>
    <cellStyle name="SAPBEXexcBad7 41 8" xfId="21324" xr:uid="{00000000-0005-0000-0000-00007B400000}"/>
    <cellStyle name="SAPBEXexcBad7 41 9" xfId="22879" xr:uid="{00000000-0005-0000-0000-00007C400000}"/>
    <cellStyle name="SAPBEXexcBad7 42" xfId="4564" xr:uid="{00000000-0005-0000-0000-00007D400000}"/>
    <cellStyle name="SAPBEXexcBad7 42 2" xfId="7102" xr:uid="{00000000-0005-0000-0000-00007E400000}"/>
    <cellStyle name="SAPBEXexcBad7 42 3" xfId="9234" xr:uid="{00000000-0005-0000-0000-00007F400000}"/>
    <cellStyle name="SAPBEXexcBad7 42 4" xfId="8304" xr:uid="{00000000-0005-0000-0000-000080400000}"/>
    <cellStyle name="SAPBEXexcBad7 42 5" xfId="12444" xr:uid="{00000000-0005-0000-0000-000081400000}"/>
    <cellStyle name="SAPBEXexcBad7 42 6" xfId="15979" xr:uid="{00000000-0005-0000-0000-000082400000}"/>
    <cellStyle name="SAPBEXexcBad7 42 7" xfId="17140" xr:uid="{00000000-0005-0000-0000-000083400000}"/>
    <cellStyle name="SAPBEXexcBad7 42 8" xfId="20675" xr:uid="{00000000-0005-0000-0000-000084400000}"/>
    <cellStyle name="SAPBEXexcBad7 42 9" xfId="21823" xr:uid="{00000000-0005-0000-0000-000085400000}"/>
    <cellStyle name="SAPBEXexcBad7 43" xfId="4948" xr:uid="{00000000-0005-0000-0000-000086400000}"/>
    <cellStyle name="SAPBEXexcBad7 43 2" xfId="7486" xr:uid="{00000000-0005-0000-0000-000087400000}"/>
    <cellStyle name="SAPBEXexcBad7 43 3" xfId="9142" xr:uid="{00000000-0005-0000-0000-000088400000}"/>
    <cellStyle name="SAPBEXexcBad7 43 4" xfId="11143" xr:uid="{00000000-0005-0000-0000-000089400000}"/>
    <cellStyle name="SAPBEXexcBad7 43 5" xfId="13539" xr:uid="{00000000-0005-0000-0000-00008A400000}"/>
    <cellStyle name="SAPBEXexcBad7 43 6" xfId="12351" xr:uid="{00000000-0005-0000-0000-00008B400000}"/>
    <cellStyle name="SAPBEXexcBad7 43 7" xfId="18235" xr:uid="{00000000-0005-0000-0000-00008C400000}"/>
    <cellStyle name="SAPBEXexcBad7 43 8" xfId="17047" xr:uid="{00000000-0005-0000-0000-00008D400000}"/>
    <cellStyle name="SAPBEXexcBad7 43 9" xfId="22816" xr:uid="{00000000-0005-0000-0000-00008E400000}"/>
    <cellStyle name="SAPBEXexcBad7 44" xfId="4996" xr:uid="{00000000-0005-0000-0000-00008F400000}"/>
    <cellStyle name="SAPBEXexcBad7 44 2" xfId="7534" xr:uid="{00000000-0005-0000-0000-000090400000}"/>
    <cellStyle name="SAPBEXexcBad7 44 3" xfId="9502" xr:uid="{00000000-0005-0000-0000-000091400000}"/>
    <cellStyle name="SAPBEXexcBad7 44 4" xfId="10689" xr:uid="{00000000-0005-0000-0000-000092400000}"/>
    <cellStyle name="SAPBEXexcBad7 44 5" xfId="13041" xr:uid="{00000000-0005-0000-0000-000093400000}"/>
    <cellStyle name="SAPBEXexcBad7 44 6" xfId="16440" xr:uid="{00000000-0005-0000-0000-000094400000}"/>
    <cellStyle name="SAPBEXexcBad7 44 7" xfId="17737" xr:uid="{00000000-0005-0000-0000-000095400000}"/>
    <cellStyle name="SAPBEXexcBad7 44 8" xfId="21136" xr:uid="{00000000-0005-0000-0000-000096400000}"/>
    <cellStyle name="SAPBEXexcBad7 44 9" xfId="22362" xr:uid="{00000000-0005-0000-0000-000097400000}"/>
    <cellStyle name="SAPBEXexcBad7 45" xfId="5033" xr:uid="{00000000-0005-0000-0000-000098400000}"/>
    <cellStyle name="SAPBEXexcBad7 45 2" xfId="7571" xr:uid="{00000000-0005-0000-0000-000099400000}"/>
    <cellStyle name="SAPBEXexcBad7 45 3" xfId="8118" xr:uid="{00000000-0005-0000-0000-00009A400000}"/>
    <cellStyle name="SAPBEXexcBad7 45 4" xfId="8694" xr:uid="{00000000-0005-0000-0000-00009B400000}"/>
    <cellStyle name="SAPBEXexcBad7 45 5" xfId="12381" xr:uid="{00000000-0005-0000-0000-00009C400000}"/>
    <cellStyle name="SAPBEXexcBad7 45 6" xfId="16677" xr:uid="{00000000-0005-0000-0000-00009D400000}"/>
    <cellStyle name="SAPBEXexcBad7 45 7" xfId="17077" xr:uid="{00000000-0005-0000-0000-00009E400000}"/>
    <cellStyle name="SAPBEXexcBad7 45 8" xfId="21373" xr:uid="{00000000-0005-0000-0000-00009F400000}"/>
    <cellStyle name="SAPBEXexcBad7 45 9" xfId="21766" xr:uid="{00000000-0005-0000-0000-0000A0400000}"/>
    <cellStyle name="SAPBEXexcBad7 46" xfId="5064" xr:uid="{00000000-0005-0000-0000-0000A1400000}"/>
    <cellStyle name="SAPBEXexcBad7 46 2" xfId="7602" xr:uid="{00000000-0005-0000-0000-0000A2400000}"/>
    <cellStyle name="SAPBEXexcBad7 46 3" xfId="9012" xr:uid="{00000000-0005-0000-0000-0000A3400000}"/>
    <cellStyle name="SAPBEXexcBad7 46 4" xfId="10504" xr:uid="{00000000-0005-0000-0000-0000A4400000}"/>
    <cellStyle name="SAPBEXexcBad7 46 5" xfId="12842" xr:uid="{00000000-0005-0000-0000-0000A5400000}"/>
    <cellStyle name="SAPBEXexcBad7 46 6" xfId="15666" xr:uid="{00000000-0005-0000-0000-0000A6400000}"/>
    <cellStyle name="SAPBEXexcBad7 46 7" xfId="17538" xr:uid="{00000000-0005-0000-0000-0000A7400000}"/>
    <cellStyle name="SAPBEXexcBad7 46 8" xfId="20362" xr:uid="{00000000-0005-0000-0000-0000A8400000}"/>
    <cellStyle name="SAPBEXexcBad7 46 9" xfId="22175" xr:uid="{00000000-0005-0000-0000-0000A9400000}"/>
    <cellStyle name="SAPBEXexcBad7 47" xfId="5094" xr:uid="{00000000-0005-0000-0000-0000AA400000}"/>
    <cellStyle name="SAPBEXexcBad7 47 2" xfId="7632" xr:uid="{00000000-0005-0000-0000-0000AB400000}"/>
    <cellStyle name="SAPBEXexcBad7 47 3" xfId="8039" xr:uid="{00000000-0005-0000-0000-0000AC400000}"/>
    <cellStyle name="SAPBEXexcBad7 47 4" xfId="10281" xr:uid="{00000000-0005-0000-0000-0000AD400000}"/>
    <cellStyle name="SAPBEXexcBad7 47 5" xfId="12592" xr:uid="{00000000-0005-0000-0000-0000AE400000}"/>
    <cellStyle name="SAPBEXexcBad7 47 6" xfId="13869" xr:uid="{00000000-0005-0000-0000-0000AF400000}"/>
    <cellStyle name="SAPBEXexcBad7 47 7" xfId="17288" xr:uid="{00000000-0005-0000-0000-0000B0400000}"/>
    <cellStyle name="SAPBEXexcBad7 47 8" xfId="18565" xr:uid="{00000000-0005-0000-0000-0000B1400000}"/>
    <cellStyle name="SAPBEXexcBad7 47 9" xfId="21951" xr:uid="{00000000-0005-0000-0000-0000B2400000}"/>
    <cellStyle name="SAPBEXexcBad7 48" xfId="5127" xr:uid="{00000000-0005-0000-0000-0000B3400000}"/>
    <cellStyle name="SAPBEXexcBad7 48 2" xfId="7665" xr:uid="{00000000-0005-0000-0000-0000B4400000}"/>
    <cellStyle name="SAPBEXexcBad7 48 3" xfId="8738" xr:uid="{00000000-0005-0000-0000-0000B5400000}"/>
    <cellStyle name="SAPBEXexcBad7 48 4" xfId="11351" xr:uid="{00000000-0005-0000-0000-0000B6400000}"/>
    <cellStyle name="SAPBEXexcBad7 48 5" xfId="13763" xr:uid="{00000000-0005-0000-0000-0000B7400000}"/>
    <cellStyle name="SAPBEXexcBad7 48 6" xfId="15042" xr:uid="{00000000-0005-0000-0000-0000B8400000}"/>
    <cellStyle name="SAPBEXexcBad7 48 7" xfId="18459" xr:uid="{00000000-0005-0000-0000-0000B9400000}"/>
    <cellStyle name="SAPBEXexcBad7 48 8" xfId="19738" xr:uid="{00000000-0005-0000-0000-0000BA400000}"/>
    <cellStyle name="SAPBEXexcBad7 48 9" xfId="23025" xr:uid="{00000000-0005-0000-0000-0000BB400000}"/>
    <cellStyle name="SAPBEXexcBad7 49" xfId="5196" xr:uid="{00000000-0005-0000-0000-0000BC400000}"/>
    <cellStyle name="SAPBEXexcBad7 49 2" xfId="7735" xr:uid="{00000000-0005-0000-0000-0000BD400000}"/>
    <cellStyle name="SAPBEXexcBad7 49 3" xfId="5491" xr:uid="{00000000-0005-0000-0000-0000BE400000}"/>
    <cellStyle name="SAPBEXexcBad7 49 4" xfId="10720" xr:uid="{00000000-0005-0000-0000-0000BF400000}"/>
    <cellStyle name="SAPBEXexcBad7 49 5" xfId="13075" xr:uid="{00000000-0005-0000-0000-0000C0400000}"/>
    <cellStyle name="SAPBEXexcBad7 49 6" xfId="16795" xr:uid="{00000000-0005-0000-0000-0000C1400000}"/>
    <cellStyle name="SAPBEXexcBad7 49 7" xfId="17771" xr:uid="{00000000-0005-0000-0000-0000C2400000}"/>
    <cellStyle name="SAPBEXexcBad7 49 8" xfId="21491" xr:uid="{00000000-0005-0000-0000-0000C3400000}"/>
    <cellStyle name="SAPBEXexcBad7 49 9" xfId="22393" xr:uid="{00000000-0005-0000-0000-0000C4400000}"/>
    <cellStyle name="SAPBEXexcBad7 5" xfId="3206" xr:uid="{00000000-0005-0000-0000-0000C5400000}"/>
    <cellStyle name="SAPBEXexcBad7 5 2" xfId="5744" xr:uid="{00000000-0005-0000-0000-0000C6400000}"/>
    <cellStyle name="SAPBEXexcBad7 5 3" xfId="8581" xr:uid="{00000000-0005-0000-0000-0000C7400000}"/>
    <cellStyle name="SAPBEXexcBad7 5 4" xfId="11340" xr:uid="{00000000-0005-0000-0000-0000C8400000}"/>
    <cellStyle name="SAPBEXexcBad7 5 5" xfId="13750" xr:uid="{00000000-0005-0000-0000-0000C9400000}"/>
    <cellStyle name="SAPBEXexcBad7 5 6" xfId="13941" xr:uid="{00000000-0005-0000-0000-0000CA400000}"/>
    <cellStyle name="SAPBEXexcBad7 5 7" xfId="18446" xr:uid="{00000000-0005-0000-0000-0000CB400000}"/>
    <cellStyle name="SAPBEXexcBad7 5 8" xfId="18637" xr:uid="{00000000-0005-0000-0000-0000CC400000}"/>
    <cellStyle name="SAPBEXexcBad7 5 9" xfId="23014" xr:uid="{00000000-0005-0000-0000-0000CD400000}"/>
    <cellStyle name="SAPBEXexcBad7 50" xfId="5182" xr:uid="{00000000-0005-0000-0000-0000CE400000}"/>
    <cellStyle name="SAPBEXexcBad7 50 2" xfId="9628" xr:uid="{00000000-0005-0000-0000-0000CF400000}"/>
    <cellStyle name="SAPBEXexcBad7 50 3" xfId="11240" xr:uid="{00000000-0005-0000-0000-0000D0400000}"/>
    <cellStyle name="SAPBEXexcBad7 50 4" xfId="13645" xr:uid="{00000000-0005-0000-0000-0000D1400000}"/>
    <cellStyle name="SAPBEXexcBad7 50 5" xfId="12610" xr:uid="{00000000-0005-0000-0000-0000D2400000}"/>
    <cellStyle name="SAPBEXexcBad7 50 6" xfId="18341" xr:uid="{00000000-0005-0000-0000-0000D3400000}"/>
    <cellStyle name="SAPBEXexcBad7 50 7" xfId="17306" xr:uid="{00000000-0005-0000-0000-0000D4400000}"/>
    <cellStyle name="SAPBEXexcBad7 50 8" xfId="22914" xr:uid="{00000000-0005-0000-0000-0000D5400000}"/>
    <cellStyle name="SAPBEXexcBad7 51" xfId="8046" xr:uid="{00000000-0005-0000-0000-0000D6400000}"/>
    <cellStyle name="SAPBEXexcBad7 52" xfId="10447" xr:uid="{00000000-0005-0000-0000-0000D7400000}"/>
    <cellStyle name="SAPBEXexcBad7 53" xfId="12774" xr:uid="{00000000-0005-0000-0000-0000D8400000}"/>
    <cellStyle name="SAPBEXexcBad7 54" xfId="15281" xr:uid="{00000000-0005-0000-0000-0000D9400000}"/>
    <cellStyle name="SAPBEXexcBad7 55" xfId="17470" xr:uid="{00000000-0005-0000-0000-0000DA400000}"/>
    <cellStyle name="SAPBEXexcBad7 56" xfId="19977" xr:uid="{00000000-0005-0000-0000-0000DB400000}"/>
    <cellStyle name="SAPBEXexcBad7 57" xfId="22118" xr:uid="{00000000-0005-0000-0000-0000DC400000}"/>
    <cellStyle name="SAPBEXexcBad7 58" xfId="42195" xr:uid="{1BDD794D-B4ED-4665-BD1B-17CB7D17FAFF}"/>
    <cellStyle name="SAPBEXexcBad7 6" xfId="3249" xr:uid="{00000000-0005-0000-0000-0000DD400000}"/>
    <cellStyle name="SAPBEXexcBad7 6 2" xfId="5787" xr:uid="{00000000-0005-0000-0000-0000DE400000}"/>
    <cellStyle name="SAPBEXexcBad7 6 3" xfId="9195" xr:uid="{00000000-0005-0000-0000-0000DF400000}"/>
    <cellStyle name="SAPBEXexcBad7 6 4" xfId="10057" xr:uid="{00000000-0005-0000-0000-0000E0400000}"/>
    <cellStyle name="SAPBEXexcBad7 6 5" xfId="14923" xr:uid="{00000000-0005-0000-0000-0000E1400000}"/>
    <cellStyle name="SAPBEXexcBad7 6 6" xfId="15556" xr:uid="{00000000-0005-0000-0000-0000E2400000}"/>
    <cellStyle name="SAPBEXexcBad7 6 7" xfId="19619" xr:uid="{00000000-0005-0000-0000-0000E3400000}"/>
    <cellStyle name="SAPBEXexcBad7 6 8" xfId="20252" xr:uid="{00000000-0005-0000-0000-0000E4400000}"/>
    <cellStyle name="SAPBEXexcBad7 6 9" xfId="24086" xr:uid="{00000000-0005-0000-0000-0000E5400000}"/>
    <cellStyle name="SAPBEXexcBad7 7" xfId="3292" xr:uid="{00000000-0005-0000-0000-0000E6400000}"/>
    <cellStyle name="SAPBEXexcBad7 7 2" xfId="5830" xr:uid="{00000000-0005-0000-0000-0000E7400000}"/>
    <cellStyle name="SAPBEXexcBad7 7 3" xfId="7769" xr:uid="{00000000-0005-0000-0000-0000E8400000}"/>
    <cellStyle name="SAPBEXexcBad7 7 4" xfId="10883" xr:uid="{00000000-0005-0000-0000-0000E9400000}"/>
    <cellStyle name="SAPBEXexcBad7 7 5" xfId="13250" xr:uid="{00000000-0005-0000-0000-0000EA400000}"/>
    <cellStyle name="SAPBEXexcBad7 7 6" xfId="15716" xr:uid="{00000000-0005-0000-0000-0000EB400000}"/>
    <cellStyle name="SAPBEXexcBad7 7 7" xfId="17946" xr:uid="{00000000-0005-0000-0000-0000EC400000}"/>
    <cellStyle name="SAPBEXexcBad7 7 8" xfId="20412" xr:uid="{00000000-0005-0000-0000-0000ED400000}"/>
    <cellStyle name="SAPBEXexcBad7 7 9" xfId="22554" xr:uid="{00000000-0005-0000-0000-0000EE400000}"/>
    <cellStyle name="SAPBEXexcBad7 8" xfId="3335" xr:uid="{00000000-0005-0000-0000-0000EF400000}"/>
    <cellStyle name="SAPBEXexcBad7 8 2" xfId="5873" xr:uid="{00000000-0005-0000-0000-0000F0400000}"/>
    <cellStyle name="SAPBEXexcBad7 8 3" xfId="9953" xr:uid="{00000000-0005-0000-0000-0000F1400000}"/>
    <cellStyle name="SAPBEXexcBad7 8 4" xfId="11131" xr:uid="{00000000-0005-0000-0000-0000F2400000}"/>
    <cellStyle name="SAPBEXexcBad7 8 5" xfId="13527" xr:uid="{00000000-0005-0000-0000-0000F3400000}"/>
    <cellStyle name="SAPBEXexcBad7 8 6" xfId="15224" xr:uid="{00000000-0005-0000-0000-0000F4400000}"/>
    <cellStyle name="SAPBEXexcBad7 8 7" xfId="18223" xr:uid="{00000000-0005-0000-0000-0000F5400000}"/>
    <cellStyle name="SAPBEXexcBad7 8 8" xfId="19920" xr:uid="{00000000-0005-0000-0000-0000F6400000}"/>
    <cellStyle name="SAPBEXexcBad7 8 9" xfId="22804" xr:uid="{00000000-0005-0000-0000-0000F7400000}"/>
    <cellStyle name="SAPBEXexcBad7 9" xfId="3378" xr:uid="{00000000-0005-0000-0000-0000F8400000}"/>
    <cellStyle name="SAPBEXexcBad7 9 2" xfId="5916" xr:uid="{00000000-0005-0000-0000-0000F9400000}"/>
    <cellStyle name="SAPBEXexcBad7 9 3" xfId="10128" xr:uid="{00000000-0005-0000-0000-0000FA400000}"/>
    <cellStyle name="SAPBEXexcBad7 9 4" xfId="12096" xr:uid="{00000000-0005-0000-0000-0000FB400000}"/>
    <cellStyle name="SAPBEXexcBad7 9 5" xfId="14825" xr:uid="{00000000-0005-0000-0000-0000FC400000}"/>
    <cellStyle name="SAPBEXexcBad7 9 6" xfId="16127" xr:uid="{00000000-0005-0000-0000-0000FD400000}"/>
    <cellStyle name="SAPBEXexcBad7 9 7" xfId="19521" xr:uid="{00000000-0005-0000-0000-0000FE400000}"/>
    <cellStyle name="SAPBEXexcBad7 9 8" xfId="20823" xr:uid="{00000000-0005-0000-0000-0000FF400000}"/>
    <cellStyle name="SAPBEXexcBad7 9 9" xfId="24008" xr:uid="{00000000-0005-0000-0000-000000410000}"/>
    <cellStyle name="SAPBEXexcBad8" xfId="2947" xr:uid="{00000000-0005-0000-0000-000001410000}"/>
    <cellStyle name="SAPBEXexcBad8 10" xfId="3411" xr:uid="{00000000-0005-0000-0000-000002410000}"/>
    <cellStyle name="SAPBEXexcBad8 10 2" xfId="5949" xr:uid="{00000000-0005-0000-0000-000003410000}"/>
    <cellStyle name="SAPBEXexcBad8 10 3" xfId="9160" xr:uid="{00000000-0005-0000-0000-000004410000}"/>
    <cellStyle name="SAPBEXexcBad8 10 4" xfId="12292" xr:uid="{00000000-0005-0000-0000-000005410000}"/>
    <cellStyle name="SAPBEXexcBad8 10 5" xfId="14157" xr:uid="{00000000-0005-0000-0000-000006410000}"/>
    <cellStyle name="SAPBEXexcBad8 10 6" xfId="16268" xr:uid="{00000000-0005-0000-0000-000007410000}"/>
    <cellStyle name="SAPBEXexcBad8 10 7" xfId="18853" xr:uid="{00000000-0005-0000-0000-000008410000}"/>
    <cellStyle name="SAPBEXexcBad8 10 8" xfId="20964" xr:uid="{00000000-0005-0000-0000-000009410000}"/>
    <cellStyle name="SAPBEXexcBad8 10 9" xfId="23382" xr:uid="{00000000-0005-0000-0000-00000A410000}"/>
    <cellStyle name="SAPBEXexcBad8 11" xfId="3458" xr:uid="{00000000-0005-0000-0000-00000B410000}"/>
    <cellStyle name="SAPBEXexcBad8 11 2" xfId="5996" xr:uid="{00000000-0005-0000-0000-00000C410000}"/>
    <cellStyle name="SAPBEXexcBad8 11 3" xfId="8997" xr:uid="{00000000-0005-0000-0000-00000D410000}"/>
    <cellStyle name="SAPBEXexcBad8 11 4" xfId="11282" xr:uid="{00000000-0005-0000-0000-00000E410000}"/>
    <cellStyle name="SAPBEXexcBad8 11 5" xfId="13688" xr:uid="{00000000-0005-0000-0000-00000F410000}"/>
    <cellStyle name="SAPBEXexcBad8 11 6" xfId="16524" xr:uid="{00000000-0005-0000-0000-000010410000}"/>
    <cellStyle name="SAPBEXexcBad8 11 7" xfId="18384" xr:uid="{00000000-0005-0000-0000-000011410000}"/>
    <cellStyle name="SAPBEXexcBad8 11 8" xfId="21220" xr:uid="{00000000-0005-0000-0000-000012410000}"/>
    <cellStyle name="SAPBEXexcBad8 11 9" xfId="22956" xr:uid="{00000000-0005-0000-0000-000013410000}"/>
    <cellStyle name="SAPBEXexcBad8 12" xfId="3506" xr:uid="{00000000-0005-0000-0000-000014410000}"/>
    <cellStyle name="SAPBEXexcBad8 12 2" xfId="6044" xr:uid="{00000000-0005-0000-0000-000015410000}"/>
    <cellStyle name="SAPBEXexcBad8 12 3" xfId="8176" xr:uid="{00000000-0005-0000-0000-000016410000}"/>
    <cellStyle name="SAPBEXexcBad8 12 4" xfId="11007" xr:uid="{00000000-0005-0000-0000-000017410000}"/>
    <cellStyle name="SAPBEXexcBad8 12 5" xfId="13383" xr:uid="{00000000-0005-0000-0000-000018410000}"/>
    <cellStyle name="SAPBEXexcBad8 12 6" xfId="16147" xr:uid="{00000000-0005-0000-0000-000019410000}"/>
    <cellStyle name="SAPBEXexcBad8 12 7" xfId="18079" xr:uid="{00000000-0005-0000-0000-00001A410000}"/>
    <cellStyle name="SAPBEXexcBad8 12 8" xfId="20843" xr:uid="{00000000-0005-0000-0000-00001B410000}"/>
    <cellStyle name="SAPBEXexcBad8 12 9" xfId="22680" xr:uid="{00000000-0005-0000-0000-00001C410000}"/>
    <cellStyle name="SAPBEXexcBad8 13" xfId="3621" xr:uid="{00000000-0005-0000-0000-00001D410000}"/>
    <cellStyle name="SAPBEXexcBad8 13 2" xfId="6159" xr:uid="{00000000-0005-0000-0000-00001E410000}"/>
    <cellStyle name="SAPBEXexcBad8 13 3" xfId="9672" xr:uid="{00000000-0005-0000-0000-00001F410000}"/>
    <cellStyle name="SAPBEXexcBad8 13 4" xfId="10339" xr:uid="{00000000-0005-0000-0000-000020410000}"/>
    <cellStyle name="SAPBEXexcBad8 13 5" xfId="12659" xr:uid="{00000000-0005-0000-0000-000021410000}"/>
    <cellStyle name="SAPBEXexcBad8 13 6" xfId="15850" xr:uid="{00000000-0005-0000-0000-000022410000}"/>
    <cellStyle name="SAPBEXexcBad8 13 7" xfId="17355" xr:uid="{00000000-0005-0000-0000-000023410000}"/>
    <cellStyle name="SAPBEXexcBad8 13 8" xfId="20546" xr:uid="{00000000-0005-0000-0000-000024410000}"/>
    <cellStyle name="SAPBEXexcBad8 13 9" xfId="22010" xr:uid="{00000000-0005-0000-0000-000025410000}"/>
    <cellStyle name="SAPBEXexcBad8 14" xfId="3612" xr:uid="{00000000-0005-0000-0000-000026410000}"/>
    <cellStyle name="SAPBEXexcBad8 14 2" xfId="6150" xr:uid="{00000000-0005-0000-0000-000027410000}"/>
    <cellStyle name="SAPBEXexcBad8 14 3" xfId="9272" xr:uid="{00000000-0005-0000-0000-000028410000}"/>
    <cellStyle name="SAPBEXexcBad8 14 4" xfId="11571" xr:uid="{00000000-0005-0000-0000-000029410000}"/>
    <cellStyle name="SAPBEXexcBad8 14 5" xfId="14008" xr:uid="{00000000-0005-0000-0000-00002A410000}"/>
    <cellStyle name="SAPBEXexcBad8 14 6" xfId="15738" xr:uid="{00000000-0005-0000-0000-00002B410000}"/>
    <cellStyle name="SAPBEXexcBad8 14 7" xfId="18704" xr:uid="{00000000-0005-0000-0000-00002C410000}"/>
    <cellStyle name="SAPBEXexcBad8 14 8" xfId="20434" xr:uid="{00000000-0005-0000-0000-00002D410000}"/>
    <cellStyle name="SAPBEXexcBad8 14 9" xfId="23245" xr:uid="{00000000-0005-0000-0000-00002E410000}"/>
    <cellStyle name="SAPBEXexcBad8 15" xfId="3659" xr:uid="{00000000-0005-0000-0000-00002F410000}"/>
    <cellStyle name="SAPBEXexcBad8 15 2" xfId="6197" xr:uid="{00000000-0005-0000-0000-000030410000}"/>
    <cellStyle name="SAPBEXexcBad8 15 3" xfId="10032" xr:uid="{00000000-0005-0000-0000-000031410000}"/>
    <cellStyle name="SAPBEXexcBad8 15 4" xfId="9954" xr:uid="{00000000-0005-0000-0000-000032410000}"/>
    <cellStyle name="SAPBEXexcBad8 15 5" xfId="14861" xr:uid="{00000000-0005-0000-0000-000033410000}"/>
    <cellStyle name="SAPBEXexcBad8 15 6" xfId="16363" xr:uid="{00000000-0005-0000-0000-000034410000}"/>
    <cellStyle name="SAPBEXexcBad8 15 7" xfId="19557" xr:uid="{00000000-0005-0000-0000-000035410000}"/>
    <cellStyle name="SAPBEXexcBad8 15 8" xfId="21059" xr:uid="{00000000-0005-0000-0000-000036410000}"/>
    <cellStyle name="SAPBEXexcBad8 15 9" xfId="24033" xr:uid="{00000000-0005-0000-0000-000037410000}"/>
    <cellStyle name="SAPBEXexcBad8 16" xfId="3721" xr:uid="{00000000-0005-0000-0000-000038410000}"/>
    <cellStyle name="SAPBEXexcBad8 16 2" xfId="6259" xr:uid="{00000000-0005-0000-0000-000039410000}"/>
    <cellStyle name="SAPBEXexcBad8 16 3" xfId="10205" xr:uid="{00000000-0005-0000-0000-00003A410000}"/>
    <cellStyle name="SAPBEXexcBad8 16 4" xfId="10641" xr:uid="{00000000-0005-0000-0000-00003B410000}"/>
    <cellStyle name="SAPBEXexcBad8 16 5" xfId="12990" xr:uid="{00000000-0005-0000-0000-00003C410000}"/>
    <cellStyle name="SAPBEXexcBad8 16 6" xfId="13961" xr:uid="{00000000-0005-0000-0000-00003D410000}"/>
    <cellStyle name="SAPBEXexcBad8 16 7" xfId="17686" xr:uid="{00000000-0005-0000-0000-00003E410000}"/>
    <cellStyle name="SAPBEXexcBad8 16 8" xfId="18657" xr:uid="{00000000-0005-0000-0000-00003F410000}"/>
    <cellStyle name="SAPBEXexcBad8 16 9" xfId="22314" xr:uid="{00000000-0005-0000-0000-000040410000}"/>
    <cellStyle name="SAPBEXexcBad8 17" xfId="3655" xr:uid="{00000000-0005-0000-0000-000041410000}"/>
    <cellStyle name="SAPBEXexcBad8 17 2" xfId="6193" xr:uid="{00000000-0005-0000-0000-000042410000}"/>
    <cellStyle name="SAPBEXexcBad8 17 3" xfId="8716" xr:uid="{00000000-0005-0000-0000-000043410000}"/>
    <cellStyle name="SAPBEXexcBad8 17 4" xfId="10284" xr:uid="{00000000-0005-0000-0000-000044410000}"/>
    <cellStyle name="SAPBEXexcBad8 17 5" xfId="12597" xr:uid="{00000000-0005-0000-0000-000045410000}"/>
    <cellStyle name="SAPBEXexcBad8 17 6" xfId="16241" xr:uid="{00000000-0005-0000-0000-000046410000}"/>
    <cellStyle name="SAPBEXexcBad8 17 7" xfId="17293" xr:uid="{00000000-0005-0000-0000-000047410000}"/>
    <cellStyle name="SAPBEXexcBad8 17 8" xfId="20937" xr:uid="{00000000-0005-0000-0000-000048410000}"/>
    <cellStyle name="SAPBEXexcBad8 17 9" xfId="21954" xr:uid="{00000000-0005-0000-0000-000049410000}"/>
    <cellStyle name="SAPBEXexcBad8 18" xfId="3833" xr:uid="{00000000-0005-0000-0000-00004A410000}"/>
    <cellStyle name="SAPBEXexcBad8 18 2" xfId="6371" xr:uid="{00000000-0005-0000-0000-00004B410000}"/>
    <cellStyle name="SAPBEXexcBad8 18 3" xfId="8282" xr:uid="{00000000-0005-0000-0000-00004C410000}"/>
    <cellStyle name="SAPBEXexcBad8 18 4" xfId="12138" xr:uid="{00000000-0005-0000-0000-00004D410000}"/>
    <cellStyle name="SAPBEXexcBad8 18 5" xfId="14621" xr:uid="{00000000-0005-0000-0000-00004E410000}"/>
    <cellStyle name="SAPBEXexcBad8 18 6" xfId="15222" xr:uid="{00000000-0005-0000-0000-00004F410000}"/>
    <cellStyle name="SAPBEXexcBad8 18 7" xfId="19317" xr:uid="{00000000-0005-0000-0000-000050410000}"/>
    <cellStyle name="SAPBEXexcBad8 18 8" xfId="19918" xr:uid="{00000000-0005-0000-0000-000051410000}"/>
    <cellStyle name="SAPBEXexcBad8 18 9" xfId="23812" xr:uid="{00000000-0005-0000-0000-000052410000}"/>
    <cellStyle name="SAPBEXexcBad8 19" xfId="3731" xr:uid="{00000000-0005-0000-0000-000053410000}"/>
    <cellStyle name="SAPBEXexcBad8 19 2" xfId="6269" xr:uid="{00000000-0005-0000-0000-000054410000}"/>
    <cellStyle name="SAPBEXexcBad8 19 3" xfId="9264" xr:uid="{00000000-0005-0000-0000-000055410000}"/>
    <cellStyle name="SAPBEXexcBad8 19 4" xfId="12011" xr:uid="{00000000-0005-0000-0000-000056410000}"/>
    <cellStyle name="SAPBEXexcBad8 19 5" xfId="14491" xr:uid="{00000000-0005-0000-0000-000057410000}"/>
    <cellStyle name="SAPBEXexcBad8 19 6" xfId="16983" xr:uid="{00000000-0005-0000-0000-000058410000}"/>
    <cellStyle name="SAPBEXexcBad8 19 7" xfId="19187" xr:uid="{00000000-0005-0000-0000-000059410000}"/>
    <cellStyle name="SAPBEXexcBad8 19 8" xfId="21679" xr:uid="{00000000-0005-0000-0000-00005A410000}"/>
    <cellStyle name="SAPBEXexcBad8 19 9" xfId="23686" xr:uid="{00000000-0005-0000-0000-00005B410000}"/>
    <cellStyle name="SAPBEXexcBad8 2" xfId="3066" xr:uid="{00000000-0005-0000-0000-00005C410000}"/>
    <cellStyle name="SAPBEXexcBad8 2 2" xfId="5604" xr:uid="{00000000-0005-0000-0000-00005D410000}"/>
    <cellStyle name="SAPBEXexcBad8 2 3" xfId="8504" xr:uid="{00000000-0005-0000-0000-00005E410000}"/>
    <cellStyle name="SAPBEXexcBad8 2 4" xfId="10696" xr:uid="{00000000-0005-0000-0000-00005F410000}"/>
    <cellStyle name="SAPBEXexcBad8 2 5" xfId="13048" xr:uid="{00000000-0005-0000-0000-000060410000}"/>
    <cellStyle name="SAPBEXexcBad8 2 6" xfId="15628" xr:uid="{00000000-0005-0000-0000-000061410000}"/>
    <cellStyle name="SAPBEXexcBad8 2 7" xfId="17744" xr:uid="{00000000-0005-0000-0000-000062410000}"/>
    <cellStyle name="SAPBEXexcBad8 2 8" xfId="20324" xr:uid="{00000000-0005-0000-0000-000063410000}"/>
    <cellStyle name="SAPBEXexcBad8 2 9" xfId="22369" xr:uid="{00000000-0005-0000-0000-000064410000}"/>
    <cellStyle name="SAPBEXexcBad8 20" xfId="3931" xr:uid="{00000000-0005-0000-0000-000065410000}"/>
    <cellStyle name="SAPBEXexcBad8 20 2" xfId="6469" xr:uid="{00000000-0005-0000-0000-000066410000}"/>
    <cellStyle name="SAPBEXexcBad8 20 3" xfId="9609" xr:uid="{00000000-0005-0000-0000-000067410000}"/>
    <cellStyle name="SAPBEXexcBad8 20 4" xfId="11414" xr:uid="{00000000-0005-0000-0000-000068410000}"/>
    <cellStyle name="SAPBEXexcBad8 20 5" xfId="13830" xr:uid="{00000000-0005-0000-0000-000069410000}"/>
    <cellStyle name="SAPBEXexcBad8 20 6" xfId="15405" xr:uid="{00000000-0005-0000-0000-00006A410000}"/>
    <cellStyle name="SAPBEXexcBad8 20 7" xfId="18526" xr:uid="{00000000-0005-0000-0000-00006B410000}"/>
    <cellStyle name="SAPBEXexcBad8 20 8" xfId="20101" xr:uid="{00000000-0005-0000-0000-00006C410000}"/>
    <cellStyle name="SAPBEXexcBad8 20 9" xfId="23088" xr:uid="{00000000-0005-0000-0000-00006D410000}"/>
    <cellStyle name="SAPBEXexcBad8 21" xfId="3981" xr:uid="{00000000-0005-0000-0000-00006E410000}"/>
    <cellStyle name="SAPBEXexcBad8 21 2" xfId="6519" xr:uid="{00000000-0005-0000-0000-00006F410000}"/>
    <cellStyle name="SAPBEXexcBad8 21 3" xfId="8885" xr:uid="{00000000-0005-0000-0000-000070410000}"/>
    <cellStyle name="SAPBEXexcBad8 21 4" xfId="10899" xr:uid="{00000000-0005-0000-0000-000071410000}"/>
    <cellStyle name="SAPBEXexcBad8 21 5" xfId="13268" xr:uid="{00000000-0005-0000-0000-000072410000}"/>
    <cellStyle name="SAPBEXexcBad8 21 6" xfId="16874" xr:uid="{00000000-0005-0000-0000-000073410000}"/>
    <cellStyle name="SAPBEXexcBad8 21 7" xfId="17964" xr:uid="{00000000-0005-0000-0000-000074410000}"/>
    <cellStyle name="SAPBEXexcBad8 21 8" xfId="21570" xr:uid="{00000000-0005-0000-0000-000075410000}"/>
    <cellStyle name="SAPBEXexcBad8 21 9" xfId="22570" xr:uid="{00000000-0005-0000-0000-000076410000}"/>
    <cellStyle name="SAPBEXexcBad8 22" xfId="4032" xr:uid="{00000000-0005-0000-0000-000077410000}"/>
    <cellStyle name="SAPBEXexcBad8 22 2" xfId="6570" xr:uid="{00000000-0005-0000-0000-000078410000}"/>
    <cellStyle name="SAPBEXexcBad8 22 3" xfId="8644" xr:uid="{00000000-0005-0000-0000-000079410000}"/>
    <cellStyle name="SAPBEXexcBad8 22 4" xfId="10589" xr:uid="{00000000-0005-0000-0000-00007A410000}"/>
    <cellStyle name="SAPBEXexcBad8 22 5" xfId="12937" xr:uid="{00000000-0005-0000-0000-00007B410000}"/>
    <cellStyle name="SAPBEXexcBad8 22 6" xfId="14244" xr:uid="{00000000-0005-0000-0000-00007C410000}"/>
    <cellStyle name="SAPBEXexcBad8 22 7" xfId="17633" xr:uid="{00000000-0005-0000-0000-00007D410000}"/>
    <cellStyle name="SAPBEXexcBad8 22 8" xfId="18940" xr:uid="{00000000-0005-0000-0000-00007E410000}"/>
    <cellStyle name="SAPBEXexcBad8 22 9" xfId="22262" xr:uid="{00000000-0005-0000-0000-00007F410000}"/>
    <cellStyle name="SAPBEXexcBad8 23" xfId="4078" xr:uid="{00000000-0005-0000-0000-000080410000}"/>
    <cellStyle name="SAPBEXexcBad8 23 2" xfId="6616" xr:uid="{00000000-0005-0000-0000-000081410000}"/>
    <cellStyle name="SAPBEXexcBad8 23 3" xfId="9555" xr:uid="{00000000-0005-0000-0000-000082410000}"/>
    <cellStyle name="SAPBEXexcBad8 23 4" xfId="12087" xr:uid="{00000000-0005-0000-0000-000083410000}"/>
    <cellStyle name="SAPBEXexcBad8 23 5" xfId="14567" xr:uid="{00000000-0005-0000-0000-000084410000}"/>
    <cellStyle name="SAPBEXexcBad8 23 6" xfId="15618" xr:uid="{00000000-0005-0000-0000-000085410000}"/>
    <cellStyle name="SAPBEXexcBad8 23 7" xfId="19263" xr:uid="{00000000-0005-0000-0000-000086410000}"/>
    <cellStyle name="SAPBEXexcBad8 23 8" xfId="20314" xr:uid="{00000000-0005-0000-0000-000087410000}"/>
    <cellStyle name="SAPBEXexcBad8 23 9" xfId="23759" xr:uid="{00000000-0005-0000-0000-000088410000}"/>
    <cellStyle name="SAPBEXexcBad8 24" xfId="4122" xr:uid="{00000000-0005-0000-0000-000089410000}"/>
    <cellStyle name="SAPBEXexcBad8 24 2" xfId="6660" xr:uid="{00000000-0005-0000-0000-00008A410000}"/>
    <cellStyle name="SAPBEXexcBad8 24 3" xfId="8994" xr:uid="{00000000-0005-0000-0000-00008B410000}"/>
    <cellStyle name="SAPBEXexcBad8 24 4" xfId="11758" xr:uid="{00000000-0005-0000-0000-00008C410000}"/>
    <cellStyle name="SAPBEXexcBad8 24 5" xfId="14209" xr:uid="{00000000-0005-0000-0000-00008D410000}"/>
    <cellStyle name="SAPBEXexcBad8 24 6" xfId="15964" xr:uid="{00000000-0005-0000-0000-00008E410000}"/>
    <cellStyle name="SAPBEXexcBad8 24 7" xfId="18905" xr:uid="{00000000-0005-0000-0000-00008F410000}"/>
    <cellStyle name="SAPBEXexcBad8 24 8" xfId="20660" xr:uid="{00000000-0005-0000-0000-000090410000}"/>
    <cellStyle name="SAPBEXexcBad8 24 9" xfId="23432" xr:uid="{00000000-0005-0000-0000-000091410000}"/>
    <cellStyle name="SAPBEXexcBad8 25" xfId="4165" xr:uid="{00000000-0005-0000-0000-000092410000}"/>
    <cellStyle name="SAPBEXexcBad8 25 2" xfId="6703" xr:uid="{00000000-0005-0000-0000-000093410000}"/>
    <cellStyle name="SAPBEXexcBad8 25 3" xfId="9066" xr:uid="{00000000-0005-0000-0000-000094410000}"/>
    <cellStyle name="SAPBEXexcBad8 25 4" xfId="11593" xr:uid="{00000000-0005-0000-0000-000095410000}"/>
    <cellStyle name="SAPBEXexcBad8 25 5" xfId="14031" xr:uid="{00000000-0005-0000-0000-000096410000}"/>
    <cellStyle name="SAPBEXexcBad8 25 6" xfId="16500" xr:uid="{00000000-0005-0000-0000-000097410000}"/>
    <cellStyle name="SAPBEXexcBad8 25 7" xfId="18727" xr:uid="{00000000-0005-0000-0000-000098410000}"/>
    <cellStyle name="SAPBEXexcBad8 25 8" xfId="21196" xr:uid="{00000000-0005-0000-0000-000099410000}"/>
    <cellStyle name="SAPBEXexcBad8 25 9" xfId="23267" xr:uid="{00000000-0005-0000-0000-00009A410000}"/>
    <cellStyle name="SAPBEXexcBad8 26" xfId="4218" xr:uid="{00000000-0005-0000-0000-00009B410000}"/>
    <cellStyle name="SAPBEXexcBad8 26 2" xfId="6756" xr:uid="{00000000-0005-0000-0000-00009C410000}"/>
    <cellStyle name="SAPBEXexcBad8 26 3" xfId="8197" xr:uid="{00000000-0005-0000-0000-00009D410000}"/>
    <cellStyle name="SAPBEXexcBad8 26 4" xfId="11644" xr:uid="{00000000-0005-0000-0000-00009E410000}"/>
    <cellStyle name="SAPBEXexcBad8 26 5" xfId="14088" xr:uid="{00000000-0005-0000-0000-00009F410000}"/>
    <cellStyle name="SAPBEXexcBad8 26 6" xfId="15684" xr:uid="{00000000-0005-0000-0000-0000A0410000}"/>
    <cellStyle name="SAPBEXexcBad8 26 7" xfId="18784" xr:uid="{00000000-0005-0000-0000-0000A1410000}"/>
    <cellStyle name="SAPBEXexcBad8 26 8" xfId="20380" xr:uid="{00000000-0005-0000-0000-0000A2410000}"/>
    <cellStyle name="SAPBEXexcBad8 26 9" xfId="23319" xr:uid="{00000000-0005-0000-0000-0000A3410000}"/>
    <cellStyle name="SAPBEXexcBad8 27" xfId="4250" xr:uid="{00000000-0005-0000-0000-0000A4410000}"/>
    <cellStyle name="SAPBEXexcBad8 27 2" xfId="6788" xr:uid="{00000000-0005-0000-0000-0000A5410000}"/>
    <cellStyle name="SAPBEXexcBad8 27 3" xfId="9584" xr:uid="{00000000-0005-0000-0000-0000A6410000}"/>
    <cellStyle name="SAPBEXexcBad8 27 4" xfId="11128" xr:uid="{00000000-0005-0000-0000-0000A7410000}"/>
    <cellStyle name="SAPBEXexcBad8 27 5" xfId="13523" xr:uid="{00000000-0005-0000-0000-0000A8410000}"/>
    <cellStyle name="SAPBEXexcBad8 27 6" xfId="15690" xr:uid="{00000000-0005-0000-0000-0000A9410000}"/>
    <cellStyle name="SAPBEXexcBad8 27 7" xfId="18219" xr:uid="{00000000-0005-0000-0000-0000AA410000}"/>
    <cellStyle name="SAPBEXexcBad8 27 8" xfId="20386" xr:uid="{00000000-0005-0000-0000-0000AB410000}"/>
    <cellStyle name="SAPBEXexcBad8 27 9" xfId="22801" xr:uid="{00000000-0005-0000-0000-0000AC410000}"/>
    <cellStyle name="SAPBEXexcBad8 28" xfId="4293" xr:uid="{00000000-0005-0000-0000-0000AD410000}"/>
    <cellStyle name="SAPBEXexcBad8 28 2" xfId="6831" xr:uid="{00000000-0005-0000-0000-0000AE410000}"/>
    <cellStyle name="SAPBEXexcBad8 28 3" xfId="9230" xr:uid="{00000000-0005-0000-0000-0000AF410000}"/>
    <cellStyle name="SAPBEXexcBad8 28 4" xfId="11294" xr:uid="{00000000-0005-0000-0000-0000B0410000}"/>
    <cellStyle name="SAPBEXexcBad8 28 5" xfId="13701" xr:uid="{00000000-0005-0000-0000-0000B1410000}"/>
    <cellStyle name="SAPBEXexcBad8 28 6" xfId="15009" xr:uid="{00000000-0005-0000-0000-0000B2410000}"/>
    <cellStyle name="SAPBEXexcBad8 28 7" xfId="18397" xr:uid="{00000000-0005-0000-0000-0000B3410000}"/>
    <cellStyle name="SAPBEXexcBad8 28 8" xfId="19705" xr:uid="{00000000-0005-0000-0000-0000B4410000}"/>
    <cellStyle name="SAPBEXexcBad8 28 9" xfId="22968" xr:uid="{00000000-0005-0000-0000-0000B5410000}"/>
    <cellStyle name="SAPBEXexcBad8 29" xfId="4336" xr:uid="{00000000-0005-0000-0000-0000B6410000}"/>
    <cellStyle name="SAPBEXexcBad8 29 2" xfId="6874" xr:uid="{00000000-0005-0000-0000-0000B7410000}"/>
    <cellStyle name="SAPBEXexcBad8 29 3" xfId="10077" xr:uid="{00000000-0005-0000-0000-0000B8410000}"/>
    <cellStyle name="SAPBEXexcBad8 29 4" xfId="11385" xr:uid="{00000000-0005-0000-0000-0000B9410000}"/>
    <cellStyle name="SAPBEXexcBad8 29 5" xfId="14888" xr:uid="{00000000-0005-0000-0000-0000BA410000}"/>
    <cellStyle name="SAPBEXexcBad8 29 6" xfId="15691" xr:uid="{00000000-0005-0000-0000-0000BB410000}"/>
    <cellStyle name="SAPBEXexcBad8 29 7" xfId="19584" xr:uid="{00000000-0005-0000-0000-0000BC410000}"/>
    <cellStyle name="SAPBEXexcBad8 29 8" xfId="20387" xr:uid="{00000000-0005-0000-0000-0000BD410000}"/>
    <cellStyle name="SAPBEXexcBad8 29 9" xfId="24055" xr:uid="{00000000-0005-0000-0000-0000BE410000}"/>
    <cellStyle name="SAPBEXexcBad8 3" xfId="3030" xr:uid="{00000000-0005-0000-0000-0000BF410000}"/>
    <cellStyle name="SAPBEXexcBad8 3 2" xfId="5569" xr:uid="{00000000-0005-0000-0000-0000C0410000}"/>
    <cellStyle name="SAPBEXexcBad8 3 3" xfId="9895" xr:uid="{00000000-0005-0000-0000-0000C1410000}"/>
    <cellStyle name="SAPBEXexcBad8 3 4" xfId="10446" xr:uid="{00000000-0005-0000-0000-0000C2410000}"/>
    <cellStyle name="SAPBEXexcBad8 3 5" xfId="12773" xr:uid="{00000000-0005-0000-0000-0000C3410000}"/>
    <cellStyle name="SAPBEXexcBad8 3 6" xfId="15616" xr:uid="{00000000-0005-0000-0000-0000C4410000}"/>
    <cellStyle name="SAPBEXexcBad8 3 7" xfId="17469" xr:uid="{00000000-0005-0000-0000-0000C5410000}"/>
    <cellStyle name="SAPBEXexcBad8 3 8" xfId="20312" xr:uid="{00000000-0005-0000-0000-0000C6410000}"/>
    <cellStyle name="SAPBEXexcBad8 3 9" xfId="22117" xr:uid="{00000000-0005-0000-0000-0000C7410000}"/>
    <cellStyle name="SAPBEXexcBad8 30" xfId="4379" xr:uid="{00000000-0005-0000-0000-0000C8410000}"/>
    <cellStyle name="SAPBEXexcBad8 30 2" xfId="6917" xr:uid="{00000000-0005-0000-0000-0000C9410000}"/>
    <cellStyle name="SAPBEXexcBad8 30 3" xfId="9137" xr:uid="{00000000-0005-0000-0000-0000CA410000}"/>
    <cellStyle name="SAPBEXexcBad8 30 4" xfId="11134" xr:uid="{00000000-0005-0000-0000-0000CB410000}"/>
    <cellStyle name="SAPBEXexcBad8 30 5" xfId="13530" xr:uid="{00000000-0005-0000-0000-0000CC410000}"/>
    <cellStyle name="SAPBEXexcBad8 30 6" xfId="14138" xr:uid="{00000000-0005-0000-0000-0000CD410000}"/>
    <cellStyle name="SAPBEXexcBad8 30 7" xfId="18226" xr:uid="{00000000-0005-0000-0000-0000CE410000}"/>
    <cellStyle name="SAPBEXexcBad8 30 8" xfId="18834" xr:uid="{00000000-0005-0000-0000-0000CF410000}"/>
    <cellStyle name="SAPBEXexcBad8 30 9" xfId="22807" xr:uid="{00000000-0005-0000-0000-0000D0410000}"/>
    <cellStyle name="SAPBEXexcBad8 31" xfId="4422" xr:uid="{00000000-0005-0000-0000-0000D1410000}"/>
    <cellStyle name="SAPBEXexcBad8 31 2" xfId="6960" xr:uid="{00000000-0005-0000-0000-0000D2410000}"/>
    <cellStyle name="SAPBEXexcBad8 31 3" xfId="9809" xr:uid="{00000000-0005-0000-0000-0000D3410000}"/>
    <cellStyle name="SAPBEXexcBad8 31 4" xfId="12247" xr:uid="{00000000-0005-0000-0000-0000D4410000}"/>
    <cellStyle name="SAPBEXexcBad8 31 5" xfId="12315" xr:uid="{00000000-0005-0000-0000-0000D5410000}"/>
    <cellStyle name="SAPBEXexcBad8 31 6" xfId="15299" xr:uid="{00000000-0005-0000-0000-0000D6410000}"/>
    <cellStyle name="SAPBEXexcBad8 31 7" xfId="17011" xr:uid="{00000000-0005-0000-0000-0000D7410000}"/>
    <cellStyle name="SAPBEXexcBad8 31 8" xfId="19995" xr:uid="{00000000-0005-0000-0000-0000D8410000}"/>
    <cellStyle name="SAPBEXexcBad8 31 9" xfId="21706" xr:uid="{00000000-0005-0000-0000-0000D9410000}"/>
    <cellStyle name="SAPBEXexcBad8 32" xfId="4317" xr:uid="{00000000-0005-0000-0000-0000DA410000}"/>
    <cellStyle name="SAPBEXexcBad8 32 2" xfId="6855" xr:uid="{00000000-0005-0000-0000-0000DB410000}"/>
    <cellStyle name="SAPBEXexcBad8 32 3" xfId="8036" xr:uid="{00000000-0005-0000-0000-0000DC410000}"/>
    <cellStyle name="SAPBEXexcBad8 32 4" xfId="12201" xr:uid="{00000000-0005-0000-0000-0000DD410000}"/>
    <cellStyle name="SAPBEXexcBad8 32 5" xfId="13857" xr:uid="{00000000-0005-0000-0000-0000DE410000}"/>
    <cellStyle name="SAPBEXexcBad8 32 6" xfId="13632" xr:uid="{00000000-0005-0000-0000-0000DF410000}"/>
    <cellStyle name="SAPBEXexcBad8 32 7" xfId="18553" xr:uid="{00000000-0005-0000-0000-0000E0410000}"/>
    <cellStyle name="SAPBEXexcBad8 32 8" xfId="18328" xr:uid="{00000000-0005-0000-0000-0000E1410000}"/>
    <cellStyle name="SAPBEXexcBad8 32 9" xfId="23114" xr:uid="{00000000-0005-0000-0000-0000E2410000}"/>
    <cellStyle name="SAPBEXexcBad8 33" xfId="4507" xr:uid="{00000000-0005-0000-0000-0000E3410000}"/>
    <cellStyle name="SAPBEXexcBad8 33 2" xfId="7045" xr:uid="{00000000-0005-0000-0000-0000E4410000}"/>
    <cellStyle name="SAPBEXexcBad8 33 3" xfId="8090" xr:uid="{00000000-0005-0000-0000-0000E5410000}"/>
    <cellStyle name="SAPBEXexcBad8 33 4" xfId="10763" xr:uid="{00000000-0005-0000-0000-0000E6410000}"/>
    <cellStyle name="SAPBEXexcBad8 33 5" xfId="13118" xr:uid="{00000000-0005-0000-0000-0000E7410000}"/>
    <cellStyle name="SAPBEXexcBad8 33 6" xfId="16012" xr:uid="{00000000-0005-0000-0000-0000E8410000}"/>
    <cellStyle name="SAPBEXexcBad8 33 7" xfId="17814" xr:uid="{00000000-0005-0000-0000-0000E9410000}"/>
    <cellStyle name="SAPBEXexcBad8 33 8" xfId="20708" xr:uid="{00000000-0005-0000-0000-0000EA410000}"/>
    <cellStyle name="SAPBEXexcBad8 33 9" xfId="22435" xr:uid="{00000000-0005-0000-0000-0000EB410000}"/>
    <cellStyle name="SAPBEXexcBad8 34" xfId="4502" xr:uid="{00000000-0005-0000-0000-0000EC410000}"/>
    <cellStyle name="SAPBEXexcBad8 34 2" xfId="7040" xr:uid="{00000000-0005-0000-0000-0000ED410000}"/>
    <cellStyle name="SAPBEXexcBad8 34 3" xfId="9991" xr:uid="{00000000-0005-0000-0000-0000EE410000}"/>
    <cellStyle name="SAPBEXexcBad8 34 4" xfId="11574" xr:uid="{00000000-0005-0000-0000-0000EF410000}"/>
    <cellStyle name="SAPBEXexcBad8 34 5" xfId="14011" xr:uid="{00000000-0005-0000-0000-0000F0410000}"/>
    <cellStyle name="SAPBEXexcBad8 34 6" xfId="15881" xr:uid="{00000000-0005-0000-0000-0000F1410000}"/>
    <cellStyle name="SAPBEXexcBad8 34 7" xfId="18707" xr:uid="{00000000-0005-0000-0000-0000F2410000}"/>
    <cellStyle name="SAPBEXexcBad8 34 8" xfId="20577" xr:uid="{00000000-0005-0000-0000-0000F3410000}"/>
    <cellStyle name="SAPBEXexcBad8 34 9" xfId="23248" xr:uid="{00000000-0005-0000-0000-0000F4410000}"/>
    <cellStyle name="SAPBEXexcBad8 35" xfId="4594" xr:uid="{00000000-0005-0000-0000-0000F5410000}"/>
    <cellStyle name="SAPBEXexcBad8 35 2" xfId="7132" xr:uid="{00000000-0005-0000-0000-0000F6410000}"/>
    <cellStyle name="SAPBEXexcBad8 35 3" xfId="9455" xr:uid="{00000000-0005-0000-0000-0000F7410000}"/>
    <cellStyle name="SAPBEXexcBad8 35 4" xfId="10772" xr:uid="{00000000-0005-0000-0000-0000F8410000}"/>
    <cellStyle name="SAPBEXexcBad8 35 5" xfId="13127" xr:uid="{00000000-0005-0000-0000-0000F9410000}"/>
    <cellStyle name="SAPBEXexcBad8 35 6" xfId="16054" xr:uid="{00000000-0005-0000-0000-0000FA410000}"/>
    <cellStyle name="SAPBEXexcBad8 35 7" xfId="17823" xr:uid="{00000000-0005-0000-0000-0000FB410000}"/>
    <cellStyle name="SAPBEXexcBad8 35 8" xfId="20750" xr:uid="{00000000-0005-0000-0000-0000FC410000}"/>
    <cellStyle name="SAPBEXexcBad8 35 9" xfId="22444" xr:uid="{00000000-0005-0000-0000-0000FD410000}"/>
    <cellStyle name="SAPBEXexcBad8 36" xfId="4637" xr:uid="{00000000-0005-0000-0000-0000FE410000}"/>
    <cellStyle name="SAPBEXexcBad8 36 2" xfId="7175" xr:uid="{00000000-0005-0000-0000-0000FF410000}"/>
    <cellStyle name="SAPBEXexcBad8 36 3" xfId="9425" xr:uid="{00000000-0005-0000-0000-000000420000}"/>
    <cellStyle name="SAPBEXexcBad8 36 4" xfId="10576" xr:uid="{00000000-0005-0000-0000-000001420000}"/>
    <cellStyle name="SAPBEXexcBad8 36 5" xfId="12922" xr:uid="{00000000-0005-0000-0000-000002420000}"/>
    <cellStyle name="SAPBEXexcBad8 36 6" xfId="16577" xr:uid="{00000000-0005-0000-0000-000003420000}"/>
    <cellStyle name="SAPBEXexcBad8 36 7" xfId="17618" xr:uid="{00000000-0005-0000-0000-000004420000}"/>
    <cellStyle name="SAPBEXexcBad8 36 8" xfId="21273" xr:uid="{00000000-0005-0000-0000-000005420000}"/>
    <cellStyle name="SAPBEXexcBad8 36 9" xfId="22248" xr:uid="{00000000-0005-0000-0000-000006420000}"/>
    <cellStyle name="SAPBEXexcBad8 37" xfId="4680" xr:uid="{00000000-0005-0000-0000-000007420000}"/>
    <cellStyle name="SAPBEXexcBad8 37 2" xfId="7218" xr:uid="{00000000-0005-0000-0000-000008420000}"/>
    <cellStyle name="SAPBEXexcBad8 37 3" xfId="5520" xr:uid="{00000000-0005-0000-0000-000009420000}"/>
    <cellStyle name="SAPBEXexcBad8 37 4" xfId="11995" xr:uid="{00000000-0005-0000-0000-00000A420000}"/>
    <cellStyle name="SAPBEXexcBad8 37 5" xfId="14473" xr:uid="{00000000-0005-0000-0000-00000B420000}"/>
    <cellStyle name="SAPBEXexcBad8 37 6" xfId="15100" xr:uid="{00000000-0005-0000-0000-00000C420000}"/>
    <cellStyle name="SAPBEXexcBad8 37 7" xfId="19169" xr:uid="{00000000-0005-0000-0000-00000D420000}"/>
    <cellStyle name="SAPBEXexcBad8 37 8" xfId="19796" xr:uid="{00000000-0005-0000-0000-00000E420000}"/>
    <cellStyle name="SAPBEXexcBad8 37 9" xfId="23670" xr:uid="{00000000-0005-0000-0000-00000F420000}"/>
    <cellStyle name="SAPBEXexcBad8 38" xfId="4729" xr:uid="{00000000-0005-0000-0000-000010420000}"/>
    <cellStyle name="SAPBEXexcBad8 38 2" xfId="7267" xr:uid="{00000000-0005-0000-0000-000011420000}"/>
    <cellStyle name="SAPBEXexcBad8 38 3" xfId="9352" xr:uid="{00000000-0005-0000-0000-000012420000}"/>
    <cellStyle name="SAPBEXexcBad8 38 4" xfId="11989" xr:uid="{00000000-0005-0000-0000-000013420000}"/>
    <cellStyle name="SAPBEXexcBad8 38 5" xfId="14467" xr:uid="{00000000-0005-0000-0000-000014420000}"/>
    <cellStyle name="SAPBEXexcBad8 38 6" xfId="15620" xr:uid="{00000000-0005-0000-0000-000015420000}"/>
    <cellStyle name="SAPBEXexcBad8 38 7" xfId="19163" xr:uid="{00000000-0005-0000-0000-000016420000}"/>
    <cellStyle name="SAPBEXexcBad8 38 8" xfId="20316" xr:uid="{00000000-0005-0000-0000-000017420000}"/>
    <cellStyle name="SAPBEXexcBad8 38 9" xfId="23664" xr:uid="{00000000-0005-0000-0000-000018420000}"/>
    <cellStyle name="SAPBEXexcBad8 39" xfId="4518" xr:uid="{00000000-0005-0000-0000-000019420000}"/>
    <cellStyle name="SAPBEXexcBad8 39 2" xfId="7056" xr:uid="{00000000-0005-0000-0000-00001A420000}"/>
    <cellStyle name="SAPBEXexcBad8 39 3" xfId="9484" xr:uid="{00000000-0005-0000-0000-00001B420000}"/>
    <cellStyle name="SAPBEXexcBad8 39 4" xfId="11607" xr:uid="{00000000-0005-0000-0000-00001C420000}"/>
    <cellStyle name="SAPBEXexcBad8 39 5" xfId="14045" xr:uid="{00000000-0005-0000-0000-00001D420000}"/>
    <cellStyle name="SAPBEXexcBad8 39 6" xfId="15905" xr:uid="{00000000-0005-0000-0000-00001E420000}"/>
    <cellStyle name="SAPBEXexcBad8 39 7" xfId="18741" xr:uid="{00000000-0005-0000-0000-00001F420000}"/>
    <cellStyle name="SAPBEXexcBad8 39 8" xfId="20601" xr:uid="{00000000-0005-0000-0000-000020420000}"/>
    <cellStyle name="SAPBEXexcBad8 39 9" xfId="23281" xr:uid="{00000000-0005-0000-0000-000021420000}"/>
    <cellStyle name="SAPBEXexcBad8 4" xfId="3153" xr:uid="{00000000-0005-0000-0000-000022420000}"/>
    <cellStyle name="SAPBEXexcBad8 4 2" xfId="5691" xr:uid="{00000000-0005-0000-0000-000023420000}"/>
    <cellStyle name="SAPBEXexcBad8 4 3" xfId="5478" xr:uid="{00000000-0005-0000-0000-000024420000}"/>
    <cellStyle name="SAPBEXexcBad8 4 4" xfId="12059" xr:uid="{00000000-0005-0000-0000-000025420000}"/>
    <cellStyle name="SAPBEXexcBad8 4 5" xfId="14539" xr:uid="{00000000-0005-0000-0000-000026420000}"/>
    <cellStyle name="SAPBEXexcBad8 4 6" xfId="16596" xr:uid="{00000000-0005-0000-0000-000027420000}"/>
    <cellStyle name="SAPBEXexcBad8 4 7" xfId="19235" xr:uid="{00000000-0005-0000-0000-000028420000}"/>
    <cellStyle name="SAPBEXexcBad8 4 8" xfId="21292" xr:uid="{00000000-0005-0000-0000-000029420000}"/>
    <cellStyle name="SAPBEXexcBad8 4 9" xfId="23731" xr:uid="{00000000-0005-0000-0000-00002A420000}"/>
    <cellStyle name="SAPBEXexcBad8 40" xfId="4827" xr:uid="{00000000-0005-0000-0000-00002B420000}"/>
    <cellStyle name="SAPBEXexcBad8 40 2" xfId="7365" xr:uid="{00000000-0005-0000-0000-00002C420000}"/>
    <cellStyle name="SAPBEXexcBad8 40 3" xfId="8992" xr:uid="{00000000-0005-0000-0000-00002D420000}"/>
    <cellStyle name="SAPBEXexcBad8 40 4" xfId="11548" xr:uid="{00000000-0005-0000-0000-00002E420000}"/>
    <cellStyle name="SAPBEXexcBad8 40 5" xfId="13982" xr:uid="{00000000-0005-0000-0000-00002F420000}"/>
    <cellStyle name="SAPBEXexcBad8 40 6" xfId="15899" xr:uid="{00000000-0005-0000-0000-000030420000}"/>
    <cellStyle name="SAPBEXexcBad8 40 7" xfId="18678" xr:uid="{00000000-0005-0000-0000-000031420000}"/>
    <cellStyle name="SAPBEXexcBad8 40 8" xfId="20595" xr:uid="{00000000-0005-0000-0000-000032420000}"/>
    <cellStyle name="SAPBEXexcBad8 40 9" xfId="23222" xr:uid="{00000000-0005-0000-0000-000033420000}"/>
    <cellStyle name="SAPBEXexcBad8 41" xfId="4754" xr:uid="{00000000-0005-0000-0000-000034420000}"/>
    <cellStyle name="SAPBEXexcBad8 41 2" xfId="7292" xr:uid="{00000000-0005-0000-0000-000035420000}"/>
    <cellStyle name="SAPBEXexcBad8 41 3" xfId="9469" xr:uid="{00000000-0005-0000-0000-000036420000}"/>
    <cellStyle name="SAPBEXexcBad8 41 4" xfId="10458" xr:uid="{00000000-0005-0000-0000-000037420000}"/>
    <cellStyle name="SAPBEXexcBad8 41 5" xfId="12790" xr:uid="{00000000-0005-0000-0000-000038420000}"/>
    <cellStyle name="SAPBEXexcBad8 41 6" xfId="16039" xr:uid="{00000000-0005-0000-0000-000039420000}"/>
    <cellStyle name="SAPBEXexcBad8 41 7" xfId="17486" xr:uid="{00000000-0005-0000-0000-00003A420000}"/>
    <cellStyle name="SAPBEXexcBad8 41 8" xfId="20735" xr:uid="{00000000-0005-0000-0000-00003B420000}"/>
    <cellStyle name="SAPBEXexcBad8 41 9" xfId="22129" xr:uid="{00000000-0005-0000-0000-00003C420000}"/>
    <cellStyle name="SAPBEXexcBad8 42" xfId="4908" xr:uid="{00000000-0005-0000-0000-00003D420000}"/>
    <cellStyle name="SAPBEXexcBad8 42 2" xfId="7446" xr:uid="{00000000-0005-0000-0000-00003E420000}"/>
    <cellStyle name="SAPBEXexcBad8 42 3" xfId="5541" xr:uid="{00000000-0005-0000-0000-00003F420000}"/>
    <cellStyle name="SAPBEXexcBad8 42 4" xfId="10317" xr:uid="{00000000-0005-0000-0000-000040420000}"/>
    <cellStyle name="SAPBEXexcBad8 42 5" xfId="12634" xr:uid="{00000000-0005-0000-0000-000041420000}"/>
    <cellStyle name="SAPBEXexcBad8 42 6" xfId="16378" xr:uid="{00000000-0005-0000-0000-000042420000}"/>
    <cellStyle name="SAPBEXexcBad8 42 7" xfId="17330" xr:uid="{00000000-0005-0000-0000-000043420000}"/>
    <cellStyle name="SAPBEXexcBad8 42 8" xfId="21074" xr:uid="{00000000-0005-0000-0000-000044420000}"/>
    <cellStyle name="SAPBEXexcBad8 42 9" xfId="21988" xr:uid="{00000000-0005-0000-0000-000045420000}"/>
    <cellStyle name="SAPBEXexcBad8 43" xfId="4925" xr:uid="{00000000-0005-0000-0000-000046420000}"/>
    <cellStyle name="SAPBEXexcBad8 43 2" xfId="7463" xr:uid="{00000000-0005-0000-0000-000047420000}"/>
    <cellStyle name="SAPBEXexcBad8 43 3" xfId="5454" xr:uid="{00000000-0005-0000-0000-000048420000}"/>
    <cellStyle name="SAPBEXexcBad8 43 4" xfId="11584" xr:uid="{00000000-0005-0000-0000-000049420000}"/>
    <cellStyle name="SAPBEXexcBad8 43 5" xfId="14021" xr:uid="{00000000-0005-0000-0000-00004A420000}"/>
    <cellStyle name="SAPBEXexcBad8 43 6" xfId="16200" xr:uid="{00000000-0005-0000-0000-00004B420000}"/>
    <cellStyle name="SAPBEXexcBad8 43 7" xfId="18717" xr:uid="{00000000-0005-0000-0000-00004C420000}"/>
    <cellStyle name="SAPBEXexcBad8 43 8" xfId="20896" xr:uid="{00000000-0005-0000-0000-00004D420000}"/>
    <cellStyle name="SAPBEXexcBad8 43 9" xfId="23258" xr:uid="{00000000-0005-0000-0000-00004E420000}"/>
    <cellStyle name="SAPBEXexcBad8 44" xfId="4987" xr:uid="{00000000-0005-0000-0000-00004F420000}"/>
    <cellStyle name="SAPBEXexcBad8 44 2" xfId="7525" xr:uid="{00000000-0005-0000-0000-000050420000}"/>
    <cellStyle name="SAPBEXexcBad8 44 3" xfId="9853" xr:uid="{00000000-0005-0000-0000-000051420000}"/>
    <cellStyle name="SAPBEXexcBad8 44 4" xfId="11786" xr:uid="{00000000-0005-0000-0000-000052420000}"/>
    <cellStyle name="SAPBEXexcBad8 44 5" xfId="14240" xr:uid="{00000000-0005-0000-0000-000053420000}"/>
    <cellStyle name="SAPBEXexcBad8 44 6" xfId="16136" xr:uid="{00000000-0005-0000-0000-000054420000}"/>
    <cellStyle name="SAPBEXexcBad8 44 7" xfId="18936" xr:uid="{00000000-0005-0000-0000-000055420000}"/>
    <cellStyle name="SAPBEXexcBad8 44 8" xfId="20832" xr:uid="{00000000-0005-0000-0000-000056420000}"/>
    <cellStyle name="SAPBEXexcBad8 44 9" xfId="23460" xr:uid="{00000000-0005-0000-0000-000057420000}"/>
    <cellStyle name="SAPBEXexcBad8 45" xfId="5025" xr:uid="{00000000-0005-0000-0000-000058420000}"/>
    <cellStyle name="SAPBEXexcBad8 45 2" xfId="7563" xr:uid="{00000000-0005-0000-0000-000059420000}"/>
    <cellStyle name="SAPBEXexcBad8 45 3" xfId="8194" xr:uid="{00000000-0005-0000-0000-00005A420000}"/>
    <cellStyle name="SAPBEXexcBad8 45 4" xfId="9449" xr:uid="{00000000-0005-0000-0000-00005B420000}"/>
    <cellStyle name="SAPBEXexcBad8 45 5" xfId="14948" xr:uid="{00000000-0005-0000-0000-00005C420000}"/>
    <cellStyle name="SAPBEXexcBad8 45 6" xfId="16990" xr:uid="{00000000-0005-0000-0000-00005D420000}"/>
    <cellStyle name="SAPBEXexcBad8 45 7" xfId="19644" xr:uid="{00000000-0005-0000-0000-00005E420000}"/>
    <cellStyle name="SAPBEXexcBad8 45 8" xfId="21686" xr:uid="{00000000-0005-0000-0000-00005F420000}"/>
    <cellStyle name="SAPBEXexcBad8 45 9" xfId="24110" xr:uid="{00000000-0005-0000-0000-000060420000}"/>
    <cellStyle name="SAPBEXexcBad8 46" xfId="5060" xr:uid="{00000000-0005-0000-0000-000061420000}"/>
    <cellStyle name="SAPBEXexcBad8 46 2" xfId="7598" xr:uid="{00000000-0005-0000-0000-000062420000}"/>
    <cellStyle name="SAPBEXexcBad8 46 3" xfId="9335" xr:uid="{00000000-0005-0000-0000-000063420000}"/>
    <cellStyle name="SAPBEXexcBad8 46 4" xfId="11336" xr:uid="{00000000-0005-0000-0000-000064420000}"/>
    <cellStyle name="SAPBEXexcBad8 46 5" xfId="13746" xr:uid="{00000000-0005-0000-0000-000065420000}"/>
    <cellStyle name="SAPBEXexcBad8 46 6" xfId="15022" xr:uid="{00000000-0005-0000-0000-000066420000}"/>
    <cellStyle name="SAPBEXexcBad8 46 7" xfId="18442" xr:uid="{00000000-0005-0000-0000-000067420000}"/>
    <cellStyle name="SAPBEXexcBad8 46 8" xfId="19718" xr:uid="{00000000-0005-0000-0000-000068420000}"/>
    <cellStyle name="SAPBEXexcBad8 46 9" xfId="23010" xr:uid="{00000000-0005-0000-0000-000069420000}"/>
    <cellStyle name="SAPBEXexcBad8 47" xfId="5090" xr:uid="{00000000-0005-0000-0000-00006A420000}"/>
    <cellStyle name="SAPBEXexcBad8 47 2" xfId="7628" xr:uid="{00000000-0005-0000-0000-00006B420000}"/>
    <cellStyle name="SAPBEXexcBad8 47 3" xfId="8351" xr:uid="{00000000-0005-0000-0000-00006C420000}"/>
    <cellStyle name="SAPBEXexcBad8 47 4" xfId="10966" xr:uid="{00000000-0005-0000-0000-00006D420000}"/>
    <cellStyle name="SAPBEXexcBad8 47 5" xfId="13338" xr:uid="{00000000-0005-0000-0000-00006E420000}"/>
    <cellStyle name="SAPBEXexcBad8 47 6" xfId="15212" xr:uid="{00000000-0005-0000-0000-00006F420000}"/>
    <cellStyle name="SAPBEXexcBad8 47 7" xfId="18034" xr:uid="{00000000-0005-0000-0000-000070420000}"/>
    <cellStyle name="SAPBEXexcBad8 47 8" xfId="19908" xr:uid="{00000000-0005-0000-0000-000071420000}"/>
    <cellStyle name="SAPBEXexcBad8 47 9" xfId="22637" xr:uid="{00000000-0005-0000-0000-000072420000}"/>
    <cellStyle name="SAPBEXexcBad8 48" xfId="5128" xr:uid="{00000000-0005-0000-0000-000073420000}"/>
    <cellStyle name="SAPBEXexcBad8 48 2" xfId="7666" xr:uid="{00000000-0005-0000-0000-000074420000}"/>
    <cellStyle name="SAPBEXexcBad8 48 3" xfId="9603" xr:uid="{00000000-0005-0000-0000-000075420000}"/>
    <cellStyle name="SAPBEXexcBad8 48 4" xfId="11594" xr:uid="{00000000-0005-0000-0000-000076420000}"/>
    <cellStyle name="SAPBEXexcBad8 48 5" xfId="14032" xr:uid="{00000000-0005-0000-0000-000077420000}"/>
    <cellStyle name="SAPBEXexcBad8 48 6" xfId="15250" xr:uid="{00000000-0005-0000-0000-000078420000}"/>
    <cellStyle name="SAPBEXexcBad8 48 7" xfId="18728" xr:uid="{00000000-0005-0000-0000-000079420000}"/>
    <cellStyle name="SAPBEXexcBad8 48 8" xfId="19946" xr:uid="{00000000-0005-0000-0000-00007A420000}"/>
    <cellStyle name="SAPBEXexcBad8 48 9" xfId="23268" xr:uid="{00000000-0005-0000-0000-00007B420000}"/>
    <cellStyle name="SAPBEXexcBad8 49" xfId="5197" xr:uid="{00000000-0005-0000-0000-00007C420000}"/>
    <cellStyle name="SAPBEXexcBad8 49 2" xfId="7736" xr:uid="{00000000-0005-0000-0000-00007D420000}"/>
    <cellStyle name="SAPBEXexcBad8 49 3" xfId="9632" xr:uid="{00000000-0005-0000-0000-00007E420000}"/>
    <cellStyle name="SAPBEXexcBad8 49 4" xfId="11429" xr:uid="{00000000-0005-0000-0000-00007F420000}"/>
    <cellStyle name="SAPBEXexcBad8 49 5" xfId="13591" xr:uid="{00000000-0005-0000-0000-000080420000}"/>
    <cellStyle name="SAPBEXexcBad8 49 6" xfId="16048" xr:uid="{00000000-0005-0000-0000-000081420000}"/>
    <cellStyle name="SAPBEXexcBad8 49 7" xfId="18287" xr:uid="{00000000-0005-0000-0000-000082420000}"/>
    <cellStyle name="SAPBEXexcBad8 49 8" xfId="20744" xr:uid="{00000000-0005-0000-0000-000083420000}"/>
    <cellStyle name="SAPBEXexcBad8 49 9" xfId="22866" xr:uid="{00000000-0005-0000-0000-000084420000}"/>
    <cellStyle name="SAPBEXexcBad8 5" xfId="3196" xr:uid="{00000000-0005-0000-0000-000085420000}"/>
    <cellStyle name="SAPBEXexcBad8 5 2" xfId="5734" xr:uid="{00000000-0005-0000-0000-000086420000}"/>
    <cellStyle name="SAPBEXexcBad8 5 3" xfId="9280" xr:uid="{00000000-0005-0000-0000-000087420000}"/>
    <cellStyle name="SAPBEXexcBad8 5 4" xfId="10973" xr:uid="{00000000-0005-0000-0000-000088420000}"/>
    <cellStyle name="SAPBEXexcBad8 5 5" xfId="13345" xr:uid="{00000000-0005-0000-0000-000089420000}"/>
    <cellStyle name="SAPBEXexcBad8 5 6" xfId="15138" xr:uid="{00000000-0005-0000-0000-00008A420000}"/>
    <cellStyle name="SAPBEXexcBad8 5 7" xfId="18041" xr:uid="{00000000-0005-0000-0000-00008B420000}"/>
    <cellStyle name="SAPBEXexcBad8 5 8" xfId="19834" xr:uid="{00000000-0005-0000-0000-00008C420000}"/>
    <cellStyle name="SAPBEXexcBad8 5 9" xfId="22644" xr:uid="{00000000-0005-0000-0000-00008D420000}"/>
    <cellStyle name="SAPBEXexcBad8 50" xfId="5181" xr:uid="{00000000-0005-0000-0000-00008E420000}"/>
    <cellStyle name="SAPBEXexcBad8 50 2" xfId="10012" xr:uid="{00000000-0005-0000-0000-00008F420000}"/>
    <cellStyle name="SAPBEXexcBad8 50 3" xfId="11793" xr:uid="{00000000-0005-0000-0000-000090420000}"/>
    <cellStyle name="SAPBEXexcBad8 50 4" xfId="14250" xr:uid="{00000000-0005-0000-0000-000091420000}"/>
    <cellStyle name="SAPBEXexcBad8 50 5" xfId="16762" xr:uid="{00000000-0005-0000-0000-000092420000}"/>
    <cellStyle name="SAPBEXexcBad8 50 6" xfId="18946" xr:uid="{00000000-0005-0000-0000-000093420000}"/>
    <cellStyle name="SAPBEXexcBad8 50 7" xfId="21458" xr:uid="{00000000-0005-0000-0000-000094420000}"/>
    <cellStyle name="SAPBEXexcBad8 50 8" xfId="23468" xr:uid="{00000000-0005-0000-0000-000095420000}"/>
    <cellStyle name="SAPBEXexcBad8 51" xfId="5516" xr:uid="{00000000-0005-0000-0000-000096420000}"/>
    <cellStyle name="SAPBEXexcBad8 52" xfId="10414" xr:uid="{00000000-0005-0000-0000-000097420000}"/>
    <cellStyle name="SAPBEXexcBad8 53" xfId="12739" xr:uid="{00000000-0005-0000-0000-000098420000}"/>
    <cellStyle name="SAPBEXexcBad8 54" xfId="16859" xr:uid="{00000000-0005-0000-0000-000099420000}"/>
    <cellStyle name="SAPBEXexcBad8 55" xfId="17435" xr:uid="{00000000-0005-0000-0000-00009A420000}"/>
    <cellStyle name="SAPBEXexcBad8 56" xfId="21555" xr:uid="{00000000-0005-0000-0000-00009B420000}"/>
    <cellStyle name="SAPBEXexcBad8 57" xfId="22085" xr:uid="{00000000-0005-0000-0000-00009C420000}"/>
    <cellStyle name="SAPBEXexcBad8 58" xfId="42194" xr:uid="{9347B39D-BE34-46B3-A265-32C364165155}"/>
    <cellStyle name="SAPBEXexcBad8 6" xfId="3239" xr:uid="{00000000-0005-0000-0000-00009D420000}"/>
    <cellStyle name="SAPBEXexcBad8 6 2" xfId="5777" xr:uid="{00000000-0005-0000-0000-00009E420000}"/>
    <cellStyle name="SAPBEXexcBad8 6 3" xfId="8268" xr:uid="{00000000-0005-0000-0000-00009F420000}"/>
    <cellStyle name="SAPBEXexcBad8 6 4" xfId="12279" xr:uid="{00000000-0005-0000-0000-0000A0420000}"/>
    <cellStyle name="SAPBEXexcBad8 6 5" xfId="13487" xr:uid="{00000000-0005-0000-0000-0000A1420000}"/>
    <cellStyle name="SAPBEXexcBad8 6 6" xfId="15928" xr:uid="{00000000-0005-0000-0000-0000A2420000}"/>
    <cellStyle name="SAPBEXexcBad8 6 7" xfId="18183" xr:uid="{00000000-0005-0000-0000-0000A3420000}"/>
    <cellStyle name="SAPBEXexcBad8 6 8" xfId="20624" xr:uid="{00000000-0005-0000-0000-0000A4420000}"/>
    <cellStyle name="SAPBEXexcBad8 6 9" xfId="22767" xr:uid="{00000000-0005-0000-0000-0000A5420000}"/>
    <cellStyle name="SAPBEXexcBad8 7" xfId="3282" xr:uid="{00000000-0005-0000-0000-0000A6420000}"/>
    <cellStyle name="SAPBEXexcBad8 7 2" xfId="5820" xr:uid="{00000000-0005-0000-0000-0000A7420000}"/>
    <cellStyle name="SAPBEXexcBad8 7 3" xfId="8713" xr:uid="{00000000-0005-0000-0000-0000A8420000}"/>
    <cellStyle name="SAPBEXexcBad8 7 4" xfId="12234" xr:uid="{00000000-0005-0000-0000-0000A9420000}"/>
    <cellStyle name="SAPBEXexcBad8 7 5" xfId="14203" xr:uid="{00000000-0005-0000-0000-0000AA420000}"/>
    <cellStyle name="SAPBEXexcBad8 7 6" xfId="15680" xr:uid="{00000000-0005-0000-0000-0000AB420000}"/>
    <cellStyle name="SAPBEXexcBad8 7 7" xfId="18899" xr:uid="{00000000-0005-0000-0000-0000AC420000}"/>
    <cellStyle name="SAPBEXexcBad8 7 8" xfId="20376" xr:uid="{00000000-0005-0000-0000-0000AD420000}"/>
    <cellStyle name="SAPBEXexcBad8 7 9" xfId="23426" xr:uid="{00000000-0005-0000-0000-0000AE420000}"/>
    <cellStyle name="SAPBEXexcBad8 8" xfId="3325" xr:uid="{00000000-0005-0000-0000-0000AF420000}"/>
    <cellStyle name="SAPBEXexcBad8 8 2" xfId="5863" xr:uid="{00000000-0005-0000-0000-0000B0420000}"/>
    <cellStyle name="SAPBEXexcBad8 8 3" xfId="10160" xr:uid="{00000000-0005-0000-0000-0000B1420000}"/>
    <cellStyle name="SAPBEXexcBad8 8 4" xfId="10539" xr:uid="{00000000-0005-0000-0000-0000B2420000}"/>
    <cellStyle name="SAPBEXexcBad8 8 5" xfId="12882" xr:uid="{00000000-0005-0000-0000-0000B3420000}"/>
    <cellStyle name="SAPBEXexcBad8 8 6" xfId="15827" xr:uid="{00000000-0005-0000-0000-0000B4420000}"/>
    <cellStyle name="SAPBEXexcBad8 8 7" xfId="17578" xr:uid="{00000000-0005-0000-0000-0000B5420000}"/>
    <cellStyle name="SAPBEXexcBad8 8 8" xfId="20523" xr:uid="{00000000-0005-0000-0000-0000B6420000}"/>
    <cellStyle name="SAPBEXexcBad8 8 9" xfId="22210" xr:uid="{00000000-0005-0000-0000-0000B7420000}"/>
    <cellStyle name="SAPBEXexcBad8 9" xfId="3368" xr:uid="{00000000-0005-0000-0000-0000B8420000}"/>
    <cellStyle name="SAPBEXexcBad8 9 2" xfId="5906" xr:uid="{00000000-0005-0000-0000-0000B9420000}"/>
    <cellStyle name="SAPBEXexcBad8 9 3" xfId="9712" xr:uid="{00000000-0005-0000-0000-0000BA420000}"/>
    <cellStyle name="SAPBEXexcBad8 9 4" xfId="12227" xr:uid="{00000000-0005-0000-0000-0000BB420000}"/>
    <cellStyle name="SAPBEXexcBad8 9 5" xfId="14056" xr:uid="{00000000-0005-0000-0000-0000BC420000}"/>
    <cellStyle name="SAPBEXexcBad8 9 6" xfId="16980" xr:uid="{00000000-0005-0000-0000-0000BD420000}"/>
    <cellStyle name="SAPBEXexcBad8 9 7" xfId="18752" xr:uid="{00000000-0005-0000-0000-0000BE420000}"/>
    <cellStyle name="SAPBEXexcBad8 9 8" xfId="21676" xr:uid="{00000000-0005-0000-0000-0000BF420000}"/>
    <cellStyle name="SAPBEXexcBad8 9 9" xfId="23290" xr:uid="{00000000-0005-0000-0000-0000C0420000}"/>
    <cellStyle name="SAPBEXexcBad9" xfId="2948" xr:uid="{00000000-0005-0000-0000-0000C1420000}"/>
    <cellStyle name="SAPBEXexcBad9 10" xfId="3147" xr:uid="{00000000-0005-0000-0000-0000C2420000}"/>
    <cellStyle name="SAPBEXexcBad9 10 2" xfId="5685" xr:uid="{00000000-0005-0000-0000-0000C3420000}"/>
    <cellStyle name="SAPBEXexcBad9 10 3" xfId="8292" xr:uid="{00000000-0005-0000-0000-0000C4420000}"/>
    <cellStyle name="SAPBEXexcBad9 10 4" xfId="10307" xr:uid="{00000000-0005-0000-0000-0000C5420000}"/>
    <cellStyle name="SAPBEXexcBad9 10 5" xfId="12622" xr:uid="{00000000-0005-0000-0000-0000C6420000}"/>
    <cellStyle name="SAPBEXexcBad9 10 6" xfId="16545" xr:uid="{00000000-0005-0000-0000-0000C7420000}"/>
    <cellStyle name="SAPBEXexcBad9 10 7" xfId="17318" xr:uid="{00000000-0005-0000-0000-0000C8420000}"/>
    <cellStyle name="SAPBEXexcBad9 10 8" xfId="21241" xr:uid="{00000000-0005-0000-0000-0000C9420000}"/>
    <cellStyle name="SAPBEXexcBad9 10 9" xfId="21977" xr:uid="{00000000-0005-0000-0000-0000CA420000}"/>
    <cellStyle name="SAPBEXexcBad9 11" xfId="3462" xr:uid="{00000000-0005-0000-0000-0000CB420000}"/>
    <cellStyle name="SAPBEXexcBad9 11 2" xfId="6000" xr:uid="{00000000-0005-0000-0000-0000CC420000}"/>
    <cellStyle name="SAPBEXexcBad9 11 3" xfId="9444" xr:uid="{00000000-0005-0000-0000-0000CD420000}"/>
    <cellStyle name="SAPBEXexcBad9 11 4" xfId="12189" xr:uid="{00000000-0005-0000-0000-0000CE420000}"/>
    <cellStyle name="SAPBEXexcBad9 11 5" xfId="14674" xr:uid="{00000000-0005-0000-0000-0000CF420000}"/>
    <cellStyle name="SAPBEXexcBad9 11 6" xfId="16813" xr:uid="{00000000-0005-0000-0000-0000D0420000}"/>
    <cellStyle name="SAPBEXexcBad9 11 7" xfId="19370" xr:uid="{00000000-0005-0000-0000-0000D1420000}"/>
    <cellStyle name="SAPBEXexcBad9 11 8" xfId="21509" xr:uid="{00000000-0005-0000-0000-0000D2420000}"/>
    <cellStyle name="SAPBEXexcBad9 11 9" xfId="23863" xr:uid="{00000000-0005-0000-0000-0000D3420000}"/>
    <cellStyle name="SAPBEXexcBad9 12" xfId="3466" xr:uid="{00000000-0005-0000-0000-0000D4420000}"/>
    <cellStyle name="SAPBEXexcBad9 12 2" xfId="6004" xr:uid="{00000000-0005-0000-0000-0000D5420000}"/>
    <cellStyle name="SAPBEXexcBad9 12 3" xfId="8131" xr:uid="{00000000-0005-0000-0000-0000D6420000}"/>
    <cellStyle name="SAPBEXexcBad9 12 4" xfId="11482" xr:uid="{00000000-0005-0000-0000-0000D7420000}"/>
    <cellStyle name="SAPBEXexcBad9 12 5" xfId="13907" xr:uid="{00000000-0005-0000-0000-0000D8420000}"/>
    <cellStyle name="SAPBEXexcBad9 12 6" xfId="16776" xr:uid="{00000000-0005-0000-0000-0000D9420000}"/>
    <cellStyle name="SAPBEXexcBad9 12 7" xfId="18603" xr:uid="{00000000-0005-0000-0000-0000DA420000}"/>
    <cellStyle name="SAPBEXexcBad9 12 8" xfId="21472" xr:uid="{00000000-0005-0000-0000-0000DB420000}"/>
    <cellStyle name="SAPBEXexcBad9 12 9" xfId="23157" xr:uid="{00000000-0005-0000-0000-0000DC420000}"/>
    <cellStyle name="SAPBEXexcBad9 13" xfId="3395" xr:uid="{00000000-0005-0000-0000-0000DD420000}"/>
    <cellStyle name="SAPBEXexcBad9 13 2" xfId="5933" xr:uid="{00000000-0005-0000-0000-0000DE420000}"/>
    <cellStyle name="SAPBEXexcBad9 13 3" xfId="8695" xr:uid="{00000000-0005-0000-0000-0000DF420000}"/>
    <cellStyle name="SAPBEXexcBad9 13 4" xfId="10627" xr:uid="{00000000-0005-0000-0000-0000E0420000}"/>
    <cellStyle name="SAPBEXexcBad9 13 5" xfId="12976" xr:uid="{00000000-0005-0000-0000-0000E1420000}"/>
    <cellStyle name="SAPBEXexcBad9 13 6" xfId="15216" xr:uid="{00000000-0005-0000-0000-0000E2420000}"/>
    <cellStyle name="SAPBEXexcBad9 13 7" xfId="17672" xr:uid="{00000000-0005-0000-0000-0000E3420000}"/>
    <cellStyle name="SAPBEXexcBad9 13 8" xfId="19912" xr:uid="{00000000-0005-0000-0000-0000E4420000}"/>
    <cellStyle name="SAPBEXexcBad9 13 9" xfId="22300" xr:uid="{00000000-0005-0000-0000-0000E5420000}"/>
    <cellStyle name="SAPBEXexcBad9 14" xfId="3589" xr:uid="{00000000-0005-0000-0000-0000E6420000}"/>
    <cellStyle name="SAPBEXexcBad9 14 2" xfId="6127" xr:uid="{00000000-0005-0000-0000-0000E7420000}"/>
    <cellStyle name="SAPBEXexcBad9 14 3" xfId="9780" xr:uid="{00000000-0005-0000-0000-0000E8420000}"/>
    <cellStyle name="SAPBEXexcBad9 14 4" xfId="11894" xr:uid="{00000000-0005-0000-0000-0000E9420000}"/>
    <cellStyle name="SAPBEXexcBad9 14 5" xfId="14101" xr:uid="{00000000-0005-0000-0000-0000EA420000}"/>
    <cellStyle name="SAPBEXexcBad9 14 6" xfId="14095" xr:uid="{00000000-0005-0000-0000-0000EB420000}"/>
    <cellStyle name="SAPBEXexcBad9 14 7" xfId="18797" xr:uid="{00000000-0005-0000-0000-0000EC420000}"/>
    <cellStyle name="SAPBEXexcBad9 14 8" xfId="18791" xr:uid="{00000000-0005-0000-0000-0000ED420000}"/>
    <cellStyle name="SAPBEXexcBad9 14 9" xfId="23330" xr:uid="{00000000-0005-0000-0000-0000EE420000}"/>
    <cellStyle name="SAPBEXexcBad9 15" xfId="3620" xr:uid="{00000000-0005-0000-0000-0000EF420000}"/>
    <cellStyle name="SAPBEXexcBad9 15 2" xfId="6158" xr:uid="{00000000-0005-0000-0000-0000F0420000}"/>
    <cellStyle name="SAPBEXexcBad9 15 3" xfId="8587" xr:uid="{00000000-0005-0000-0000-0000F1420000}"/>
    <cellStyle name="SAPBEXexcBad9 15 4" xfId="11686" xr:uid="{00000000-0005-0000-0000-0000F2420000}"/>
    <cellStyle name="SAPBEXexcBad9 15 5" xfId="14134" xr:uid="{00000000-0005-0000-0000-0000F3420000}"/>
    <cellStyle name="SAPBEXexcBad9 15 6" xfId="15331" xr:uid="{00000000-0005-0000-0000-0000F4420000}"/>
    <cellStyle name="SAPBEXexcBad9 15 7" xfId="18830" xr:uid="{00000000-0005-0000-0000-0000F5420000}"/>
    <cellStyle name="SAPBEXexcBad9 15 8" xfId="20027" xr:uid="{00000000-0005-0000-0000-0000F6420000}"/>
    <cellStyle name="SAPBEXexcBad9 15 9" xfId="23360" xr:uid="{00000000-0005-0000-0000-0000F7420000}"/>
    <cellStyle name="SAPBEXexcBad9 16" xfId="3190" xr:uid="{00000000-0005-0000-0000-0000F8420000}"/>
    <cellStyle name="SAPBEXexcBad9 16 2" xfId="5728" xr:uid="{00000000-0005-0000-0000-0000F9420000}"/>
    <cellStyle name="SAPBEXexcBad9 16 3" xfId="5519" xr:uid="{00000000-0005-0000-0000-0000FA420000}"/>
    <cellStyle name="SAPBEXexcBad9 16 4" xfId="11608" xr:uid="{00000000-0005-0000-0000-0000FB420000}"/>
    <cellStyle name="SAPBEXexcBad9 16 5" xfId="14046" xr:uid="{00000000-0005-0000-0000-0000FC420000}"/>
    <cellStyle name="SAPBEXexcBad9 16 6" xfId="15496" xr:uid="{00000000-0005-0000-0000-0000FD420000}"/>
    <cellStyle name="SAPBEXexcBad9 16 7" xfId="18742" xr:uid="{00000000-0005-0000-0000-0000FE420000}"/>
    <cellStyle name="SAPBEXexcBad9 16 8" xfId="20192" xr:uid="{00000000-0005-0000-0000-0000FF420000}"/>
    <cellStyle name="SAPBEXexcBad9 16 9" xfId="23282" xr:uid="{00000000-0005-0000-0000-000000430000}"/>
    <cellStyle name="SAPBEXexcBad9 17" xfId="3572" xr:uid="{00000000-0005-0000-0000-000001430000}"/>
    <cellStyle name="SAPBEXexcBad9 17 2" xfId="6110" xr:uid="{00000000-0005-0000-0000-000002430000}"/>
    <cellStyle name="SAPBEXexcBad9 17 3" xfId="9797" xr:uid="{00000000-0005-0000-0000-000003430000}"/>
    <cellStyle name="SAPBEXexcBad9 17 4" xfId="10515" xr:uid="{00000000-0005-0000-0000-000004430000}"/>
    <cellStyle name="SAPBEXexcBad9 17 5" xfId="12855" xr:uid="{00000000-0005-0000-0000-000005430000}"/>
    <cellStyle name="SAPBEXexcBad9 17 6" xfId="16360" xr:uid="{00000000-0005-0000-0000-000006430000}"/>
    <cellStyle name="SAPBEXexcBad9 17 7" xfId="17551" xr:uid="{00000000-0005-0000-0000-000007430000}"/>
    <cellStyle name="SAPBEXexcBad9 17 8" xfId="21056" xr:uid="{00000000-0005-0000-0000-000008430000}"/>
    <cellStyle name="SAPBEXexcBad9 17 9" xfId="22186" xr:uid="{00000000-0005-0000-0000-000009430000}"/>
    <cellStyle name="SAPBEXexcBad9 18" xfId="3701" xr:uid="{00000000-0005-0000-0000-00000A430000}"/>
    <cellStyle name="SAPBEXexcBad9 18 2" xfId="6239" xr:uid="{00000000-0005-0000-0000-00000B430000}"/>
    <cellStyle name="SAPBEXexcBad9 18 3" xfId="10080" xr:uid="{00000000-0005-0000-0000-00000C430000}"/>
    <cellStyle name="SAPBEXexcBad9 18 4" xfId="10440" xr:uid="{00000000-0005-0000-0000-00000D430000}"/>
    <cellStyle name="SAPBEXexcBad9 18 5" xfId="12766" xr:uid="{00000000-0005-0000-0000-00000E430000}"/>
    <cellStyle name="SAPBEXexcBad9 18 6" xfId="14514" xr:uid="{00000000-0005-0000-0000-00000F430000}"/>
    <cellStyle name="SAPBEXexcBad9 18 7" xfId="17462" xr:uid="{00000000-0005-0000-0000-000010430000}"/>
    <cellStyle name="SAPBEXexcBad9 18 8" xfId="19210" xr:uid="{00000000-0005-0000-0000-000011430000}"/>
    <cellStyle name="SAPBEXexcBad9 18 9" xfId="22111" xr:uid="{00000000-0005-0000-0000-000012430000}"/>
    <cellStyle name="SAPBEXexcBad9 19" xfId="3627" xr:uid="{00000000-0005-0000-0000-000013430000}"/>
    <cellStyle name="SAPBEXexcBad9 19 2" xfId="6165" xr:uid="{00000000-0005-0000-0000-000014430000}"/>
    <cellStyle name="SAPBEXexcBad9 19 3" xfId="5489" xr:uid="{00000000-0005-0000-0000-000015430000}"/>
    <cellStyle name="SAPBEXexcBad9 19 4" xfId="11651" xr:uid="{00000000-0005-0000-0000-000016430000}"/>
    <cellStyle name="SAPBEXexcBad9 19 5" xfId="14096" xr:uid="{00000000-0005-0000-0000-000017430000}"/>
    <cellStyle name="SAPBEXexcBad9 19 6" xfId="14116" xr:uid="{00000000-0005-0000-0000-000018430000}"/>
    <cellStyle name="SAPBEXexcBad9 19 7" xfId="18792" xr:uid="{00000000-0005-0000-0000-000019430000}"/>
    <cellStyle name="SAPBEXexcBad9 19 8" xfId="18812" xr:uid="{00000000-0005-0000-0000-00001A430000}"/>
    <cellStyle name="SAPBEXexcBad9 19 9" xfId="23325" xr:uid="{00000000-0005-0000-0000-00001B430000}"/>
    <cellStyle name="SAPBEXexcBad9 2" xfId="3067" xr:uid="{00000000-0005-0000-0000-00001C430000}"/>
    <cellStyle name="SAPBEXexcBad9 2 2" xfId="5605" xr:uid="{00000000-0005-0000-0000-00001D430000}"/>
    <cellStyle name="SAPBEXexcBad9 2 3" xfId="10154" xr:uid="{00000000-0005-0000-0000-00001E430000}"/>
    <cellStyle name="SAPBEXexcBad9 2 4" xfId="10313" xr:uid="{00000000-0005-0000-0000-00001F430000}"/>
    <cellStyle name="SAPBEXexcBad9 2 5" xfId="12629" xr:uid="{00000000-0005-0000-0000-000020430000}"/>
    <cellStyle name="SAPBEXexcBad9 2 6" xfId="16069" xr:uid="{00000000-0005-0000-0000-000021430000}"/>
    <cellStyle name="SAPBEXexcBad9 2 7" xfId="17325" xr:uid="{00000000-0005-0000-0000-000022430000}"/>
    <cellStyle name="SAPBEXexcBad9 2 8" xfId="20765" xr:uid="{00000000-0005-0000-0000-000023430000}"/>
    <cellStyle name="SAPBEXexcBad9 2 9" xfId="21984" xr:uid="{00000000-0005-0000-0000-000024430000}"/>
    <cellStyle name="SAPBEXexcBad9 20" xfId="3763" xr:uid="{00000000-0005-0000-0000-000025430000}"/>
    <cellStyle name="SAPBEXexcBad9 20 2" xfId="6301" xr:uid="{00000000-0005-0000-0000-000026430000}"/>
    <cellStyle name="SAPBEXexcBad9 20 3" xfId="5435" xr:uid="{00000000-0005-0000-0000-000027430000}"/>
    <cellStyle name="SAPBEXexcBad9 20 4" xfId="10136" xr:uid="{00000000-0005-0000-0000-000028430000}"/>
    <cellStyle name="SAPBEXexcBad9 20 5" xfId="12485" xr:uid="{00000000-0005-0000-0000-000029430000}"/>
    <cellStyle name="SAPBEXexcBad9 20 6" xfId="16752" xr:uid="{00000000-0005-0000-0000-00002A430000}"/>
    <cellStyle name="SAPBEXexcBad9 20 7" xfId="17181" xr:uid="{00000000-0005-0000-0000-00002B430000}"/>
    <cellStyle name="SAPBEXexcBad9 20 8" xfId="21448" xr:uid="{00000000-0005-0000-0000-00002C430000}"/>
    <cellStyle name="SAPBEXexcBad9 20 9" xfId="21858" xr:uid="{00000000-0005-0000-0000-00002D430000}"/>
    <cellStyle name="SAPBEXexcBad9 21" xfId="3403" xr:uid="{00000000-0005-0000-0000-00002E430000}"/>
    <cellStyle name="SAPBEXexcBad9 21 2" xfId="5941" xr:uid="{00000000-0005-0000-0000-00002F430000}"/>
    <cellStyle name="SAPBEXexcBad9 21 3" xfId="8089" xr:uid="{00000000-0005-0000-0000-000030430000}"/>
    <cellStyle name="SAPBEXexcBad9 21 4" xfId="8269" xr:uid="{00000000-0005-0000-0000-000031430000}"/>
    <cellStyle name="SAPBEXexcBad9 21 5" xfId="12516" xr:uid="{00000000-0005-0000-0000-000032430000}"/>
    <cellStyle name="SAPBEXexcBad9 21 6" xfId="15518" xr:uid="{00000000-0005-0000-0000-000033430000}"/>
    <cellStyle name="SAPBEXexcBad9 21 7" xfId="17212" xr:uid="{00000000-0005-0000-0000-000034430000}"/>
    <cellStyle name="SAPBEXexcBad9 21 8" xfId="20214" xr:uid="{00000000-0005-0000-0000-000035430000}"/>
    <cellStyle name="SAPBEXexcBad9 21 9" xfId="21883" xr:uid="{00000000-0005-0000-0000-000036430000}"/>
    <cellStyle name="SAPBEXexcBad9 22" xfId="3839" xr:uid="{00000000-0005-0000-0000-000037430000}"/>
    <cellStyle name="SAPBEXexcBad9 22 2" xfId="6377" xr:uid="{00000000-0005-0000-0000-000038430000}"/>
    <cellStyle name="SAPBEXexcBad9 22 3" xfId="9038" xr:uid="{00000000-0005-0000-0000-000039430000}"/>
    <cellStyle name="SAPBEXexcBad9 22 4" xfId="11013" xr:uid="{00000000-0005-0000-0000-00003A430000}"/>
    <cellStyle name="SAPBEXexcBad9 22 5" xfId="13392" xr:uid="{00000000-0005-0000-0000-00003B430000}"/>
    <cellStyle name="SAPBEXexcBad9 22 6" xfId="16046" xr:uid="{00000000-0005-0000-0000-00003C430000}"/>
    <cellStyle name="SAPBEXexcBad9 22 7" xfId="18088" xr:uid="{00000000-0005-0000-0000-00003D430000}"/>
    <cellStyle name="SAPBEXexcBad9 22 8" xfId="20742" xr:uid="{00000000-0005-0000-0000-00003E430000}"/>
    <cellStyle name="SAPBEXexcBad9 22 9" xfId="22686" xr:uid="{00000000-0005-0000-0000-00003F430000}"/>
    <cellStyle name="SAPBEXexcBad9 23" xfId="3534" xr:uid="{00000000-0005-0000-0000-000040430000}"/>
    <cellStyle name="SAPBEXexcBad9 23 2" xfId="6072" xr:uid="{00000000-0005-0000-0000-000041430000}"/>
    <cellStyle name="SAPBEXexcBad9 23 3" xfId="9944" xr:uid="{00000000-0005-0000-0000-000042430000}"/>
    <cellStyle name="SAPBEXexcBad9 23 4" xfId="11439" xr:uid="{00000000-0005-0000-0000-000043430000}"/>
    <cellStyle name="SAPBEXexcBad9 23 5" xfId="14886" xr:uid="{00000000-0005-0000-0000-000044430000}"/>
    <cellStyle name="SAPBEXexcBad9 23 6" xfId="16217" xr:uid="{00000000-0005-0000-0000-000045430000}"/>
    <cellStyle name="SAPBEXexcBad9 23 7" xfId="19582" xr:uid="{00000000-0005-0000-0000-000046430000}"/>
    <cellStyle name="SAPBEXexcBad9 23 8" xfId="20913" xr:uid="{00000000-0005-0000-0000-000047430000}"/>
    <cellStyle name="SAPBEXexcBad9 23 9" xfId="24054" xr:uid="{00000000-0005-0000-0000-000048430000}"/>
    <cellStyle name="SAPBEXexcBad9 24" xfId="3875" xr:uid="{00000000-0005-0000-0000-000049430000}"/>
    <cellStyle name="SAPBEXexcBad9 24 2" xfId="6413" xr:uid="{00000000-0005-0000-0000-00004A430000}"/>
    <cellStyle name="SAPBEXexcBad9 24 3" xfId="8692" xr:uid="{00000000-0005-0000-0000-00004B430000}"/>
    <cellStyle name="SAPBEXexcBad9 24 4" xfId="11207" xr:uid="{00000000-0005-0000-0000-00004C430000}"/>
    <cellStyle name="SAPBEXexcBad9 24 5" xfId="13609" xr:uid="{00000000-0005-0000-0000-00004D430000}"/>
    <cellStyle name="SAPBEXexcBad9 24 6" xfId="16381" xr:uid="{00000000-0005-0000-0000-00004E430000}"/>
    <cellStyle name="SAPBEXexcBad9 24 7" xfId="18305" xr:uid="{00000000-0005-0000-0000-00004F430000}"/>
    <cellStyle name="SAPBEXexcBad9 24 8" xfId="21077" xr:uid="{00000000-0005-0000-0000-000050430000}"/>
    <cellStyle name="SAPBEXexcBad9 24 9" xfId="22882" xr:uid="{00000000-0005-0000-0000-000051430000}"/>
    <cellStyle name="SAPBEXexcBad9 25" xfId="3774" xr:uid="{00000000-0005-0000-0000-000052430000}"/>
    <cellStyle name="SAPBEXexcBad9 25 2" xfId="6312" xr:uid="{00000000-0005-0000-0000-000053430000}"/>
    <cellStyle name="SAPBEXexcBad9 25 3" xfId="10180" xr:uid="{00000000-0005-0000-0000-000054430000}"/>
    <cellStyle name="SAPBEXexcBad9 25 4" xfId="10794" xr:uid="{00000000-0005-0000-0000-000055430000}"/>
    <cellStyle name="SAPBEXexcBad9 25 5" xfId="13153" xr:uid="{00000000-0005-0000-0000-000056430000}"/>
    <cellStyle name="SAPBEXexcBad9 25 6" xfId="16540" xr:uid="{00000000-0005-0000-0000-000057430000}"/>
    <cellStyle name="SAPBEXexcBad9 25 7" xfId="17849" xr:uid="{00000000-0005-0000-0000-000058430000}"/>
    <cellStyle name="SAPBEXexcBad9 25 8" xfId="21236" xr:uid="{00000000-0005-0000-0000-000059430000}"/>
    <cellStyle name="SAPBEXexcBad9 25 9" xfId="22465" xr:uid="{00000000-0005-0000-0000-00005A430000}"/>
    <cellStyle name="SAPBEXexcBad9 26" xfId="3831" xr:uid="{00000000-0005-0000-0000-00005B430000}"/>
    <cellStyle name="SAPBEXexcBad9 26 2" xfId="6369" xr:uid="{00000000-0005-0000-0000-00005C430000}"/>
    <cellStyle name="SAPBEXexcBad9 26 3" xfId="9046" xr:uid="{00000000-0005-0000-0000-00005D430000}"/>
    <cellStyle name="SAPBEXexcBad9 26 4" xfId="12241" xr:uid="{00000000-0005-0000-0000-00005E430000}"/>
    <cellStyle name="SAPBEXexcBad9 26 5" xfId="14600" xr:uid="{00000000-0005-0000-0000-00005F430000}"/>
    <cellStyle name="SAPBEXexcBad9 26 6" xfId="15220" xr:uid="{00000000-0005-0000-0000-000060430000}"/>
    <cellStyle name="SAPBEXexcBad9 26 7" xfId="19296" xr:uid="{00000000-0005-0000-0000-000061430000}"/>
    <cellStyle name="SAPBEXexcBad9 26 8" xfId="19916" xr:uid="{00000000-0005-0000-0000-000062430000}"/>
    <cellStyle name="SAPBEXexcBad9 26 9" xfId="23792" xr:uid="{00000000-0005-0000-0000-000063430000}"/>
    <cellStyle name="SAPBEXexcBad9 27" xfId="3809" xr:uid="{00000000-0005-0000-0000-000064430000}"/>
    <cellStyle name="SAPBEXexcBad9 27 2" xfId="6347" xr:uid="{00000000-0005-0000-0000-000065430000}"/>
    <cellStyle name="SAPBEXexcBad9 27 3" xfId="7989" xr:uid="{00000000-0005-0000-0000-000066430000}"/>
    <cellStyle name="SAPBEXexcBad9 27 4" xfId="10489" xr:uid="{00000000-0005-0000-0000-000067430000}"/>
    <cellStyle name="SAPBEXexcBad9 27 5" xfId="12824" xr:uid="{00000000-0005-0000-0000-000068430000}"/>
    <cellStyle name="SAPBEXexcBad9 27 6" xfId="16436" xr:uid="{00000000-0005-0000-0000-000069430000}"/>
    <cellStyle name="SAPBEXexcBad9 27 7" xfId="17520" xr:uid="{00000000-0005-0000-0000-00006A430000}"/>
    <cellStyle name="SAPBEXexcBad9 27 8" xfId="21132" xr:uid="{00000000-0005-0000-0000-00006B430000}"/>
    <cellStyle name="SAPBEXexcBad9 27 9" xfId="22159" xr:uid="{00000000-0005-0000-0000-00006C430000}"/>
    <cellStyle name="SAPBEXexcBad9 28" xfId="4023" xr:uid="{00000000-0005-0000-0000-00006D430000}"/>
    <cellStyle name="SAPBEXexcBad9 28 2" xfId="6561" xr:uid="{00000000-0005-0000-0000-00006E430000}"/>
    <cellStyle name="SAPBEXexcBad9 28 3" xfId="9583" xr:uid="{00000000-0005-0000-0000-00006F430000}"/>
    <cellStyle name="SAPBEXexcBad9 28 4" xfId="11383" xr:uid="{00000000-0005-0000-0000-000070430000}"/>
    <cellStyle name="SAPBEXexcBad9 28 5" xfId="13496" xr:uid="{00000000-0005-0000-0000-000071430000}"/>
    <cellStyle name="SAPBEXexcBad9 28 6" xfId="12936" xr:uid="{00000000-0005-0000-0000-000072430000}"/>
    <cellStyle name="SAPBEXexcBad9 28 7" xfId="18192" xr:uid="{00000000-0005-0000-0000-000073430000}"/>
    <cellStyle name="SAPBEXexcBad9 28 8" xfId="17632" xr:uid="{00000000-0005-0000-0000-000074430000}"/>
    <cellStyle name="SAPBEXexcBad9 28 9" xfId="22776" xr:uid="{00000000-0005-0000-0000-000075430000}"/>
    <cellStyle name="SAPBEXexcBad9 29" xfId="4040" xr:uid="{00000000-0005-0000-0000-000076430000}"/>
    <cellStyle name="SAPBEXexcBad9 29 2" xfId="6578" xr:uid="{00000000-0005-0000-0000-000077430000}"/>
    <cellStyle name="SAPBEXexcBad9 29 3" xfId="9505" xr:uid="{00000000-0005-0000-0000-000078430000}"/>
    <cellStyle name="SAPBEXexcBad9 29 4" xfId="12179" xr:uid="{00000000-0005-0000-0000-000079430000}"/>
    <cellStyle name="SAPBEXexcBad9 29 5" xfId="14824" xr:uid="{00000000-0005-0000-0000-00007A430000}"/>
    <cellStyle name="SAPBEXexcBad9 29 6" xfId="16912" xr:uid="{00000000-0005-0000-0000-00007B430000}"/>
    <cellStyle name="SAPBEXexcBad9 29 7" xfId="19520" xr:uid="{00000000-0005-0000-0000-00007C430000}"/>
    <cellStyle name="SAPBEXexcBad9 29 8" xfId="21608" xr:uid="{00000000-0005-0000-0000-00007D430000}"/>
    <cellStyle name="SAPBEXexcBad9 29 9" xfId="24007" xr:uid="{00000000-0005-0000-0000-00007E430000}"/>
    <cellStyle name="SAPBEXexcBad9 3" xfId="3029" xr:uid="{00000000-0005-0000-0000-00007F430000}"/>
    <cellStyle name="SAPBEXexcBad9 3 2" xfId="5568" xr:uid="{00000000-0005-0000-0000-000080430000}"/>
    <cellStyle name="SAPBEXexcBad9 3 3" xfId="8357" xr:uid="{00000000-0005-0000-0000-000081430000}"/>
    <cellStyle name="SAPBEXexcBad9 3 4" xfId="12113" xr:uid="{00000000-0005-0000-0000-000082430000}"/>
    <cellStyle name="SAPBEXexcBad9 3 5" xfId="14595" xr:uid="{00000000-0005-0000-0000-000083430000}"/>
    <cellStyle name="SAPBEXexcBad9 3 6" xfId="16697" xr:uid="{00000000-0005-0000-0000-000084430000}"/>
    <cellStyle name="SAPBEXexcBad9 3 7" xfId="19291" xr:uid="{00000000-0005-0000-0000-000085430000}"/>
    <cellStyle name="SAPBEXexcBad9 3 8" xfId="21393" xr:uid="{00000000-0005-0000-0000-000086430000}"/>
    <cellStyle name="SAPBEXexcBad9 3 9" xfId="23787" xr:uid="{00000000-0005-0000-0000-000087430000}"/>
    <cellStyle name="SAPBEXexcBad9 30" xfId="4014" xr:uid="{00000000-0005-0000-0000-000088430000}"/>
    <cellStyle name="SAPBEXexcBad9 30 2" xfId="6552" xr:uid="{00000000-0005-0000-0000-000089430000}"/>
    <cellStyle name="SAPBEXexcBad9 30 3" xfId="8929" xr:uid="{00000000-0005-0000-0000-00008A430000}"/>
    <cellStyle name="SAPBEXexcBad9 30 4" xfId="11100" xr:uid="{00000000-0005-0000-0000-00008B430000}"/>
    <cellStyle name="SAPBEXexcBad9 30 5" xfId="13493" xr:uid="{00000000-0005-0000-0000-00008C430000}"/>
    <cellStyle name="SAPBEXexcBad9 30 6" xfId="16880" xr:uid="{00000000-0005-0000-0000-00008D430000}"/>
    <cellStyle name="SAPBEXexcBad9 30 7" xfId="18189" xr:uid="{00000000-0005-0000-0000-00008E430000}"/>
    <cellStyle name="SAPBEXexcBad9 30 8" xfId="21576" xr:uid="{00000000-0005-0000-0000-00008F430000}"/>
    <cellStyle name="SAPBEXexcBad9 30 9" xfId="22773" xr:uid="{00000000-0005-0000-0000-000090430000}"/>
    <cellStyle name="SAPBEXexcBad9 31" xfId="4096" xr:uid="{00000000-0005-0000-0000-000091430000}"/>
    <cellStyle name="SAPBEXexcBad9 31 2" xfId="6634" xr:uid="{00000000-0005-0000-0000-000092430000}"/>
    <cellStyle name="SAPBEXexcBad9 31 3" xfId="9459" xr:uid="{00000000-0005-0000-0000-000093430000}"/>
    <cellStyle name="SAPBEXexcBad9 31 4" xfId="8552" xr:uid="{00000000-0005-0000-0000-000094430000}"/>
    <cellStyle name="SAPBEXexcBad9 31 5" xfId="14914" xr:uid="{00000000-0005-0000-0000-000095430000}"/>
    <cellStyle name="SAPBEXexcBad9 31 6" xfId="15917" xr:uid="{00000000-0005-0000-0000-000096430000}"/>
    <cellStyle name="SAPBEXexcBad9 31 7" xfId="19610" xr:uid="{00000000-0005-0000-0000-000097430000}"/>
    <cellStyle name="SAPBEXexcBad9 31 8" xfId="20613" xr:uid="{00000000-0005-0000-0000-000098430000}"/>
    <cellStyle name="SAPBEXexcBad9 31 9" xfId="24078" xr:uid="{00000000-0005-0000-0000-000099430000}"/>
    <cellStyle name="SAPBEXexcBad9 32" xfId="3949" xr:uid="{00000000-0005-0000-0000-00009A430000}"/>
    <cellStyle name="SAPBEXexcBad9 32 2" xfId="6487" xr:uid="{00000000-0005-0000-0000-00009B430000}"/>
    <cellStyle name="SAPBEXexcBad9 32 3" xfId="9257" xr:uid="{00000000-0005-0000-0000-00009C430000}"/>
    <cellStyle name="SAPBEXexcBad9 32 4" xfId="11026" xr:uid="{00000000-0005-0000-0000-00009D430000}"/>
    <cellStyle name="SAPBEXexcBad9 32 5" xfId="13408" xr:uid="{00000000-0005-0000-0000-00009E430000}"/>
    <cellStyle name="SAPBEXexcBad9 32 6" xfId="15486" xr:uid="{00000000-0005-0000-0000-00009F430000}"/>
    <cellStyle name="SAPBEXexcBad9 32 7" xfId="18104" xr:uid="{00000000-0005-0000-0000-0000A0430000}"/>
    <cellStyle name="SAPBEXexcBad9 32 8" xfId="20182" xr:uid="{00000000-0005-0000-0000-0000A1430000}"/>
    <cellStyle name="SAPBEXexcBad9 32 9" xfId="22699" xr:uid="{00000000-0005-0000-0000-0000A2430000}"/>
    <cellStyle name="SAPBEXexcBad9 33" xfId="4208" xr:uid="{00000000-0005-0000-0000-0000A3430000}"/>
    <cellStyle name="SAPBEXexcBad9 33 2" xfId="6746" xr:uid="{00000000-0005-0000-0000-0000A4430000}"/>
    <cellStyle name="SAPBEXexcBad9 33 3" xfId="9080" xr:uid="{00000000-0005-0000-0000-0000A5430000}"/>
    <cellStyle name="SAPBEXexcBad9 33 4" xfId="11818" xr:uid="{00000000-0005-0000-0000-0000A6430000}"/>
    <cellStyle name="SAPBEXexcBad9 33 5" xfId="14275" xr:uid="{00000000-0005-0000-0000-0000A7430000}"/>
    <cellStyle name="SAPBEXexcBad9 33 6" xfId="15550" xr:uid="{00000000-0005-0000-0000-0000A8430000}"/>
    <cellStyle name="SAPBEXexcBad9 33 7" xfId="18971" xr:uid="{00000000-0005-0000-0000-0000A9430000}"/>
    <cellStyle name="SAPBEXexcBad9 33 8" xfId="20246" xr:uid="{00000000-0005-0000-0000-0000AA430000}"/>
    <cellStyle name="SAPBEXexcBad9 33 9" xfId="23493" xr:uid="{00000000-0005-0000-0000-0000AB430000}"/>
    <cellStyle name="SAPBEXexcBad9 34" xfId="4168" xr:uid="{00000000-0005-0000-0000-0000AC430000}"/>
    <cellStyle name="SAPBEXexcBad9 34 2" xfId="6706" xr:uid="{00000000-0005-0000-0000-0000AD430000}"/>
    <cellStyle name="SAPBEXexcBad9 34 3" xfId="9079" xr:uid="{00000000-0005-0000-0000-0000AE430000}"/>
    <cellStyle name="SAPBEXexcBad9 34 4" xfId="11016" xr:uid="{00000000-0005-0000-0000-0000AF430000}"/>
    <cellStyle name="SAPBEXexcBad9 34 5" xfId="13395" xr:uid="{00000000-0005-0000-0000-0000B0430000}"/>
    <cellStyle name="SAPBEXexcBad9 34 6" xfId="15085" xr:uid="{00000000-0005-0000-0000-0000B1430000}"/>
    <cellStyle name="SAPBEXexcBad9 34 7" xfId="18091" xr:uid="{00000000-0005-0000-0000-0000B2430000}"/>
    <cellStyle name="SAPBEXexcBad9 34 8" xfId="19781" xr:uid="{00000000-0005-0000-0000-0000B3430000}"/>
    <cellStyle name="SAPBEXexcBad9 34 9" xfId="22689" xr:uid="{00000000-0005-0000-0000-0000B4430000}"/>
    <cellStyle name="SAPBEXexcBad9 35" xfId="4129" xr:uid="{00000000-0005-0000-0000-0000B5430000}"/>
    <cellStyle name="SAPBEXexcBad9 35 2" xfId="6667" xr:uid="{00000000-0005-0000-0000-0000B6430000}"/>
    <cellStyle name="SAPBEXexcBad9 35 3" xfId="5494" xr:uid="{00000000-0005-0000-0000-0000B7430000}"/>
    <cellStyle name="SAPBEXexcBad9 35 4" xfId="10673" xr:uid="{00000000-0005-0000-0000-0000B8430000}"/>
    <cellStyle name="SAPBEXexcBad9 35 5" xfId="13022" xr:uid="{00000000-0005-0000-0000-0000B9430000}"/>
    <cellStyle name="SAPBEXexcBad9 35 6" xfId="15661" xr:uid="{00000000-0005-0000-0000-0000BA430000}"/>
    <cellStyle name="SAPBEXexcBad9 35 7" xfId="17718" xr:uid="{00000000-0005-0000-0000-0000BB430000}"/>
    <cellStyle name="SAPBEXexcBad9 35 8" xfId="20357" xr:uid="{00000000-0005-0000-0000-0000BC430000}"/>
    <cellStyle name="SAPBEXexcBad9 35 9" xfId="22346" xr:uid="{00000000-0005-0000-0000-0000BD430000}"/>
    <cellStyle name="SAPBEXexcBad9 36" xfId="4159" xr:uid="{00000000-0005-0000-0000-0000BE430000}"/>
    <cellStyle name="SAPBEXexcBad9 36 2" xfId="6697" xr:uid="{00000000-0005-0000-0000-0000BF430000}"/>
    <cellStyle name="SAPBEXexcBad9 36 3" xfId="9161" xr:uid="{00000000-0005-0000-0000-0000C0430000}"/>
    <cellStyle name="SAPBEXexcBad9 36 4" xfId="11702" xr:uid="{00000000-0005-0000-0000-0000C1430000}"/>
    <cellStyle name="SAPBEXexcBad9 36 5" xfId="14151" xr:uid="{00000000-0005-0000-0000-0000C2430000}"/>
    <cellStyle name="SAPBEXexcBad9 36 6" xfId="15471" xr:uid="{00000000-0005-0000-0000-0000C3430000}"/>
    <cellStyle name="SAPBEXexcBad9 36 7" xfId="18847" xr:uid="{00000000-0005-0000-0000-0000C4430000}"/>
    <cellStyle name="SAPBEXexcBad9 36 8" xfId="20167" xr:uid="{00000000-0005-0000-0000-0000C5430000}"/>
    <cellStyle name="SAPBEXexcBad9 36 9" xfId="23376" xr:uid="{00000000-0005-0000-0000-0000C6430000}"/>
    <cellStyle name="SAPBEXexcBad9 37" xfId="4213" xr:uid="{00000000-0005-0000-0000-0000C7430000}"/>
    <cellStyle name="SAPBEXexcBad9 37 2" xfId="6751" xr:uid="{00000000-0005-0000-0000-0000C8430000}"/>
    <cellStyle name="SAPBEXexcBad9 37 3" xfId="9468" xr:uid="{00000000-0005-0000-0000-0000C9430000}"/>
    <cellStyle name="SAPBEXexcBad9 37 4" xfId="11447" xr:uid="{00000000-0005-0000-0000-0000CA430000}"/>
    <cellStyle name="SAPBEXexcBad9 37 5" xfId="13866" xr:uid="{00000000-0005-0000-0000-0000CB430000}"/>
    <cellStyle name="SAPBEXexcBad9 37 6" xfId="15516" xr:uid="{00000000-0005-0000-0000-0000CC430000}"/>
    <cellStyle name="SAPBEXexcBad9 37 7" xfId="18562" xr:uid="{00000000-0005-0000-0000-0000CD430000}"/>
    <cellStyle name="SAPBEXexcBad9 37 8" xfId="20212" xr:uid="{00000000-0005-0000-0000-0000CE430000}"/>
    <cellStyle name="SAPBEXexcBad9 37 9" xfId="23122" xr:uid="{00000000-0005-0000-0000-0000CF430000}"/>
    <cellStyle name="SAPBEXexcBad9 38" xfId="4063" xr:uid="{00000000-0005-0000-0000-0000D0430000}"/>
    <cellStyle name="SAPBEXexcBad9 38 2" xfId="6601" xr:uid="{00000000-0005-0000-0000-0000D1430000}"/>
    <cellStyle name="SAPBEXexcBad9 38 3" xfId="8480" xr:uid="{00000000-0005-0000-0000-0000D2430000}"/>
    <cellStyle name="SAPBEXexcBad9 38 4" xfId="11848" xr:uid="{00000000-0005-0000-0000-0000D3430000}"/>
    <cellStyle name="SAPBEXexcBad9 38 5" xfId="14310" xr:uid="{00000000-0005-0000-0000-0000D4430000}"/>
    <cellStyle name="SAPBEXexcBad9 38 6" xfId="14992" xr:uid="{00000000-0005-0000-0000-0000D5430000}"/>
    <cellStyle name="SAPBEXexcBad9 38 7" xfId="19006" xr:uid="{00000000-0005-0000-0000-0000D6430000}"/>
    <cellStyle name="SAPBEXexcBad9 38 8" xfId="19688" xr:uid="{00000000-0005-0000-0000-0000D7430000}"/>
    <cellStyle name="SAPBEXexcBad9 38 9" xfId="23524" xr:uid="{00000000-0005-0000-0000-0000D8430000}"/>
    <cellStyle name="SAPBEXexcBad9 39" xfId="4469" xr:uid="{00000000-0005-0000-0000-0000D9430000}"/>
    <cellStyle name="SAPBEXexcBad9 39 2" xfId="7007" xr:uid="{00000000-0005-0000-0000-0000DA430000}"/>
    <cellStyle name="SAPBEXexcBad9 39 3" xfId="8639" xr:uid="{00000000-0005-0000-0000-0000DB430000}"/>
    <cellStyle name="SAPBEXexcBad9 39 4" xfId="11030" xr:uid="{00000000-0005-0000-0000-0000DC430000}"/>
    <cellStyle name="SAPBEXexcBad9 39 5" xfId="13412" xr:uid="{00000000-0005-0000-0000-0000DD430000}"/>
    <cellStyle name="SAPBEXexcBad9 39 6" xfId="16349" xr:uid="{00000000-0005-0000-0000-0000DE430000}"/>
    <cellStyle name="SAPBEXexcBad9 39 7" xfId="18108" xr:uid="{00000000-0005-0000-0000-0000DF430000}"/>
    <cellStyle name="SAPBEXexcBad9 39 8" xfId="21045" xr:uid="{00000000-0005-0000-0000-0000E0430000}"/>
    <cellStyle name="SAPBEXexcBad9 39 9" xfId="22703" xr:uid="{00000000-0005-0000-0000-0000E1430000}"/>
    <cellStyle name="SAPBEXexcBad9 4" xfId="3049" xr:uid="{00000000-0005-0000-0000-0000E2430000}"/>
    <cellStyle name="SAPBEXexcBad9 4 2" xfId="5588" xr:uid="{00000000-0005-0000-0000-0000E3430000}"/>
    <cellStyle name="SAPBEXexcBad9 4 3" xfId="10069" xr:uid="{00000000-0005-0000-0000-0000E4430000}"/>
    <cellStyle name="SAPBEXexcBad9 4 4" xfId="9685" xr:uid="{00000000-0005-0000-0000-0000E5430000}"/>
    <cellStyle name="SAPBEXexcBad9 4 5" xfId="12451" xr:uid="{00000000-0005-0000-0000-0000E6430000}"/>
    <cellStyle name="SAPBEXexcBad9 4 6" xfId="15856" xr:uid="{00000000-0005-0000-0000-0000E7430000}"/>
    <cellStyle name="SAPBEXexcBad9 4 7" xfId="17147" xr:uid="{00000000-0005-0000-0000-0000E8430000}"/>
    <cellStyle name="SAPBEXexcBad9 4 8" xfId="20552" xr:uid="{00000000-0005-0000-0000-0000E9430000}"/>
    <cellStyle name="SAPBEXexcBad9 4 9" xfId="21830" xr:uid="{00000000-0005-0000-0000-0000EA430000}"/>
    <cellStyle name="SAPBEXexcBad9 40" xfId="4462" xr:uid="{00000000-0005-0000-0000-0000EB430000}"/>
    <cellStyle name="SAPBEXexcBad9 40 2" xfId="7000" xr:uid="{00000000-0005-0000-0000-0000EC430000}"/>
    <cellStyle name="SAPBEXexcBad9 40 3" xfId="9567" xr:uid="{00000000-0005-0000-0000-0000ED430000}"/>
    <cellStyle name="SAPBEXexcBad9 40 4" xfId="10948" xr:uid="{00000000-0005-0000-0000-0000EE430000}"/>
    <cellStyle name="SAPBEXexcBad9 40 5" xfId="13319" xr:uid="{00000000-0005-0000-0000-0000EF430000}"/>
    <cellStyle name="SAPBEXexcBad9 40 6" xfId="16403" xr:uid="{00000000-0005-0000-0000-0000F0430000}"/>
    <cellStyle name="SAPBEXexcBad9 40 7" xfId="18015" xr:uid="{00000000-0005-0000-0000-0000F1430000}"/>
    <cellStyle name="SAPBEXexcBad9 40 8" xfId="21099" xr:uid="{00000000-0005-0000-0000-0000F2430000}"/>
    <cellStyle name="SAPBEXexcBad9 40 9" xfId="22619" xr:uid="{00000000-0005-0000-0000-0000F3430000}"/>
    <cellStyle name="SAPBEXexcBad9 41" xfId="4438" xr:uid="{00000000-0005-0000-0000-0000F4430000}"/>
    <cellStyle name="SAPBEXexcBad9 41 2" xfId="6976" xr:uid="{00000000-0005-0000-0000-0000F5430000}"/>
    <cellStyle name="SAPBEXexcBad9 41 3" xfId="8710" xr:uid="{00000000-0005-0000-0000-0000F6430000}"/>
    <cellStyle name="SAPBEXexcBad9 41 4" xfId="11006" xr:uid="{00000000-0005-0000-0000-0000F7430000}"/>
    <cellStyle name="SAPBEXexcBad9 41 5" xfId="13381" xr:uid="{00000000-0005-0000-0000-0000F8430000}"/>
    <cellStyle name="SAPBEXexcBad9 41 6" xfId="15012" xr:uid="{00000000-0005-0000-0000-0000F9430000}"/>
    <cellStyle name="SAPBEXexcBad9 41 7" xfId="18077" xr:uid="{00000000-0005-0000-0000-0000FA430000}"/>
    <cellStyle name="SAPBEXexcBad9 41 8" xfId="19708" xr:uid="{00000000-0005-0000-0000-0000FB430000}"/>
    <cellStyle name="SAPBEXexcBad9 41 9" xfId="22679" xr:uid="{00000000-0005-0000-0000-0000FC430000}"/>
    <cellStyle name="SAPBEXexcBad9 42" xfId="4475" xr:uid="{00000000-0005-0000-0000-0000FD430000}"/>
    <cellStyle name="SAPBEXexcBad9 42 2" xfId="7013" xr:uid="{00000000-0005-0000-0000-0000FE430000}"/>
    <cellStyle name="SAPBEXexcBad9 42 3" xfId="8339" xr:uid="{00000000-0005-0000-0000-0000FF430000}"/>
    <cellStyle name="SAPBEXexcBad9 42 4" xfId="11194" xr:uid="{00000000-0005-0000-0000-000000440000}"/>
    <cellStyle name="SAPBEXexcBad9 42 5" xfId="13595" xr:uid="{00000000-0005-0000-0000-000001440000}"/>
    <cellStyle name="SAPBEXexcBad9 42 6" xfId="16836" xr:uid="{00000000-0005-0000-0000-000002440000}"/>
    <cellStyle name="SAPBEXexcBad9 42 7" xfId="18291" xr:uid="{00000000-0005-0000-0000-000003440000}"/>
    <cellStyle name="SAPBEXexcBad9 42 8" xfId="21532" xr:uid="{00000000-0005-0000-0000-000004440000}"/>
    <cellStyle name="SAPBEXexcBad9 42 9" xfId="22869" xr:uid="{00000000-0005-0000-0000-000005440000}"/>
    <cellStyle name="SAPBEXexcBad9 43" xfId="4557" xr:uid="{00000000-0005-0000-0000-000006440000}"/>
    <cellStyle name="SAPBEXexcBad9 43 2" xfId="7095" xr:uid="{00000000-0005-0000-0000-000007440000}"/>
    <cellStyle name="SAPBEXexcBad9 43 3" xfId="7970" xr:uid="{00000000-0005-0000-0000-000008440000}"/>
    <cellStyle name="SAPBEXexcBad9 43 4" xfId="10247" xr:uid="{00000000-0005-0000-0000-000009440000}"/>
    <cellStyle name="SAPBEXexcBad9 43 5" xfId="12555" xr:uid="{00000000-0005-0000-0000-00000A440000}"/>
    <cellStyle name="SAPBEXexcBad9 43 6" xfId="16328" xr:uid="{00000000-0005-0000-0000-00000B440000}"/>
    <cellStyle name="SAPBEXexcBad9 43 7" xfId="17251" xr:uid="{00000000-0005-0000-0000-00000C440000}"/>
    <cellStyle name="SAPBEXexcBad9 43 8" xfId="21024" xr:uid="{00000000-0005-0000-0000-00000D440000}"/>
    <cellStyle name="SAPBEXexcBad9 43 9" xfId="21916" xr:uid="{00000000-0005-0000-0000-00000E440000}"/>
    <cellStyle name="SAPBEXexcBad9 44" xfId="4555" xr:uid="{00000000-0005-0000-0000-00000F440000}"/>
    <cellStyle name="SAPBEXexcBad9 44 2" xfId="7093" xr:uid="{00000000-0005-0000-0000-000010440000}"/>
    <cellStyle name="SAPBEXexcBad9 44 3" xfId="8257" xr:uid="{00000000-0005-0000-0000-000011440000}"/>
    <cellStyle name="SAPBEXexcBad9 44 4" xfId="10866" xr:uid="{00000000-0005-0000-0000-000012440000}"/>
    <cellStyle name="SAPBEXexcBad9 44 5" xfId="13231" xr:uid="{00000000-0005-0000-0000-000013440000}"/>
    <cellStyle name="SAPBEXexcBad9 44 6" xfId="15867" xr:uid="{00000000-0005-0000-0000-000014440000}"/>
    <cellStyle name="SAPBEXexcBad9 44 7" xfId="17927" xr:uid="{00000000-0005-0000-0000-000015440000}"/>
    <cellStyle name="SAPBEXexcBad9 44 8" xfId="20563" xr:uid="{00000000-0005-0000-0000-000016440000}"/>
    <cellStyle name="SAPBEXexcBad9 44 9" xfId="22537" xr:uid="{00000000-0005-0000-0000-000017440000}"/>
    <cellStyle name="SAPBEXexcBad9 45" xfId="4464" xr:uid="{00000000-0005-0000-0000-000018440000}"/>
    <cellStyle name="SAPBEXexcBad9 45 2" xfId="7002" xr:uid="{00000000-0005-0000-0000-000019440000}"/>
    <cellStyle name="SAPBEXexcBad9 45 3" xfId="9439" xr:uid="{00000000-0005-0000-0000-00001A440000}"/>
    <cellStyle name="SAPBEXexcBad9 45 4" xfId="11565" xr:uid="{00000000-0005-0000-0000-00001B440000}"/>
    <cellStyle name="SAPBEXexcBad9 45 5" xfId="14000" xr:uid="{00000000-0005-0000-0000-00001C440000}"/>
    <cellStyle name="SAPBEXexcBad9 45 6" xfId="15868" xr:uid="{00000000-0005-0000-0000-00001D440000}"/>
    <cellStyle name="SAPBEXexcBad9 45 7" xfId="18696" xr:uid="{00000000-0005-0000-0000-00001E440000}"/>
    <cellStyle name="SAPBEXexcBad9 45 8" xfId="20564" xr:uid="{00000000-0005-0000-0000-00001F440000}"/>
    <cellStyle name="SAPBEXexcBad9 45 9" xfId="23239" xr:uid="{00000000-0005-0000-0000-000020440000}"/>
    <cellStyle name="SAPBEXexcBad9 46" xfId="4771" xr:uid="{00000000-0005-0000-0000-000021440000}"/>
    <cellStyle name="SAPBEXexcBad9 46 2" xfId="7309" xr:uid="{00000000-0005-0000-0000-000022440000}"/>
    <cellStyle name="SAPBEXexcBad9 46 3" xfId="8837" xr:uid="{00000000-0005-0000-0000-000023440000}"/>
    <cellStyle name="SAPBEXexcBad9 46 4" xfId="11334" xr:uid="{00000000-0005-0000-0000-000024440000}"/>
    <cellStyle name="SAPBEXexcBad9 46 5" xfId="13743" xr:uid="{00000000-0005-0000-0000-000025440000}"/>
    <cellStyle name="SAPBEXexcBad9 46 6" xfId="16517" xr:uid="{00000000-0005-0000-0000-000026440000}"/>
    <cellStyle name="SAPBEXexcBad9 46 7" xfId="18439" xr:uid="{00000000-0005-0000-0000-000027440000}"/>
    <cellStyle name="SAPBEXexcBad9 46 8" xfId="21213" xr:uid="{00000000-0005-0000-0000-000028440000}"/>
    <cellStyle name="SAPBEXexcBad9 46 9" xfId="23008" xr:uid="{00000000-0005-0000-0000-000029440000}"/>
    <cellStyle name="SAPBEXexcBad9 47" xfId="4697" xr:uid="{00000000-0005-0000-0000-00002A440000}"/>
    <cellStyle name="SAPBEXexcBad9 47 2" xfId="7235" xr:uid="{00000000-0005-0000-0000-00002B440000}"/>
    <cellStyle name="SAPBEXexcBad9 47 3" xfId="9919" xr:uid="{00000000-0005-0000-0000-00002C440000}"/>
    <cellStyle name="SAPBEXexcBad9 47 4" xfId="10254" xr:uid="{00000000-0005-0000-0000-00002D440000}"/>
    <cellStyle name="SAPBEXexcBad9 47 5" xfId="12562" xr:uid="{00000000-0005-0000-0000-00002E440000}"/>
    <cellStyle name="SAPBEXexcBad9 47 6" xfId="16082" xr:uid="{00000000-0005-0000-0000-00002F440000}"/>
    <cellStyle name="SAPBEXexcBad9 47 7" xfId="17258" xr:uid="{00000000-0005-0000-0000-000030440000}"/>
    <cellStyle name="SAPBEXexcBad9 47 8" xfId="20778" xr:uid="{00000000-0005-0000-0000-000031440000}"/>
    <cellStyle name="SAPBEXexcBad9 47 9" xfId="21923" xr:uid="{00000000-0005-0000-0000-000032440000}"/>
    <cellStyle name="SAPBEXexcBad9 48" xfId="4730" xr:uid="{00000000-0005-0000-0000-000033440000}"/>
    <cellStyle name="SAPBEXexcBad9 48 2" xfId="7268" xr:uid="{00000000-0005-0000-0000-000034440000}"/>
    <cellStyle name="SAPBEXexcBad9 48 3" xfId="9477" xr:uid="{00000000-0005-0000-0000-000035440000}"/>
    <cellStyle name="SAPBEXexcBad9 48 4" xfId="11646" xr:uid="{00000000-0005-0000-0000-000036440000}"/>
    <cellStyle name="SAPBEXexcBad9 48 5" xfId="14090" xr:uid="{00000000-0005-0000-0000-000037440000}"/>
    <cellStyle name="SAPBEXexcBad9 48 6" xfId="13029" xr:uid="{00000000-0005-0000-0000-000038440000}"/>
    <cellStyle name="SAPBEXexcBad9 48 7" xfId="18786" xr:uid="{00000000-0005-0000-0000-000039440000}"/>
    <cellStyle name="SAPBEXexcBad9 48 8" xfId="17725" xr:uid="{00000000-0005-0000-0000-00003A440000}"/>
    <cellStyle name="SAPBEXexcBad9 48 9" xfId="23321" xr:uid="{00000000-0005-0000-0000-00003B440000}"/>
    <cellStyle name="SAPBEXexcBad9 49" xfId="4874" xr:uid="{00000000-0005-0000-0000-00003C440000}"/>
    <cellStyle name="SAPBEXexcBad9 49 2" xfId="7412" xr:uid="{00000000-0005-0000-0000-00003D440000}"/>
    <cellStyle name="SAPBEXexcBad9 49 3" xfId="9098" xr:uid="{00000000-0005-0000-0000-00003E440000}"/>
    <cellStyle name="SAPBEXexcBad9 49 4" xfId="11557" xr:uid="{00000000-0005-0000-0000-00003F440000}"/>
    <cellStyle name="SAPBEXexcBad9 49 5" xfId="13992" xr:uid="{00000000-0005-0000-0000-000040440000}"/>
    <cellStyle name="SAPBEXexcBad9 49 6" xfId="16208" xr:uid="{00000000-0005-0000-0000-000041440000}"/>
    <cellStyle name="SAPBEXexcBad9 49 7" xfId="18688" xr:uid="{00000000-0005-0000-0000-000042440000}"/>
    <cellStyle name="SAPBEXexcBad9 49 8" xfId="20904" xr:uid="{00000000-0005-0000-0000-000043440000}"/>
    <cellStyle name="SAPBEXexcBad9 49 9" xfId="23231" xr:uid="{00000000-0005-0000-0000-000044440000}"/>
    <cellStyle name="SAPBEXexcBad9 5" xfId="3111" xr:uid="{00000000-0005-0000-0000-000045440000}"/>
    <cellStyle name="SAPBEXexcBad9 5 2" xfId="5649" xr:uid="{00000000-0005-0000-0000-000046440000}"/>
    <cellStyle name="SAPBEXexcBad9 5 3" xfId="8004" xr:uid="{00000000-0005-0000-0000-000047440000}"/>
    <cellStyle name="SAPBEXexcBad9 5 4" xfId="10246" xr:uid="{00000000-0005-0000-0000-000048440000}"/>
    <cellStyle name="SAPBEXexcBad9 5 5" xfId="12553" xr:uid="{00000000-0005-0000-0000-000049440000}"/>
    <cellStyle name="SAPBEXexcBad9 5 6" xfId="16489" xr:uid="{00000000-0005-0000-0000-00004A440000}"/>
    <cellStyle name="SAPBEXexcBad9 5 7" xfId="17249" xr:uid="{00000000-0005-0000-0000-00004B440000}"/>
    <cellStyle name="SAPBEXexcBad9 5 8" xfId="21185" xr:uid="{00000000-0005-0000-0000-00004C440000}"/>
    <cellStyle name="SAPBEXexcBad9 5 9" xfId="21915" xr:uid="{00000000-0005-0000-0000-00004D440000}"/>
    <cellStyle name="SAPBEXexcBad9 50" xfId="4867" xr:uid="{00000000-0005-0000-0000-00004E440000}"/>
    <cellStyle name="SAPBEXexcBad9 50 2" xfId="7405" xr:uid="{00000000-0005-0000-0000-00004F440000}"/>
    <cellStyle name="SAPBEXexcBad9 50 3" xfId="8527" xr:uid="{00000000-0005-0000-0000-000050440000}"/>
    <cellStyle name="SAPBEXexcBad9 50 4" xfId="9657" xr:uid="{00000000-0005-0000-0000-000051440000}"/>
    <cellStyle name="SAPBEXexcBad9 50 5" xfId="12476" xr:uid="{00000000-0005-0000-0000-000052440000}"/>
    <cellStyle name="SAPBEXexcBad9 50 6" xfId="16512" xr:uid="{00000000-0005-0000-0000-000053440000}"/>
    <cellStyle name="SAPBEXexcBad9 50 7" xfId="17172" xr:uid="{00000000-0005-0000-0000-000054440000}"/>
    <cellStyle name="SAPBEXexcBad9 50 8" xfId="21208" xr:uid="{00000000-0005-0000-0000-000055440000}"/>
    <cellStyle name="SAPBEXexcBad9 50 9" xfId="21851" xr:uid="{00000000-0005-0000-0000-000056440000}"/>
    <cellStyle name="SAPBEXexcBad9 51" xfId="4903" xr:uid="{00000000-0005-0000-0000-000057440000}"/>
    <cellStyle name="SAPBEXexcBad9 51 2" xfId="7441" xr:uid="{00000000-0005-0000-0000-000058440000}"/>
    <cellStyle name="SAPBEXexcBad9 51 3" xfId="9661" xr:uid="{00000000-0005-0000-0000-000059440000}"/>
    <cellStyle name="SAPBEXexcBad9 51 4" xfId="10928" xr:uid="{00000000-0005-0000-0000-00005A440000}"/>
    <cellStyle name="SAPBEXexcBad9 51 5" xfId="13298" xr:uid="{00000000-0005-0000-0000-00005B440000}"/>
    <cellStyle name="SAPBEXexcBad9 51 6" xfId="15727" xr:uid="{00000000-0005-0000-0000-00005C440000}"/>
    <cellStyle name="SAPBEXexcBad9 51 7" xfId="17994" xr:uid="{00000000-0005-0000-0000-00005D440000}"/>
    <cellStyle name="SAPBEXexcBad9 51 8" xfId="20423" xr:uid="{00000000-0005-0000-0000-00005E440000}"/>
    <cellStyle name="SAPBEXexcBad9 51 9" xfId="22599" xr:uid="{00000000-0005-0000-0000-00005F440000}"/>
    <cellStyle name="SAPBEXexcBad9 52" xfId="4870" xr:uid="{00000000-0005-0000-0000-000060440000}"/>
    <cellStyle name="SAPBEXexcBad9 52 2" xfId="7408" xr:uid="{00000000-0005-0000-0000-000061440000}"/>
    <cellStyle name="SAPBEXexcBad9 52 3" xfId="8393" xr:uid="{00000000-0005-0000-0000-000062440000}"/>
    <cellStyle name="SAPBEXexcBad9 52 4" xfId="11411" xr:uid="{00000000-0005-0000-0000-000063440000}"/>
    <cellStyle name="SAPBEXexcBad9 52 5" xfId="13827" xr:uid="{00000000-0005-0000-0000-000064440000}"/>
    <cellStyle name="SAPBEXexcBad9 52 6" xfId="13751" xr:uid="{00000000-0005-0000-0000-000065440000}"/>
    <cellStyle name="SAPBEXexcBad9 52 7" xfId="18523" xr:uid="{00000000-0005-0000-0000-000066440000}"/>
    <cellStyle name="SAPBEXexcBad9 52 8" xfId="18447" xr:uid="{00000000-0005-0000-0000-000067440000}"/>
    <cellStyle name="SAPBEXexcBad9 52 9" xfId="23085" xr:uid="{00000000-0005-0000-0000-000068440000}"/>
    <cellStyle name="SAPBEXexcBad9 53" xfId="4951" xr:uid="{00000000-0005-0000-0000-000069440000}"/>
    <cellStyle name="SAPBEXexcBad9 53 2" xfId="7489" xr:uid="{00000000-0005-0000-0000-00006A440000}"/>
    <cellStyle name="SAPBEXexcBad9 53 3" xfId="8294" xr:uid="{00000000-0005-0000-0000-00006B440000}"/>
    <cellStyle name="SAPBEXexcBad9 53 4" xfId="10497" xr:uid="{00000000-0005-0000-0000-00006C440000}"/>
    <cellStyle name="SAPBEXexcBad9 53 5" xfId="12627" xr:uid="{00000000-0005-0000-0000-00006D440000}"/>
    <cellStyle name="SAPBEXexcBad9 53 6" xfId="15353" xr:uid="{00000000-0005-0000-0000-00006E440000}"/>
    <cellStyle name="SAPBEXexcBad9 53 7" xfId="17323" xr:uid="{00000000-0005-0000-0000-00006F440000}"/>
    <cellStyle name="SAPBEXexcBad9 53 8" xfId="20049" xr:uid="{00000000-0005-0000-0000-000070440000}"/>
    <cellStyle name="SAPBEXexcBad9 53 9" xfId="21982" xr:uid="{00000000-0005-0000-0000-000071440000}"/>
    <cellStyle name="SAPBEXexcBad9 54" xfId="4921" xr:uid="{00000000-0005-0000-0000-000072440000}"/>
    <cellStyle name="SAPBEXexcBad9 54 2" xfId="7459" xr:uid="{00000000-0005-0000-0000-000073440000}"/>
    <cellStyle name="SAPBEXexcBad9 54 3" xfId="9471" xr:uid="{00000000-0005-0000-0000-000074440000}"/>
    <cellStyle name="SAPBEXexcBad9 54 4" xfId="11845" xr:uid="{00000000-0005-0000-0000-000075440000}"/>
    <cellStyle name="SAPBEXexcBad9 54 5" xfId="14306" xr:uid="{00000000-0005-0000-0000-000076440000}"/>
    <cellStyle name="SAPBEXexcBad9 54 6" xfId="16669" xr:uid="{00000000-0005-0000-0000-000077440000}"/>
    <cellStyle name="SAPBEXexcBad9 54 7" xfId="19002" xr:uid="{00000000-0005-0000-0000-000078440000}"/>
    <cellStyle name="SAPBEXexcBad9 54 8" xfId="21365" xr:uid="{00000000-0005-0000-0000-000079440000}"/>
    <cellStyle name="SAPBEXexcBad9 54 9" xfId="23520" xr:uid="{00000000-0005-0000-0000-00007A440000}"/>
    <cellStyle name="SAPBEXexcBad9 55" xfId="4429" xr:uid="{00000000-0005-0000-0000-00007B440000}"/>
    <cellStyle name="SAPBEXexcBad9 55 2" xfId="6967" xr:uid="{00000000-0005-0000-0000-00007C440000}"/>
    <cellStyle name="SAPBEXexcBad9 55 3" xfId="8786" xr:uid="{00000000-0005-0000-0000-00007D440000}"/>
    <cellStyle name="SAPBEXexcBad9 55 4" xfId="11721" xr:uid="{00000000-0005-0000-0000-00007E440000}"/>
    <cellStyle name="SAPBEXexcBad9 55 5" xfId="14172" xr:uid="{00000000-0005-0000-0000-00007F440000}"/>
    <cellStyle name="SAPBEXexcBad9 55 6" xfId="16926" xr:uid="{00000000-0005-0000-0000-000080440000}"/>
    <cellStyle name="SAPBEXexcBad9 55 7" xfId="18868" xr:uid="{00000000-0005-0000-0000-000081440000}"/>
    <cellStyle name="SAPBEXexcBad9 55 8" xfId="21622" xr:uid="{00000000-0005-0000-0000-000082440000}"/>
    <cellStyle name="SAPBEXexcBad9 55 9" xfId="23395" xr:uid="{00000000-0005-0000-0000-000083440000}"/>
    <cellStyle name="SAPBEXexcBad9 56" xfId="5129" xr:uid="{00000000-0005-0000-0000-000084440000}"/>
    <cellStyle name="SAPBEXexcBad9 56 2" xfId="7667" xr:uid="{00000000-0005-0000-0000-000085440000}"/>
    <cellStyle name="SAPBEXexcBad9 56 3" xfId="8558" xr:uid="{00000000-0005-0000-0000-000086440000}"/>
    <cellStyle name="SAPBEXexcBad9 56 4" xfId="8886" xr:uid="{00000000-0005-0000-0000-000087440000}"/>
    <cellStyle name="SAPBEXexcBad9 56 5" xfId="12387" xr:uid="{00000000-0005-0000-0000-000088440000}"/>
    <cellStyle name="SAPBEXexcBad9 56 6" xfId="15252" xr:uid="{00000000-0005-0000-0000-000089440000}"/>
    <cellStyle name="SAPBEXexcBad9 56 7" xfId="17083" xr:uid="{00000000-0005-0000-0000-00008A440000}"/>
    <cellStyle name="SAPBEXexcBad9 56 8" xfId="19948" xr:uid="{00000000-0005-0000-0000-00008B440000}"/>
    <cellStyle name="SAPBEXexcBad9 56 9" xfId="21772" xr:uid="{00000000-0005-0000-0000-00008C440000}"/>
    <cellStyle name="SAPBEXexcBad9 57" xfId="5198" xr:uid="{00000000-0005-0000-0000-00008D440000}"/>
    <cellStyle name="SAPBEXexcBad9 57 2" xfId="7737" xr:uid="{00000000-0005-0000-0000-00008E440000}"/>
    <cellStyle name="SAPBEXexcBad9 57 3" xfId="9732" xr:uid="{00000000-0005-0000-0000-00008F440000}"/>
    <cellStyle name="SAPBEXexcBad9 57 4" xfId="11180" xr:uid="{00000000-0005-0000-0000-000090440000}"/>
    <cellStyle name="SAPBEXexcBad9 57 5" xfId="13578" xr:uid="{00000000-0005-0000-0000-000091440000}"/>
    <cellStyle name="SAPBEXexcBad9 57 6" xfId="15521" xr:uid="{00000000-0005-0000-0000-000092440000}"/>
    <cellStyle name="SAPBEXexcBad9 57 7" xfId="18274" xr:uid="{00000000-0005-0000-0000-000093440000}"/>
    <cellStyle name="SAPBEXexcBad9 57 8" xfId="20217" xr:uid="{00000000-0005-0000-0000-000094440000}"/>
    <cellStyle name="SAPBEXexcBad9 57 9" xfId="22853" xr:uid="{00000000-0005-0000-0000-000095440000}"/>
    <cellStyle name="SAPBEXexcBad9 58" xfId="5238" xr:uid="{00000000-0005-0000-0000-000096440000}"/>
    <cellStyle name="SAPBEXexcBad9 58 2" xfId="9704" xr:uid="{00000000-0005-0000-0000-000097440000}"/>
    <cellStyle name="SAPBEXexcBad9 58 3" xfId="10739" xr:uid="{00000000-0005-0000-0000-000098440000}"/>
    <cellStyle name="SAPBEXexcBad9 58 4" xfId="13094" xr:uid="{00000000-0005-0000-0000-000099440000}"/>
    <cellStyle name="SAPBEXexcBad9 58 5" xfId="15593" xr:uid="{00000000-0005-0000-0000-00009A440000}"/>
    <cellStyle name="SAPBEXexcBad9 58 6" xfId="17790" xr:uid="{00000000-0005-0000-0000-00009B440000}"/>
    <cellStyle name="SAPBEXexcBad9 58 7" xfId="20289" xr:uid="{00000000-0005-0000-0000-00009C440000}"/>
    <cellStyle name="SAPBEXexcBad9 58 8" xfId="22412" xr:uid="{00000000-0005-0000-0000-00009D440000}"/>
    <cellStyle name="SAPBEXexcBad9 59" xfId="9533" xr:uid="{00000000-0005-0000-0000-00009E440000}"/>
    <cellStyle name="SAPBEXexcBad9 6" xfId="3114" xr:uid="{00000000-0005-0000-0000-00009F440000}"/>
    <cellStyle name="SAPBEXexcBad9 6 2" xfId="5652" xr:uid="{00000000-0005-0000-0000-0000A0440000}"/>
    <cellStyle name="SAPBEXexcBad9 6 3" xfId="9874" xr:uid="{00000000-0005-0000-0000-0000A1440000}"/>
    <cellStyle name="SAPBEXexcBad9 6 4" xfId="11696" xr:uid="{00000000-0005-0000-0000-0000A2440000}"/>
    <cellStyle name="SAPBEXexcBad9 6 5" xfId="14145" xr:uid="{00000000-0005-0000-0000-0000A3440000}"/>
    <cellStyle name="SAPBEXexcBad9 6 6" xfId="14972" xr:uid="{00000000-0005-0000-0000-0000A4440000}"/>
    <cellStyle name="SAPBEXexcBad9 6 7" xfId="18841" xr:uid="{00000000-0005-0000-0000-0000A5440000}"/>
    <cellStyle name="SAPBEXexcBad9 6 8" xfId="19668" xr:uid="{00000000-0005-0000-0000-0000A6440000}"/>
    <cellStyle name="SAPBEXexcBad9 6 9" xfId="23370" xr:uid="{00000000-0005-0000-0000-0000A7440000}"/>
    <cellStyle name="SAPBEXexcBad9 60" xfId="8616" xr:uid="{00000000-0005-0000-0000-0000A8440000}"/>
    <cellStyle name="SAPBEXexcBad9 61" xfId="14830" xr:uid="{00000000-0005-0000-0000-0000A9440000}"/>
    <cellStyle name="SAPBEXexcBad9 62" xfId="16893" xr:uid="{00000000-0005-0000-0000-0000AA440000}"/>
    <cellStyle name="SAPBEXexcBad9 63" xfId="19526" xr:uid="{00000000-0005-0000-0000-0000AB440000}"/>
    <cellStyle name="SAPBEXexcBad9 64" xfId="21589" xr:uid="{00000000-0005-0000-0000-0000AC440000}"/>
    <cellStyle name="SAPBEXexcBad9 65" xfId="24012" xr:uid="{00000000-0005-0000-0000-0000AD440000}"/>
    <cellStyle name="SAPBEXexcBad9 66" xfId="42193" xr:uid="{54471EB0-BAA5-4B68-ABA3-6DE4EA6D98CD}"/>
    <cellStyle name="SAPBEXexcBad9 7" xfId="3041" xr:uid="{00000000-0005-0000-0000-0000AE440000}"/>
    <cellStyle name="SAPBEXexcBad9 7 2" xfId="5580" xr:uid="{00000000-0005-0000-0000-0000AF440000}"/>
    <cellStyle name="SAPBEXexcBad9 7 3" xfId="8854" xr:uid="{00000000-0005-0000-0000-0000B0440000}"/>
    <cellStyle name="SAPBEXexcBad9 7 4" xfId="11792" xr:uid="{00000000-0005-0000-0000-0000B1440000}"/>
    <cellStyle name="SAPBEXexcBad9 7 5" xfId="13839" xr:uid="{00000000-0005-0000-0000-0000B2440000}"/>
    <cellStyle name="SAPBEXexcBad9 7 6" xfId="15026" xr:uid="{00000000-0005-0000-0000-0000B3440000}"/>
    <cellStyle name="SAPBEXexcBad9 7 7" xfId="18535" xr:uid="{00000000-0005-0000-0000-0000B4440000}"/>
    <cellStyle name="SAPBEXexcBad9 7 8" xfId="19722" xr:uid="{00000000-0005-0000-0000-0000B5440000}"/>
    <cellStyle name="SAPBEXexcBad9 7 9" xfId="23096" xr:uid="{00000000-0005-0000-0000-0000B6440000}"/>
    <cellStyle name="SAPBEXexcBad9 8" xfId="3113" xr:uid="{00000000-0005-0000-0000-0000B7440000}"/>
    <cellStyle name="SAPBEXexcBad9 8 2" xfId="5651" xr:uid="{00000000-0005-0000-0000-0000B8440000}"/>
    <cellStyle name="SAPBEXexcBad9 8 3" xfId="9509" xr:uid="{00000000-0005-0000-0000-0000B9440000}"/>
    <cellStyle name="SAPBEXexcBad9 8 4" xfId="7974" xr:uid="{00000000-0005-0000-0000-0000BA440000}"/>
    <cellStyle name="SAPBEXexcBad9 8 5" xfId="14952" xr:uid="{00000000-0005-0000-0000-0000BB440000}"/>
    <cellStyle name="SAPBEXexcBad9 8 6" xfId="16088" xr:uid="{00000000-0005-0000-0000-0000BC440000}"/>
    <cellStyle name="SAPBEXexcBad9 8 7" xfId="19648" xr:uid="{00000000-0005-0000-0000-0000BD440000}"/>
    <cellStyle name="SAPBEXexcBad9 8 8" xfId="20784" xr:uid="{00000000-0005-0000-0000-0000BE440000}"/>
    <cellStyle name="SAPBEXexcBad9 8 9" xfId="24114" xr:uid="{00000000-0005-0000-0000-0000BF440000}"/>
    <cellStyle name="SAPBEXexcBad9 9" xfId="3101" xr:uid="{00000000-0005-0000-0000-0000C0440000}"/>
    <cellStyle name="SAPBEXexcBad9 9 2" xfId="5639" xr:uid="{00000000-0005-0000-0000-0000C1440000}"/>
    <cellStyle name="SAPBEXexcBad9 9 3" xfId="8659" xr:uid="{00000000-0005-0000-0000-0000C2440000}"/>
    <cellStyle name="SAPBEXexcBad9 9 4" xfId="12109" xr:uid="{00000000-0005-0000-0000-0000C3440000}"/>
    <cellStyle name="SAPBEXexcBad9 9 5" xfId="14591" xr:uid="{00000000-0005-0000-0000-0000C4440000}"/>
    <cellStyle name="SAPBEXexcBad9 9 6" xfId="16453" xr:uid="{00000000-0005-0000-0000-0000C5440000}"/>
    <cellStyle name="SAPBEXexcBad9 9 7" xfId="19287" xr:uid="{00000000-0005-0000-0000-0000C6440000}"/>
    <cellStyle name="SAPBEXexcBad9 9 8" xfId="21149" xr:uid="{00000000-0005-0000-0000-0000C7440000}"/>
    <cellStyle name="SAPBEXexcBad9 9 9" xfId="23783" xr:uid="{00000000-0005-0000-0000-0000C8440000}"/>
    <cellStyle name="SAPBEXexcCritical4" xfId="2949" xr:uid="{00000000-0005-0000-0000-0000C9440000}"/>
    <cellStyle name="SAPBEXexcCritical4 10" xfId="3317" xr:uid="{00000000-0005-0000-0000-0000CA440000}"/>
    <cellStyle name="SAPBEXexcCritical4 10 2" xfId="5855" xr:uid="{00000000-0005-0000-0000-0000CB440000}"/>
    <cellStyle name="SAPBEXexcCritical4 10 3" xfId="8064" xr:uid="{00000000-0005-0000-0000-0000CC440000}"/>
    <cellStyle name="SAPBEXexcCritical4 10 4" xfId="12191" xr:uid="{00000000-0005-0000-0000-0000CD440000}"/>
    <cellStyle name="SAPBEXexcCritical4 10 5" xfId="14676" xr:uid="{00000000-0005-0000-0000-0000CE440000}"/>
    <cellStyle name="SAPBEXexcCritical4 10 6" xfId="14616" xr:uid="{00000000-0005-0000-0000-0000CF440000}"/>
    <cellStyle name="SAPBEXexcCritical4 10 7" xfId="19372" xr:uid="{00000000-0005-0000-0000-0000D0440000}"/>
    <cellStyle name="SAPBEXexcCritical4 10 8" xfId="19312" xr:uid="{00000000-0005-0000-0000-0000D1440000}"/>
    <cellStyle name="SAPBEXexcCritical4 10 9" xfId="23865" xr:uid="{00000000-0005-0000-0000-0000D2440000}"/>
    <cellStyle name="SAPBEXexcCritical4 11" xfId="3457" xr:uid="{00000000-0005-0000-0000-0000D3440000}"/>
    <cellStyle name="SAPBEXexcCritical4 11 2" xfId="5995" xr:uid="{00000000-0005-0000-0000-0000D4440000}"/>
    <cellStyle name="SAPBEXexcCritical4 11 3" xfId="8622" xr:uid="{00000000-0005-0000-0000-0000D5440000}"/>
    <cellStyle name="SAPBEXexcCritical4 11 4" xfId="11422" xr:uid="{00000000-0005-0000-0000-0000D6440000}"/>
    <cellStyle name="SAPBEXexcCritical4 11 5" xfId="13718" xr:uid="{00000000-0005-0000-0000-0000D7440000}"/>
    <cellStyle name="SAPBEXexcCritical4 11 6" xfId="16215" xr:uid="{00000000-0005-0000-0000-0000D8440000}"/>
    <cellStyle name="SAPBEXexcCritical4 11 7" xfId="18414" xr:uid="{00000000-0005-0000-0000-0000D9440000}"/>
    <cellStyle name="SAPBEXexcCritical4 11 8" xfId="20911" xr:uid="{00000000-0005-0000-0000-0000DA440000}"/>
    <cellStyle name="SAPBEXexcCritical4 11 9" xfId="22984" xr:uid="{00000000-0005-0000-0000-0000DB440000}"/>
    <cellStyle name="SAPBEXexcCritical4 12" xfId="3376" xr:uid="{00000000-0005-0000-0000-0000DC440000}"/>
    <cellStyle name="SAPBEXexcCritical4 12 2" xfId="5914" xr:uid="{00000000-0005-0000-0000-0000DD440000}"/>
    <cellStyle name="SAPBEXexcCritical4 12 3" xfId="9942" xr:uid="{00000000-0005-0000-0000-0000DE440000}"/>
    <cellStyle name="SAPBEXexcCritical4 12 4" xfId="11873" xr:uid="{00000000-0005-0000-0000-0000DF440000}"/>
    <cellStyle name="SAPBEXexcCritical4 12 5" xfId="14337" xr:uid="{00000000-0005-0000-0000-0000E0440000}"/>
    <cellStyle name="SAPBEXexcCritical4 12 6" xfId="15713" xr:uid="{00000000-0005-0000-0000-0000E1440000}"/>
    <cellStyle name="SAPBEXexcCritical4 12 7" xfId="19033" xr:uid="{00000000-0005-0000-0000-0000E2440000}"/>
    <cellStyle name="SAPBEXexcCritical4 12 8" xfId="20409" xr:uid="{00000000-0005-0000-0000-0000E3440000}"/>
    <cellStyle name="SAPBEXexcCritical4 12 9" xfId="23549" xr:uid="{00000000-0005-0000-0000-0000E4440000}"/>
    <cellStyle name="SAPBEXexcCritical4 13" xfId="3619" xr:uid="{00000000-0005-0000-0000-0000E5440000}"/>
    <cellStyle name="SAPBEXexcCritical4 13 2" xfId="6157" xr:uid="{00000000-0005-0000-0000-0000E6440000}"/>
    <cellStyle name="SAPBEXexcCritical4 13 3" xfId="8634" xr:uid="{00000000-0005-0000-0000-0000E7440000}"/>
    <cellStyle name="SAPBEXexcCritical4 13 4" xfId="11306" xr:uid="{00000000-0005-0000-0000-0000E8440000}"/>
    <cellStyle name="SAPBEXexcCritical4 13 5" xfId="14891" xr:uid="{00000000-0005-0000-0000-0000E9440000}"/>
    <cellStyle name="SAPBEXexcCritical4 13 6" xfId="16258" xr:uid="{00000000-0005-0000-0000-0000EA440000}"/>
    <cellStyle name="SAPBEXexcCritical4 13 7" xfId="19587" xr:uid="{00000000-0005-0000-0000-0000EB440000}"/>
    <cellStyle name="SAPBEXexcCritical4 13 8" xfId="20954" xr:uid="{00000000-0005-0000-0000-0000EC440000}"/>
    <cellStyle name="SAPBEXexcCritical4 13 9" xfId="24058" xr:uid="{00000000-0005-0000-0000-0000ED440000}"/>
    <cellStyle name="SAPBEXexcCritical4 14" xfId="3498" xr:uid="{00000000-0005-0000-0000-0000EE440000}"/>
    <cellStyle name="SAPBEXexcCritical4 14 2" xfId="6036" xr:uid="{00000000-0005-0000-0000-0000EF440000}"/>
    <cellStyle name="SAPBEXexcCritical4 14 3" xfId="9542" xr:uid="{00000000-0005-0000-0000-0000F0440000}"/>
    <cellStyle name="SAPBEXexcCritical4 14 4" xfId="11577" xr:uid="{00000000-0005-0000-0000-0000F1440000}"/>
    <cellStyle name="SAPBEXexcCritical4 14 5" xfId="14014" xr:uid="{00000000-0005-0000-0000-0000F2440000}"/>
    <cellStyle name="SAPBEXexcCritical4 14 6" xfId="16165" xr:uid="{00000000-0005-0000-0000-0000F3440000}"/>
    <cellStyle name="SAPBEXexcCritical4 14 7" xfId="18710" xr:uid="{00000000-0005-0000-0000-0000F4440000}"/>
    <cellStyle name="SAPBEXexcCritical4 14 8" xfId="20861" xr:uid="{00000000-0005-0000-0000-0000F5440000}"/>
    <cellStyle name="SAPBEXexcCritical4 14 9" xfId="23251" xr:uid="{00000000-0005-0000-0000-0000F6440000}"/>
    <cellStyle name="SAPBEXexcCritical4 15" xfId="3702" xr:uid="{00000000-0005-0000-0000-0000F7440000}"/>
    <cellStyle name="SAPBEXexcCritical4 15 2" xfId="6240" xr:uid="{00000000-0005-0000-0000-0000F8440000}"/>
    <cellStyle name="SAPBEXexcCritical4 15 3" xfId="9513" xr:uid="{00000000-0005-0000-0000-0000F9440000}"/>
    <cellStyle name="SAPBEXexcCritical4 15 4" xfId="11728" xr:uid="{00000000-0005-0000-0000-0000FA440000}"/>
    <cellStyle name="SAPBEXexcCritical4 15 5" xfId="14179" xr:uid="{00000000-0005-0000-0000-0000FB440000}"/>
    <cellStyle name="SAPBEXexcCritical4 15 6" xfId="16513" xr:uid="{00000000-0005-0000-0000-0000FC440000}"/>
    <cellStyle name="SAPBEXexcCritical4 15 7" xfId="18875" xr:uid="{00000000-0005-0000-0000-0000FD440000}"/>
    <cellStyle name="SAPBEXexcCritical4 15 8" xfId="21209" xr:uid="{00000000-0005-0000-0000-0000FE440000}"/>
    <cellStyle name="SAPBEXexcCritical4 15 9" xfId="23402" xr:uid="{00000000-0005-0000-0000-0000FF440000}"/>
    <cellStyle name="SAPBEXexcCritical4 16" xfId="3764" xr:uid="{00000000-0005-0000-0000-000000450000}"/>
    <cellStyle name="SAPBEXexcCritical4 16 2" xfId="6302" xr:uid="{00000000-0005-0000-0000-000001450000}"/>
    <cellStyle name="SAPBEXexcCritical4 16 3" xfId="5464" xr:uid="{00000000-0005-0000-0000-000002450000}"/>
    <cellStyle name="SAPBEXexcCritical4 16 4" xfId="11323" xr:uid="{00000000-0005-0000-0000-000003450000}"/>
    <cellStyle name="SAPBEXexcCritical4 16 5" xfId="13732" xr:uid="{00000000-0005-0000-0000-000004450000}"/>
    <cellStyle name="SAPBEXexcCritical4 16 6" xfId="15703" xr:uid="{00000000-0005-0000-0000-000005450000}"/>
    <cellStyle name="SAPBEXexcCritical4 16 7" xfId="18428" xr:uid="{00000000-0005-0000-0000-000006450000}"/>
    <cellStyle name="SAPBEXexcCritical4 16 8" xfId="20399" xr:uid="{00000000-0005-0000-0000-000007450000}"/>
    <cellStyle name="SAPBEXexcCritical4 16 9" xfId="22997" xr:uid="{00000000-0005-0000-0000-000008450000}"/>
    <cellStyle name="SAPBEXexcCritical4 17" xfId="3838" xr:uid="{00000000-0005-0000-0000-000009450000}"/>
    <cellStyle name="SAPBEXexcCritical4 17 2" xfId="6376" xr:uid="{00000000-0005-0000-0000-00000A450000}"/>
    <cellStyle name="SAPBEXexcCritical4 17 3" xfId="8096" xr:uid="{00000000-0005-0000-0000-00000B450000}"/>
    <cellStyle name="SAPBEXexcCritical4 17 4" xfId="10631" xr:uid="{00000000-0005-0000-0000-00000C450000}"/>
    <cellStyle name="SAPBEXexcCritical4 17 5" xfId="12980" xr:uid="{00000000-0005-0000-0000-00000D450000}"/>
    <cellStyle name="SAPBEXexcCritical4 17 6" xfId="15807" xr:uid="{00000000-0005-0000-0000-00000E450000}"/>
    <cellStyle name="SAPBEXexcCritical4 17 7" xfId="17676" xr:uid="{00000000-0005-0000-0000-00000F450000}"/>
    <cellStyle name="SAPBEXexcCritical4 17 8" xfId="20503" xr:uid="{00000000-0005-0000-0000-000010450000}"/>
    <cellStyle name="SAPBEXexcCritical4 17 9" xfId="22304" xr:uid="{00000000-0005-0000-0000-000011450000}"/>
    <cellStyle name="SAPBEXexcCritical4 18" xfId="3876" xr:uid="{00000000-0005-0000-0000-000012450000}"/>
    <cellStyle name="SAPBEXexcCritical4 18 2" xfId="6414" xr:uid="{00000000-0005-0000-0000-000013450000}"/>
    <cellStyle name="SAPBEXexcCritical4 18 3" xfId="8884" xr:uid="{00000000-0005-0000-0000-000014450000}"/>
    <cellStyle name="SAPBEXexcCritical4 18 4" xfId="11703" xr:uid="{00000000-0005-0000-0000-000015450000}"/>
    <cellStyle name="SAPBEXexcCritical4 18 5" xfId="14152" xr:uid="{00000000-0005-0000-0000-000016450000}"/>
    <cellStyle name="SAPBEXexcCritical4 18 6" xfId="15752" xr:uid="{00000000-0005-0000-0000-000017450000}"/>
    <cellStyle name="SAPBEXexcCritical4 18 7" xfId="18848" xr:uid="{00000000-0005-0000-0000-000018450000}"/>
    <cellStyle name="SAPBEXexcCritical4 18 8" xfId="20448" xr:uid="{00000000-0005-0000-0000-000019450000}"/>
    <cellStyle name="SAPBEXexcCritical4 18 9" xfId="23377" xr:uid="{00000000-0005-0000-0000-00001A450000}"/>
    <cellStyle name="SAPBEXexcCritical4 19" xfId="3886" xr:uid="{00000000-0005-0000-0000-00001B450000}"/>
    <cellStyle name="SAPBEXexcCritical4 19 2" xfId="6424" xr:uid="{00000000-0005-0000-0000-00001C450000}"/>
    <cellStyle name="SAPBEXexcCritical4 19 3" xfId="9488" xr:uid="{00000000-0005-0000-0000-00001D450000}"/>
    <cellStyle name="SAPBEXexcCritical4 19 4" xfId="11799" xr:uid="{00000000-0005-0000-0000-00001E450000}"/>
    <cellStyle name="SAPBEXexcCritical4 19 5" xfId="14256" xr:uid="{00000000-0005-0000-0000-00001F450000}"/>
    <cellStyle name="SAPBEXexcCritical4 19 6" xfId="16607" xr:uid="{00000000-0005-0000-0000-000020450000}"/>
    <cellStyle name="SAPBEXexcCritical4 19 7" xfId="18952" xr:uid="{00000000-0005-0000-0000-000021450000}"/>
    <cellStyle name="SAPBEXexcCritical4 19 8" xfId="21303" xr:uid="{00000000-0005-0000-0000-000022450000}"/>
    <cellStyle name="SAPBEXexcCritical4 19 9" xfId="23474" xr:uid="{00000000-0005-0000-0000-000023450000}"/>
    <cellStyle name="SAPBEXexcCritical4 2" xfId="3068" xr:uid="{00000000-0005-0000-0000-000024450000}"/>
    <cellStyle name="SAPBEXexcCritical4 2 2" xfId="5606" xr:uid="{00000000-0005-0000-0000-000025450000}"/>
    <cellStyle name="SAPBEXexcCritical4 2 3" xfId="9994" xr:uid="{00000000-0005-0000-0000-000026450000}"/>
    <cellStyle name="SAPBEXexcCritical4 2 4" xfId="11146" xr:uid="{00000000-0005-0000-0000-000027450000}"/>
    <cellStyle name="SAPBEXexcCritical4 2 5" xfId="13542" xr:uid="{00000000-0005-0000-0000-000028450000}"/>
    <cellStyle name="SAPBEXexcCritical4 2 6" xfId="15232" xr:uid="{00000000-0005-0000-0000-000029450000}"/>
    <cellStyle name="SAPBEXexcCritical4 2 7" xfId="18238" xr:uid="{00000000-0005-0000-0000-00002A450000}"/>
    <cellStyle name="SAPBEXexcCritical4 2 8" xfId="19928" xr:uid="{00000000-0005-0000-0000-00002B450000}"/>
    <cellStyle name="SAPBEXexcCritical4 2 9" xfId="22819" xr:uid="{00000000-0005-0000-0000-00002C450000}"/>
    <cellStyle name="SAPBEXexcCritical4 20" xfId="3862" xr:uid="{00000000-0005-0000-0000-00002D450000}"/>
    <cellStyle name="SAPBEXexcCritical4 20 2" xfId="6400" xr:uid="{00000000-0005-0000-0000-00002E450000}"/>
    <cellStyle name="SAPBEXexcCritical4 20 3" xfId="5500" xr:uid="{00000000-0005-0000-0000-00002F450000}"/>
    <cellStyle name="SAPBEXexcCritical4 20 4" xfId="11489" xr:uid="{00000000-0005-0000-0000-000030450000}"/>
    <cellStyle name="SAPBEXexcCritical4 20 5" xfId="13916" xr:uid="{00000000-0005-0000-0000-000031450000}"/>
    <cellStyle name="SAPBEXexcCritical4 20 6" xfId="13712" xr:uid="{00000000-0005-0000-0000-000032450000}"/>
    <cellStyle name="SAPBEXexcCritical4 20 7" xfId="18612" xr:uid="{00000000-0005-0000-0000-000033450000}"/>
    <cellStyle name="SAPBEXexcCritical4 20 8" xfId="18408" xr:uid="{00000000-0005-0000-0000-000034450000}"/>
    <cellStyle name="SAPBEXexcCritical4 20 9" xfId="23164" xr:uid="{00000000-0005-0000-0000-000035450000}"/>
    <cellStyle name="SAPBEXexcCritical4 21" xfId="4024" xr:uid="{00000000-0005-0000-0000-000036450000}"/>
    <cellStyle name="SAPBEXexcCritical4 21 2" xfId="6562" xr:uid="{00000000-0005-0000-0000-000037450000}"/>
    <cellStyle name="SAPBEXexcCritical4 21 3" xfId="8635" xr:uid="{00000000-0005-0000-0000-000038450000}"/>
    <cellStyle name="SAPBEXexcCritical4 21 4" xfId="12250" xr:uid="{00000000-0005-0000-0000-000039450000}"/>
    <cellStyle name="SAPBEXexcCritical4 21 5" xfId="12317" xr:uid="{00000000-0005-0000-0000-00003A450000}"/>
    <cellStyle name="SAPBEXexcCritical4 21 6" xfId="15915" xr:uid="{00000000-0005-0000-0000-00003B450000}"/>
    <cellStyle name="SAPBEXexcCritical4 21 7" xfId="17013" xr:uid="{00000000-0005-0000-0000-00003C450000}"/>
    <cellStyle name="SAPBEXexcCritical4 21 8" xfId="20611" xr:uid="{00000000-0005-0000-0000-00003D450000}"/>
    <cellStyle name="SAPBEXexcCritical4 21 9" xfId="21708" xr:uid="{00000000-0005-0000-0000-00003E450000}"/>
    <cellStyle name="SAPBEXexcCritical4 22" xfId="4044" xr:uid="{00000000-0005-0000-0000-00003F450000}"/>
    <cellStyle name="SAPBEXexcCritical4 22 2" xfId="6582" xr:uid="{00000000-0005-0000-0000-000040450000}"/>
    <cellStyle name="SAPBEXexcCritical4 22 3" xfId="9829" xr:uid="{00000000-0005-0000-0000-000041450000}"/>
    <cellStyle name="SAPBEXexcCritical4 22 4" xfId="10142" xr:uid="{00000000-0005-0000-0000-000042450000}"/>
    <cellStyle name="SAPBEXexcCritical4 22 5" xfId="14946" xr:uid="{00000000-0005-0000-0000-000043450000}"/>
    <cellStyle name="SAPBEXexcCritical4 22 6" xfId="16322" xr:uid="{00000000-0005-0000-0000-000044450000}"/>
    <cellStyle name="SAPBEXexcCritical4 22 7" xfId="19642" xr:uid="{00000000-0005-0000-0000-000045450000}"/>
    <cellStyle name="SAPBEXexcCritical4 22 8" xfId="21018" xr:uid="{00000000-0005-0000-0000-000046450000}"/>
    <cellStyle name="SAPBEXexcCritical4 22 9" xfId="24109" xr:uid="{00000000-0005-0000-0000-000047450000}"/>
    <cellStyle name="SAPBEXexcCritical4 23" xfId="3974" xr:uid="{00000000-0005-0000-0000-000048450000}"/>
    <cellStyle name="SAPBEXexcCritical4 23 2" xfId="6512" xr:uid="{00000000-0005-0000-0000-000049450000}"/>
    <cellStyle name="SAPBEXexcCritical4 23 3" xfId="9658" xr:uid="{00000000-0005-0000-0000-00004A450000}"/>
    <cellStyle name="SAPBEXexcCritical4 23 4" xfId="10242" xr:uid="{00000000-0005-0000-0000-00004B450000}"/>
    <cellStyle name="SAPBEXexcCritical4 23 5" xfId="14826" xr:uid="{00000000-0005-0000-0000-00004C450000}"/>
    <cellStyle name="SAPBEXexcCritical4 23 6" xfId="16411" xr:uid="{00000000-0005-0000-0000-00004D450000}"/>
    <cellStyle name="SAPBEXexcCritical4 23 7" xfId="19522" xr:uid="{00000000-0005-0000-0000-00004E450000}"/>
    <cellStyle name="SAPBEXexcCritical4 23 8" xfId="21107" xr:uid="{00000000-0005-0000-0000-00004F450000}"/>
    <cellStyle name="SAPBEXexcCritical4 23 9" xfId="24009" xr:uid="{00000000-0005-0000-0000-000050450000}"/>
    <cellStyle name="SAPBEXexcCritical4 24" xfId="4073" xr:uid="{00000000-0005-0000-0000-000051450000}"/>
    <cellStyle name="SAPBEXexcCritical4 24 2" xfId="6611" xr:uid="{00000000-0005-0000-0000-000052450000}"/>
    <cellStyle name="SAPBEXexcCritical4 24 3" xfId="8932" xr:uid="{00000000-0005-0000-0000-000053450000}"/>
    <cellStyle name="SAPBEXexcCritical4 24 4" xfId="11545" xr:uid="{00000000-0005-0000-0000-000054450000}"/>
    <cellStyle name="SAPBEXexcCritical4 24 5" xfId="13979" xr:uid="{00000000-0005-0000-0000-000055450000}"/>
    <cellStyle name="SAPBEXexcCritical4 24 6" xfId="16368" xr:uid="{00000000-0005-0000-0000-000056450000}"/>
    <cellStyle name="SAPBEXexcCritical4 24 7" xfId="18675" xr:uid="{00000000-0005-0000-0000-000057450000}"/>
    <cellStyle name="SAPBEXexcCritical4 24 8" xfId="21064" xr:uid="{00000000-0005-0000-0000-000058450000}"/>
    <cellStyle name="SAPBEXexcCritical4 24 9" xfId="23219" xr:uid="{00000000-0005-0000-0000-000059450000}"/>
    <cellStyle name="SAPBEXexcCritical4 25" xfId="3892" xr:uid="{00000000-0005-0000-0000-00005A450000}"/>
    <cellStyle name="SAPBEXexcCritical4 25 2" xfId="6430" xr:uid="{00000000-0005-0000-0000-00005B450000}"/>
    <cellStyle name="SAPBEXexcCritical4 25 3" xfId="7880" xr:uid="{00000000-0005-0000-0000-00005C450000}"/>
    <cellStyle name="SAPBEXexcCritical4 25 4" xfId="10621" xr:uid="{00000000-0005-0000-0000-00005D450000}"/>
    <cellStyle name="SAPBEXexcCritical4 25 5" xfId="12970" xr:uid="{00000000-0005-0000-0000-00005E450000}"/>
    <cellStyle name="SAPBEXexcCritical4 25 6" xfId="16331" xr:uid="{00000000-0005-0000-0000-00005F450000}"/>
    <cellStyle name="SAPBEXexcCritical4 25 7" xfId="17666" xr:uid="{00000000-0005-0000-0000-000060450000}"/>
    <cellStyle name="SAPBEXexcCritical4 25 8" xfId="21027" xr:uid="{00000000-0005-0000-0000-000061450000}"/>
    <cellStyle name="SAPBEXexcCritical4 25 9" xfId="22294" xr:uid="{00000000-0005-0000-0000-000062450000}"/>
    <cellStyle name="SAPBEXexcCritical4 26" xfId="3793" xr:uid="{00000000-0005-0000-0000-000063450000}"/>
    <cellStyle name="SAPBEXexcCritical4 26 2" xfId="6331" xr:uid="{00000000-0005-0000-0000-000064450000}"/>
    <cellStyle name="SAPBEXexcCritical4 26 3" xfId="8433" xr:uid="{00000000-0005-0000-0000-000065450000}"/>
    <cellStyle name="SAPBEXexcCritical4 26 4" xfId="10646" xr:uid="{00000000-0005-0000-0000-000066450000}"/>
    <cellStyle name="SAPBEXexcCritical4 26 5" xfId="12995" xr:uid="{00000000-0005-0000-0000-000067450000}"/>
    <cellStyle name="SAPBEXexcCritical4 26 6" xfId="15842" xr:uid="{00000000-0005-0000-0000-000068450000}"/>
    <cellStyle name="SAPBEXexcCritical4 26 7" xfId="17691" xr:uid="{00000000-0005-0000-0000-000069450000}"/>
    <cellStyle name="SAPBEXexcCritical4 26 8" xfId="20538" xr:uid="{00000000-0005-0000-0000-00006A450000}"/>
    <cellStyle name="SAPBEXexcCritical4 26 9" xfId="22319" xr:uid="{00000000-0005-0000-0000-00006B450000}"/>
    <cellStyle name="SAPBEXexcCritical4 27" xfId="4128" xr:uid="{00000000-0005-0000-0000-00006C450000}"/>
    <cellStyle name="SAPBEXexcCritical4 27 2" xfId="6666" xr:uid="{00000000-0005-0000-0000-00006D450000}"/>
    <cellStyle name="SAPBEXexcCritical4 27 3" xfId="8471" xr:uid="{00000000-0005-0000-0000-00006E450000}"/>
    <cellStyle name="SAPBEXexcCritical4 27 4" xfId="11371" xr:uid="{00000000-0005-0000-0000-00006F450000}"/>
    <cellStyle name="SAPBEXexcCritical4 27 5" xfId="13785" xr:uid="{00000000-0005-0000-0000-000070450000}"/>
    <cellStyle name="SAPBEXexcCritical4 27 6" xfId="12466" xr:uid="{00000000-0005-0000-0000-000071450000}"/>
    <cellStyle name="SAPBEXexcCritical4 27 7" xfId="18481" xr:uid="{00000000-0005-0000-0000-000072450000}"/>
    <cellStyle name="SAPBEXexcCritical4 27 8" xfId="17162" xr:uid="{00000000-0005-0000-0000-000073450000}"/>
    <cellStyle name="SAPBEXexcCritical4 27 9" xfId="23045" xr:uid="{00000000-0005-0000-0000-000074450000}"/>
    <cellStyle name="SAPBEXexcCritical4 28" xfId="4200" xr:uid="{00000000-0005-0000-0000-000075450000}"/>
    <cellStyle name="SAPBEXexcCritical4 28 2" xfId="6738" xr:uid="{00000000-0005-0000-0000-000076450000}"/>
    <cellStyle name="SAPBEXexcCritical4 28 3" xfId="8923" xr:uid="{00000000-0005-0000-0000-000077450000}"/>
    <cellStyle name="SAPBEXexcCritical4 28 4" xfId="10719" xr:uid="{00000000-0005-0000-0000-000078450000}"/>
    <cellStyle name="SAPBEXexcCritical4 28 5" xfId="13074" xr:uid="{00000000-0005-0000-0000-000079450000}"/>
    <cellStyle name="SAPBEXexcCritical4 28 6" xfId="15947" xr:uid="{00000000-0005-0000-0000-00007A450000}"/>
    <cellStyle name="SAPBEXexcCritical4 28 7" xfId="17770" xr:uid="{00000000-0005-0000-0000-00007B450000}"/>
    <cellStyle name="SAPBEXexcCritical4 28 8" xfId="20643" xr:uid="{00000000-0005-0000-0000-00007C450000}"/>
    <cellStyle name="SAPBEXexcCritical4 28 9" xfId="22392" xr:uid="{00000000-0005-0000-0000-00007D450000}"/>
    <cellStyle name="SAPBEXexcCritical4 29" xfId="4242" xr:uid="{00000000-0005-0000-0000-00007E450000}"/>
    <cellStyle name="SAPBEXexcCritical4 29 2" xfId="6780" xr:uid="{00000000-0005-0000-0000-00007F450000}"/>
    <cellStyle name="SAPBEXexcCritical4 29 3" xfId="9638" xr:uid="{00000000-0005-0000-0000-000080450000}"/>
    <cellStyle name="SAPBEXexcCritical4 29 4" xfId="10742" xr:uid="{00000000-0005-0000-0000-000081450000}"/>
    <cellStyle name="SAPBEXexcCritical4 29 5" xfId="13097" xr:uid="{00000000-0005-0000-0000-000082450000}"/>
    <cellStyle name="SAPBEXexcCritical4 29 6" xfId="15626" xr:uid="{00000000-0005-0000-0000-000083450000}"/>
    <cellStyle name="SAPBEXexcCritical4 29 7" xfId="17793" xr:uid="{00000000-0005-0000-0000-000084450000}"/>
    <cellStyle name="SAPBEXexcCritical4 29 8" xfId="20322" xr:uid="{00000000-0005-0000-0000-000085450000}"/>
    <cellStyle name="SAPBEXexcCritical4 29 9" xfId="22415" xr:uid="{00000000-0005-0000-0000-000086450000}"/>
    <cellStyle name="SAPBEXexcCritical4 3" xfId="3120" xr:uid="{00000000-0005-0000-0000-000087450000}"/>
    <cellStyle name="SAPBEXexcCritical4 3 2" xfId="5658" xr:uid="{00000000-0005-0000-0000-000088450000}"/>
    <cellStyle name="SAPBEXexcCritical4 3 3" xfId="10182" xr:uid="{00000000-0005-0000-0000-000089450000}"/>
    <cellStyle name="SAPBEXexcCritical4 3 4" xfId="11653" xr:uid="{00000000-0005-0000-0000-00008A450000}"/>
    <cellStyle name="SAPBEXexcCritical4 3 5" xfId="14099" xr:uid="{00000000-0005-0000-0000-00008B450000}"/>
    <cellStyle name="SAPBEXexcCritical4 3 6" xfId="16185" xr:uid="{00000000-0005-0000-0000-00008C450000}"/>
    <cellStyle name="SAPBEXexcCritical4 3 7" xfId="18795" xr:uid="{00000000-0005-0000-0000-00008D450000}"/>
    <cellStyle name="SAPBEXexcCritical4 3 8" xfId="20881" xr:uid="{00000000-0005-0000-0000-00008E450000}"/>
    <cellStyle name="SAPBEXexcCritical4 3 9" xfId="23328" xr:uid="{00000000-0005-0000-0000-00008F450000}"/>
    <cellStyle name="SAPBEXexcCritical4 30" xfId="4285" xr:uid="{00000000-0005-0000-0000-000090450000}"/>
    <cellStyle name="SAPBEXexcCritical4 30 2" xfId="6823" xr:uid="{00000000-0005-0000-0000-000091450000}"/>
    <cellStyle name="SAPBEXexcCritical4 30 3" xfId="8969" xr:uid="{00000000-0005-0000-0000-000092450000}"/>
    <cellStyle name="SAPBEXexcCritical4 30 4" xfId="12154" xr:uid="{00000000-0005-0000-0000-000093450000}"/>
    <cellStyle name="SAPBEXexcCritical4 30 5" xfId="14637" xr:uid="{00000000-0005-0000-0000-000094450000}"/>
    <cellStyle name="SAPBEXexcCritical4 30 6" xfId="15362" xr:uid="{00000000-0005-0000-0000-000095450000}"/>
    <cellStyle name="SAPBEXexcCritical4 30 7" xfId="19333" xr:uid="{00000000-0005-0000-0000-000096450000}"/>
    <cellStyle name="SAPBEXexcCritical4 30 8" xfId="20058" xr:uid="{00000000-0005-0000-0000-000097450000}"/>
    <cellStyle name="SAPBEXexcCritical4 30 9" xfId="23828" xr:uid="{00000000-0005-0000-0000-000098450000}"/>
    <cellStyle name="SAPBEXexcCritical4 31" xfId="4328" xr:uid="{00000000-0005-0000-0000-000099450000}"/>
    <cellStyle name="SAPBEXexcCritical4 31 2" xfId="6866" xr:uid="{00000000-0005-0000-0000-00009A450000}"/>
    <cellStyle name="SAPBEXexcCritical4 31 3" xfId="9787" xr:uid="{00000000-0005-0000-0000-00009B450000}"/>
    <cellStyle name="SAPBEXexcCritical4 31 4" xfId="11148" xr:uid="{00000000-0005-0000-0000-00009C450000}"/>
    <cellStyle name="SAPBEXexcCritical4 31 5" xfId="14895" xr:uid="{00000000-0005-0000-0000-00009D450000}"/>
    <cellStyle name="SAPBEXexcCritical4 31 6" xfId="15350" xr:uid="{00000000-0005-0000-0000-00009E450000}"/>
    <cellStyle name="SAPBEXexcCritical4 31 7" xfId="19591" xr:uid="{00000000-0005-0000-0000-00009F450000}"/>
    <cellStyle name="SAPBEXexcCritical4 31 8" xfId="20046" xr:uid="{00000000-0005-0000-0000-0000A0450000}"/>
    <cellStyle name="SAPBEXexcCritical4 31 9" xfId="24061" xr:uid="{00000000-0005-0000-0000-0000A1450000}"/>
    <cellStyle name="SAPBEXexcCritical4 32" xfId="4473" xr:uid="{00000000-0005-0000-0000-0000A2450000}"/>
    <cellStyle name="SAPBEXexcCritical4 32 2" xfId="7011" xr:uid="{00000000-0005-0000-0000-0000A3450000}"/>
    <cellStyle name="SAPBEXexcCritical4 32 3" xfId="8155" xr:uid="{00000000-0005-0000-0000-0000A4450000}"/>
    <cellStyle name="SAPBEXexcCritical4 32 4" xfId="10342" xr:uid="{00000000-0005-0000-0000-0000A5450000}"/>
    <cellStyle name="SAPBEXexcCritical4 32 5" xfId="12620" xr:uid="{00000000-0005-0000-0000-0000A6450000}"/>
    <cellStyle name="SAPBEXexcCritical4 32 6" xfId="15829" xr:uid="{00000000-0005-0000-0000-0000A7450000}"/>
    <cellStyle name="SAPBEXexcCritical4 32 7" xfId="17316" xr:uid="{00000000-0005-0000-0000-0000A8450000}"/>
    <cellStyle name="SAPBEXexcCritical4 32 8" xfId="20525" xr:uid="{00000000-0005-0000-0000-0000A9450000}"/>
    <cellStyle name="SAPBEXexcCritical4 32 9" xfId="21975" xr:uid="{00000000-0005-0000-0000-0000AA450000}"/>
    <cellStyle name="SAPBEXexcCritical4 33" xfId="4383" xr:uid="{00000000-0005-0000-0000-0000AB450000}"/>
    <cellStyle name="SAPBEXexcCritical4 33 2" xfId="6921" xr:uid="{00000000-0005-0000-0000-0000AC450000}"/>
    <cellStyle name="SAPBEXexcCritical4 33 3" xfId="5436" xr:uid="{00000000-0005-0000-0000-0000AD450000}"/>
    <cellStyle name="SAPBEXexcCritical4 33 4" xfId="10837" xr:uid="{00000000-0005-0000-0000-0000AE450000}"/>
    <cellStyle name="SAPBEXexcCritical4 33 5" xfId="13202" xr:uid="{00000000-0005-0000-0000-0000AF450000}"/>
    <cellStyle name="SAPBEXexcCritical4 33 6" xfId="15491" xr:uid="{00000000-0005-0000-0000-0000B0450000}"/>
    <cellStyle name="SAPBEXexcCritical4 33 7" xfId="17898" xr:uid="{00000000-0005-0000-0000-0000B1450000}"/>
    <cellStyle name="SAPBEXexcCritical4 33 8" xfId="20187" xr:uid="{00000000-0005-0000-0000-0000B2450000}"/>
    <cellStyle name="SAPBEXexcCritical4 33 9" xfId="22508" xr:uid="{00000000-0005-0000-0000-0000B3450000}"/>
    <cellStyle name="SAPBEXexcCritical4 34" xfId="4442" xr:uid="{00000000-0005-0000-0000-0000B4450000}"/>
    <cellStyle name="SAPBEXexcCritical4 34 2" xfId="6980" xr:uid="{00000000-0005-0000-0000-0000B5450000}"/>
    <cellStyle name="SAPBEXexcCritical4 34 3" xfId="9597" xr:uid="{00000000-0005-0000-0000-0000B6450000}"/>
    <cellStyle name="SAPBEXexcCritical4 34 4" xfId="9330" xr:uid="{00000000-0005-0000-0000-0000B7450000}"/>
    <cellStyle name="SAPBEXexcCritical4 34 5" xfId="14936" xr:uid="{00000000-0005-0000-0000-0000B8450000}"/>
    <cellStyle name="SAPBEXexcCritical4 34 6" xfId="15098" xr:uid="{00000000-0005-0000-0000-0000B9450000}"/>
    <cellStyle name="SAPBEXexcCritical4 34 7" xfId="19632" xr:uid="{00000000-0005-0000-0000-0000BA450000}"/>
    <cellStyle name="SAPBEXexcCritical4 34 8" xfId="19794" xr:uid="{00000000-0005-0000-0000-0000BB450000}"/>
    <cellStyle name="SAPBEXexcCritical4 34 9" xfId="24099" xr:uid="{00000000-0005-0000-0000-0000BC450000}"/>
    <cellStyle name="SAPBEXexcCritical4 35" xfId="4568" xr:uid="{00000000-0005-0000-0000-0000BD450000}"/>
    <cellStyle name="SAPBEXexcCritical4 35 2" xfId="7106" xr:uid="{00000000-0005-0000-0000-0000BE450000}"/>
    <cellStyle name="SAPBEXexcCritical4 35 3" xfId="9145" xr:uid="{00000000-0005-0000-0000-0000BF450000}"/>
    <cellStyle name="SAPBEXexcCritical4 35 4" xfId="11381" xr:uid="{00000000-0005-0000-0000-0000C0450000}"/>
    <cellStyle name="SAPBEXexcCritical4 35 5" xfId="13795" xr:uid="{00000000-0005-0000-0000-0000C1450000}"/>
    <cellStyle name="SAPBEXexcCritical4 35 6" xfId="15429" xr:uid="{00000000-0005-0000-0000-0000C2450000}"/>
    <cellStyle name="SAPBEXexcCritical4 35 7" xfId="18491" xr:uid="{00000000-0005-0000-0000-0000C3450000}"/>
    <cellStyle name="SAPBEXexcCritical4 35 8" xfId="20125" xr:uid="{00000000-0005-0000-0000-0000C4450000}"/>
    <cellStyle name="SAPBEXexcCritical4 35 9" xfId="23055" xr:uid="{00000000-0005-0000-0000-0000C5450000}"/>
    <cellStyle name="SAPBEXexcCritical4 36" xfId="4532" xr:uid="{00000000-0005-0000-0000-0000C6450000}"/>
    <cellStyle name="SAPBEXexcCritical4 36 2" xfId="7070" xr:uid="{00000000-0005-0000-0000-0000C7450000}"/>
    <cellStyle name="SAPBEXexcCritical4 36 3" xfId="5485" xr:uid="{00000000-0005-0000-0000-0000C8450000}"/>
    <cellStyle name="SAPBEXexcCritical4 36 4" xfId="12298" xr:uid="{00000000-0005-0000-0000-0000C9450000}"/>
    <cellStyle name="SAPBEXexcCritical4 36 5" xfId="14532" xr:uid="{00000000-0005-0000-0000-0000CA450000}"/>
    <cellStyle name="SAPBEXexcCritical4 36 6" xfId="16348" xr:uid="{00000000-0005-0000-0000-0000CB450000}"/>
    <cellStyle name="SAPBEXexcCritical4 36 7" xfId="19228" xr:uid="{00000000-0005-0000-0000-0000CC450000}"/>
    <cellStyle name="SAPBEXexcCritical4 36 8" xfId="21044" xr:uid="{00000000-0005-0000-0000-0000CD450000}"/>
    <cellStyle name="SAPBEXexcCritical4 36 9" xfId="23724" xr:uid="{00000000-0005-0000-0000-0000CE450000}"/>
    <cellStyle name="SAPBEXexcCritical4 37" xfId="4586" xr:uid="{00000000-0005-0000-0000-0000CF450000}"/>
    <cellStyle name="SAPBEXexcCritical4 37 2" xfId="7124" xr:uid="{00000000-0005-0000-0000-0000D0450000}"/>
    <cellStyle name="SAPBEXexcCritical4 37 3" xfId="9529" xr:uid="{00000000-0005-0000-0000-0000D1450000}"/>
    <cellStyle name="SAPBEXexcCritical4 37 4" xfId="12099" xr:uid="{00000000-0005-0000-0000-0000D2450000}"/>
    <cellStyle name="SAPBEXexcCritical4 37 5" xfId="14727" xr:uid="{00000000-0005-0000-0000-0000D3450000}"/>
    <cellStyle name="SAPBEXexcCritical4 37 6" xfId="16051" xr:uid="{00000000-0005-0000-0000-0000D4450000}"/>
    <cellStyle name="SAPBEXexcCritical4 37 7" xfId="19423" xr:uid="{00000000-0005-0000-0000-0000D5450000}"/>
    <cellStyle name="SAPBEXexcCritical4 37 8" xfId="20747" xr:uid="{00000000-0005-0000-0000-0000D6450000}"/>
    <cellStyle name="SAPBEXexcCritical4 37 9" xfId="23913" xr:uid="{00000000-0005-0000-0000-0000D7450000}"/>
    <cellStyle name="SAPBEXexcCritical4 38" xfId="4772" xr:uid="{00000000-0005-0000-0000-0000D8450000}"/>
    <cellStyle name="SAPBEXexcCritical4 38 2" xfId="7310" xr:uid="{00000000-0005-0000-0000-0000D9450000}"/>
    <cellStyle name="SAPBEXexcCritical4 38 3" xfId="10101" xr:uid="{00000000-0005-0000-0000-0000DA450000}"/>
    <cellStyle name="SAPBEXexcCritical4 38 4" xfId="11123" xr:uid="{00000000-0005-0000-0000-0000DB450000}"/>
    <cellStyle name="SAPBEXexcCritical4 38 5" xfId="13518" xr:uid="{00000000-0005-0000-0000-0000DC450000}"/>
    <cellStyle name="SAPBEXexcCritical4 38 6" xfId="16632" xr:uid="{00000000-0005-0000-0000-0000DD450000}"/>
    <cellStyle name="SAPBEXexcCritical4 38 7" xfId="18214" xr:uid="{00000000-0005-0000-0000-0000DE450000}"/>
    <cellStyle name="SAPBEXexcCritical4 38 8" xfId="21328" xr:uid="{00000000-0005-0000-0000-0000DF450000}"/>
    <cellStyle name="SAPBEXexcCritical4 38 9" xfId="22796" xr:uid="{00000000-0005-0000-0000-0000E0450000}"/>
    <cellStyle name="SAPBEXexcCritical4 39" xfId="4782" xr:uid="{00000000-0005-0000-0000-0000E1450000}"/>
    <cellStyle name="SAPBEXexcCritical4 39 2" xfId="7320" xr:uid="{00000000-0005-0000-0000-0000E2450000}"/>
    <cellStyle name="SAPBEXexcCritical4 39 3" xfId="10011" xr:uid="{00000000-0005-0000-0000-0000E3450000}"/>
    <cellStyle name="SAPBEXexcCritical4 39 4" xfId="11012" xr:uid="{00000000-0005-0000-0000-0000E4450000}"/>
    <cellStyle name="SAPBEXexcCritical4 39 5" xfId="13391" xr:uid="{00000000-0005-0000-0000-0000E5450000}"/>
    <cellStyle name="SAPBEXexcCritical4 39 6" xfId="16672" xr:uid="{00000000-0005-0000-0000-0000E6450000}"/>
    <cellStyle name="SAPBEXexcCritical4 39 7" xfId="18087" xr:uid="{00000000-0005-0000-0000-0000E7450000}"/>
    <cellStyle name="SAPBEXexcCritical4 39 8" xfId="21368" xr:uid="{00000000-0005-0000-0000-0000E8450000}"/>
    <cellStyle name="SAPBEXexcCritical4 39 9" xfId="22685" xr:uid="{00000000-0005-0000-0000-0000E9450000}"/>
    <cellStyle name="SAPBEXexcCritical4 4" xfId="3007" xr:uid="{00000000-0005-0000-0000-0000EA450000}"/>
    <cellStyle name="SAPBEXexcCritical4 4 2" xfId="5546" xr:uid="{00000000-0005-0000-0000-0000EB450000}"/>
    <cellStyle name="SAPBEXexcCritical4 4 3" xfId="7983" xr:uid="{00000000-0005-0000-0000-0000EC450000}"/>
    <cellStyle name="SAPBEXexcCritical4 4 4" xfId="12214" xr:uid="{00000000-0005-0000-0000-0000ED450000}"/>
    <cellStyle name="SAPBEXexcCritical4 4 5" xfId="14840" xr:uid="{00000000-0005-0000-0000-0000EE450000}"/>
    <cellStyle name="SAPBEXexcCritical4 4 6" xfId="16909" xr:uid="{00000000-0005-0000-0000-0000EF450000}"/>
    <cellStyle name="SAPBEXexcCritical4 4 7" xfId="19536" xr:uid="{00000000-0005-0000-0000-0000F0450000}"/>
    <cellStyle name="SAPBEXexcCritical4 4 8" xfId="21605" xr:uid="{00000000-0005-0000-0000-0000F1450000}"/>
    <cellStyle name="SAPBEXexcCritical4 4 9" xfId="24021" xr:uid="{00000000-0005-0000-0000-0000F2450000}"/>
    <cellStyle name="SAPBEXexcCritical4 40" xfId="4758" xr:uid="{00000000-0005-0000-0000-0000F3450000}"/>
    <cellStyle name="SAPBEXexcCritical4 40 2" xfId="7296" xr:uid="{00000000-0005-0000-0000-0000F4450000}"/>
    <cellStyle name="SAPBEXexcCritical4 40 3" xfId="5509" xr:uid="{00000000-0005-0000-0000-0000F5450000}"/>
    <cellStyle name="SAPBEXexcCritical4 40 4" xfId="8057" xr:uid="{00000000-0005-0000-0000-0000F6450000}"/>
    <cellStyle name="SAPBEXexcCritical4 40 5" xfId="12391" xr:uid="{00000000-0005-0000-0000-0000F7450000}"/>
    <cellStyle name="SAPBEXexcCritical4 40 6" xfId="15672" xr:uid="{00000000-0005-0000-0000-0000F8450000}"/>
    <cellStyle name="SAPBEXexcCritical4 40 7" xfId="17087" xr:uid="{00000000-0005-0000-0000-0000F9450000}"/>
    <cellStyle name="SAPBEXexcCritical4 40 8" xfId="20368" xr:uid="{00000000-0005-0000-0000-0000FA450000}"/>
    <cellStyle name="SAPBEXexcCritical4 40 9" xfId="21776" xr:uid="{00000000-0005-0000-0000-0000FB450000}"/>
    <cellStyle name="SAPBEXexcCritical4 41" xfId="4878" xr:uid="{00000000-0005-0000-0000-0000FC450000}"/>
    <cellStyle name="SAPBEXexcCritical4 41 2" xfId="7416" xr:uid="{00000000-0005-0000-0000-0000FD450000}"/>
    <cellStyle name="SAPBEXexcCritical4 41 3" xfId="8428" xr:uid="{00000000-0005-0000-0000-0000FE450000}"/>
    <cellStyle name="SAPBEXexcCritical4 41 4" xfId="10977" xr:uid="{00000000-0005-0000-0000-0000FF450000}"/>
    <cellStyle name="SAPBEXexcCritical4 41 5" xfId="13349" xr:uid="{00000000-0005-0000-0000-000000460000}"/>
    <cellStyle name="SAPBEXexcCritical4 41 6" xfId="16826" xr:uid="{00000000-0005-0000-0000-000001460000}"/>
    <cellStyle name="SAPBEXexcCritical4 41 7" xfId="18045" xr:uid="{00000000-0005-0000-0000-000002460000}"/>
    <cellStyle name="SAPBEXexcCritical4 41 8" xfId="21522" xr:uid="{00000000-0005-0000-0000-000003460000}"/>
    <cellStyle name="SAPBEXexcCritical4 41 9" xfId="22648" xr:uid="{00000000-0005-0000-0000-000004460000}"/>
    <cellStyle name="SAPBEXexcCritical4 42" xfId="4788" xr:uid="{00000000-0005-0000-0000-000005460000}"/>
    <cellStyle name="SAPBEXexcCritical4 42 2" xfId="7326" xr:uid="{00000000-0005-0000-0000-000006460000}"/>
    <cellStyle name="SAPBEXexcCritical4 42 3" xfId="8273" xr:uid="{00000000-0005-0000-0000-000007460000}"/>
    <cellStyle name="SAPBEXexcCritical4 42 4" xfId="10880" xr:uid="{00000000-0005-0000-0000-000008460000}"/>
    <cellStyle name="SAPBEXexcCritical4 42 5" xfId="13247" xr:uid="{00000000-0005-0000-0000-000009460000}"/>
    <cellStyle name="SAPBEXexcCritical4 42 6" xfId="16357" xr:uid="{00000000-0005-0000-0000-00000A460000}"/>
    <cellStyle name="SAPBEXexcCritical4 42 7" xfId="17943" xr:uid="{00000000-0005-0000-0000-00000B460000}"/>
    <cellStyle name="SAPBEXexcCritical4 42 8" xfId="21053" xr:uid="{00000000-0005-0000-0000-00000C460000}"/>
    <cellStyle name="SAPBEXexcCritical4 42 9" xfId="22551" xr:uid="{00000000-0005-0000-0000-00000D460000}"/>
    <cellStyle name="SAPBEXexcCritical4 43" xfId="4843" xr:uid="{00000000-0005-0000-0000-00000E460000}"/>
    <cellStyle name="SAPBEXexcCritical4 43 2" xfId="7381" xr:uid="{00000000-0005-0000-0000-00000F460000}"/>
    <cellStyle name="SAPBEXexcCritical4 43 3" xfId="8781" xr:uid="{00000000-0005-0000-0000-000010460000}"/>
    <cellStyle name="SAPBEXexcCritical4 43 4" xfId="11957" xr:uid="{00000000-0005-0000-0000-000011460000}"/>
    <cellStyle name="SAPBEXexcCritical4 43 5" xfId="14432" xr:uid="{00000000-0005-0000-0000-000012460000}"/>
    <cellStyle name="SAPBEXexcCritical4 43 6" xfId="16635" xr:uid="{00000000-0005-0000-0000-000013460000}"/>
    <cellStyle name="SAPBEXexcCritical4 43 7" xfId="19128" xr:uid="{00000000-0005-0000-0000-000014460000}"/>
    <cellStyle name="SAPBEXexcCritical4 43 8" xfId="21331" xr:uid="{00000000-0005-0000-0000-000015460000}"/>
    <cellStyle name="SAPBEXexcCritical4 43 9" xfId="23632" xr:uid="{00000000-0005-0000-0000-000016460000}"/>
    <cellStyle name="SAPBEXexcCritical4 44" xfId="4966" xr:uid="{00000000-0005-0000-0000-000017460000}"/>
    <cellStyle name="SAPBEXexcCritical4 44 2" xfId="7504" xr:uid="{00000000-0005-0000-0000-000018460000}"/>
    <cellStyle name="SAPBEXexcCritical4 44 3" xfId="9044" xr:uid="{00000000-0005-0000-0000-000019460000}"/>
    <cellStyle name="SAPBEXexcCritical4 44 4" xfId="11739" xr:uid="{00000000-0005-0000-0000-00001A460000}"/>
    <cellStyle name="SAPBEXexcCritical4 44 5" xfId="14190" xr:uid="{00000000-0005-0000-0000-00001B460000}"/>
    <cellStyle name="SAPBEXexcCritical4 44 6" xfId="16226" xr:uid="{00000000-0005-0000-0000-00001C460000}"/>
    <cellStyle name="SAPBEXexcCritical4 44 7" xfId="18886" xr:uid="{00000000-0005-0000-0000-00001D460000}"/>
    <cellStyle name="SAPBEXexcCritical4 44 8" xfId="20922" xr:uid="{00000000-0005-0000-0000-00001E460000}"/>
    <cellStyle name="SAPBEXexcCritical4 44 9" xfId="23413" xr:uid="{00000000-0005-0000-0000-00001F460000}"/>
    <cellStyle name="SAPBEXexcCritical4 45" xfId="4934" xr:uid="{00000000-0005-0000-0000-000020460000}"/>
    <cellStyle name="SAPBEXexcCritical4 45 2" xfId="7472" xr:uid="{00000000-0005-0000-0000-000021460000}"/>
    <cellStyle name="SAPBEXexcCritical4 45 3" xfId="8050" xr:uid="{00000000-0005-0000-0000-000022460000}"/>
    <cellStyle name="SAPBEXexcCritical4 45 4" xfId="12144" xr:uid="{00000000-0005-0000-0000-000023460000}"/>
    <cellStyle name="SAPBEXexcCritical4 45 5" xfId="14627" xr:uid="{00000000-0005-0000-0000-000024460000}"/>
    <cellStyle name="SAPBEXexcCritical4 45 6" xfId="15067" xr:uid="{00000000-0005-0000-0000-000025460000}"/>
    <cellStyle name="SAPBEXexcCritical4 45 7" xfId="19323" xr:uid="{00000000-0005-0000-0000-000026460000}"/>
    <cellStyle name="SAPBEXexcCritical4 45 8" xfId="19763" xr:uid="{00000000-0005-0000-0000-000027460000}"/>
    <cellStyle name="SAPBEXexcCritical4 45 9" xfId="23818" xr:uid="{00000000-0005-0000-0000-000028460000}"/>
    <cellStyle name="SAPBEXexcCritical4 46" xfId="4980" xr:uid="{00000000-0005-0000-0000-000029460000}"/>
    <cellStyle name="SAPBEXexcCritical4 46 2" xfId="7518" xr:uid="{00000000-0005-0000-0000-00002A460000}"/>
    <cellStyle name="SAPBEXexcCritical4 46 3" xfId="7773" xr:uid="{00000000-0005-0000-0000-00002B460000}"/>
    <cellStyle name="SAPBEXexcCritical4 46 4" xfId="10733" xr:uid="{00000000-0005-0000-0000-00002C460000}"/>
    <cellStyle name="SAPBEXexcCritical4 46 5" xfId="13088" xr:uid="{00000000-0005-0000-0000-00002D460000}"/>
    <cellStyle name="SAPBEXexcCritical4 46 6" xfId="15512" xr:uid="{00000000-0005-0000-0000-00002E460000}"/>
    <cellStyle name="SAPBEXexcCritical4 46 7" xfId="17784" xr:uid="{00000000-0005-0000-0000-00002F460000}"/>
    <cellStyle name="SAPBEXexcCritical4 46 8" xfId="20208" xr:uid="{00000000-0005-0000-0000-000030460000}"/>
    <cellStyle name="SAPBEXexcCritical4 46 9" xfId="22406" xr:uid="{00000000-0005-0000-0000-000031460000}"/>
    <cellStyle name="SAPBEXexcCritical4 47" xfId="5018" xr:uid="{00000000-0005-0000-0000-000032460000}"/>
    <cellStyle name="SAPBEXexcCritical4 47 2" xfId="7556" xr:uid="{00000000-0005-0000-0000-000033460000}"/>
    <cellStyle name="SAPBEXexcCritical4 47 3" xfId="10184" xr:uid="{00000000-0005-0000-0000-000034460000}"/>
    <cellStyle name="SAPBEXexcCritical4 47 4" xfId="10449" xr:uid="{00000000-0005-0000-0000-000035460000}"/>
    <cellStyle name="SAPBEXexcCritical4 47 5" xfId="12778" xr:uid="{00000000-0005-0000-0000-000036460000}"/>
    <cellStyle name="SAPBEXexcCritical4 47 6" xfId="16774" xr:uid="{00000000-0005-0000-0000-000037460000}"/>
    <cellStyle name="SAPBEXexcCritical4 47 7" xfId="17474" xr:uid="{00000000-0005-0000-0000-000038460000}"/>
    <cellStyle name="SAPBEXexcCritical4 47 8" xfId="21470" xr:uid="{00000000-0005-0000-0000-000039460000}"/>
    <cellStyle name="SAPBEXexcCritical4 47 9" xfId="22120" xr:uid="{00000000-0005-0000-0000-00003A460000}"/>
    <cellStyle name="SAPBEXexcCritical4 48" xfId="5130" xr:uid="{00000000-0005-0000-0000-00003B460000}"/>
    <cellStyle name="SAPBEXexcCritical4 48 2" xfId="7668" xr:uid="{00000000-0005-0000-0000-00003C460000}"/>
    <cellStyle name="SAPBEXexcCritical4 48 3" xfId="9559" xr:uid="{00000000-0005-0000-0000-00003D460000}"/>
    <cellStyle name="SAPBEXexcCritical4 48 4" xfId="10550" xr:uid="{00000000-0005-0000-0000-00003E460000}"/>
    <cellStyle name="SAPBEXexcCritical4 48 5" xfId="12893" xr:uid="{00000000-0005-0000-0000-00003F460000}"/>
    <cellStyle name="SAPBEXexcCritical4 48 6" xfId="15499" xr:uid="{00000000-0005-0000-0000-000040460000}"/>
    <cellStyle name="SAPBEXexcCritical4 48 7" xfId="17589" xr:uid="{00000000-0005-0000-0000-000041460000}"/>
    <cellStyle name="SAPBEXexcCritical4 48 8" xfId="20195" xr:uid="{00000000-0005-0000-0000-000042460000}"/>
    <cellStyle name="SAPBEXexcCritical4 48 9" xfId="22221" xr:uid="{00000000-0005-0000-0000-000043460000}"/>
    <cellStyle name="SAPBEXexcCritical4 49" xfId="5199" xr:uid="{00000000-0005-0000-0000-000044460000}"/>
    <cellStyle name="SAPBEXexcCritical4 49 2" xfId="7738" xr:uid="{00000000-0005-0000-0000-000045460000}"/>
    <cellStyle name="SAPBEXexcCritical4 49 3" xfId="8460" xr:uid="{00000000-0005-0000-0000-000046460000}"/>
    <cellStyle name="SAPBEXexcCritical4 49 4" xfId="10908" xr:uid="{00000000-0005-0000-0000-000047460000}"/>
    <cellStyle name="SAPBEXexcCritical4 49 5" xfId="14897" xr:uid="{00000000-0005-0000-0000-000048460000}"/>
    <cellStyle name="SAPBEXexcCritical4 49 6" xfId="16932" xr:uid="{00000000-0005-0000-0000-000049460000}"/>
    <cellStyle name="SAPBEXexcCritical4 49 7" xfId="19593" xr:uid="{00000000-0005-0000-0000-00004A460000}"/>
    <cellStyle name="SAPBEXexcCritical4 49 8" xfId="21628" xr:uid="{00000000-0005-0000-0000-00004B460000}"/>
    <cellStyle name="SAPBEXexcCritical4 49 9" xfId="24063" xr:uid="{00000000-0005-0000-0000-00004C460000}"/>
    <cellStyle name="SAPBEXexcCritical4 5" xfId="3099" xr:uid="{00000000-0005-0000-0000-00004D460000}"/>
    <cellStyle name="SAPBEXexcCritical4 5 2" xfId="5637" xr:uid="{00000000-0005-0000-0000-00004E460000}"/>
    <cellStyle name="SAPBEXexcCritical4 5 3" xfId="10193" xr:uid="{00000000-0005-0000-0000-00004F460000}"/>
    <cellStyle name="SAPBEXexcCritical4 5 4" xfId="10298" xr:uid="{00000000-0005-0000-0000-000050460000}"/>
    <cellStyle name="SAPBEXexcCritical4 5 5" xfId="12612" xr:uid="{00000000-0005-0000-0000-000051460000}"/>
    <cellStyle name="SAPBEXexcCritical4 5 6" xfId="16070" xr:uid="{00000000-0005-0000-0000-000052460000}"/>
    <cellStyle name="SAPBEXexcCritical4 5 7" xfId="17308" xr:uid="{00000000-0005-0000-0000-000053460000}"/>
    <cellStyle name="SAPBEXexcCritical4 5 8" xfId="20766" xr:uid="{00000000-0005-0000-0000-000054460000}"/>
    <cellStyle name="SAPBEXexcCritical4 5 9" xfId="21968" xr:uid="{00000000-0005-0000-0000-000055460000}"/>
    <cellStyle name="SAPBEXexcCritical4 50" xfId="5236" xr:uid="{00000000-0005-0000-0000-000056460000}"/>
    <cellStyle name="SAPBEXexcCritical4 50 2" xfId="5460" xr:uid="{00000000-0005-0000-0000-000057460000}"/>
    <cellStyle name="SAPBEXexcCritical4 50 3" xfId="10721" xr:uid="{00000000-0005-0000-0000-000058460000}"/>
    <cellStyle name="SAPBEXexcCritical4 50 4" xfId="13076" xr:uid="{00000000-0005-0000-0000-000059460000}"/>
    <cellStyle name="SAPBEXexcCritical4 50 5" xfId="15912" xr:uid="{00000000-0005-0000-0000-00005A460000}"/>
    <cellStyle name="SAPBEXexcCritical4 50 6" xfId="17772" xr:uid="{00000000-0005-0000-0000-00005B460000}"/>
    <cellStyle name="SAPBEXexcCritical4 50 7" xfId="20608" xr:uid="{00000000-0005-0000-0000-00005C460000}"/>
    <cellStyle name="SAPBEXexcCritical4 50 8" xfId="22394" xr:uid="{00000000-0005-0000-0000-00005D460000}"/>
    <cellStyle name="SAPBEXexcCritical4 51" xfId="9760" xr:uid="{00000000-0005-0000-0000-00005E460000}"/>
    <cellStyle name="SAPBEXexcCritical4 52" xfId="10726" xr:uid="{00000000-0005-0000-0000-00005F460000}"/>
    <cellStyle name="SAPBEXexcCritical4 53" xfId="13081" xr:uid="{00000000-0005-0000-0000-000060460000}"/>
    <cellStyle name="SAPBEXexcCritical4 54" xfId="15678" xr:uid="{00000000-0005-0000-0000-000061460000}"/>
    <cellStyle name="SAPBEXexcCritical4 55" xfId="17777" xr:uid="{00000000-0005-0000-0000-000062460000}"/>
    <cellStyle name="SAPBEXexcCritical4 56" xfId="20374" xr:uid="{00000000-0005-0000-0000-000063460000}"/>
    <cellStyle name="SAPBEXexcCritical4 57" xfId="22399" xr:uid="{00000000-0005-0000-0000-000064460000}"/>
    <cellStyle name="SAPBEXexcCritical4 58" xfId="42192" xr:uid="{AEE1697F-03D0-4FC2-A26F-BA88D9D4E75F}"/>
    <cellStyle name="SAPBEXexcCritical4 6" xfId="3145" xr:uid="{00000000-0005-0000-0000-000065460000}"/>
    <cellStyle name="SAPBEXexcCritical4 6 2" xfId="5683" xr:uid="{00000000-0005-0000-0000-000066460000}"/>
    <cellStyle name="SAPBEXexcCritical4 6 3" xfId="10145" xr:uid="{00000000-0005-0000-0000-000067460000}"/>
    <cellStyle name="SAPBEXexcCritical4 6 4" xfId="11528" xr:uid="{00000000-0005-0000-0000-000068460000}"/>
    <cellStyle name="SAPBEXexcCritical4 6 5" xfId="13958" xr:uid="{00000000-0005-0000-0000-000069460000}"/>
    <cellStyle name="SAPBEXexcCritical4 6 6" xfId="16779" xr:uid="{00000000-0005-0000-0000-00006A460000}"/>
    <cellStyle name="SAPBEXexcCritical4 6 7" xfId="18654" xr:uid="{00000000-0005-0000-0000-00006B460000}"/>
    <cellStyle name="SAPBEXexcCritical4 6 8" xfId="21475" xr:uid="{00000000-0005-0000-0000-00006C460000}"/>
    <cellStyle name="SAPBEXexcCritical4 6 9" xfId="23202" xr:uid="{00000000-0005-0000-0000-00006D460000}"/>
    <cellStyle name="SAPBEXexcCritical4 7" xfId="3188" xr:uid="{00000000-0005-0000-0000-00006E460000}"/>
    <cellStyle name="SAPBEXexcCritical4 7 2" xfId="5726" xr:uid="{00000000-0005-0000-0000-00006F460000}"/>
    <cellStyle name="SAPBEXexcCritical4 7 3" xfId="9333" xr:uid="{00000000-0005-0000-0000-000070460000}"/>
    <cellStyle name="SAPBEXexcCritical4 7 4" xfId="10735" xr:uid="{00000000-0005-0000-0000-000071460000}"/>
    <cellStyle name="SAPBEXexcCritical4 7 5" xfId="13090" xr:uid="{00000000-0005-0000-0000-000072460000}"/>
    <cellStyle name="SAPBEXexcCritical4 7 6" xfId="16225" xr:uid="{00000000-0005-0000-0000-000073460000}"/>
    <cellStyle name="SAPBEXexcCritical4 7 7" xfId="17786" xr:uid="{00000000-0005-0000-0000-000074460000}"/>
    <cellStyle name="SAPBEXexcCritical4 7 8" xfId="20921" xr:uid="{00000000-0005-0000-0000-000075460000}"/>
    <cellStyle name="SAPBEXexcCritical4 7 9" xfId="22408" xr:uid="{00000000-0005-0000-0000-000076460000}"/>
    <cellStyle name="SAPBEXexcCritical4 8" xfId="3231" xr:uid="{00000000-0005-0000-0000-000077460000}"/>
    <cellStyle name="SAPBEXexcCritical4 8 2" xfId="5769" xr:uid="{00000000-0005-0000-0000-000078460000}"/>
    <cellStyle name="SAPBEXexcCritical4 8 3" xfId="9838" xr:uid="{00000000-0005-0000-0000-000079460000}"/>
    <cellStyle name="SAPBEXexcCritical4 8 4" xfId="11679" xr:uid="{00000000-0005-0000-0000-00007A460000}"/>
    <cellStyle name="SAPBEXexcCritical4 8 5" xfId="14126" xr:uid="{00000000-0005-0000-0000-00007B460000}"/>
    <cellStyle name="SAPBEXexcCritical4 8 6" xfId="16794" xr:uid="{00000000-0005-0000-0000-00007C460000}"/>
    <cellStyle name="SAPBEXexcCritical4 8 7" xfId="18822" xr:uid="{00000000-0005-0000-0000-00007D460000}"/>
    <cellStyle name="SAPBEXexcCritical4 8 8" xfId="21490" xr:uid="{00000000-0005-0000-0000-00007E460000}"/>
    <cellStyle name="SAPBEXexcCritical4 8 9" xfId="23353" xr:uid="{00000000-0005-0000-0000-00007F460000}"/>
    <cellStyle name="SAPBEXexcCritical4 9" xfId="3274" xr:uid="{00000000-0005-0000-0000-000080460000}"/>
    <cellStyle name="SAPBEXexcCritical4 9 2" xfId="5812" xr:uid="{00000000-0005-0000-0000-000081460000}"/>
    <cellStyle name="SAPBEXexcCritical4 9 3" xfId="5427" xr:uid="{00000000-0005-0000-0000-000082460000}"/>
    <cellStyle name="SAPBEXexcCritical4 9 4" xfId="10405" xr:uid="{00000000-0005-0000-0000-000083460000}"/>
    <cellStyle name="SAPBEXexcCritical4 9 5" xfId="12728" xr:uid="{00000000-0005-0000-0000-000084460000}"/>
    <cellStyle name="SAPBEXexcCritical4 9 6" xfId="15409" xr:uid="{00000000-0005-0000-0000-000085460000}"/>
    <cellStyle name="SAPBEXexcCritical4 9 7" xfId="17424" xr:uid="{00000000-0005-0000-0000-000086460000}"/>
    <cellStyle name="SAPBEXexcCritical4 9 8" xfId="20105" xr:uid="{00000000-0005-0000-0000-000087460000}"/>
    <cellStyle name="SAPBEXexcCritical4 9 9" xfId="22076" xr:uid="{00000000-0005-0000-0000-000088460000}"/>
    <cellStyle name="SAPBEXexcCritical5" xfId="2950" xr:uid="{00000000-0005-0000-0000-000089460000}"/>
    <cellStyle name="SAPBEXexcCritical5 10" xfId="3288" xr:uid="{00000000-0005-0000-0000-00008A460000}"/>
    <cellStyle name="SAPBEXexcCritical5 10 2" xfId="5826" xr:uid="{00000000-0005-0000-0000-00008B460000}"/>
    <cellStyle name="SAPBEXexcCritical5 10 3" xfId="8108" xr:uid="{00000000-0005-0000-0000-00008C460000}"/>
    <cellStyle name="SAPBEXexcCritical5 10 4" xfId="11245" xr:uid="{00000000-0005-0000-0000-00008D460000}"/>
    <cellStyle name="SAPBEXexcCritical5 10 5" xfId="13650" xr:uid="{00000000-0005-0000-0000-00008E460000}"/>
    <cellStyle name="SAPBEXexcCritical5 10 6" xfId="16431" xr:uid="{00000000-0005-0000-0000-00008F460000}"/>
    <cellStyle name="SAPBEXexcCritical5 10 7" xfId="18346" xr:uid="{00000000-0005-0000-0000-000090460000}"/>
    <cellStyle name="SAPBEXexcCritical5 10 8" xfId="21127" xr:uid="{00000000-0005-0000-0000-000091460000}"/>
    <cellStyle name="SAPBEXexcCritical5 10 9" xfId="22919" xr:uid="{00000000-0005-0000-0000-000092460000}"/>
    <cellStyle name="SAPBEXexcCritical5 11" xfId="3276" xr:uid="{00000000-0005-0000-0000-000093460000}"/>
    <cellStyle name="SAPBEXexcCritical5 11 2" xfId="5814" xr:uid="{00000000-0005-0000-0000-000094460000}"/>
    <cellStyle name="SAPBEXexcCritical5 11 3" xfId="5473" xr:uid="{00000000-0005-0000-0000-000095460000}"/>
    <cellStyle name="SAPBEXexcCritical5 11 4" xfId="10623" xr:uid="{00000000-0005-0000-0000-000096460000}"/>
    <cellStyle name="SAPBEXexcCritical5 11 5" xfId="12972" xr:uid="{00000000-0005-0000-0000-000097460000}"/>
    <cellStyle name="SAPBEXexcCritical5 11 6" xfId="12799" xr:uid="{00000000-0005-0000-0000-000098460000}"/>
    <cellStyle name="SAPBEXexcCritical5 11 7" xfId="17668" xr:uid="{00000000-0005-0000-0000-000099460000}"/>
    <cellStyle name="SAPBEXexcCritical5 11 8" xfId="17495" xr:uid="{00000000-0005-0000-0000-00009A460000}"/>
    <cellStyle name="SAPBEXexcCritical5 11 9" xfId="22296" xr:uid="{00000000-0005-0000-0000-00009B460000}"/>
    <cellStyle name="SAPBEXexcCritical5 12" xfId="3372" xr:uid="{00000000-0005-0000-0000-00009C460000}"/>
    <cellStyle name="SAPBEXexcCritical5 12 2" xfId="5910" xr:uid="{00000000-0005-0000-0000-00009D460000}"/>
    <cellStyle name="SAPBEXexcCritical5 12 3" xfId="9328" xr:uid="{00000000-0005-0000-0000-00009E460000}"/>
    <cellStyle name="SAPBEXexcCritical5 12 4" xfId="8242" xr:uid="{00000000-0005-0000-0000-00009F460000}"/>
    <cellStyle name="SAPBEXexcCritical5 12 5" xfId="12500" xr:uid="{00000000-0005-0000-0000-0000A0460000}"/>
    <cellStyle name="SAPBEXexcCritical5 12 6" xfId="16392" xr:uid="{00000000-0005-0000-0000-0000A1460000}"/>
    <cellStyle name="SAPBEXexcCritical5 12 7" xfId="17196" xr:uid="{00000000-0005-0000-0000-0000A2460000}"/>
    <cellStyle name="SAPBEXexcCritical5 12 8" xfId="21088" xr:uid="{00000000-0005-0000-0000-0000A3460000}"/>
    <cellStyle name="SAPBEXexcCritical5 12 9" xfId="21869" xr:uid="{00000000-0005-0000-0000-0000A4460000}"/>
    <cellStyle name="SAPBEXexcCritical5 13" xfId="3617" xr:uid="{00000000-0005-0000-0000-0000A5460000}"/>
    <cellStyle name="SAPBEXexcCritical5 13 2" xfId="6155" xr:uid="{00000000-0005-0000-0000-0000A6460000}"/>
    <cellStyle name="SAPBEXexcCritical5 13 3" xfId="9745" xr:uid="{00000000-0005-0000-0000-0000A7460000}"/>
    <cellStyle name="SAPBEXexcCritical5 13 4" xfId="10271" xr:uid="{00000000-0005-0000-0000-0000A8460000}"/>
    <cellStyle name="SAPBEXexcCritical5 13 5" xfId="12581" xr:uid="{00000000-0005-0000-0000-0000A9460000}"/>
    <cellStyle name="SAPBEXexcCritical5 13 6" xfId="15198" xr:uid="{00000000-0005-0000-0000-0000AA460000}"/>
    <cellStyle name="SAPBEXexcCritical5 13 7" xfId="17277" xr:uid="{00000000-0005-0000-0000-0000AB460000}"/>
    <cellStyle name="SAPBEXexcCritical5 13 8" xfId="19894" xr:uid="{00000000-0005-0000-0000-0000AC460000}"/>
    <cellStyle name="SAPBEXexcCritical5 13 9" xfId="21940" xr:uid="{00000000-0005-0000-0000-0000AD460000}"/>
    <cellStyle name="SAPBEXexcCritical5 14" xfId="3546" xr:uid="{00000000-0005-0000-0000-0000AE460000}"/>
    <cellStyle name="SAPBEXexcCritical5 14 2" xfId="6084" xr:uid="{00000000-0005-0000-0000-0000AF460000}"/>
    <cellStyle name="SAPBEXexcCritical5 14 3" xfId="9100" xr:uid="{00000000-0005-0000-0000-0000B0460000}"/>
    <cellStyle name="SAPBEXexcCritical5 14 4" xfId="11884" xr:uid="{00000000-0005-0000-0000-0000B1460000}"/>
    <cellStyle name="SAPBEXexcCritical5 14 5" xfId="14350" xr:uid="{00000000-0005-0000-0000-0000B2460000}"/>
    <cellStyle name="SAPBEXexcCritical5 14 6" xfId="16701" xr:uid="{00000000-0005-0000-0000-0000B3460000}"/>
    <cellStyle name="SAPBEXexcCritical5 14 7" xfId="19046" xr:uid="{00000000-0005-0000-0000-0000B4460000}"/>
    <cellStyle name="SAPBEXexcCritical5 14 8" xfId="21397" xr:uid="{00000000-0005-0000-0000-0000B5460000}"/>
    <cellStyle name="SAPBEXexcCritical5 14 9" xfId="23560" xr:uid="{00000000-0005-0000-0000-0000B6460000}"/>
    <cellStyle name="SAPBEXexcCritical5 15" xfId="3700" xr:uid="{00000000-0005-0000-0000-0000B7460000}"/>
    <cellStyle name="SAPBEXexcCritical5 15 2" xfId="6238" xr:uid="{00000000-0005-0000-0000-0000B8460000}"/>
    <cellStyle name="SAPBEXexcCritical5 15 3" xfId="8300" xr:uid="{00000000-0005-0000-0000-0000B9460000}"/>
    <cellStyle name="SAPBEXexcCritical5 15 4" xfId="11028" xr:uid="{00000000-0005-0000-0000-0000BA460000}"/>
    <cellStyle name="SAPBEXexcCritical5 15 5" xfId="13410" xr:uid="{00000000-0005-0000-0000-0000BB460000}"/>
    <cellStyle name="SAPBEXexcCritical5 15 6" xfId="15069" xr:uid="{00000000-0005-0000-0000-0000BC460000}"/>
    <cellStyle name="SAPBEXexcCritical5 15 7" xfId="18106" xr:uid="{00000000-0005-0000-0000-0000BD460000}"/>
    <cellStyle name="SAPBEXexcCritical5 15 8" xfId="19765" xr:uid="{00000000-0005-0000-0000-0000BE460000}"/>
    <cellStyle name="SAPBEXexcCritical5 15 9" xfId="22701" xr:uid="{00000000-0005-0000-0000-0000BF460000}"/>
    <cellStyle name="SAPBEXexcCritical5 16" xfId="3762" xr:uid="{00000000-0005-0000-0000-0000C0460000}"/>
    <cellStyle name="SAPBEXexcCritical5 16 2" xfId="6300" xr:uid="{00000000-0005-0000-0000-0000C1460000}"/>
    <cellStyle name="SAPBEXexcCritical5 16 3" xfId="9683" xr:uid="{00000000-0005-0000-0000-0000C2460000}"/>
    <cellStyle name="SAPBEXexcCritical5 16 4" xfId="10955" xr:uid="{00000000-0005-0000-0000-0000C3460000}"/>
    <cellStyle name="SAPBEXexcCritical5 16 5" xfId="13326" xr:uid="{00000000-0005-0000-0000-0000C4460000}"/>
    <cellStyle name="SAPBEXexcCritical5 16 6" xfId="15650" xr:uid="{00000000-0005-0000-0000-0000C5460000}"/>
    <cellStyle name="SAPBEXexcCritical5 16 7" xfId="18022" xr:uid="{00000000-0005-0000-0000-0000C6460000}"/>
    <cellStyle name="SAPBEXexcCritical5 16 8" xfId="20346" xr:uid="{00000000-0005-0000-0000-0000C7460000}"/>
    <cellStyle name="SAPBEXexcCritical5 16 9" xfId="22626" xr:uid="{00000000-0005-0000-0000-0000C8460000}"/>
    <cellStyle name="SAPBEXexcCritical5 17" xfId="3837" xr:uid="{00000000-0005-0000-0000-0000C9460000}"/>
    <cellStyle name="SAPBEXexcCritical5 17 2" xfId="6375" xr:uid="{00000000-0005-0000-0000-0000CA460000}"/>
    <cellStyle name="SAPBEXexcCritical5 17 3" xfId="8630" xr:uid="{00000000-0005-0000-0000-0000CB460000}"/>
    <cellStyle name="SAPBEXexcCritical5 17 4" xfId="11501" xr:uid="{00000000-0005-0000-0000-0000CC460000}"/>
    <cellStyle name="SAPBEXexcCritical5 17 5" xfId="13928" xr:uid="{00000000-0005-0000-0000-0000CD460000}"/>
    <cellStyle name="SAPBEXexcCritical5 17 6" xfId="15036" xr:uid="{00000000-0005-0000-0000-0000CE460000}"/>
    <cellStyle name="SAPBEXexcCritical5 17 7" xfId="18624" xr:uid="{00000000-0005-0000-0000-0000CF460000}"/>
    <cellStyle name="SAPBEXexcCritical5 17 8" xfId="19732" xr:uid="{00000000-0005-0000-0000-0000D0460000}"/>
    <cellStyle name="SAPBEXexcCritical5 17 9" xfId="23176" xr:uid="{00000000-0005-0000-0000-0000D1460000}"/>
    <cellStyle name="SAPBEXexcCritical5 18" xfId="3874" xr:uid="{00000000-0005-0000-0000-0000D2460000}"/>
    <cellStyle name="SAPBEXexcCritical5 18 2" xfId="6412" xr:uid="{00000000-0005-0000-0000-0000D3460000}"/>
    <cellStyle name="SAPBEXexcCritical5 18 3" xfId="5634" xr:uid="{00000000-0005-0000-0000-0000D4460000}"/>
    <cellStyle name="SAPBEXexcCritical5 18 4" xfId="11353" xr:uid="{00000000-0005-0000-0000-0000D5460000}"/>
    <cellStyle name="SAPBEXexcCritical5 18 5" xfId="13765" xr:uid="{00000000-0005-0000-0000-0000D6460000}"/>
    <cellStyle name="SAPBEXexcCritical5 18 6" xfId="15745" xr:uid="{00000000-0005-0000-0000-0000D7460000}"/>
    <cellStyle name="SAPBEXexcCritical5 18 7" xfId="18461" xr:uid="{00000000-0005-0000-0000-0000D8460000}"/>
    <cellStyle name="SAPBEXexcCritical5 18 8" xfId="20441" xr:uid="{00000000-0005-0000-0000-0000D9460000}"/>
    <cellStyle name="SAPBEXexcCritical5 18 9" xfId="23027" xr:uid="{00000000-0005-0000-0000-0000DA460000}"/>
    <cellStyle name="SAPBEXexcCritical5 19" xfId="3661" xr:uid="{00000000-0005-0000-0000-0000DB460000}"/>
    <cellStyle name="SAPBEXexcCritical5 19 2" xfId="6199" xr:uid="{00000000-0005-0000-0000-0000DC460000}"/>
    <cellStyle name="SAPBEXexcCritical5 19 3" xfId="9043" xr:uid="{00000000-0005-0000-0000-0000DD460000}"/>
    <cellStyle name="SAPBEXexcCritical5 19 4" xfId="11839" xr:uid="{00000000-0005-0000-0000-0000DE460000}"/>
    <cellStyle name="SAPBEXexcCritical5 19 5" xfId="14298" xr:uid="{00000000-0005-0000-0000-0000DF460000}"/>
    <cellStyle name="SAPBEXexcCritical5 19 6" xfId="16528" xr:uid="{00000000-0005-0000-0000-0000E0460000}"/>
    <cellStyle name="SAPBEXexcCritical5 19 7" xfId="18994" xr:uid="{00000000-0005-0000-0000-0000E1460000}"/>
    <cellStyle name="SAPBEXexcCritical5 19 8" xfId="21224" xr:uid="{00000000-0005-0000-0000-0000E2460000}"/>
    <cellStyle name="SAPBEXexcCritical5 19 9" xfId="23514" xr:uid="{00000000-0005-0000-0000-0000E3460000}"/>
    <cellStyle name="SAPBEXexcCritical5 2" xfId="3069" xr:uid="{00000000-0005-0000-0000-0000E4460000}"/>
    <cellStyle name="SAPBEXexcCritical5 2 2" xfId="5607" xr:uid="{00000000-0005-0000-0000-0000E5460000}"/>
    <cellStyle name="SAPBEXexcCritical5 2 3" xfId="9435" xr:uid="{00000000-0005-0000-0000-0000E6460000}"/>
    <cellStyle name="SAPBEXexcCritical5 2 4" xfId="10970" xr:uid="{00000000-0005-0000-0000-0000E7460000}"/>
    <cellStyle name="SAPBEXexcCritical5 2 5" xfId="13342" xr:uid="{00000000-0005-0000-0000-0000E8460000}"/>
    <cellStyle name="SAPBEXexcCritical5 2 6" xfId="16005" xr:uid="{00000000-0005-0000-0000-0000E9460000}"/>
    <cellStyle name="SAPBEXexcCritical5 2 7" xfId="18038" xr:uid="{00000000-0005-0000-0000-0000EA460000}"/>
    <cellStyle name="SAPBEXexcCritical5 2 8" xfId="20701" xr:uid="{00000000-0005-0000-0000-0000EB460000}"/>
    <cellStyle name="SAPBEXexcCritical5 2 9" xfId="22641" xr:uid="{00000000-0005-0000-0000-0000EC460000}"/>
    <cellStyle name="SAPBEXexcCritical5 20" xfId="3786" xr:uid="{00000000-0005-0000-0000-0000ED460000}"/>
    <cellStyle name="SAPBEXexcCritical5 20 2" xfId="6324" xr:uid="{00000000-0005-0000-0000-0000EE460000}"/>
    <cellStyle name="SAPBEXexcCritical5 20 3" xfId="8987" xr:uid="{00000000-0005-0000-0000-0000EF460000}"/>
    <cellStyle name="SAPBEXexcCritical5 20 4" xfId="10947" xr:uid="{00000000-0005-0000-0000-0000F0460000}"/>
    <cellStyle name="SAPBEXexcCritical5 20 5" xfId="13318" xr:uid="{00000000-0005-0000-0000-0000F1460000}"/>
    <cellStyle name="SAPBEXexcCritical5 20 6" xfId="15874" xr:uid="{00000000-0005-0000-0000-0000F2460000}"/>
    <cellStyle name="SAPBEXexcCritical5 20 7" xfId="18014" xr:uid="{00000000-0005-0000-0000-0000F3460000}"/>
    <cellStyle name="SAPBEXexcCritical5 20 8" xfId="20570" xr:uid="{00000000-0005-0000-0000-0000F4460000}"/>
    <cellStyle name="SAPBEXexcCritical5 20 9" xfId="22618" xr:uid="{00000000-0005-0000-0000-0000F5460000}"/>
    <cellStyle name="SAPBEXexcCritical5 21" xfId="4022" xr:uid="{00000000-0005-0000-0000-0000F6460000}"/>
    <cellStyle name="SAPBEXexcCritical5 21 2" xfId="6560" xr:uid="{00000000-0005-0000-0000-0000F7460000}"/>
    <cellStyle name="SAPBEXexcCritical5 21 3" xfId="9700" xr:uid="{00000000-0005-0000-0000-0000F8460000}"/>
    <cellStyle name="SAPBEXexcCritical5 21 4" xfId="11394" xr:uid="{00000000-0005-0000-0000-0000F9460000}"/>
    <cellStyle name="SAPBEXexcCritical5 21 5" xfId="13809" xr:uid="{00000000-0005-0000-0000-0000FA460000}"/>
    <cellStyle name="SAPBEXexcCritical5 21 6" xfId="16106" xr:uid="{00000000-0005-0000-0000-0000FB460000}"/>
    <cellStyle name="SAPBEXexcCritical5 21 7" xfId="18505" xr:uid="{00000000-0005-0000-0000-0000FC460000}"/>
    <cellStyle name="SAPBEXexcCritical5 21 8" xfId="20802" xr:uid="{00000000-0005-0000-0000-0000FD460000}"/>
    <cellStyle name="SAPBEXexcCritical5 21 9" xfId="23068" xr:uid="{00000000-0005-0000-0000-0000FE460000}"/>
    <cellStyle name="SAPBEXexcCritical5 22" xfId="4039" xr:uid="{00000000-0005-0000-0000-0000FF460000}"/>
    <cellStyle name="SAPBEXexcCritical5 22 2" xfId="6577" xr:uid="{00000000-0005-0000-0000-000000470000}"/>
    <cellStyle name="SAPBEXexcCritical5 22 3" xfId="7997" xr:uid="{00000000-0005-0000-0000-000001470000}"/>
    <cellStyle name="SAPBEXexcCritical5 22 4" xfId="10609" xr:uid="{00000000-0005-0000-0000-000002470000}"/>
    <cellStyle name="SAPBEXexcCritical5 22 5" xfId="12957" xr:uid="{00000000-0005-0000-0000-000003470000}"/>
    <cellStyle name="SAPBEXexcCritical5 22 6" xfId="16337" xr:uid="{00000000-0005-0000-0000-000004470000}"/>
    <cellStyle name="SAPBEXexcCritical5 22 7" xfId="17653" xr:uid="{00000000-0005-0000-0000-000005470000}"/>
    <cellStyle name="SAPBEXexcCritical5 22 8" xfId="21033" xr:uid="{00000000-0005-0000-0000-000006470000}"/>
    <cellStyle name="SAPBEXexcCritical5 22 9" xfId="22282" xr:uid="{00000000-0005-0000-0000-000007470000}"/>
    <cellStyle name="SAPBEXexcCritical5 23" xfId="4050" xr:uid="{00000000-0005-0000-0000-000008470000}"/>
    <cellStyle name="SAPBEXexcCritical5 23 2" xfId="6588" xr:uid="{00000000-0005-0000-0000-000009470000}"/>
    <cellStyle name="SAPBEXexcCritical5 23 3" xfId="9022" xr:uid="{00000000-0005-0000-0000-00000A470000}"/>
    <cellStyle name="SAPBEXexcCritical5 23 4" xfId="11238" xr:uid="{00000000-0005-0000-0000-00000B470000}"/>
    <cellStyle name="SAPBEXexcCritical5 23 5" xfId="13643" xr:uid="{00000000-0005-0000-0000-00000C470000}"/>
    <cellStyle name="SAPBEXexcCritical5 23 6" xfId="15153" xr:uid="{00000000-0005-0000-0000-00000D470000}"/>
    <cellStyle name="SAPBEXexcCritical5 23 7" xfId="18339" xr:uid="{00000000-0005-0000-0000-00000E470000}"/>
    <cellStyle name="SAPBEXexcCritical5 23 8" xfId="19849" xr:uid="{00000000-0005-0000-0000-00000F470000}"/>
    <cellStyle name="SAPBEXexcCritical5 23 9" xfId="22912" xr:uid="{00000000-0005-0000-0000-000010470000}"/>
    <cellStyle name="SAPBEXexcCritical5 24" xfId="3983" xr:uid="{00000000-0005-0000-0000-000011470000}"/>
    <cellStyle name="SAPBEXexcCritical5 24 2" xfId="6521" xr:uid="{00000000-0005-0000-0000-000012470000}"/>
    <cellStyle name="SAPBEXexcCritical5 24 3" xfId="8688" xr:uid="{00000000-0005-0000-0000-000013470000}"/>
    <cellStyle name="SAPBEXexcCritical5 24 4" xfId="10668" xr:uid="{00000000-0005-0000-0000-000014470000}"/>
    <cellStyle name="SAPBEXexcCritical5 24 5" xfId="13017" xr:uid="{00000000-0005-0000-0000-000015470000}"/>
    <cellStyle name="SAPBEXexcCritical5 24 6" xfId="15813" xr:uid="{00000000-0005-0000-0000-000016470000}"/>
    <cellStyle name="SAPBEXexcCritical5 24 7" xfId="17713" xr:uid="{00000000-0005-0000-0000-000017470000}"/>
    <cellStyle name="SAPBEXexcCritical5 24 8" xfId="20509" xr:uid="{00000000-0005-0000-0000-000018470000}"/>
    <cellStyle name="SAPBEXexcCritical5 24 9" xfId="22341" xr:uid="{00000000-0005-0000-0000-000019470000}"/>
    <cellStyle name="SAPBEXexcCritical5 25" xfId="4046" xr:uid="{00000000-0005-0000-0000-00001A470000}"/>
    <cellStyle name="SAPBEXexcCritical5 25 2" xfId="6584" xr:uid="{00000000-0005-0000-0000-00001B470000}"/>
    <cellStyle name="SAPBEXexcCritical5 25 3" xfId="8099" xr:uid="{00000000-0005-0000-0000-00001C470000}"/>
    <cellStyle name="SAPBEXexcCritical5 25 4" xfId="10401" xr:uid="{00000000-0005-0000-0000-00001D470000}"/>
    <cellStyle name="SAPBEXexcCritical5 25 5" xfId="12724" xr:uid="{00000000-0005-0000-0000-00001E470000}"/>
    <cellStyle name="SAPBEXexcCritical5 25 6" xfId="15410" xr:uid="{00000000-0005-0000-0000-00001F470000}"/>
    <cellStyle name="SAPBEXexcCritical5 25 7" xfId="17420" xr:uid="{00000000-0005-0000-0000-000020470000}"/>
    <cellStyle name="SAPBEXexcCritical5 25 8" xfId="20106" xr:uid="{00000000-0005-0000-0000-000021470000}"/>
    <cellStyle name="SAPBEXexcCritical5 25 9" xfId="22072" xr:uid="{00000000-0005-0000-0000-000022470000}"/>
    <cellStyle name="SAPBEXexcCritical5 26" xfId="4114" xr:uid="{00000000-0005-0000-0000-000023470000}"/>
    <cellStyle name="SAPBEXexcCritical5 26 2" xfId="6652" xr:uid="{00000000-0005-0000-0000-000024470000}"/>
    <cellStyle name="SAPBEXexcCritical5 26 3" xfId="8180" xr:uid="{00000000-0005-0000-0000-000025470000}"/>
    <cellStyle name="SAPBEXexcCritical5 26 4" xfId="12302" xr:uid="{00000000-0005-0000-0000-000026470000}"/>
    <cellStyle name="SAPBEXexcCritical5 26 5" xfId="12306" xr:uid="{00000000-0005-0000-0000-000027470000}"/>
    <cellStyle name="SAPBEXexcCritical5 26 6" xfId="16565" xr:uid="{00000000-0005-0000-0000-000028470000}"/>
    <cellStyle name="SAPBEXexcCritical5 26 7" xfId="17002" xr:uid="{00000000-0005-0000-0000-000029470000}"/>
    <cellStyle name="SAPBEXexcCritical5 26 8" xfId="21261" xr:uid="{00000000-0005-0000-0000-00002A470000}"/>
    <cellStyle name="SAPBEXexcCritical5 26 9" xfId="21698" xr:uid="{00000000-0005-0000-0000-00002B470000}"/>
    <cellStyle name="SAPBEXexcCritical5 27" xfId="4092" xr:uid="{00000000-0005-0000-0000-00002C470000}"/>
    <cellStyle name="SAPBEXexcCritical5 27 2" xfId="6630" xr:uid="{00000000-0005-0000-0000-00002D470000}"/>
    <cellStyle name="SAPBEXexcCritical5 27 3" xfId="9263" xr:uid="{00000000-0005-0000-0000-00002E470000}"/>
    <cellStyle name="SAPBEXexcCritical5 27 4" xfId="12125" xr:uid="{00000000-0005-0000-0000-00002F470000}"/>
    <cellStyle name="SAPBEXexcCritical5 27 5" xfId="14607" xr:uid="{00000000-0005-0000-0000-000030470000}"/>
    <cellStyle name="SAPBEXexcCritical5 27 6" xfId="16879" xr:uid="{00000000-0005-0000-0000-000031470000}"/>
    <cellStyle name="SAPBEXexcCritical5 27 7" xfId="19303" xr:uid="{00000000-0005-0000-0000-000032470000}"/>
    <cellStyle name="SAPBEXexcCritical5 27 8" xfId="21575" xr:uid="{00000000-0005-0000-0000-000033470000}"/>
    <cellStyle name="SAPBEXexcCritical5 27 9" xfId="23799" xr:uid="{00000000-0005-0000-0000-000034470000}"/>
    <cellStyle name="SAPBEXexcCritical5 28" xfId="4116" xr:uid="{00000000-0005-0000-0000-000035470000}"/>
    <cellStyle name="SAPBEXexcCritical5 28 2" xfId="6654" xr:uid="{00000000-0005-0000-0000-000036470000}"/>
    <cellStyle name="SAPBEXexcCritical5 28 3" xfId="9339" xr:uid="{00000000-0005-0000-0000-000037470000}"/>
    <cellStyle name="SAPBEXexcCritical5 28 4" xfId="11708" xr:uid="{00000000-0005-0000-0000-000038470000}"/>
    <cellStyle name="SAPBEXexcCritical5 28 5" xfId="12915" xr:uid="{00000000-0005-0000-0000-000039470000}"/>
    <cellStyle name="SAPBEXexcCritical5 28 6" xfId="16437" xr:uid="{00000000-0005-0000-0000-00003A470000}"/>
    <cellStyle name="SAPBEXexcCritical5 28 7" xfId="17611" xr:uid="{00000000-0005-0000-0000-00003B470000}"/>
    <cellStyle name="SAPBEXexcCritical5 28 8" xfId="21133" xr:uid="{00000000-0005-0000-0000-00003C470000}"/>
    <cellStyle name="SAPBEXexcCritical5 28 9" xfId="22242" xr:uid="{00000000-0005-0000-0000-00003D470000}"/>
    <cellStyle name="SAPBEXexcCritical5 29" xfId="4172" xr:uid="{00000000-0005-0000-0000-00003E470000}"/>
    <cellStyle name="SAPBEXexcCritical5 29 2" xfId="6710" xr:uid="{00000000-0005-0000-0000-00003F470000}"/>
    <cellStyle name="SAPBEXexcCritical5 29 3" xfId="8566" xr:uid="{00000000-0005-0000-0000-000040470000}"/>
    <cellStyle name="SAPBEXexcCritical5 29 4" xfId="10715" xr:uid="{00000000-0005-0000-0000-000041470000}"/>
    <cellStyle name="SAPBEXexcCritical5 29 5" xfId="13069" xr:uid="{00000000-0005-0000-0000-000042470000}"/>
    <cellStyle name="SAPBEXexcCritical5 29 6" xfId="16211" xr:uid="{00000000-0005-0000-0000-000043470000}"/>
    <cellStyle name="SAPBEXexcCritical5 29 7" xfId="17765" xr:uid="{00000000-0005-0000-0000-000044470000}"/>
    <cellStyle name="SAPBEXexcCritical5 29 8" xfId="20907" xr:uid="{00000000-0005-0000-0000-000045470000}"/>
    <cellStyle name="SAPBEXexcCritical5 29 9" xfId="22388" xr:uid="{00000000-0005-0000-0000-000046470000}"/>
    <cellStyle name="SAPBEXexcCritical5 3" xfId="3118" xr:uid="{00000000-0005-0000-0000-000047470000}"/>
    <cellStyle name="SAPBEXexcCritical5 3 2" xfId="5656" xr:uid="{00000000-0005-0000-0000-000048470000}"/>
    <cellStyle name="SAPBEXexcCritical5 3 3" xfId="5475" xr:uid="{00000000-0005-0000-0000-000049470000}"/>
    <cellStyle name="SAPBEXexcCritical5 3 4" xfId="10602" xr:uid="{00000000-0005-0000-0000-00004A470000}"/>
    <cellStyle name="SAPBEXexcCritical5 3 5" xfId="12950" xr:uid="{00000000-0005-0000-0000-00004B470000}"/>
    <cellStyle name="SAPBEXexcCritical5 3 6" xfId="15415" xr:uid="{00000000-0005-0000-0000-00004C470000}"/>
    <cellStyle name="SAPBEXexcCritical5 3 7" xfId="17646" xr:uid="{00000000-0005-0000-0000-00004D470000}"/>
    <cellStyle name="SAPBEXexcCritical5 3 8" xfId="20111" xr:uid="{00000000-0005-0000-0000-00004E470000}"/>
    <cellStyle name="SAPBEXexcCritical5 3 9" xfId="22275" xr:uid="{00000000-0005-0000-0000-00004F470000}"/>
    <cellStyle name="SAPBEXexcCritical5 30" xfId="4256" xr:uid="{00000000-0005-0000-0000-000050470000}"/>
    <cellStyle name="SAPBEXexcCritical5 30 2" xfId="6794" xr:uid="{00000000-0005-0000-0000-000051470000}"/>
    <cellStyle name="SAPBEXexcCritical5 30 3" xfId="9089" xr:uid="{00000000-0005-0000-0000-000052470000}"/>
    <cellStyle name="SAPBEXexcCritical5 30 4" xfId="11130" xr:uid="{00000000-0005-0000-0000-000053470000}"/>
    <cellStyle name="SAPBEXexcCritical5 30 5" xfId="13526" xr:uid="{00000000-0005-0000-0000-000054470000}"/>
    <cellStyle name="SAPBEXexcCritical5 30 6" xfId="13241" xr:uid="{00000000-0005-0000-0000-000055470000}"/>
    <cellStyle name="SAPBEXexcCritical5 30 7" xfId="18222" xr:uid="{00000000-0005-0000-0000-000056470000}"/>
    <cellStyle name="SAPBEXexcCritical5 30 8" xfId="17937" xr:uid="{00000000-0005-0000-0000-000057470000}"/>
    <cellStyle name="SAPBEXexcCritical5 30 9" xfId="22803" xr:uid="{00000000-0005-0000-0000-000058470000}"/>
    <cellStyle name="SAPBEXexcCritical5 31" xfId="4299" xr:uid="{00000000-0005-0000-0000-000059470000}"/>
    <cellStyle name="SAPBEXexcCritical5 31 2" xfId="6837" xr:uid="{00000000-0005-0000-0000-00005A470000}"/>
    <cellStyle name="SAPBEXexcCritical5 31 3" xfId="8940" xr:uid="{00000000-0005-0000-0000-00005B470000}"/>
    <cellStyle name="SAPBEXexcCritical5 31 4" xfId="11223" xr:uid="{00000000-0005-0000-0000-00005C470000}"/>
    <cellStyle name="SAPBEXexcCritical5 31 5" xfId="12480" xr:uid="{00000000-0005-0000-0000-00005D470000}"/>
    <cellStyle name="SAPBEXexcCritical5 31 6" xfId="15103" xr:uid="{00000000-0005-0000-0000-00005E470000}"/>
    <cellStyle name="SAPBEXexcCritical5 31 7" xfId="17176" xr:uid="{00000000-0005-0000-0000-00005F470000}"/>
    <cellStyle name="SAPBEXexcCritical5 31 8" xfId="19799" xr:uid="{00000000-0005-0000-0000-000060470000}"/>
    <cellStyle name="SAPBEXexcCritical5 31 9" xfId="21854" xr:uid="{00000000-0005-0000-0000-000061470000}"/>
    <cellStyle name="SAPBEXexcCritical5 32" xfId="4468" xr:uid="{00000000-0005-0000-0000-000062470000}"/>
    <cellStyle name="SAPBEXexcCritical5 32 2" xfId="7006" xr:uid="{00000000-0005-0000-0000-000063470000}"/>
    <cellStyle name="SAPBEXexcCritical5 32 3" xfId="8071" xr:uid="{00000000-0005-0000-0000-000064470000}"/>
    <cellStyle name="SAPBEXexcCritical5 32 4" xfId="10498" xr:uid="{00000000-0005-0000-0000-000065470000}"/>
    <cellStyle name="SAPBEXexcCritical5 32 5" xfId="12834" xr:uid="{00000000-0005-0000-0000-000066470000}"/>
    <cellStyle name="SAPBEXexcCritical5 32 6" xfId="15709" xr:uid="{00000000-0005-0000-0000-000067470000}"/>
    <cellStyle name="SAPBEXexcCritical5 32 7" xfId="17530" xr:uid="{00000000-0005-0000-0000-000068470000}"/>
    <cellStyle name="SAPBEXexcCritical5 32 8" xfId="20405" xr:uid="{00000000-0005-0000-0000-000069470000}"/>
    <cellStyle name="SAPBEXexcCritical5 32 9" xfId="22168" xr:uid="{00000000-0005-0000-0000-00006A470000}"/>
    <cellStyle name="SAPBEXexcCritical5 33" xfId="4479" xr:uid="{00000000-0005-0000-0000-00006B470000}"/>
    <cellStyle name="SAPBEXexcCritical5 33 2" xfId="7017" xr:uid="{00000000-0005-0000-0000-00006C470000}"/>
    <cellStyle name="SAPBEXexcCritical5 33 3" xfId="7715" xr:uid="{00000000-0005-0000-0000-00006D470000}"/>
    <cellStyle name="SAPBEXexcCritical5 33 4" xfId="11862" xr:uid="{00000000-0005-0000-0000-00006E470000}"/>
    <cellStyle name="SAPBEXexcCritical5 33 5" xfId="14325" xr:uid="{00000000-0005-0000-0000-00006F470000}"/>
    <cellStyle name="SAPBEXexcCritical5 33 6" xfId="15364" xr:uid="{00000000-0005-0000-0000-000070470000}"/>
    <cellStyle name="SAPBEXexcCritical5 33 7" xfId="19021" xr:uid="{00000000-0005-0000-0000-000071470000}"/>
    <cellStyle name="SAPBEXexcCritical5 33 8" xfId="20060" xr:uid="{00000000-0005-0000-0000-000072470000}"/>
    <cellStyle name="SAPBEXexcCritical5 33 9" xfId="23538" xr:uid="{00000000-0005-0000-0000-000073470000}"/>
    <cellStyle name="SAPBEXexcCritical5 34" xfId="4562" xr:uid="{00000000-0005-0000-0000-000074470000}"/>
    <cellStyle name="SAPBEXexcCritical5 34 2" xfId="7100" xr:uid="{00000000-0005-0000-0000-000075470000}"/>
    <cellStyle name="SAPBEXexcCritical5 34 3" xfId="7995" xr:uid="{00000000-0005-0000-0000-000076470000}"/>
    <cellStyle name="SAPBEXexcCritical5 34 4" xfId="11275" xr:uid="{00000000-0005-0000-0000-000077470000}"/>
    <cellStyle name="SAPBEXexcCritical5 34 5" xfId="13681" xr:uid="{00000000-0005-0000-0000-000078470000}"/>
    <cellStyle name="SAPBEXexcCritical5 34 6" xfId="16282" xr:uid="{00000000-0005-0000-0000-000079470000}"/>
    <cellStyle name="SAPBEXexcCritical5 34 7" xfId="18377" xr:uid="{00000000-0005-0000-0000-00007A470000}"/>
    <cellStyle name="SAPBEXexcCritical5 34 8" xfId="20978" xr:uid="{00000000-0005-0000-0000-00007B470000}"/>
    <cellStyle name="SAPBEXexcCritical5 34 9" xfId="22949" xr:uid="{00000000-0005-0000-0000-00007C470000}"/>
    <cellStyle name="SAPBEXexcCritical5 35" xfId="4569" xr:uid="{00000000-0005-0000-0000-00007D470000}"/>
    <cellStyle name="SAPBEXexcCritical5 35 2" xfId="7107" xr:uid="{00000000-0005-0000-0000-00007E470000}"/>
    <cellStyle name="SAPBEXexcCritical5 35 3" xfId="8215" xr:uid="{00000000-0005-0000-0000-00007F470000}"/>
    <cellStyle name="SAPBEXexcCritical5 35 4" xfId="10200" xr:uid="{00000000-0005-0000-0000-000080470000}"/>
    <cellStyle name="SAPBEXexcCritical5 35 5" xfId="12512" xr:uid="{00000000-0005-0000-0000-000081470000}"/>
    <cellStyle name="SAPBEXexcCritical5 35 6" xfId="12781" xr:uid="{00000000-0005-0000-0000-000082470000}"/>
    <cellStyle name="SAPBEXexcCritical5 35 7" xfId="17208" xr:uid="{00000000-0005-0000-0000-000083470000}"/>
    <cellStyle name="SAPBEXexcCritical5 35 8" xfId="17477" xr:uid="{00000000-0005-0000-0000-000084470000}"/>
    <cellStyle name="SAPBEXexcCritical5 35 9" xfId="21879" xr:uid="{00000000-0005-0000-0000-000085470000}"/>
    <cellStyle name="SAPBEXexcCritical5 36" xfId="4440" xr:uid="{00000000-0005-0000-0000-000086470000}"/>
    <cellStyle name="SAPBEXexcCritical5 36 2" xfId="6978" xr:uid="{00000000-0005-0000-0000-000087470000}"/>
    <cellStyle name="SAPBEXexcCritical5 36 3" xfId="9754" xr:uid="{00000000-0005-0000-0000-000088470000}"/>
    <cellStyle name="SAPBEXexcCritical5 36 4" xfId="8129" xr:uid="{00000000-0005-0000-0000-000089470000}"/>
    <cellStyle name="SAPBEXexcCritical5 36 5" xfId="14932" xr:uid="{00000000-0005-0000-0000-00008A470000}"/>
    <cellStyle name="SAPBEXexcCritical5 36 6" xfId="14822" xr:uid="{00000000-0005-0000-0000-00008B470000}"/>
    <cellStyle name="SAPBEXexcCritical5 36 7" xfId="19628" xr:uid="{00000000-0005-0000-0000-00008C470000}"/>
    <cellStyle name="SAPBEXexcCritical5 36 8" xfId="19518" xr:uid="{00000000-0005-0000-0000-00008D470000}"/>
    <cellStyle name="SAPBEXexcCritical5 36 9" xfId="24095" xr:uid="{00000000-0005-0000-0000-00008E470000}"/>
    <cellStyle name="SAPBEXexcCritical5 37" xfId="4554" xr:uid="{00000000-0005-0000-0000-00008F470000}"/>
    <cellStyle name="SAPBEXexcCritical5 37 2" xfId="7092" xr:uid="{00000000-0005-0000-0000-000090470000}"/>
    <cellStyle name="SAPBEXexcCritical5 37 3" xfId="8753" xr:uid="{00000000-0005-0000-0000-000091470000}"/>
    <cellStyle name="SAPBEXexcCritical5 37 4" xfId="10424" xr:uid="{00000000-0005-0000-0000-000092470000}"/>
    <cellStyle name="SAPBEXexcCritical5 37 5" xfId="14474" xr:uid="{00000000-0005-0000-0000-000093470000}"/>
    <cellStyle name="SAPBEXexcCritical5 37 6" xfId="16807" xr:uid="{00000000-0005-0000-0000-000094470000}"/>
    <cellStyle name="SAPBEXexcCritical5 37 7" xfId="19170" xr:uid="{00000000-0005-0000-0000-000095470000}"/>
    <cellStyle name="SAPBEXexcCritical5 37 8" xfId="21503" xr:uid="{00000000-0005-0000-0000-000096470000}"/>
    <cellStyle name="SAPBEXexcCritical5 37 9" xfId="23671" xr:uid="{00000000-0005-0000-0000-000097470000}"/>
    <cellStyle name="SAPBEXexcCritical5 38" xfId="4770" xr:uid="{00000000-0005-0000-0000-000098470000}"/>
    <cellStyle name="SAPBEXexcCritical5 38 2" xfId="7308" xr:uid="{00000000-0005-0000-0000-000099470000}"/>
    <cellStyle name="SAPBEXexcCritical5 38 3" xfId="8921" xr:uid="{00000000-0005-0000-0000-00009A470000}"/>
    <cellStyle name="SAPBEXexcCritical5 38 4" xfId="11921" xr:uid="{00000000-0005-0000-0000-00009B470000}"/>
    <cellStyle name="SAPBEXexcCritical5 38 5" xfId="14393" xr:uid="{00000000-0005-0000-0000-00009C470000}"/>
    <cellStyle name="SAPBEXexcCritical5 38 6" xfId="15811" xr:uid="{00000000-0005-0000-0000-00009D470000}"/>
    <cellStyle name="SAPBEXexcCritical5 38 7" xfId="19089" xr:uid="{00000000-0005-0000-0000-00009E470000}"/>
    <cellStyle name="SAPBEXexcCritical5 38 8" xfId="20507" xr:uid="{00000000-0005-0000-0000-00009F470000}"/>
    <cellStyle name="SAPBEXexcCritical5 38 9" xfId="23596" xr:uid="{00000000-0005-0000-0000-0000A0470000}"/>
    <cellStyle name="SAPBEXexcCritical5 39" xfId="4699" xr:uid="{00000000-0005-0000-0000-0000A1470000}"/>
    <cellStyle name="SAPBEXexcCritical5 39 2" xfId="7237" xr:uid="{00000000-0005-0000-0000-0000A2470000}"/>
    <cellStyle name="SAPBEXexcCritical5 39 3" xfId="8735" xr:uid="{00000000-0005-0000-0000-0000A3470000}"/>
    <cellStyle name="SAPBEXexcCritical5 39 4" xfId="10881" xr:uid="{00000000-0005-0000-0000-0000A4470000}"/>
    <cellStyle name="SAPBEXexcCritical5 39 5" xfId="13248" xr:uid="{00000000-0005-0000-0000-0000A5470000}"/>
    <cellStyle name="SAPBEXexcCritical5 39 6" xfId="16637" xr:uid="{00000000-0005-0000-0000-0000A6470000}"/>
    <cellStyle name="SAPBEXexcCritical5 39 7" xfId="17944" xr:uid="{00000000-0005-0000-0000-0000A7470000}"/>
    <cellStyle name="SAPBEXexcCritical5 39 8" xfId="21333" xr:uid="{00000000-0005-0000-0000-0000A8470000}"/>
    <cellStyle name="SAPBEXexcCritical5 39 9" xfId="22552" xr:uid="{00000000-0005-0000-0000-0000A9470000}"/>
    <cellStyle name="SAPBEXexcCritical5 4" xfId="3047" xr:uid="{00000000-0005-0000-0000-0000AA470000}"/>
    <cellStyle name="SAPBEXexcCritical5 4 2" xfId="5586" xr:uid="{00000000-0005-0000-0000-0000AB470000}"/>
    <cellStyle name="SAPBEXexcCritical5 4 3" xfId="8615" xr:uid="{00000000-0005-0000-0000-0000AC470000}"/>
    <cellStyle name="SAPBEXexcCritical5 4 4" xfId="11014" xr:uid="{00000000-0005-0000-0000-0000AD470000}"/>
    <cellStyle name="SAPBEXexcCritical5 4 5" xfId="13102" xr:uid="{00000000-0005-0000-0000-0000AE470000}"/>
    <cellStyle name="SAPBEXexcCritical5 4 6" xfId="13382" xr:uid="{00000000-0005-0000-0000-0000AF470000}"/>
    <cellStyle name="SAPBEXexcCritical5 4 7" xfId="17798" xr:uid="{00000000-0005-0000-0000-0000B0470000}"/>
    <cellStyle name="SAPBEXexcCritical5 4 8" xfId="18078" xr:uid="{00000000-0005-0000-0000-0000B1470000}"/>
    <cellStyle name="SAPBEXexcCritical5 4 9" xfId="22419" xr:uid="{00000000-0005-0000-0000-0000B2470000}"/>
    <cellStyle name="SAPBEXexcCritical5 40" xfId="4575" xr:uid="{00000000-0005-0000-0000-0000B3470000}"/>
    <cellStyle name="SAPBEXexcCritical5 40 2" xfId="7113" xr:uid="{00000000-0005-0000-0000-0000B4470000}"/>
    <cellStyle name="SAPBEXexcCritical5 40 3" xfId="9737" xr:uid="{00000000-0005-0000-0000-0000B5470000}"/>
    <cellStyle name="SAPBEXexcCritical5 40 4" xfId="10675" xr:uid="{00000000-0005-0000-0000-0000B6470000}"/>
    <cellStyle name="SAPBEXexcCritical5 40 5" xfId="13024" xr:uid="{00000000-0005-0000-0000-0000B7470000}"/>
    <cellStyle name="SAPBEXexcCritical5 40 6" xfId="15851" xr:uid="{00000000-0005-0000-0000-0000B8470000}"/>
    <cellStyle name="SAPBEXexcCritical5 40 7" xfId="17720" xr:uid="{00000000-0005-0000-0000-0000B9470000}"/>
    <cellStyle name="SAPBEXexcCritical5 40 8" xfId="20547" xr:uid="{00000000-0005-0000-0000-0000BA470000}"/>
    <cellStyle name="SAPBEXexcCritical5 40 9" xfId="22348" xr:uid="{00000000-0005-0000-0000-0000BB470000}"/>
    <cellStyle name="SAPBEXexcCritical5 41" xfId="4873" xr:uid="{00000000-0005-0000-0000-0000BC470000}"/>
    <cellStyle name="SAPBEXexcCritical5 41 2" xfId="7411" xr:uid="{00000000-0005-0000-0000-0000BD470000}"/>
    <cellStyle name="SAPBEXexcCritical5 41 3" xfId="8160" xr:uid="{00000000-0005-0000-0000-0000BE470000}"/>
    <cellStyle name="SAPBEXexcCritical5 41 4" xfId="11510" xr:uid="{00000000-0005-0000-0000-0000BF470000}"/>
    <cellStyle name="SAPBEXexcCritical5 41 5" xfId="13937" xr:uid="{00000000-0005-0000-0000-0000C0470000}"/>
    <cellStyle name="SAPBEXexcCritical5 41 6" xfId="15974" xr:uid="{00000000-0005-0000-0000-0000C1470000}"/>
    <cellStyle name="SAPBEXexcCritical5 41 7" xfId="18633" xr:uid="{00000000-0005-0000-0000-0000C2470000}"/>
    <cellStyle name="SAPBEXexcCritical5 41 8" xfId="20670" xr:uid="{00000000-0005-0000-0000-0000C3470000}"/>
    <cellStyle name="SAPBEXexcCritical5 41 9" xfId="23184" xr:uid="{00000000-0005-0000-0000-0000C4470000}"/>
    <cellStyle name="SAPBEXexcCritical5 42" xfId="4884" xr:uid="{00000000-0005-0000-0000-0000C5470000}"/>
    <cellStyle name="SAPBEXexcCritical5 42 2" xfId="7422" xr:uid="{00000000-0005-0000-0000-0000C6470000}"/>
    <cellStyle name="SAPBEXexcCritical5 42 3" xfId="9015" xr:uid="{00000000-0005-0000-0000-0000C7470000}"/>
    <cellStyle name="SAPBEXexcCritical5 42 4" xfId="10516" xr:uid="{00000000-0005-0000-0000-0000C8470000}"/>
    <cellStyle name="SAPBEXexcCritical5 42 5" xfId="12856" xr:uid="{00000000-0005-0000-0000-0000C9470000}"/>
    <cellStyle name="SAPBEXexcCritical5 42 6" xfId="15721" xr:uid="{00000000-0005-0000-0000-0000CA470000}"/>
    <cellStyle name="SAPBEXexcCritical5 42 7" xfId="17552" xr:uid="{00000000-0005-0000-0000-0000CB470000}"/>
    <cellStyle name="SAPBEXexcCritical5 42 8" xfId="20417" xr:uid="{00000000-0005-0000-0000-0000CC470000}"/>
    <cellStyle name="SAPBEXexcCritical5 42 9" xfId="22187" xr:uid="{00000000-0005-0000-0000-0000CD470000}"/>
    <cellStyle name="SAPBEXexcCritical5 43" xfId="4847" xr:uid="{00000000-0005-0000-0000-0000CE470000}"/>
    <cellStyle name="SAPBEXexcCritical5 43 2" xfId="7385" xr:uid="{00000000-0005-0000-0000-0000CF470000}"/>
    <cellStyle name="SAPBEXexcCritical5 43 3" xfId="9400" xr:uid="{00000000-0005-0000-0000-0000D0470000}"/>
    <cellStyle name="SAPBEXexcCritical5 43 4" xfId="10591" xr:uid="{00000000-0005-0000-0000-0000D1470000}"/>
    <cellStyle name="SAPBEXexcCritical5 43 5" xfId="12939" xr:uid="{00000000-0005-0000-0000-0000D2470000}"/>
    <cellStyle name="SAPBEXexcCritical5 43 6" xfId="15906" xr:uid="{00000000-0005-0000-0000-0000D3470000}"/>
    <cellStyle name="SAPBEXexcCritical5 43 7" xfId="17635" xr:uid="{00000000-0005-0000-0000-0000D4470000}"/>
    <cellStyle name="SAPBEXexcCritical5 43 8" xfId="20602" xr:uid="{00000000-0005-0000-0000-0000D5470000}"/>
    <cellStyle name="SAPBEXexcCritical5 43 9" xfId="22264" xr:uid="{00000000-0005-0000-0000-0000D6470000}"/>
    <cellStyle name="SAPBEXexcCritical5 44" xfId="4638" xr:uid="{00000000-0005-0000-0000-0000D7470000}"/>
    <cellStyle name="SAPBEXexcCritical5 44 2" xfId="7176" xr:uid="{00000000-0005-0000-0000-0000D8470000}"/>
    <cellStyle name="SAPBEXexcCritical5 44 3" xfId="9691" xr:uid="{00000000-0005-0000-0000-0000D9470000}"/>
    <cellStyle name="SAPBEXexcCritical5 44 4" xfId="10968" xr:uid="{00000000-0005-0000-0000-0000DA470000}"/>
    <cellStyle name="SAPBEXexcCritical5 44 5" xfId="13340" xr:uid="{00000000-0005-0000-0000-0000DB470000}"/>
    <cellStyle name="SAPBEXexcCritical5 44 6" xfId="15591" xr:uid="{00000000-0005-0000-0000-0000DC470000}"/>
    <cellStyle name="SAPBEXexcCritical5 44 7" xfId="18036" xr:uid="{00000000-0005-0000-0000-0000DD470000}"/>
    <cellStyle name="SAPBEXexcCritical5 44 8" xfId="20287" xr:uid="{00000000-0005-0000-0000-0000DE470000}"/>
    <cellStyle name="SAPBEXexcCritical5 44 9" xfId="22639" xr:uid="{00000000-0005-0000-0000-0000DF470000}"/>
    <cellStyle name="SAPBEXexcCritical5 45" xfId="4869" xr:uid="{00000000-0005-0000-0000-0000E0470000}"/>
    <cellStyle name="SAPBEXexcCritical5 45 2" xfId="7407" xr:uid="{00000000-0005-0000-0000-0000E1470000}"/>
    <cellStyle name="SAPBEXexcCritical5 45 3" xfId="10006" xr:uid="{00000000-0005-0000-0000-0000E2470000}"/>
    <cellStyle name="SAPBEXexcCritical5 45 4" xfId="10992" xr:uid="{00000000-0005-0000-0000-0000E3470000}"/>
    <cellStyle name="SAPBEXexcCritical5 45 5" xfId="13366" xr:uid="{00000000-0005-0000-0000-0000E4470000}"/>
    <cellStyle name="SAPBEXexcCritical5 45 6" xfId="15482" xr:uid="{00000000-0005-0000-0000-0000E5470000}"/>
    <cellStyle name="SAPBEXexcCritical5 45 7" xfId="18062" xr:uid="{00000000-0005-0000-0000-0000E6470000}"/>
    <cellStyle name="SAPBEXexcCritical5 45 8" xfId="20178" xr:uid="{00000000-0005-0000-0000-0000E7470000}"/>
    <cellStyle name="SAPBEXexcCritical5 45 9" xfId="22665" xr:uid="{00000000-0005-0000-0000-0000E8470000}"/>
    <cellStyle name="SAPBEXexcCritical5 46" xfId="4955" xr:uid="{00000000-0005-0000-0000-0000E9470000}"/>
    <cellStyle name="SAPBEXexcCritical5 46 2" xfId="7493" xr:uid="{00000000-0005-0000-0000-0000EA470000}"/>
    <cellStyle name="SAPBEXexcCritical5 46 3" xfId="9085" xr:uid="{00000000-0005-0000-0000-0000EB470000}"/>
    <cellStyle name="SAPBEXexcCritical5 46 4" xfId="11849" xr:uid="{00000000-0005-0000-0000-0000EC470000}"/>
    <cellStyle name="SAPBEXexcCritical5 46 5" xfId="14311" xr:uid="{00000000-0005-0000-0000-0000ED470000}"/>
    <cellStyle name="SAPBEXexcCritical5 46 6" xfId="15082" xr:uid="{00000000-0005-0000-0000-0000EE470000}"/>
    <cellStyle name="SAPBEXexcCritical5 46 7" xfId="19007" xr:uid="{00000000-0005-0000-0000-0000EF470000}"/>
    <cellStyle name="SAPBEXexcCritical5 46 8" xfId="19778" xr:uid="{00000000-0005-0000-0000-0000F0470000}"/>
    <cellStyle name="SAPBEXexcCritical5 46 9" xfId="23525" xr:uid="{00000000-0005-0000-0000-0000F1470000}"/>
    <cellStyle name="SAPBEXexcCritical5 47" xfId="4993" xr:uid="{00000000-0005-0000-0000-0000F2470000}"/>
    <cellStyle name="SAPBEXexcCritical5 47 2" xfId="7531" xr:uid="{00000000-0005-0000-0000-0000F3470000}"/>
    <cellStyle name="SAPBEXexcCritical5 47 3" xfId="9937" xr:uid="{00000000-0005-0000-0000-0000F4470000}"/>
    <cellStyle name="SAPBEXexcCritical5 47 4" xfId="10560" xr:uid="{00000000-0005-0000-0000-0000F5470000}"/>
    <cellStyle name="SAPBEXexcCritical5 47 5" xfId="12407" xr:uid="{00000000-0005-0000-0000-0000F6470000}"/>
    <cellStyle name="SAPBEXexcCritical5 47 6" xfId="16843" xr:uid="{00000000-0005-0000-0000-0000F7470000}"/>
    <cellStyle name="SAPBEXexcCritical5 47 7" xfId="17103" xr:uid="{00000000-0005-0000-0000-0000F8470000}"/>
    <cellStyle name="SAPBEXexcCritical5 47 8" xfId="21539" xr:uid="{00000000-0005-0000-0000-0000F9470000}"/>
    <cellStyle name="SAPBEXexcCritical5 47 9" xfId="21789" xr:uid="{00000000-0005-0000-0000-0000FA470000}"/>
    <cellStyle name="SAPBEXexcCritical5 48" xfId="5131" xr:uid="{00000000-0005-0000-0000-0000FB470000}"/>
    <cellStyle name="SAPBEXexcCritical5 48 2" xfId="7669" xr:uid="{00000000-0005-0000-0000-0000FC470000}"/>
    <cellStyle name="SAPBEXexcCritical5 48 3" xfId="8991" xr:uid="{00000000-0005-0000-0000-0000FD470000}"/>
    <cellStyle name="SAPBEXexcCritical5 48 4" xfId="10982" xr:uid="{00000000-0005-0000-0000-0000FE470000}"/>
    <cellStyle name="SAPBEXexcCritical5 48 5" xfId="13356" xr:uid="{00000000-0005-0000-0000-0000FF470000}"/>
    <cellStyle name="SAPBEXexcCritical5 48 6" xfId="14433" xr:uid="{00000000-0005-0000-0000-000000480000}"/>
    <cellStyle name="SAPBEXexcCritical5 48 7" xfId="18052" xr:uid="{00000000-0005-0000-0000-000001480000}"/>
    <cellStyle name="SAPBEXexcCritical5 48 8" xfId="19129" xr:uid="{00000000-0005-0000-0000-000002480000}"/>
    <cellStyle name="SAPBEXexcCritical5 48 9" xfId="22655" xr:uid="{00000000-0005-0000-0000-000003480000}"/>
    <cellStyle name="SAPBEXexcCritical5 49" xfId="5200" xr:uid="{00000000-0005-0000-0000-000004480000}"/>
    <cellStyle name="SAPBEXexcCritical5 49 2" xfId="7739" xr:uid="{00000000-0005-0000-0000-000005480000}"/>
    <cellStyle name="SAPBEXexcCritical5 49 3" xfId="8416" xr:uid="{00000000-0005-0000-0000-000006480000}"/>
    <cellStyle name="SAPBEXexcCritical5 49 4" xfId="10377" xr:uid="{00000000-0005-0000-0000-000007480000}"/>
    <cellStyle name="SAPBEXexcCritical5 49 5" xfId="12699" xr:uid="{00000000-0005-0000-0000-000008480000}"/>
    <cellStyle name="SAPBEXexcCritical5 49 6" xfId="16641" xr:uid="{00000000-0005-0000-0000-000009480000}"/>
    <cellStyle name="SAPBEXexcCritical5 49 7" xfId="17395" xr:uid="{00000000-0005-0000-0000-00000A480000}"/>
    <cellStyle name="SAPBEXexcCritical5 49 8" xfId="21337" xr:uid="{00000000-0005-0000-0000-00000B480000}"/>
    <cellStyle name="SAPBEXexcCritical5 49 9" xfId="22048" xr:uid="{00000000-0005-0000-0000-00000C480000}"/>
    <cellStyle name="SAPBEXexcCritical5 5" xfId="3110" xr:uid="{00000000-0005-0000-0000-00000D480000}"/>
    <cellStyle name="SAPBEXexcCritical5 5 2" xfId="5648" xr:uid="{00000000-0005-0000-0000-00000E480000}"/>
    <cellStyle name="SAPBEXexcCritical5 5 3" xfId="8493" xr:uid="{00000000-0005-0000-0000-00000F480000}"/>
    <cellStyle name="SAPBEXexcCritical5 5 4" xfId="11428" xr:uid="{00000000-0005-0000-0000-000010480000}"/>
    <cellStyle name="SAPBEXexcCritical5 5 5" xfId="13846" xr:uid="{00000000-0005-0000-0000-000011480000}"/>
    <cellStyle name="SAPBEXexcCritical5 5 6" xfId="16700" xr:uid="{00000000-0005-0000-0000-000012480000}"/>
    <cellStyle name="SAPBEXexcCritical5 5 7" xfId="18542" xr:uid="{00000000-0005-0000-0000-000013480000}"/>
    <cellStyle name="SAPBEXexcCritical5 5 8" xfId="21396" xr:uid="{00000000-0005-0000-0000-000014480000}"/>
    <cellStyle name="SAPBEXexcCritical5 5 9" xfId="23103" xr:uid="{00000000-0005-0000-0000-000015480000}"/>
    <cellStyle name="SAPBEXexcCritical5 50" xfId="5231" xr:uid="{00000000-0005-0000-0000-000016480000}"/>
    <cellStyle name="SAPBEXexcCritical5 50 2" xfId="8918" xr:uid="{00000000-0005-0000-0000-000017480000}"/>
    <cellStyle name="SAPBEXexcCritical5 50 3" xfId="10522" xr:uid="{00000000-0005-0000-0000-000018480000}"/>
    <cellStyle name="SAPBEXexcCritical5 50 4" xfId="12863" xr:uid="{00000000-0005-0000-0000-000019480000}"/>
    <cellStyle name="SAPBEXexcCritical5 50 5" xfId="16290" xr:uid="{00000000-0005-0000-0000-00001A480000}"/>
    <cellStyle name="SAPBEXexcCritical5 50 6" xfId="17559" xr:uid="{00000000-0005-0000-0000-00001B480000}"/>
    <cellStyle name="SAPBEXexcCritical5 50 7" xfId="20986" xr:uid="{00000000-0005-0000-0000-00001C480000}"/>
    <cellStyle name="SAPBEXexcCritical5 50 8" xfId="22193" xr:uid="{00000000-0005-0000-0000-00001D480000}"/>
    <cellStyle name="SAPBEXexcCritical5 51" xfId="9436" xr:uid="{00000000-0005-0000-0000-00001E480000}"/>
    <cellStyle name="SAPBEXexcCritical5 52" xfId="12128" xr:uid="{00000000-0005-0000-0000-00001F480000}"/>
    <cellStyle name="SAPBEXexcCritical5 53" xfId="14610" xr:uid="{00000000-0005-0000-0000-000020480000}"/>
    <cellStyle name="SAPBEXexcCritical5 54" xfId="16514" xr:uid="{00000000-0005-0000-0000-000021480000}"/>
    <cellStyle name="SAPBEXexcCritical5 55" xfId="19306" xr:uid="{00000000-0005-0000-0000-000022480000}"/>
    <cellStyle name="SAPBEXexcCritical5 56" xfId="21210" xr:uid="{00000000-0005-0000-0000-000023480000}"/>
    <cellStyle name="SAPBEXexcCritical5 57" xfId="23802" xr:uid="{00000000-0005-0000-0000-000024480000}"/>
    <cellStyle name="SAPBEXexcCritical5 58" xfId="42191" xr:uid="{0049972D-BAFD-4327-A77D-712BD2C2F655}"/>
    <cellStyle name="SAPBEXexcCritical5 6" xfId="3040" xr:uid="{00000000-0005-0000-0000-000025480000}"/>
    <cellStyle name="SAPBEXexcCritical5 6 2" xfId="5579" xr:uid="{00000000-0005-0000-0000-000026480000}"/>
    <cellStyle name="SAPBEXexcCritical5 6 3" xfId="9458" xr:uid="{00000000-0005-0000-0000-000027480000}"/>
    <cellStyle name="SAPBEXexcCritical5 6 4" xfId="11380" xr:uid="{00000000-0005-0000-0000-000028480000}"/>
    <cellStyle name="SAPBEXexcCritical5 6 5" xfId="13794" xr:uid="{00000000-0005-0000-0000-000029480000}"/>
    <cellStyle name="SAPBEXexcCritical5 6 6" xfId="15269" xr:uid="{00000000-0005-0000-0000-00002A480000}"/>
    <cellStyle name="SAPBEXexcCritical5 6 7" xfId="18490" xr:uid="{00000000-0005-0000-0000-00002B480000}"/>
    <cellStyle name="SAPBEXexcCritical5 6 8" xfId="19965" xr:uid="{00000000-0005-0000-0000-00002C480000}"/>
    <cellStyle name="SAPBEXexcCritical5 6 9" xfId="23054" xr:uid="{00000000-0005-0000-0000-00002D480000}"/>
    <cellStyle name="SAPBEXexcCritical5 7" xfId="3159" xr:uid="{00000000-0005-0000-0000-00002E480000}"/>
    <cellStyle name="SAPBEXexcCritical5 7 2" xfId="5697" xr:uid="{00000000-0005-0000-0000-00002F480000}"/>
    <cellStyle name="SAPBEXexcCritical5 7 3" xfId="8185" xr:uid="{00000000-0005-0000-0000-000030480000}"/>
    <cellStyle name="SAPBEXexcCritical5 7 4" xfId="10797" xr:uid="{00000000-0005-0000-0000-000031480000}"/>
    <cellStyle name="SAPBEXexcCritical5 7 5" xfId="13156" xr:uid="{00000000-0005-0000-0000-000032480000}"/>
    <cellStyle name="SAPBEXexcCritical5 7 6" xfId="15924" xr:uid="{00000000-0005-0000-0000-000033480000}"/>
    <cellStyle name="SAPBEXexcCritical5 7 7" xfId="17852" xr:uid="{00000000-0005-0000-0000-000034480000}"/>
    <cellStyle name="SAPBEXexcCritical5 7 8" xfId="20620" xr:uid="{00000000-0005-0000-0000-000035480000}"/>
    <cellStyle name="SAPBEXexcCritical5 7 9" xfId="22468" xr:uid="{00000000-0005-0000-0000-000036480000}"/>
    <cellStyle name="SAPBEXexcCritical5 8" xfId="3202" xr:uid="{00000000-0005-0000-0000-000037480000}"/>
    <cellStyle name="SAPBEXexcCritical5 8 2" xfId="5740" xr:uid="{00000000-0005-0000-0000-000038480000}"/>
    <cellStyle name="SAPBEXexcCritical5 8 3" xfId="8338" xr:uid="{00000000-0005-0000-0000-000039480000}"/>
    <cellStyle name="SAPBEXexcCritical5 8 4" xfId="10868" xr:uid="{00000000-0005-0000-0000-00003A480000}"/>
    <cellStyle name="SAPBEXexcCritical5 8 5" xfId="13233" xr:uid="{00000000-0005-0000-0000-00003B480000}"/>
    <cellStyle name="SAPBEXexcCritical5 8 6" xfId="16756" xr:uid="{00000000-0005-0000-0000-00003C480000}"/>
    <cellStyle name="SAPBEXexcCritical5 8 7" xfId="17929" xr:uid="{00000000-0005-0000-0000-00003D480000}"/>
    <cellStyle name="SAPBEXexcCritical5 8 8" xfId="21452" xr:uid="{00000000-0005-0000-0000-00003E480000}"/>
    <cellStyle name="SAPBEXexcCritical5 8 9" xfId="22539" xr:uid="{00000000-0005-0000-0000-00003F480000}"/>
    <cellStyle name="SAPBEXexcCritical5 9" xfId="3245" xr:uid="{00000000-0005-0000-0000-000040480000}"/>
    <cellStyle name="SAPBEXexcCritical5 9 2" xfId="5783" xr:uid="{00000000-0005-0000-0000-000041480000}"/>
    <cellStyle name="SAPBEXexcCritical5 9 3" xfId="8054" xr:uid="{00000000-0005-0000-0000-000042480000}"/>
    <cellStyle name="SAPBEXexcCritical5 9 4" xfId="11888" xr:uid="{00000000-0005-0000-0000-000043480000}"/>
    <cellStyle name="SAPBEXexcCritical5 9 5" xfId="14355" xr:uid="{00000000-0005-0000-0000-000044480000}"/>
    <cellStyle name="SAPBEXexcCritical5 9 6" xfId="16207" xr:uid="{00000000-0005-0000-0000-000045480000}"/>
    <cellStyle name="SAPBEXexcCritical5 9 7" xfId="19051" xr:uid="{00000000-0005-0000-0000-000046480000}"/>
    <cellStyle name="SAPBEXexcCritical5 9 8" xfId="20903" xr:uid="{00000000-0005-0000-0000-000047480000}"/>
    <cellStyle name="SAPBEXexcCritical5 9 9" xfId="23564" xr:uid="{00000000-0005-0000-0000-000048480000}"/>
    <cellStyle name="SAPBEXexcCritical6" xfId="2951" xr:uid="{00000000-0005-0000-0000-000049480000}"/>
    <cellStyle name="SAPBEXexcCritical6 10" xfId="3246" xr:uid="{00000000-0005-0000-0000-00004A480000}"/>
    <cellStyle name="SAPBEXexcCritical6 10 2" xfId="5784" xr:uid="{00000000-0005-0000-0000-00004B480000}"/>
    <cellStyle name="SAPBEXexcCritical6 10 3" xfId="5539" xr:uid="{00000000-0005-0000-0000-00004C480000}"/>
    <cellStyle name="SAPBEXexcCritical6 10 4" xfId="11842" xr:uid="{00000000-0005-0000-0000-00004D480000}"/>
    <cellStyle name="SAPBEXexcCritical6 10 5" xfId="14303" xr:uid="{00000000-0005-0000-0000-00004E480000}"/>
    <cellStyle name="SAPBEXexcCritical6 10 6" xfId="16351" xr:uid="{00000000-0005-0000-0000-00004F480000}"/>
    <cellStyle name="SAPBEXexcCritical6 10 7" xfId="18999" xr:uid="{00000000-0005-0000-0000-000050480000}"/>
    <cellStyle name="SAPBEXexcCritical6 10 8" xfId="21047" xr:uid="{00000000-0005-0000-0000-000051480000}"/>
    <cellStyle name="SAPBEXexcCritical6 10 9" xfId="23517" xr:uid="{00000000-0005-0000-0000-000052480000}"/>
    <cellStyle name="SAPBEXexcCritical6 11" xfId="3375" xr:uid="{00000000-0005-0000-0000-000053480000}"/>
    <cellStyle name="SAPBEXexcCritical6 11 2" xfId="5913" xr:uid="{00000000-0005-0000-0000-000054480000}"/>
    <cellStyle name="SAPBEXexcCritical6 11 3" xfId="9053" xr:uid="{00000000-0005-0000-0000-000055480000}"/>
    <cellStyle name="SAPBEXexcCritical6 11 4" xfId="11093" xr:uid="{00000000-0005-0000-0000-000056480000}"/>
    <cellStyle name="SAPBEXexcCritical6 11 5" xfId="13484" xr:uid="{00000000-0005-0000-0000-000057480000}"/>
    <cellStyle name="SAPBEXexcCritical6 11 6" xfId="15390" xr:uid="{00000000-0005-0000-0000-000058480000}"/>
    <cellStyle name="SAPBEXexcCritical6 11 7" xfId="18180" xr:uid="{00000000-0005-0000-0000-000059480000}"/>
    <cellStyle name="SAPBEXexcCritical6 11 8" xfId="20086" xr:uid="{00000000-0005-0000-0000-00005A480000}"/>
    <cellStyle name="SAPBEXexcCritical6 11 9" xfId="22766" xr:uid="{00000000-0005-0000-0000-00005B480000}"/>
    <cellStyle name="SAPBEXexcCritical6 12" xfId="3468" xr:uid="{00000000-0005-0000-0000-00005C480000}"/>
    <cellStyle name="SAPBEXexcCritical6 12 2" xfId="6006" xr:uid="{00000000-0005-0000-0000-00005D480000}"/>
    <cellStyle name="SAPBEXexcCritical6 12 3" xfId="8068" xr:uid="{00000000-0005-0000-0000-00005E480000}"/>
    <cellStyle name="SAPBEXexcCritical6 12 4" xfId="10855" xr:uid="{00000000-0005-0000-0000-00005F480000}"/>
    <cellStyle name="SAPBEXexcCritical6 12 5" xfId="13220" xr:uid="{00000000-0005-0000-0000-000060480000}"/>
    <cellStyle name="SAPBEXexcCritical6 12 6" xfId="15817" xr:uid="{00000000-0005-0000-0000-000061480000}"/>
    <cellStyle name="SAPBEXexcCritical6 12 7" xfId="17916" xr:uid="{00000000-0005-0000-0000-000062480000}"/>
    <cellStyle name="SAPBEXexcCritical6 12 8" xfId="20513" xr:uid="{00000000-0005-0000-0000-000063480000}"/>
    <cellStyle name="SAPBEXexcCritical6 12 9" xfId="22526" xr:uid="{00000000-0005-0000-0000-000064480000}"/>
    <cellStyle name="SAPBEXexcCritical6 13" xfId="3511" xr:uid="{00000000-0005-0000-0000-000065480000}"/>
    <cellStyle name="SAPBEXexcCritical6 13 2" xfId="6049" xr:uid="{00000000-0005-0000-0000-000066480000}"/>
    <cellStyle name="SAPBEXexcCritical6 13 3" xfId="8240" xr:uid="{00000000-0005-0000-0000-000067480000}"/>
    <cellStyle name="SAPBEXexcCritical6 13 4" xfId="10709" xr:uid="{00000000-0005-0000-0000-000068480000}"/>
    <cellStyle name="SAPBEXexcCritical6 13 5" xfId="13063" xr:uid="{00000000-0005-0000-0000-000069480000}"/>
    <cellStyle name="SAPBEXexcCritical6 13 6" xfId="16148" xr:uid="{00000000-0005-0000-0000-00006A480000}"/>
    <cellStyle name="SAPBEXexcCritical6 13 7" xfId="17759" xr:uid="{00000000-0005-0000-0000-00006B480000}"/>
    <cellStyle name="SAPBEXexcCritical6 13 8" xfId="20844" xr:uid="{00000000-0005-0000-0000-00006C480000}"/>
    <cellStyle name="SAPBEXexcCritical6 13 9" xfId="22382" xr:uid="{00000000-0005-0000-0000-00006D480000}"/>
    <cellStyle name="SAPBEXexcCritical6 14" xfId="3507" xr:uid="{00000000-0005-0000-0000-00006E480000}"/>
    <cellStyle name="SAPBEXexcCritical6 14 2" xfId="6045" xr:uid="{00000000-0005-0000-0000-00006F480000}"/>
    <cellStyle name="SAPBEXexcCritical6 14 3" xfId="8072" xr:uid="{00000000-0005-0000-0000-000070480000}"/>
    <cellStyle name="SAPBEXexcCritical6 14 4" xfId="11905" xr:uid="{00000000-0005-0000-0000-000071480000}"/>
    <cellStyle name="SAPBEXexcCritical6 14 5" xfId="14377" xr:uid="{00000000-0005-0000-0000-000072480000}"/>
    <cellStyle name="SAPBEXexcCritical6 14 6" xfId="14956" xr:uid="{00000000-0005-0000-0000-000073480000}"/>
    <cellStyle name="SAPBEXexcCritical6 14 7" xfId="19073" xr:uid="{00000000-0005-0000-0000-000074480000}"/>
    <cellStyle name="SAPBEXexcCritical6 14 8" xfId="19652" xr:uid="{00000000-0005-0000-0000-000075480000}"/>
    <cellStyle name="SAPBEXexcCritical6 14 9" xfId="23580" xr:uid="{00000000-0005-0000-0000-000076480000}"/>
    <cellStyle name="SAPBEXexcCritical6 15" xfId="3289" xr:uid="{00000000-0005-0000-0000-000077480000}"/>
    <cellStyle name="SAPBEXexcCritical6 15 2" xfId="5827" xr:uid="{00000000-0005-0000-0000-000078480000}"/>
    <cellStyle name="SAPBEXexcCritical6 15 3" xfId="8406" xr:uid="{00000000-0005-0000-0000-000079480000}"/>
    <cellStyle name="SAPBEXexcCritical6 15 4" xfId="11376" xr:uid="{00000000-0005-0000-0000-00007A480000}"/>
    <cellStyle name="SAPBEXexcCritical6 15 5" xfId="13790" xr:uid="{00000000-0005-0000-0000-00007B480000}"/>
    <cellStyle name="SAPBEXexcCritical6 15 6" xfId="15960" xr:uid="{00000000-0005-0000-0000-00007C480000}"/>
    <cellStyle name="SAPBEXexcCritical6 15 7" xfId="18486" xr:uid="{00000000-0005-0000-0000-00007D480000}"/>
    <cellStyle name="SAPBEXexcCritical6 15 8" xfId="20656" xr:uid="{00000000-0005-0000-0000-00007E480000}"/>
    <cellStyle name="SAPBEXexcCritical6 15 9" xfId="23050" xr:uid="{00000000-0005-0000-0000-00007F480000}"/>
    <cellStyle name="SAPBEXexcCritical6 16" xfId="3689" xr:uid="{00000000-0005-0000-0000-000080480000}"/>
    <cellStyle name="SAPBEXexcCritical6 16 2" xfId="6227" xr:uid="{00000000-0005-0000-0000-000081480000}"/>
    <cellStyle name="SAPBEXexcCritical6 16 3" xfId="8356" xr:uid="{00000000-0005-0000-0000-000082480000}"/>
    <cellStyle name="SAPBEXexcCritical6 16 4" xfId="10370" xr:uid="{00000000-0005-0000-0000-000083480000}"/>
    <cellStyle name="SAPBEXexcCritical6 16 5" xfId="12692" xr:uid="{00000000-0005-0000-0000-000084480000}"/>
    <cellStyle name="SAPBEXexcCritical6 16 6" xfId="16103" xr:uid="{00000000-0005-0000-0000-000085480000}"/>
    <cellStyle name="SAPBEXexcCritical6 16 7" xfId="17388" xr:uid="{00000000-0005-0000-0000-000086480000}"/>
    <cellStyle name="SAPBEXexcCritical6 16 8" xfId="20799" xr:uid="{00000000-0005-0000-0000-000087480000}"/>
    <cellStyle name="SAPBEXexcCritical6 16 9" xfId="22041" xr:uid="{00000000-0005-0000-0000-000088480000}"/>
    <cellStyle name="SAPBEXexcCritical6 17" xfId="3835" xr:uid="{00000000-0005-0000-0000-000089480000}"/>
    <cellStyle name="SAPBEXexcCritical6 17 2" xfId="6373" xr:uid="{00000000-0005-0000-0000-00008A480000}"/>
    <cellStyle name="SAPBEXexcCritical6 17 3" xfId="8421" xr:uid="{00000000-0005-0000-0000-00008B480000}"/>
    <cellStyle name="SAPBEXexcCritical6 17 4" xfId="9005" xr:uid="{00000000-0005-0000-0000-00008C480000}"/>
    <cellStyle name="SAPBEXexcCritical6 17 5" xfId="12380" xr:uid="{00000000-0005-0000-0000-00008D480000}"/>
    <cellStyle name="SAPBEXexcCritical6 17 6" xfId="15922" xr:uid="{00000000-0005-0000-0000-00008E480000}"/>
    <cellStyle name="SAPBEXexcCritical6 17 7" xfId="17076" xr:uid="{00000000-0005-0000-0000-00008F480000}"/>
    <cellStyle name="SAPBEXexcCritical6 17 8" xfId="20618" xr:uid="{00000000-0005-0000-0000-000090480000}"/>
    <cellStyle name="SAPBEXexcCritical6 17 9" xfId="21765" xr:uid="{00000000-0005-0000-0000-000091480000}"/>
    <cellStyle name="SAPBEXexcCritical6 18" xfId="3814" xr:uid="{00000000-0005-0000-0000-000092480000}"/>
    <cellStyle name="SAPBEXexcCritical6 18 2" xfId="6352" xr:uid="{00000000-0005-0000-0000-000093480000}"/>
    <cellStyle name="SAPBEXexcCritical6 18 3" xfId="9473" xr:uid="{00000000-0005-0000-0000-000094480000}"/>
    <cellStyle name="SAPBEXexcCritical6 18 4" xfId="10924" xr:uid="{00000000-0005-0000-0000-000095480000}"/>
    <cellStyle name="SAPBEXexcCritical6 18 5" xfId="13294" xr:uid="{00000000-0005-0000-0000-000096480000}"/>
    <cellStyle name="SAPBEXexcCritical6 18 6" xfId="16006" xr:uid="{00000000-0005-0000-0000-000097480000}"/>
    <cellStyle name="SAPBEXexcCritical6 18 7" xfId="17990" xr:uid="{00000000-0005-0000-0000-000098480000}"/>
    <cellStyle name="SAPBEXexcCritical6 18 8" xfId="20702" xr:uid="{00000000-0005-0000-0000-000099480000}"/>
    <cellStyle name="SAPBEXexcCritical6 18 9" xfId="22595" xr:uid="{00000000-0005-0000-0000-00009A480000}"/>
    <cellStyle name="SAPBEXexcCritical6 19" xfId="3714" xr:uid="{00000000-0005-0000-0000-00009B480000}"/>
    <cellStyle name="SAPBEXexcCritical6 19 2" xfId="6252" xr:uid="{00000000-0005-0000-0000-00009C480000}"/>
    <cellStyle name="SAPBEXexcCritical6 19 3" xfId="8557" xr:uid="{00000000-0005-0000-0000-00009D480000}"/>
    <cellStyle name="SAPBEXexcCritical6 19 4" xfId="11929" xr:uid="{00000000-0005-0000-0000-00009E480000}"/>
    <cellStyle name="SAPBEXexcCritical6 19 5" xfId="14137" xr:uid="{00000000-0005-0000-0000-00009F480000}"/>
    <cellStyle name="SAPBEXexcCritical6 19 6" xfId="16821" xr:uid="{00000000-0005-0000-0000-0000A0480000}"/>
    <cellStyle name="SAPBEXexcCritical6 19 7" xfId="18833" xr:uid="{00000000-0005-0000-0000-0000A1480000}"/>
    <cellStyle name="SAPBEXexcCritical6 19 8" xfId="21517" xr:uid="{00000000-0005-0000-0000-0000A2480000}"/>
    <cellStyle name="SAPBEXexcCritical6 19 9" xfId="23363" xr:uid="{00000000-0005-0000-0000-0000A3480000}"/>
    <cellStyle name="SAPBEXexcCritical6 2" xfId="3070" xr:uid="{00000000-0005-0000-0000-0000A4480000}"/>
    <cellStyle name="SAPBEXexcCritical6 2 2" xfId="5608" xr:uid="{00000000-0005-0000-0000-0000A5480000}"/>
    <cellStyle name="SAPBEXexcCritical6 2 3" xfId="8892" xr:uid="{00000000-0005-0000-0000-0000A6480000}"/>
    <cellStyle name="SAPBEXexcCritical6 2 4" xfId="10365" xr:uid="{00000000-0005-0000-0000-0000A7480000}"/>
    <cellStyle name="SAPBEXexcCritical6 2 5" xfId="12687" xr:uid="{00000000-0005-0000-0000-0000A8480000}"/>
    <cellStyle name="SAPBEXexcCritical6 2 6" xfId="16742" xr:uid="{00000000-0005-0000-0000-0000A9480000}"/>
    <cellStyle name="SAPBEXexcCritical6 2 7" xfId="17383" xr:uid="{00000000-0005-0000-0000-0000AA480000}"/>
    <cellStyle name="SAPBEXexcCritical6 2 8" xfId="21438" xr:uid="{00000000-0005-0000-0000-0000AB480000}"/>
    <cellStyle name="SAPBEXexcCritical6 2 9" xfId="22036" xr:uid="{00000000-0005-0000-0000-0000AC480000}"/>
    <cellStyle name="SAPBEXexcCritical6 20" xfId="3717" xr:uid="{00000000-0005-0000-0000-0000AD480000}"/>
    <cellStyle name="SAPBEXexcCritical6 20 2" xfId="6255" xr:uid="{00000000-0005-0000-0000-0000AE480000}"/>
    <cellStyle name="SAPBEXexcCritical6 20 3" xfId="5528" xr:uid="{00000000-0005-0000-0000-0000AF480000}"/>
    <cellStyle name="SAPBEXexcCritical6 20 4" xfId="10358" xr:uid="{00000000-0005-0000-0000-0000B0480000}"/>
    <cellStyle name="SAPBEXexcCritical6 20 5" xfId="12680" xr:uid="{00000000-0005-0000-0000-0000B1480000}"/>
    <cellStyle name="SAPBEXexcCritical6 20 6" xfId="15576" xr:uid="{00000000-0005-0000-0000-0000B2480000}"/>
    <cellStyle name="SAPBEXexcCritical6 20 7" xfId="17376" xr:uid="{00000000-0005-0000-0000-0000B3480000}"/>
    <cellStyle name="SAPBEXexcCritical6 20 8" xfId="20272" xr:uid="{00000000-0005-0000-0000-0000B4480000}"/>
    <cellStyle name="SAPBEXexcCritical6 20 9" xfId="22029" xr:uid="{00000000-0005-0000-0000-0000B5480000}"/>
    <cellStyle name="SAPBEXexcCritical6 21" xfId="3925" xr:uid="{00000000-0005-0000-0000-0000B6480000}"/>
    <cellStyle name="SAPBEXexcCritical6 21 2" xfId="6463" xr:uid="{00000000-0005-0000-0000-0000B7480000}"/>
    <cellStyle name="SAPBEXexcCritical6 21 3" xfId="9847" xr:uid="{00000000-0005-0000-0000-0000B8480000}"/>
    <cellStyle name="SAPBEXexcCritical6 21 4" xfId="11312" xr:uid="{00000000-0005-0000-0000-0000B9480000}"/>
    <cellStyle name="SAPBEXexcCritical6 21 5" xfId="13720" xr:uid="{00000000-0005-0000-0000-0000BA480000}"/>
    <cellStyle name="SAPBEXexcCritical6 21 6" xfId="16967" xr:uid="{00000000-0005-0000-0000-0000BB480000}"/>
    <cellStyle name="SAPBEXexcCritical6 21 7" xfId="18416" xr:uid="{00000000-0005-0000-0000-0000BC480000}"/>
    <cellStyle name="SAPBEXexcCritical6 21 8" xfId="21663" xr:uid="{00000000-0005-0000-0000-0000BD480000}"/>
    <cellStyle name="SAPBEXexcCritical6 21 9" xfId="22986" xr:uid="{00000000-0005-0000-0000-0000BE480000}"/>
    <cellStyle name="SAPBEXexcCritical6 22" xfId="3948" xr:uid="{00000000-0005-0000-0000-0000BF480000}"/>
    <cellStyle name="SAPBEXexcCritical6 22 2" xfId="6486" xr:uid="{00000000-0005-0000-0000-0000C0480000}"/>
    <cellStyle name="SAPBEXexcCritical6 22 3" xfId="8360" xr:uid="{00000000-0005-0000-0000-0000C1480000}"/>
    <cellStyle name="SAPBEXexcCritical6 22 4" xfId="10385" xr:uid="{00000000-0005-0000-0000-0000C2480000}"/>
    <cellStyle name="SAPBEXexcCritical6 22 5" xfId="12707" xr:uid="{00000000-0005-0000-0000-0000C3480000}"/>
    <cellStyle name="SAPBEXexcCritical6 22 6" xfId="16394" xr:uid="{00000000-0005-0000-0000-0000C4480000}"/>
    <cellStyle name="SAPBEXexcCritical6 22 7" xfId="17403" xr:uid="{00000000-0005-0000-0000-0000C5480000}"/>
    <cellStyle name="SAPBEXexcCritical6 22 8" xfId="21090" xr:uid="{00000000-0005-0000-0000-0000C6480000}"/>
    <cellStyle name="SAPBEXexcCritical6 22 9" xfId="22056" xr:uid="{00000000-0005-0000-0000-0000C7480000}"/>
    <cellStyle name="SAPBEXexcCritical6 23" xfId="4048" xr:uid="{00000000-0005-0000-0000-0000C8480000}"/>
    <cellStyle name="SAPBEXexcCritical6 23 2" xfId="6586" xr:uid="{00000000-0005-0000-0000-0000C9480000}"/>
    <cellStyle name="SAPBEXexcCritical6 23 3" xfId="8908" xr:uid="{00000000-0005-0000-0000-0000CA480000}"/>
    <cellStyle name="SAPBEXexcCritical6 23 4" xfId="8014" xr:uid="{00000000-0005-0000-0000-0000CB480000}"/>
    <cellStyle name="SAPBEXexcCritical6 23 5" xfId="12401" xr:uid="{00000000-0005-0000-0000-0000CC480000}"/>
    <cellStyle name="SAPBEXexcCritical6 23 6" xfId="15110" xr:uid="{00000000-0005-0000-0000-0000CD480000}"/>
    <cellStyle name="SAPBEXexcCritical6 23 7" xfId="17097" xr:uid="{00000000-0005-0000-0000-0000CE480000}"/>
    <cellStyle name="SAPBEXexcCritical6 23 8" xfId="19806" xr:uid="{00000000-0005-0000-0000-0000CF480000}"/>
    <cellStyle name="SAPBEXexcCritical6 23 9" xfId="21784" xr:uid="{00000000-0005-0000-0000-0000D0480000}"/>
    <cellStyle name="SAPBEXexcCritical6 24" xfId="3915" xr:uid="{00000000-0005-0000-0000-0000D1480000}"/>
    <cellStyle name="SAPBEXexcCritical6 24 2" xfId="6453" xr:uid="{00000000-0005-0000-0000-0000D2480000}"/>
    <cellStyle name="SAPBEXexcCritical6 24 3" xfId="9474" xr:uid="{00000000-0005-0000-0000-0000D3480000}"/>
    <cellStyle name="SAPBEXexcCritical6 24 4" xfId="8784" xr:uid="{00000000-0005-0000-0000-0000D4480000}"/>
    <cellStyle name="SAPBEXexcCritical6 24 5" xfId="12432" xr:uid="{00000000-0005-0000-0000-0000D5480000}"/>
    <cellStyle name="SAPBEXexcCritical6 24 6" xfId="16855" xr:uid="{00000000-0005-0000-0000-0000D6480000}"/>
    <cellStyle name="SAPBEXexcCritical6 24 7" xfId="17128" xr:uid="{00000000-0005-0000-0000-0000D7480000}"/>
    <cellStyle name="SAPBEXexcCritical6 24 8" xfId="21551" xr:uid="{00000000-0005-0000-0000-0000D8480000}"/>
    <cellStyle name="SAPBEXexcCritical6 24 9" xfId="21812" xr:uid="{00000000-0005-0000-0000-0000D9480000}"/>
    <cellStyle name="SAPBEXexcCritical6 25" xfId="3629" xr:uid="{00000000-0005-0000-0000-0000DA480000}"/>
    <cellStyle name="SAPBEXexcCritical6 25 2" xfId="6167" xr:uid="{00000000-0005-0000-0000-0000DB480000}"/>
    <cellStyle name="SAPBEXexcCritical6 25 3" xfId="9457" xr:uid="{00000000-0005-0000-0000-0000DC480000}"/>
    <cellStyle name="SAPBEXexcCritical6 25 4" xfId="12112" xr:uid="{00000000-0005-0000-0000-0000DD480000}"/>
    <cellStyle name="SAPBEXexcCritical6 25 5" xfId="14594" xr:uid="{00000000-0005-0000-0000-0000DE480000}"/>
    <cellStyle name="SAPBEXexcCritical6 25 6" xfId="16671" xr:uid="{00000000-0005-0000-0000-0000DF480000}"/>
    <cellStyle name="SAPBEXexcCritical6 25 7" xfId="19290" xr:uid="{00000000-0005-0000-0000-0000E0480000}"/>
    <cellStyle name="SAPBEXexcCritical6 25 8" xfId="21367" xr:uid="{00000000-0005-0000-0000-0000E1480000}"/>
    <cellStyle name="SAPBEXexcCritical6 25 9" xfId="23786" xr:uid="{00000000-0005-0000-0000-0000E2480000}"/>
    <cellStyle name="SAPBEXexcCritical6 26" xfId="3978" xr:uid="{00000000-0005-0000-0000-0000E3480000}"/>
    <cellStyle name="SAPBEXexcCritical6 26 2" xfId="6516" xr:uid="{00000000-0005-0000-0000-0000E4480000}"/>
    <cellStyle name="SAPBEXexcCritical6 26 3" xfId="9259" xr:uid="{00000000-0005-0000-0000-0000E5480000}"/>
    <cellStyle name="SAPBEXexcCritical6 26 4" xfId="11856" xr:uid="{00000000-0005-0000-0000-0000E6480000}"/>
    <cellStyle name="SAPBEXexcCritical6 26 5" xfId="14318" xr:uid="{00000000-0005-0000-0000-0000E7480000}"/>
    <cellStyle name="SAPBEXexcCritical6 26 6" xfId="16838" xr:uid="{00000000-0005-0000-0000-0000E8480000}"/>
    <cellStyle name="SAPBEXexcCritical6 26 7" xfId="19014" xr:uid="{00000000-0005-0000-0000-0000E9480000}"/>
    <cellStyle name="SAPBEXexcCritical6 26 8" xfId="21534" xr:uid="{00000000-0005-0000-0000-0000EA480000}"/>
    <cellStyle name="SAPBEXexcCritical6 26 9" xfId="23532" xr:uid="{00000000-0005-0000-0000-0000EB480000}"/>
    <cellStyle name="SAPBEXexcCritical6 27" xfId="4034" xr:uid="{00000000-0005-0000-0000-0000EC480000}"/>
    <cellStyle name="SAPBEXexcCritical6 27 2" xfId="6572" xr:uid="{00000000-0005-0000-0000-0000ED480000}"/>
    <cellStyle name="SAPBEXexcCritical6 27 3" xfId="8113" xr:uid="{00000000-0005-0000-0000-0000EE480000}"/>
    <cellStyle name="SAPBEXexcCritical6 27 4" xfId="9948" xr:uid="{00000000-0005-0000-0000-0000EF480000}"/>
    <cellStyle name="SAPBEXexcCritical6 27 5" xfId="12487" xr:uid="{00000000-0005-0000-0000-0000F0480000}"/>
    <cellStyle name="SAPBEXexcCritical6 27 6" xfId="15003" xr:uid="{00000000-0005-0000-0000-0000F1480000}"/>
    <cellStyle name="SAPBEXexcCritical6 27 7" xfId="17183" xr:uid="{00000000-0005-0000-0000-0000F2480000}"/>
    <cellStyle name="SAPBEXexcCritical6 27 8" xfId="19699" xr:uid="{00000000-0005-0000-0000-0000F3480000}"/>
    <cellStyle name="SAPBEXexcCritical6 27 9" xfId="21860" xr:uid="{00000000-0005-0000-0000-0000F4480000}"/>
    <cellStyle name="SAPBEXexcCritical6 28" xfId="4171" xr:uid="{00000000-0005-0000-0000-0000F5480000}"/>
    <cellStyle name="SAPBEXexcCritical6 28 2" xfId="6709" xr:uid="{00000000-0005-0000-0000-0000F6480000}"/>
    <cellStyle name="SAPBEXexcCritical6 28 3" xfId="9013" xr:uid="{00000000-0005-0000-0000-0000F7480000}"/>
    <cellStyle name="SAPBEXexcCritical6 28 4" xfId="11316" xr:uid="{00000000-0005-0000-0000-0000F8480000}"/>
    <cellStyle name="SAPBEXexcCritical6 28 5" xfId="13725" xr:uid="{00000000-0005-0000-0000-0000F9480000}"/>
    <cellStyle name="SAPBEXexcCritical6 28 6" xfId="15747" xr:uid="{00000000-0005-0000-0000-0000FA480000}"/>
    <cellStyle name="SAPBEXexcCritical6 28 7" xfId="18421" xr:uid="{00000000-0005-0000-0000-0000FB480000}"/>
    <cellStyle name="SAPBEXexcCritical6 28 8" xfId="20443" xr:uid="{00000000-0005-0000-0000-0000FC480000}"/>
    <cellStyle name="SAPBEXexcCritical6 28 9" xfId="22990" xr:uid="{00000000-0005-0000-0000-0000FD480000}"/>
    <cellStyle name="SAPBEXexcCritical6 29" xfId="4088" xr:uid="{00000000-0005-0000-0000-0000FE480000}"/>
    <cellStyle name="SAPBEXexcCritical6 29 2" xfId="6626" xr:uid="{00000000-0005-0000-0000-0000FF480000}"/>
    <cellStyle name="SAPBEXexcCritical6 29 3" xfId="9702" xr:uid="{00000000-0005-0000-0000-000000490000}"/>
    <cellStyle name="SAPBEXexcCritical6 29 4" xfId="10536" xr:uid="{00000000-0005-0000-0000-000001490000}"/>
    <cellStyle name="SAPBEXexcCritical6 29 5" xfId="12879" xr:uid="{00000000-0005-0000-0000-000002490000}"/>
    <cellStyle name="SAPBEXexcCritical6 29 6" xfId="15855" xr:uid="{00000000-0005-0000-0000-000003490000}"/>
    <cellStyle name="SAPBEXexcCritical6 29 7" xfId="17575" xr:uid="{00000000-0005-0000-0000-000004490000}"/>
    <cellStyle name="SAPBEXexcCritical6 29 8" xfId="20551" xr:uid="{00000000-0005-0000-0000-000005490000}"/>
    <cellStyle name="SAPBEXexcCritical6 29 9" xfId="22207" xr:uid="{00000000-0005-0000-0000-000006490000}"/>
    <cellStyle name="SAPBEXexcCritical6 3" xfId="3105" xr:uid="{00000000-0005-0000-0000-000007490000}"/>
    <cellStyle name="SAPBEXexcCritical6 3 2" xfId="5643" xr:uid="{00000000-0005-0000-0000-000008490000}"/>
    <cellStyle name="SAPBEXexcCritical6 3 3" xfId="9202" xr:uid="{00000000-0005-0000-0000-000009490000}"/>
    <cellStyle name="SAPBEXexcCritical6 3 4" xfId="11102" xr:uid="{00000000-0005-0000-0000-00000A490000}"/>
    <cellStyle name="SAPBEXexcCritical6 3 5" xfId="13495" xr:uid="{00000000-0005-0000-0000-00000B490000}"/>
    <cellStyle name="SAPBEXexcCritical6 3 6" xfId="13661" xr:uid="{00000000-0005-0000-0000-00000C490000}"/>
    <cellStyle name="SAPBEXexcCritical6 3 7" xfId="18191" xr:uid="{00000000-0005-0000-0000-00000D490000}"/>
    <cellStyle name="SAPBEXexcCritical6 3 8" xfId="18357" xr:uid="{00000000-0005-0000-0000-00000E490000}"/>
    <cellStyle name="SAPBEXexcCritical6 3 9" xfId="22775" xr:uid="{00000000-0005-0000-0000-00000F490000}"/>
    <cellStyle name="SAPBEXexcCritical6 30" xfId="4214" xr:uid="{00000000-0005-0000-0000-000010490000}"/>
    <cellStyle name="SAPBEXexcCritical6 30 2" xfId="6752" xr:uid="{00000000-0005-0000-0000-000011490000}"/>
    <cellStyle name="SAPBEXexcCritical6 30 3" xfId="9907" xr:uid="{00000000-0005-0000-0000-000012490000}"/>
    <cellStyle name="SAPBEXexcCritical6 30 4" xfId="8249" xr:uid="{00000000-0005-0000-0000-000013490000}"/>
    <cellStyle name="SAPBEXexcCritical6 30 5" xfId="12504" xr:uid="{00000000-0005-0000-0000-000014490000}"/>
    <cellStyle name="SAPBEXexcCritical6 30 6" xfId="15359" xr:uid="{00000000-0005-0000-0000-000015490000}"/>
    <cellStyle name="SAPBEXexcCritical6 30 7" xfId="17200" xr:uid="{00000000-0005-0000-0000-000016490000}"/>
    <cellStyle name="SAPBEXexcCritical6 30 8" xfId="20055" xr:uid="{00000000-0005-0000-0000-000017490000}"/>
    <cellStyle name="SAPBEXexcCritical6 30 9" xfId="21872" xr:uid="{00000000-0005-0000-0000-000018490000}"/>
    <cellStyle name="SAPBEXexcCritical6 31" xfId="4257" xr:uid="{00000000-0005-0000-0000-000019490000}"/>
    <cellStyle name="SAPBEXexcCritical6 31 2" xfId="6795" xr:uid="{00000000-0005-0000-0000-00001A490000}"/>
    <cellStyle name="SAPBEXexcCritical6 31 3" xfId="10127" xr:uid="{00000000-0005-0000-0000-00001B490000}"/>
    <cellStyle name="SAPBEXexcCritical6 31 4" xfId="11345" xr:uid="{00000000-0005-0000-0000-00001C490000}"/>
    <cellStyle name="SAPBEXexcCritical6 31 5" xfId="14890" xr:uid="{00000000-0005-0000-0000-00001D490000}"/>
    <cellStyle name="SAPBEXexcCritical6 31 6" xfId="15989" xr:uid="{00000000-0005-0000-0000-00001E490000}"/>
    <cellStyle name="SAPBEXexcCritical6 31 7" xfId="19586" xr:uid="{00000000-0005-0000-0000-00001F490000}"/>
    <cellStyle name="SAPBEXexcCritical6 31 8" xfId="20685" xr:uid="{00000000-0005-0000-0000-000020490000}"/>
    <cellStyle name="SAPBEXexcCritical6 31 9" xfId="24057" xr:uid="{00000000-0005-0000-0000-000021490000}"/>
    <cellStyle name="SAPBEXexcCritical6 32" xfId="4287" xr:uid="{00000000-0005-0000-0000-000022490000}"/>
    <cellStyle name="SAPBEXexcCritical6 32 2" xfId="6825" xr:uid="{00000000-0005-0000-0000-000023490000}"/>
    <cellStyle name="SAPBEXexcCritical6 32 3" xfId="8489" xr:uid="{00000000-0005-0000-0000-000024490000}"/>
    <cellStyle name="SAPBEXexcCritical6 32 4" xfId="8672" xr:uid="{00000000-0005-0000-0000-000025490000}"/>
    <cellStyle name="SAPBEXexcCritical6 32 5" xfId="12368" xr:uid="{00000000-0005-0000-0000-000026490000}"/>
    <cellStyle name="SAPBEXexcCritical6 32 6" xfId="16861" xr:uid="{00000000-0005-0000-0000-000027490000}"/>
    <cellStyle name="SAPBEXexcCritical6 32 7" xfId="17064" xr:uid="{00000000-0005-0000-0000-000028490000}"/>
    <cellStyle name="SAPBEXexcCritical6 32 8" xfId="21557" xr:uid="{00000000-0005-0000-0000-000029490000}"/>
    <cellStyle name="SAPBEXexcCritical6 32 9" xfId="21754" xr:uid="{00000000-0005-0000-0000-00002A490000}"/>
    <cellStyle name="SAPBEXexcCritical6 33" xfId="4477" xr:uid="{00000000-0005-0000-0000-00002B490000}"/>
    <cellStyle name="SAPBEXexcCritical6 33 2" xfId="7015" xr:uid="{00000000-0005-0000-0000-00002C490000}"/>
    <cellStyle name="SAPBEXexcCritical6 33 3" xfId="7945" xr:uid="{00000000-0005-0000-0000-00002D490000}"/>
    <cellStyle name="SAPBEXexcCritical6 33 4" xfId="11776" xr:uid="{00000000-0005-0000-0000-00002E490000}"/>
    <cellStyle name="SAPBEXexcCritical6 33 5" xfId="14230" xr:uid="{00000000-0005-0000-0000-00002F490000}"/>
    <cellStyle name="SAPBEXexcCritical6 33 6" xfId="15033" xr:uid="{00000000-0005-0000-0000-000030490000}"/>
    <cellStyle name="SAPBEXexcCritical6 33 7" xfId="18926" xr:uid="{00000000-0005-0000-0000-000031490000}"/>
    <cellStyle name="SAPBEXexcCritical6 33 8" xfId="19729" xr:uid="{00000000-0005-0000-0000-000032490000}"/>
    <cellStyle name="SAPBEXexcCritical6 33 9" xfId="23450" xr:uid="{00000000-0005-0000-0000-000033490000}"/>
    <cellStyle name="SAPBEXexcCritical6 34" xfId="4560" xr:uid="{00000000-0005-0000-0000-000034490000}"/>
    <cellStyle name="SAPBEXexcCritical6 34 2" xfId="7098" xr:uid="{00000000-0005-0000-0000-000035490000}"/>
    <cellStyle name="SAPBEXexcCritical6 34 3" xfId="8551" xr:uid="{00000000-0005-0000-0000-000036490000}"/>
    <cellStyle name="SAPBEXexcCritical6 34 4" xfId="10688" xr:uid="{00000000-0005-0000-0000-000037490000}"/>
    <cellStyle name="SAPBEXexcCritical6 34 5" xfId="13040" xr:uid="{00000000-0005-0000-0000-000038490000}"/>
    <cellStyle name="SAPBEXexcCritical6 34 6" xfId="16068" xr:uid="{00000000-0005-0000-0000-000039490000}"/>
    <cellStyle name="SAPBEXexcCritical6 34 7" xfId="17736" xr:uid="{00000000-0005-0000-0000-00003A490000}"/>
    <cellStyle name="SAPBEXexcCritical6 34 8" xfId="20764" xr:uid="{00000000-0005-0000-0000-00003B490000}"/>
    <cellStyle name="SAPBEXexcCritical6 34 9" xfId="22361" xr:uid="{00000000-0005-0000-0000-00003C490000}"/>
    <cellStyle name="SAPBEXexcCritical6 35" xfId="4310" xr:uid="{00000000-0005-0000-0000-00003D490000}"/>
    <cellStyle name="SAPBEXexcCritical6 35 2" xfId="6848" xr:uid="{00000000-0005-0000-0000-00003E490000}"/>
    <cellStyle name="SAPBEXexcCritical6 35 3" xfId="5518" xr:uid="{00000000-0005-0000-0000-00003F490000}"/>
    <cellStyle name="SAPBEXexcCritical6 35 4" xfId="8618" xr:uid="{00000000-0005-0000-0000-000040490000}"/>
    <cellStyle name="SAPBEXexcCritical6 35 5" xfId="14858" xr:uid="{00000000-0005-0000-0000-000041490000}"/>
    <cellStyle name="SAPBEXexcCritical6 35 6" xfId="16886" xr:uid="{00000000-0005-0000-0000-000042490000}"/>
    <cellStyle name="SAPBEXexcCritical6 35 7" xfId="19554" xr:uid="{00000000-0005-0000-0000-000043490000}"/>
    <cellStyle name="SAPBEXexcCritical6 35 8" xfId="21582" xr:uid="{00000000-0005-0000-0000-000044490000}"/>
    <cellStyle name="SAPBEXexcCritical6 35 9" xfId="24030" xr:uid="{00000000-0005-0000-0000-000045490000}"/>
    <cellStyle name="SAPBEXexcCritical6 36" xfId="4552" xr:uid="{00000000-0005-0000-0000-000046490000}"/>
    <cellStyle name="SAPBEXexcCritical6 36 2" xfId="7090" xr:uid="{00000000-0005-0000-0000-000047490000}"/>
    <cellStyle name="SAPBEXexcCritical6 36 3" xfId="9311" xr:uid="{00000000-0005-0000-0000-000048490000}"/>
    <cellStyle name="SAPBEXexcCritical6 36 4" xfId="10738" xr:uid="{00000000-0005-0000-0000-000049490000}"/>
    <cellStyle name="SAPBEXexcCritical6 36 5" xfId="13093" xr:uid="{00000000-0005-0000-0000-00004A490000}"/>
    <cellStyle name="SAPBEXexcCritical6 36 6" xfId="15900" xr:uid="{00000000-0005-0000-0000-00004B490000}"/>
    <cellStyle name="SAPBEXexcCritical6 36 7" xfId="17789" xr:uid="{00000000-0005-0000-0000-00004C490000}"/>
    <cellStyle name="SAPBEXexcCritical6 36 8" xfId="20596" xr:uid="{00000000-0005-0000-0000-00004D490000}"/>
    <cellStyle name="SAPBEXexcCritical6 36 9" xfId="22411" xr:uid="{00000000-0005-0000-0000-00004E490000}"/>
    <cellStyle name="SAPBEXexcCritical6 37" xfId="4556" xr:uid="{00000000-0005-0000-0000-00004F490000}"/>
    <cellStyle name="SAPBEXexcCritical6 37 2" xfId="7094" xr:uid="{00000000-0005-0000-0000-000050490000}"/>
    <cellStyle name="SAPBEXexcCritical6 37 3" xfId="9872" xr:uid="{00000000-0005-0000-0000-000051490000}"/>
    <cellStyle name="SAPBEXexcCritical6 37 4" xfId="11962" xr:uid="{00000000-0005-0000-0000-000052490000}"/>
    <cellStyle name="SAPBEXexcCritical6 37 5" xfId="14438" xr:uid="{00000000-0005-0000-0000-000053490000}"/>
    <cellStyle name="SAPBEXexcCritical6 37 6" xfId="15509" xr:uid="{00000000-0005-0000-0000-000054490000}"/>
    <cellStyle name="SAPBEXexcCritical6 37 7" xfId="19134" xr:uid="{00000000-0005-0000-0000-000055490000}"/>
    <cellStyle name="SAPBEXexcCritical6 37 8" xfId="20205" xr:uid="{00000000-0005-0000-0000-000056490000}"/>
    <cellStyle name="SAPBEXexcCritical6 37 9" xfId="23637" xr:uid="{00000000-0005-0000-0000-000057490000}"/>
    <cellStyle name="SAPBEXexcCritical6 38" xfId="4674" xr:uid="{00000000-0005-0000-0000-000058490000}"/>
    <cellStyle name="SAPBEXexcCritical6 38 2" xfId="7212" xr:uid="{00000000-0005-0000-0000-000059490000}"/>
    <cellStyle name="SAPBEXexcCritical6 38 3" xfId="9719" xr:uid="{00000000-0005-0000-0000-00005A490000}"/>
    <cellStyle name="SAPBEXexcCritical6 38 4" xfId="10544" xr:uid="{00000000-0005-0000-0000-00005B490000}"/>
    <cellStyle name="SAPBEXexcCritical6 38 5" xfId="12887" xr:uid="{00000000-0005-0000-0000-00005C490000}"/>
    <cellStyle name="SAPBEXexcCritical6 38 6" xfId="16104" xr:uid="{00000000-0005-0000-0000-00005D490000}"/>
    <cellStyle name="SAPBEXexcCritical6 38 7" xfId="17583" xr:uid="{00000000-0005-0000-0000-00005E490000}"/>
    <cellStyle name="SAPBEXexcCritical6 38 8" xfId="20800" xr:uid="{00000000-0005-0000-0000-00005F490000}"/>
    <cellStyle name="SAPBEXexcCritical6 38 9" xfId="22215" xr:uid="{00000000-0005-0000-0000-000060490000}"/>
    <cellStyle name="SAPBEXexcCritical6 39" xfId="4695" xr:uid="{00000000-0005-0000-0000-000061490000}"/>
    <cellStyle name="SAPBEXexcCritical6 39 2" xfId="7233" xr:uid="{00000000-0005-0000-0000-000062490000}"/>
    <cellStyle name="SAPBEXexcCritical6 39 3" xfId="9671" xr:uid="{00000000-0005-0000-0000-000063490000}"/>
    <cellStyle name="SAPBEXexcCritical6 39 4" xfId="9392" xr:uid="{00000000-0005-0000-0000-000064490000}"/>
    <cellStyle name="SAPBEXexcCritical6 39 5" xfId="12506" xr:uid="{00000000-0005-0000-0000-000065490000}"/>
    <cellStyle name="SAPBEXexcCritical6 39 6" xfId="15767" xr:uid="{00000000-0005-0000-0000-000066490000}"/>
    <cellStyle name="SAPBEXexcCritical6 39 7" xfId="17202" xr:uid="{00000000-0005-0000-0000-000067490000}"/>
    <cellStyle name="SAPBEXexcCritical6 39 8" xfId="20463" xr:uid="{00000000-0005-0000-0000-000068490000}"/>
    <cellStyle name="SAPBEXexcCritical6 39 9" xfId="21874" xr:uid="{00000000-0005-0000-0000-000069490000}"/>
    <cellStyle name="SAPBEXexcCritical6 4" xfId="3048" xr:uid="{00000000-0005-0000-0000-00006A490000}"/>
    <cellStyle name="SAPBEXexcCritical6 4 2" xfId="5587" xr:uid="{00000000-0005-0000-0000-00006B490000}"/>
    <cellStyle name="SAPBEXexcCritical6 4 3" xfId="9964" xr:uid="{00000000-0005-0000-0000-00006C490000}"/>
    <cellStyle name="SAPBEXexcCritical6 4 4" xfId="11471" xr:uid="{00000000-0005-0000-0000-00006D490000}"/>
    <cellStyle name="SAPBEXexcCritical6 4 5" xfId="13894" xr:uid="{00000000-0005-0000-0000-00006E490000}"/>
    <cellStyle name="SAPBEXexcCritical6 4 6" xfId="15631" xr:uid="{00000000-0005-0000-0000-00006F490000}"/>
    <cellStyle name="SAPBEXexcCritical6 4 7" xfId="18590" xr:uid="{00000000-0005-0000-0000-000070490000}"/>
    <cellStyle name="SAPBEXexcCritical6 4 8" xfId="20327" xr:uid="{00000000-0005-0000-0000-000071490000}"/>
    <cellStyle name="SAPBEXexcCritical6 4 9" xfId="23146" xr:uid="{00000000-0005-0000-0000-000072490000}"/>
    <cellStyle name="SAPBEXexcCritical6 40" xfId="4726" xr:uid="{00000000-0005-0000-0000-000073490000}"/>
    <cellStyle name="SAPBEXexcCritical6 40 2" xfId="7264" xr:uid="{00000000-0005-0000-0000-000074490000}"/>
    <cellStyle name="SAPBEXexcCritical6 40 3" xfId="8078" xr:uid="{00000000-0005-0000-0000-000075490000}"/>
    <cellStyle name="SAPBEXexcCritical6 40 4" xfId="11991" xr:uid="{00000000-0005-0000-0000-000076490000}"/>
    <cellStyle name="SAPBEXexcCritical6 40 5" xfId="14469" xr:uid="{00000000-0005-0000-0000-000077490000}"/>
    <cellStyle name="SAPBEXexcCritical6 40 6" xfId="15030" xr:uid="{00000000-0005-0000-0000-000078490000}"/>
    <cellStyle name="SAPBEXexcCritical6 40 7" xfId="19165" xr:uid="{00000000-0005-0000-0000-000079490000}"/>
    <cellStyle name="SAPBEXexcCritical6 40 8" xfId="19726" xr:uid="{00000000-0005-0000-0000-00007A490000}"/>
    <cellStyle name="SAPBEXexcCritical6 40 9" xfId="23666" xr:uid="{00000000-0005-0000-0000-00007B490000}"/>
    <cellStyle name="SAPBEXexcCritical6 41" xfId="4654" xr:uid="{00000000-0005-0000-0000-00007C490000}"/>
    <cellStyle name="SAPBEXexcCritical6 41 2" xfId="7192" xr:uid="{00000000-0005-0000-0000-00007D490000}"/>
    <cellStyle name="SAPBEXexcCritical6 41 3" xfId="9818" xr:uid="{00000000-0005-0000-0000-00007E490000}"/>
    <cellStyle name="SAPBEXexcCritical6 41 4" xfId="11529" xr:uid="{00000000-0005-0000-0000-00007F490000}"/>
    <cellStyle name="SAPBEXexcCritical6 41 5" xfId="13960" xr:uid="{00000000-0005-0000-0000-000080490000}"/>
    <cellStyle name="SAPBEXexcCritical6 41 6" xfId="16877" xr:uid="{00000000-0005-0000-0000-000081490000}"/>
    <cellStyle name="SAPBEXexcCritical6 41 7" xfId="18656" xr:uid="{00000000-0005-0000-0000-000082490000}"/>
    <cellStyle name="SAPBEXexcCritical6 41 8" xfId="21573" xr:uid="{00000000-0005-0000-0000-000083490000}"/>
    <cellStyle name="SAPBEXexcCritical6 41 9" xfId="23203" xr:uid="{00000000-0005-0000-0000-000084490000}"/>
    <cellStyle name="SAPBEXexcCritical6 42" xfId="4882" xr:uid="{00000000-0005-0000-0000-000085490000}"/>
    <cellStyle name="SAPBEXexcCritical6 42 2" xfId="7420" xr:uid="{00000000-0005-0000-0000-000086490000}"/>
    <cellStyle name="SAPBEXexcCritical6 42 3" xfId="8117" xr:uid="{00000000-0005-0000-0000-000087490000}"/>
    <cellStyle name="SAPBEXexcCritical6 42 4" xfId="10605" xr:uid="{00000000-0005-0000-0000-000088490000}"/>
    <cellStyle name="SAPBEXexcCritical6 42 5" xfId="12953" xr:uid="{00000000-0005-0000-0000-000089490000}"/>
    <cellStyle name="SAPBEXexcCritical6 42 6" xfId="15736" xr:uid="{00000000-0005-0000-0000-00008A490000}"/>
    <cellStyle name="SAPBEXexcCritical6 42 7" xfId="17649" xr:uid="{00000000-0005-0000-0000-00008B490000}"/>
    <cellStyle name="SAPBEXexcCritical6 42 8" xfId="20432" xr:uid="{00000000-0005-0000-0000-00008C490000}"/>
    <cellStyle name="SAPBEXexcCritical6 42 9" xfId="22278" xr:uid="{00000000-0005-0000-0000-00008D490000}"/>
    <cellStyle name="SAPBEXexcCritical6 43" xfId="4961" xr:uid="{00000000-0005-0000-0000-00008E490000}"/>
    <cellStyle name="SAPBEXexcCritical6 43 2" xfId="7499" xr:uid="{00000000-0005-0000-0000-00008F490000}"/>
    <cellStyle name="SAPBEXexcCritical6 43 3" xfId="10178" xr:uid="{00000000-0005-0000-0000-000090490000}"/>
    <cellStyle name="SAPBEXexcCritical6 43 4" xfId="11274" xr:uid="{00000000-0005-0000-0000-000091490000}"/>
    <cellStyle name="SAPBEXexcCritical6 43 5" xfId="13680" xr:uid="{00000000-0005-0000-0000-000092490000}"/>
    <cellStyle name="SAPBEXexcCritical6 43 6" xfId="15420" xr:uid="{00000000-0005-0000-0000-000093490000}"/>
    <cellStyle name="SAPBEXexcCritical6 43 7" xfId="18376" xr:uid="{00000000-0005-0000-0000-000094490000}"/>
    <cellStyle name="SAPBEXexcCritical6 43 8" xfId="20116" xr:uid="{00000000-0005-0000-0000-000095490000}"/>
    <cellStyle name="SAPBEXexcCritical6 43 9" xfId="22948" xr:uid="{00000000-0005-0000-0000-000096490000}"/>
    <cellStyle name="SAPBEXexcCritical6 44" xfId="4880" xr:uid="{00000000-0005-0000-0000-000097490000}"/>
    <cellStyle name="SAPBEXexcCritical6 44 2" xfId="7418" xr:uid="{00000000-0005-0000-0000-000098490000}"/>
    <cellStyle name="SAPBEXexcCritical6 44 3" xfId="8408" xr:uid="{00000000-0005-0000-0000-000099490000}"/>
    <cellStyle name="SAPBEXexcCritical6 44 4" xfId="8170" xr:uid="{00000000-0005-0000-0000-00009A490000}"/>
    <cellStyle name="SAPBEXexcCritical6 44 5" xfId="12372" xr:uid="{00000000-0005-0000-0000-00009B490000}"/>
    <cellStyle name="SAPBEXexcCritical6 44 6" xfId="16989" xr:uid="{00000000-0005-0000-0000-00009C490000}"/>
    <cellStyle name="SAPBEXexcCritical6 44 7" xfId="17068" xr:uid="{00000000-0005-0000-0000-00009D490000}"/>
    <cellStyle name="SAPBEXexcCritical6 44 8" xfId="21685" xr:uid="{00000000-0005-0000-0000-00009E490000}"/>
    <cellStyle name="SAPBEXexcCritical6 44 9" xfId="21757" xr:uid="{00000000-0005-0000-0000-00009F490000}"/>
    <cellStyle name="SAPBEXexcCritical6 45" xfId="4845" xr:uid="{00000000-0005-0000-0000-0000A0490000}"/>
    <cellStyle name="SAPBEXexcCritical6 45 2" xfId="7383" xr:uid="{00000000-0005-0000-0000-0000A1490000}"/>
    <cellStyle name="SAPBEXexcCritical6 45 3" xfId="8727" xr:uid="{00000000-0005-0000-0000-0000A2490000}"/>
    <cellStyle name="SAPBEXexcCritical6 45 4" xfId="12094" xr:uid="{00000000-0005-0000-0000-0000A3490000}"/>
    <cellStyle name="SAPBEXexcCritical6 45 5" xfId="14817" xr:uid="{00000000-0005-0000-0000-0000A4490000}"/>
    <cellStyle name="SAPBEXexcCritical6 45 6" xfId="14743" xr:uid="{00000000-0005-0000-0000-0000A5490000}"/>
    <cellStyle name="SAPBEXexcCritical6 45 7" xfId="19513" xr:uid="{00000000-0005-0000-0000-0000A6490000}"/>
    <cellStyle name="SAPBEXexcCritical6 45 8" xfId="19439" xr:uid="{00000000-0005-0000-0000-0000A7490000}"/>
    <cellStyle name="SAPBEXexcCritical6 45 9" xfId="24001" xr:uid="{00000000-0005-0000-0000-0000A8490000}"/>
    <cellStyle name="SAPBEXexcCritical6 46" xfId="4954" xr:uid="{00000000-0005-0000-0000-0000A9490000}"/>
    <cellStyle name="SAPBEXexcCritical6 46 2" xfId="7492" xr:uid="{00000000-0005-0000-0000-0000AA490000}"/>
    <cellStyle name="SAPBEXexcCritical6 46 3" xfId="9287" xr:uid="{00000000-0005-0000-0000-0000AB490000}"/>
    <cellStyle name="SAPBEXexcCritical6 46 4" xfId="10896" xr:uid="{00000000-0005-0000-0000-0000AC490000}"/>
    <cellStyle name="SAPBEXexcCritical6 46 5" xfId="12409" xr:uid="{00000000-0005-0000-0000-0000AD490000}"/>
    <cellStyle name="SAPBEXexcCritical6 46 6" xfId="14453" xr:uid="{00000000-0005-0000-0000-0000AE490000}"/>
    <cellStyle name="SAPBEXexcCritical6 46 7" xfId="17105" xr:uid="{00000000-0005-0000-0000-0000AF490000}"/>
    <cellStyle name="SAPBEXexcCritical6 46 8" xfId="19149" xr:uid="{00000000-0005-0000-0000-0000B0490000}"/>
    <cellStyle name="SAPBEXexcCritical6 46 9" xfId="21791" xr:uid="{00000000-0005-0000-0000-0000B1490000}"/>
    <cellStyle name="SAPBEXexcCritical6 47" xfId="4953" xr:uid="{00000000-0005-0000-0000-0000B2490000}"/>
    <cellStyle name="SAPBEXexcCritical6 47 2" xfId="7491" xr:uid="{00000000-0005-0000-0000-0000B3490000}"/>
    <cellStyle name="SAPBEXexcCritical6 47 3" xfId="9820" xr:uid="{00000000-0005-0000-0000-0000B4490000}"/>
    <cellStyle name="SAPBEXexcCritical6 47 4" xfId="10301" xr:uid="{00000000-0005-0000-0000-0000B5490000}"/>
    <cellStyle name="SAPBEXexcCritical6 47 5" xfId="12615" xr:uid="{00000000-0005-0000-0000-0000B6490000}"/>
    <cellStyle name="SAPBEXexcCritical6 47 6" xfId="16768" xr:uid="{00000000-0005-0000-0000-0000B7490000}"/>
    <cellStyle name="SAPBEXexcCritical6 47 7" xfId="17311" xr:uid="{00000000-0005-0000-0000-0000B8490000}"/>
    <cellStyle name="SAPBEXexcCritical6 47 8" xfId="21464" xr:uid="{00000000-0005-0000-0000-0000B9490000}"/>
    <cellStyle name="SAPBEXexcCritical6 47 9" xfId="21971" xr:uid="{00000000-0005-0000-0000-0000BA490000}"/>
    <cellStyle name="SAPBEXexcCritical6 48" xfId="5132" xr:uid="{00000000-0005-0000-0000-0000BB490000}"/>
    <cellStyle name="SAPBEXexcCritical6 48 2" xfId="7670" xr:uid="{00000000-0005-0000-0000-0000BC490000}"/>
    <cellStyle name="SAPBEXexcCritical6 48 3" xfId="9447" xr:uid="{00000000-0005-0000-0000-0000BD490000}"/>
    <cellStyle name="SAPBEXexcCritical6 48 4" xfId="10767" xr:uid="{00000000-0005-0000-0000-0000BE490000}"/>
    <cellStyle name="SAPBEXexcCritical6 48 5" xfId="13122" xr:uid="{00000000-0005-0000-0000-0000BF490000}"/>
    <cellStyle name="SAPBEXexcCritical6 48 6" xfId="14845" xr:uid="{00000000-0005-0000-0000-0000C0490000}"/>
    <cellStyle name="SAPBEXexcCritical6 48 7" xfId="17818" xr:uid="{00000000-0005-0000-0000-0000C1490000}"/>
    <cellStyle name="SAPBEXexcCritical6 48 8" xfId="19541" xr:uid="{00000000-0005-0000-0000-0000C2490000}"/>
    <cellStyle name="SAPBEXexcCritical6 48 9" xfId="22439" xr:uid="{00000000-0005-0000-0000-0000C3490000}"/>
    <cellStyle name="SAPBEXexcCritical6 49" xfId="5201" xr:uid="{00000000-0005-0000-0000-0000C4490000}"/>
    <cellStyle name="SAPBEXexcCritical6 49 2" xfId="7740" xr:uid="{00000000-0005-0000-0000-0000C5490000}"/>
    <cellStyle name="SAPBEXexcCritical6 49 3" xfId="8544" xr:uid="{00000000-0005-0000-0000-0000C6490000}"/>
    <cellStyle name="SAPBEXexcCritical6 49 4" xfId="10682" xr:uid="{00000000-0005-0000-0000-0000C7490000}"/>
    <cellStyle name="SAPBEXexcCritical6 49 5" xfId="13033" xr:uid="{00000000-0005-0000-0000-0000C8490000}"/>
    <cellStyle name="SAPBEXexcCritical6 49 6" xfId="15260" xr:uid="{00000000-0005-0000-0000-0000C9490000}"/>
    <cellStyle name="SAPBEXexcCritical6 49 7" xfId="17729" xr:uid="{00000000-0005-0000-0000-0000CA490000}"/>
    <cellStyle name="SAPBEXexcCritical6 49 8" xfId="19956" xr:uid="{00000000-0005-0000-0000-0000CB490000}"/>
    <cellStyle name="SAPBEXexcCritical6 49 9" xfId="22355" xr:uid="{00000000-0005-0000-0000-0000CC490000}"/>
    <cellStyle name="SAPBEXexcCritical6 5" xfId="3115" xr:uid="{00000000-0005-0000-0000-0000CD490000}"/>
    <cellStyle name="SAPBEXexcCritical6 5 2" xfId="5653" xr:uid="{00000000-0005-0000-0000-0000CE490000}"/>
    <cellStyle name="SAPBEXexcCritical6 5 3" xfId="9891" xr:uid="{00000000-0005-0000-0000-0000CF490000}"/>
    <cellStyle name="SAPBEXexcCritical6 5 4" xfId="10954" xr:uid="{00000000-0005-0000-0000-0000D0490000}"/>
    <cellStyle name="SAPBEXexcCritical6 5 5" xfId="13325" xr:uid="{00000000-0005-0000-0000-0000D1490000}"/>
    <cellStyle name="SAPBEXexcCritical6 5 6" xfId="16221" xr:uid="{00000000-0005-0000-0000-0000D2490000}"/>
    <cellStyle name="SAPBEXexcCritical6 5 7" xfId="18021" xr:uid="{00000000-0005-0000-0000-0000D3490000}"/>
    <cellStyle name="SAPBEXexcCritical6 5 8" xfId="20917" xr:uid="{00000000-0005-0000-0000-0000D4490000}"/>
    <cellStyle name="SAPBEXexcCritical6 5 9" xfId="22625" xr:uid="{00000000-0005-0000-0000-0000D5490000}"/>
    <cellStyle name="SAPBEXexcCritical6 50" xfId="5176" xr:uid="{00000000-0005-0000-0000-0000D6490000}"/>
    <cellStyle name="SAPBEXexcCritical6 50 2" xfId="10050" xr:uid="{00000000-0005-0000-0000-0000D7490000}"/>
    <cellStyle name="SAPBEXexcCritical6 50 3" xfId="10828" xr:uid="{00000000-0005-0000-0000-0000D8490000}"/>
    <cellStyle name="SAPBEXexcCritical6 50 4" xfId="13192" xr:uid="{00000000-0005-0000-0000-0000D9490000}"/>
    <cellStyle name="SAPBEXexcCritical6 50 5" xfId="16503" xr:uid="{00000000-0005-0000-0000-0000DA490000}"/>
    <cellStyle name="SAPBEXexcCritical6 50 6" xfId="17888" xr:uid="{00000000-0005-0000-0000-0000DB490000}"/>
    <cellStyle name="SAPBEXexcCritical6 50 7" xfId="21199" xr:uid="{00000000-0005-0000-0000-0000DC490000}"/>
    <cellStyle name="SAPBEXexcCritical6 50 8" xfId="22499" xr:uid="{00000000-0005-0000-0000-0000DD490000}"/>
    <cellStyle name="SAPBEXexcCritical6 51" xfId="9430" xr:uid="{00000000-0005-0000-0000-0000DE490000}"/>
    <cellStyle name="SAPBEXexcCritical6 52" xfId="11280" xr:uid="{00000000-0005-0000-0000-0000DF490000}"/>
    <cellStyle name="SAPBEXexcCritical6 53" xfId="13686" xr:uid="{00000000-0005-0000-0000-0000E0490000}"/>
    <cellStyle name="SAPBEXexcCritical6 54" xfId="16605" xr:uid="{00000000-0005-0000-0000-0000E1490000}"/>
    <cellStyle name="SAPBEXexcCritical6 55" xfId="18382" xr:uid="{00000000-0005-0000-0000-0000E2490000}"/>
    <cellStyle name="SAPBEXexcCritical6 56" xfId="21301" xr:uid="{00000000-0005-0000-0000-0000E3490000}"/>
    <cellStyle name="SAPBEXexcCritical6 57" xfId="22954" xr:uid="{00000000-0005-0000-0000-0000E4490000}"/>
    <cellStyle name="SAPBEXexcCritical6 58" xfId="42190" xr:uid="{47243542-9DE7-4566-80C5-DD1DD9A95EA8}"/>
    <cellStyle name="SAPBEXexcCritical6 6" xfId="3112" xr:uid="{00000000-0005-0000-0000-0000E5490000}"/>
    <cellStyle name="SAPBEXexcCritical6 6 2" xfId="5650" xr:uid="{00000000-0005-0000-0000-0000E6490000}"/>
    <cellStyle name="SAPBEXexcCritical6 6 3" xfId="8806" xr:uid="{00000000-0005-0000-0000-0000E7490000}"/>
    <cellStyle name="SAPBEXexcCritical6 6 4" xfId="10569" xr:uid="{00000000-0005-0000-0000-0000E8490000}"/>
    <cellStyle name="SAPBEXexcCritical6 6 5" xfId="12914" xr:uid="{00000000-0005-0000-0000-0000E9490000}"/>
    <cellStyle name="SAPBEXexcCritical6 6 6" xfId="16291" xr:uid="{00000000-0005-0000-0000-0000EA490000}"/>
    <cellStyle name="SAPBEXexcCritical6 6 7" xfId="17610" xr:uid="{00000000-0005-0000-0000-0000EB490000}"/>
    <cellStyle name="SAPBEXexcCritical6 6 8" xfId="20987" xr:uid="{00000000-0005-0000-0000-0000EC490000}"/>
    <cellStyle name="SAPBEXexcCritical6 6 9" xfId="22241" xr:uid="{00000000-0005-0000-0000-0000ED490000}"/>
    <cellStyle name="SAPBEXexcCritical6 7" xfId="3043" xr:uid="{00000000-0005-0000-0000-0000EE490000}"/>
    <cellStyle name="SAPBEXexcCritical6 7 2" xfId="5582" xr:uid="{00000000-0005-0000-0000-0000EF490000}"/>
    <cellStyle name="SAPBEXexcCritical6 7 3" xfId="5534" xr:uid="{00000000-0005-0000-0000-0000F0490000}"/>
    <cellStyle name="SAPBEXexcCritical6 7 4" xfId="11953" xr:uid="{00000000-0005-0000-0000-0000F1490000}"/>
    <cellStyle name="SAPBEXexcCritical6 7 5" xfId="14428" xr:uid="{00000000-0005-0000-0000-0000F2490000}"/>
    <cellStyle name="SAPBEXexcCritical6 7 6" xfId="16716" xr:uid="{00000000-0005-0000-0000-0000F3490000}"/>
    <cellStyle name="SAPBEXexcCritical6 7 7" xfId="19124" xr:uid="{00000000-0005-0000-0000-0000F4490000}"/>
    <cellStyle name="SAPBEXexcCritical6 7 8" xfId="21412" xr:uid="{00000000-0005-0000-0000-0000F5490000}"/>
    <cellStyle name="SAPBEXexcCritical6 7 9" xfId="23628" xr:uid="{00000000-0005-0000-0000-0000F6490000}"/>
    <cellStyle name="SAPBEXexcCritical6 8" xfId="3160" xr:uid="{00000000-0005-0000-0000-0000F7490000}"/>
    <cellStyle name="SAPBEXexcCritical6 8 2" xfId="5698" xr:uid="{00000000-0005-0000-0000-0000F8490000}"/>
    <cellStyle name="SAPBEXexcCritical6 8 3" xfId="8505" xr:uid="{00000000-0005-0000-0000-0000F9490000}"/>
    <cellStyle name="SAPBEXexcCritical6 8 4" xfId="10542" xr:uid="{00000000-0005-0000-0000-0000FA490000}"/>
    <cellStyle name="SAPBEXexcCritical6 8 5" xfId="12885" xr:uid="{00000000-0005-0000-0000-0000FB490000}"/>
    <cellStyle name="SAPBEXexcCritical6 8 6" xfId="16167" xr:uid="{00000000-0005-0000-0000-0000FC490000}"/>
    <cellStyle name="SAPBEXexcCritical6 8 7" xfId="17581" xr:uid="{00000000-0005-0000-0000-0000FD490000}"/>
    <cellStyle name="SAPBEXexcCritical6 8 8" xfId="20863" xr:uid="{00000000-0005-0000-0000-0000FE490000}"/>
    <cellStyle name="SAPBEXexcCritical6 8 9" xfId="22213" xr:uid="{00000000-0005-0000-0000-0000FF490000}"/>
    <cellStyle name="SAPBEXexcCritical6 9" xfId="3203" xr:uid="{00000000-0005-0000-0000-0000004A0000}"/>
    <cellStyle name="SAPBEXexcCritical6 9 2" xfId="5741" xr:uid="{00000000-0005-0000-0000-0000014A0000}"/>
    <cellStyle name="SAPBEXexcCritical6 9 3" xfId="5471" xr:uid="{00000000-0005-0000-0000-0000024A0000}"/>
    <cellStyle name="SAPBEXexcCritical6 9 4" xfId="10626" xr:uid="{00000000-0005-0000-0000-0000034A0000}"/>
    <cellStyle name="SAPBEXexcCritical6 9 5" xfId="12975" xr:uid="{00000000-0005-0000-0000-0000044A0000}"/>
    <cellStyle name="SAPBEXexcCritical6 9 6" xfId="15700" xr:uid="{00000000-0005-0000-0000-0000054A0000}"/>
    <cellStyle name="SAPBEXexcCritical6 9 7" xfId="17671" xr:uid="{00000000-0005-0000-0000-0000064A0000}"/>
    <cellStyle name="SAPBEXexcCritical6 9 8" xfId="20396" xr:uid="{00000000-0005-0000-0000-0000074A0000}"/>
    <cellStyle name="SAPBEXexcCritical6 9 9" xfId="22299" xr:uid="{00000000-0005-0000-0000-0000084A0000}"/>
    <cellStyle name="SAPBEXexcGood1" xfId="2952" xr:uid="{00000000-0005-0000-0000-0000094A0000}"/>
    <cellStyle name="SAPBEXexcGood1 10" xfId="3424" xr:uid="{00000000-0005-0000-0000-00000A4A0000}"/>
    <cellStyle name="SAPBEXexcGood1 10 2" xfId="5962" xr:uid="{00000000-0005-0000-0000-00000B4A0000}"/>
    <cellStyle name="SAPBEXexcGood1 10 3" xfId="8051" xr:uid="{00000000-0005-0000-0000-00000C4A0000}"/>
    <cellStyle name="SAPBEXexcGood1 10 4" xfId="11992" xr:uid="{00000000-0005-0000-0000-00000D4A0000}"/>
    <cellStyle name="SAPBEXexcGood1 10 5" xfId="14470" xr:uid="{00000000-0005-0000-0000-00000E4A0000}"/>
    <cellStyle name="SAPBEXexcGood1 10 6" xfId="16527" xr:uid="{00000000-0005-0000-0000-00000F4A0000}"/>
    <cellStyle name="SAPBEXexcGood1 10 7" xfId="19166" xr:uid="{00000000-0005-0000-0000-0000104A0000}"/>
    <cellStyle name="SAPBEXexcGood1 10 8" xfId="21223" xr:uid="{00000000-0005-0000-0000-0000114A0000}"/>
    <cellStyle name="SAPBEXexcGood1 10 9" xfId="23667" xr:uid="{00000000-0005-0000-0000-0000124A0000}"/>
    <cellStyle name="SAPBEXexcGood1 11" xfId="3417" xr:uid="{00000000-0005-0000-0000-0000134A0000}"/>
    <cellStyle name="SAPBEXexcGood1 11 2" xfId="5955" xr:uid="{00000000-0005-0000-0000-0000144A0000}"/>
    <cellStyle name="SAPBEXexcGood1 11 3" xfId="8464" xr:uid="{00000000-0005-0000-0000-0000154A0000}"/>
    <cellStyle name="SAPBEXexcGood1 11 4" xfId="10907" xr:uid="{00000000-0005-0000-0000-0000164A0000}"/>
    <cellStyle name="SAPBEXexcGood1 11 5" xfId="13277" xr:uid="{00000000-0005-0000-0000-0000174A0000}"/>
    <cellStyle name="SAPBEXexcGood1 11 6" xfId="16033" xr:uid="{00000000-0005-0000-0000-0000184A0000}"/>
    <cellStyle name="SAPBEXexcGood1 11 7" xfId="17973" xr:uid="{00000000-0005-0000-0000-0000194A0000}"/>
    <cellStyle name="SAPBEXexcGood1 11 8" xfId="20729" xr:uid="{00000000-0005-0000-0000-00001A4A0000}"/>
    <cellStyle name="SAPBEXexcGood1 11 9" xfId="22578" xr:uid="{00000000-0005-0000-0000-00001B4A0000}"/>
    <cellStyle name="SAPBEXexcGood1 12" xfId="3510" xr:uid="{00000000-0005-0000-0000-00001C4A0000}"/>
    <cellStyle name="SAPBEXexcGood1 12 2" xfId="6048" xr:uid="{00000000-0005-0000-0000-00001D4A0000}"/>
    <cellStyle name="SAPBEXexcGood1 12 3" xfId="7708" xr:uid="{00000000-0005-0000-0000-00001E4A0000}"/>
    <cellStyle name="SAPBEXexcGood1 12 4" xfId="11637" xr:uid="{00000000-0005-0000-0000-00001F4A0000}"/>
    <cellStyle name="SAPBEXexcGood1 12 5" xfId="14081" xr:uid="{00000000-0005-0000-0000-0000204A0000}"/>
    <cellStyle name="SAPBEXexcGood1 12 6" xfId="15663" xr:uid="{00000000-0005-0000-0000-0000214A0000}"/>
    <cellStyle name="SAPBEXexcGood1 12 7" xfId="18777" xr:uid="{00000000-0005-0000-0000-0000224A0000}"/>
    <cellStyle name="SAPBEXexcGood1 12 8" xfId="20359" xr:uid="{00000000-0005-0000-0000-0000234A0000}"/>
    <cellStyle name="SAPBEXexcGood1 12 9" xfId="23312" xr:uid="{00000000-0005-0000-0000-0000244A0000}"/>
    <cellStyle name="SAPBEXexcGood1 13" xfId="3456" xr:uid="{00000000-0005-0000-0000-0000254A0000}"/>
    <cellStyle name="SAPBEXexcGood1 13 2" xfId="5994" xr:uid="{00000000-0005-0000-0000-0000264A0000}"/>
    <cellStyle name="SAPBEXexcGood1 13 3" xfId="9136" xr:uid="{00000000-0005-0000-0000-0000274A0000}"/>
    <cellStyle name="SAPBEXexcGood1 13 4" xfId="9885" xr:uid="{00000000-0005-0000-0000-0000284A0000}"/>
    <cellStyle name="SAPBEXexcGood1 13 5" xfId="14920" xr:uid="{00000000-0005-0000-0000-0000294A0000}"/>
    <cellStyle name="SAPBEXexcGood1 13 6" xfId="15001" xr:uid="{00000000-0005-0000-0000-00002A4A0000}"/>
    <cellStyle name="SAPBEXexcGood1 13 7" xfId="19616" xr:uid="{00000000-0005-0000-0000-00002B4A0000}"/>
    <cellStyle name="SAPBEXexcGood1 13 8" xfId="19697" xr:uid="{00000000-0005-0000-0000-00002C4A0000}"/>
    <cellStyle name="SAPBEXexcGood1 13 9" xfId="24083" xr:uid="{00000000-0005-0000-0000-00002D4A0000}"/>
    <cellStyle name="SAPBEXexcGood1 14" xfId="3622" xr:uid="{00000000-0005-0000-0000-00002E4A0000}"/>
    <cellStyle name="SAPBEXexcGood1 14 2" xfId="6160" xr:uid="{00000000-0005-0000-0000-00002F4A0000}"/>
    <cellStyle name="SAPBEXexcGood1 14 3" xfId="9975" xr:uid="{00000000-0005-0000-0000-0000304A0000}"/>
    <cellStyle name="SAPBEXexcGood1 14 4" xfId="11716" xr:uid="{00000000-0005-0000-0000-0000314A0000}"/>
    <cellStyle name="SAPBEXexcGood1 14 5" xfId="14167" xr:uid="{00000000-0005-0000-0000-0000324A0000}"/>
    <cellStyle name="SAPBEXexcGood1 14 6" xfId="15169" xr:uid="{00000000-0005-0000-0000-0000334A0000}"/>
    <cellStyle name="SAPBEXexcGood1 14 7" xfId="18863" xr:uid="{00000000-0005-0000-0000-0000344A0000}"/>
    <cellStyle name="SAPBEXexcGood1 14 8" xfId="19865" xr:uid="{00000000-0005-0000-0000-0000354A0000}"/>
    <cellStyle name="SAPBEXexcGood1 14 9" xfId="23390" xr:uid="{00000000-0005-0000-0000-0000364A0000}"/>
    <cellStyle name="SAPBEXexcGood1 15" xfId="3658" xr:uid="{00000000-0005-0000-0000-0000374A0000}"/>
    <cellStyle name="SAPBEXexcGood1 15 2" xfId="6196" xr:uid="{00000000-0005-0000-0000-0000384A0000}"/>
    <cellStyle name="SAPBEXexcGood1 15 3" xfId="9407" xr:uid="{00000000-0005-0000-0000-0000394A0000}"/>
    <cellStyle name="SAPBEXexcGood1 15 4" xfId="11961" xr:uid="{00000000-0005-0000-0000-00003A4A0000}"/>
    <cellStyle name="SAPBEXexcGood1 15 5" xfId="14437" xr:uid="{00000000-0005-0000-0000-00003B4A0000}"/>
    <cellStyle name="SAPBEXexcGood1 15 6" xfId="15120" xr:uid="{00000000-0005-0000-0000-00003C4A0000}"/>
    <cellStyle name="SAPBEXexcGood1 15 7" xfId="19133" xr:uid="{00000000-0005-0000-0000-00003D4A0000}"/>
    <cellStyle name="SAPBEXexcGood1 15 8" xfId="19816" xr:uid="{00000000-0005-0000-0000-00003E4A0000}"/>
    <cellStyle name="SAPBEXexcGood1 15 9" xfId="23636" xr:uid="{00000000-0005-0000-0000-00003F4A0000}"/>
    <cellStyle name="SAPBEXexcGood1 16" xfId="3720" xr:uid="{00000000-0005-0000-0000-0000404A0000}"/>
    <cellStyle name="SAPBEXexcGood1 16 2" xfId="6258" xr:uid="{00000000-0005-0000-0000-0000414A0000}"/>
    <cellStyle name="SAPBEXexcGood1 16 3" xfId="9185" xr:uid="{00000000-0005-0000-0000-0000424A0000}"/>
    <cellStyle name="SAPBEXexcGood1 16 4" xfId="11493" xr:uid="{00000000-0005-0000-0000-0000434A0000}"/>
    <cellStyle name="SAPBEXexcGood1 16 5" xfId="13920" xr:uid="{00000000-0005-0000-0000-0000444A0000}"/>
    <cellStyle name="SAPBEXexcGood1 16 6" xfId="16970" xr:uid="{00000000-0005-0000-0000-0000454A0000}"/>
    <cellStyle name="SAPBEXexcGood1 16 7" xfId="18616" xr:uid="{00000000-0005-0000-0000-0000464A0000}"/>
    <cellStyle name="SAPBEXexcGood1 16 8" xfId="21666" xr:uid="{00000000-0005-0000-0000-0000474A0000}"/>
    <cellStyle name="SAPBEXexcGood1 16 9" xfId="23168" xr:uid="{00000000-0005-0000-0000-0000484A0000}"/>
    <cellStyle name="SAPBEXexcGood1 17" xfId="3746" xr:uid="{00000000-0005-0000-0000-0000494A0000}"/>
    <cellStyle name="SAPBEXexcGood1 17 2" xfId="6284" xr:uid="{00000000-0005-0000-0000-00004A4A0000}"/>
    <cellStyle name="SAPBEXexcGood1 17 3" xfId="8109" xr:uid="{00000000-0005-0000-0000-00004B4A0000}"/>
    <cellStyle name="SAPBEXexcGood1 17 4" xfId="10442" xr:uid="{00000000-0005-0000-0000-00004C4A0000}"/>
    <cellStyle name="SAPBEXexcGood1 17 5" xfId="12768" xr:uid="{00000000-0005-0000-0000-00004D4A0000}"/>
    <cellStyle name="SAPBEXexcGood1 17 6" xfId="15958" xr:uid="{00000000-0005-0000-0000-00004E4A0000}"/>
    <cellStyle name="SAPBEXexcGood1 17 7" xfId="17464" xr:uid="{00000000-0005-0000-0000-00004F4A0000}"/>
    <cellStyle name="SAPBEXexcGood1 17 8" xfId="20654" xr:uid="{00000000-0005-0000-0000-0000504A0000}"/>
    <cellStyle name="SAPBEXexcGood1 17 9" xfId="22113" xr:uid="{00000000-0005-0000-0000-0000514A0000}"/>
    <cellStyle name="SAPBEXexcGood1 18" xfId="3648" xr:uid="{00000000-0005-0000-0000-0000524A0000}"/>
    <cellStyle name="SAPBEXexcGood1 18 2" xfId="6186" xr:uid="{00000000-0005-0000-0000-0000534A0000}"/>
    <cellStyle name="SAPBEXexcGood1 18 3" xfId="9730" xr:uid="{00000000-0005-0000-0000-0000544A0000}"/>
    <cellStyle name="SAPBEXexcGood1 18 4" xfId="10350" xr:uid="{00000000-0005-0000-0000-0000554A0000}"/>
    <cellStyle name="SAPBEXexcGood1 18 5" xfId="12672" xr:uid="{00000000-0005-0000-0000-0000564A0000}"/>
    <cellStyle name="SAPBEXexcGood1 18 6" xfId="15233" xr:uid="{00000000-0005-0000-0000-0000574A0000}"/>
    <cellStyle name="SAPBEXexcGood1 18 7" xfId="17368" xr:uid="{00000000-0005-0000-0000-0000584A0000}"/>
    <cellStyle name="SAPBEXexcGood1 18 8" xfId="19929" xr:uid="{00000000-0005-0000-0000-0000594A0000}"/>
    <cellStyle name="SAPBEXexcGood1 18 9" xfId="22021" xr:uid="{00000000-0005-0000-0000-00005A4A0000}"/>
    <cellStyle name="SAPBEXexcGood1 19" xfId="3901" xr:uid="{00000000-0005-0000-0000-00005B4A0000}"/>
    <cellStyle name="SAPBEXexcGood1 19 2" xfId="6439" xr:uid="{00000000-0005-0000-0000-00005C4A0000}"/>
    <cellStyle name="SAPBEXexcGood1 19 3" xfId="8052" xr:uid="{00000000-0005-0000-0000-00005D4A0000}"/>
    <cellStyle name="SAPBEXexcGood1 19 4" xfId="10585" xr:uid="{00000000-0005-0000-0000-00005E4A0000}"/>
    <cellStyle name="SAPBEXexcGood1 19 5" xfId="12932" xr:uid="{00000000-0005-0000-0000-00005F4A0000}"/>
    <cellStyle name="SAPBEXexcGood1 19 6" xfId="15630" xr:uid="{00000000-0005-0000-0000-0000604A0000}"/>
    <cellStyle name="SAPBEXexcGood1 19 7" xfId="17628" xr:uid="{00000000-0005-0000-0000-0000614A0000}"/>
    <cellStyle name="SAPBEXexcGood1 19 8" xfId="20326" xr:uid="{00000000-0005-0000-0000-0000624A0000}"/>
    <cellStyle name="SAPBEXexcGood1 19 9" xfId="22258" xr:uid="{00000000-0005-0000-0000-0000634A0000}"/>
    <cellStyle name="SAPBEXexcGood1 2" xfId="3071" xr:uid="{00000000-0005-0000-0000-0000644A0000}"/>
    <cellStyle name="SAPBEXexcGood1 2 2" xfId="5609" xr:uid="{00000000-0005-0000-0000-0000654A0000}"/>
    <cellStyle name="SAPBEXexcGood1 2 3" xfId="10204" xr:uid="{00000000-0005-0000-0000-0000664A0000}"/>
    <cellStyle name="SAPBEXexcGood1 2 4" xfId="11172" xr:uid="{00000000-0005-0000-0000-0000674A0000}"/>
    <cellStyle name="SAPBEXexcGood1 2 5" xfId="13568" xr:uid="{00000000-0005-0000-0000-0000684A0000}"/>
    <cellStyle name="SAPBEXexcGood1 2 6" xfId="16759" xr:uid="{00000000-0005-0000-0000-0000694A0000}"/>
    <cellStyle name="SAPBEXexcGood1 2 7" xfId="18264" xr:uid="{00000000-0005-0000-0000-00006A4A0000}"/>
    <cellStyle name="SAPBEXexcGood1 2 8" xfId="21455" xr:uid="{00000000-0005-0000-0000-00006B4A0000}"/>
    <cellStyle name="SAPBEXexcGood1 2 9" xfId="22845" xr:uid="{00000000-0005-0000-0000-00006C4A0000}"/>
    <cellStyle name="SAPBEXexcGood1 20" xfId="3944" xr:uid="{00000000-0005-0000-0000-00006D4A0000}"/>
    <cellStyle name="SAPBEXexcGood1 20 2" xfId="6482" xr:uid="{00000000-0005-0000-0000-00006E4A0000}"/>
    <cellStyle name="SAPBEXexcGood1 20 3" xfId="10093" xr:uid="{00000000-0005-0000-0000-00006F4A0000}"/>
    <cellStyle name="SAPBEXexcGood1 20 4" xfId="10945" xr:uid="{00000000-0005-0000-0000-0000704A0000}"/>
    <cellStyle name="SAPBEXexcGood1 20 5" xfId="13316" xr:uid="{00000000-0005-0000-0000-0000714A0000}"/>
    <cellStyle name="SAPBEXexcGood1 20 6" xfId="16620" xr:uid="{00000000-0005-0000-0000-0000724A0000}"/>
    <cellStyle name="SAPBEXexcGood1 20 7" xfId="18012" xr:uid="{00000000-0005-0000-0000-0000734A0000}"/>
    <cellStyle name="SAPBEXexcGood1 20 8" xfId="21316" xr:uid="{00000000-0005-0000-0000-0000744A0000}"/>
    <cellStyle name="SAPBEXexcGood1 20 9" xfId="22616" xr:uid="{00000000-0005-0000-0000-0000754A0000}"/>
    <cellStyle name="SAPBEXexcGood1 21" xfId="3980" xr:uid="{00000000-0005-0000-0000-0000764A0000}"/>
    <cellStyle name="SAPBEXexcGood1 21 2" xfId="6518" xr:uid="{00000000-0005-0000-0000-0000774A0000}"/>
    <cellStyle name="SAPBEXexcGood1 21 3" xfId="9178" xr:uid="{00000000-0005-0000-0000-0000784A0000}"/>
    <cellStyle name="SAPBEXexcGood1 21 4" xfId="11084" xr:uid="{00000000-0005-0000-0000-0000794A0000}"/>
    <cellStyle name="SAPBEXexcGood1 21 5" xfId="13474" xr:uid="{00000000-0005-0000-0000-00007A4A0000}"/>
    <cellStyle name="SAPBEXexcGood1 21 6" xfId="15878" xr:uid="{00000000-0005-0000-0000-00007B4A0000}"/>
    <cellStyle name="SAPBEXexcGood1 21 7" xfId="18170" xr:uid="{00000000-0005-0000-0000-00007C4A0000}"/>
    <cellStyle name="SAPBEXexcGood1 21 8" xfId="20574" xr:uid="{00000000-0005-0000-0000-00007D4A0000}"/>
    <cellStyle name="SAPBEXexcGood1 21 9" xfId="22757" xr:uid="{00000000-0005-0000-0000-00007E4A0000}"/>
    <cellStyle name="SAPBEXexcGood1 22" xfId="3970" xr:uid="{00000000-0005-0000-0000-00007F4A0000}"/>
    <cellStyle name="SAPBEXexcGood1 22 2" xfId="6508" xr:uid="{00000000-0005-0000-0000-0000804A0000}"/>
    <cellStyle name="SAPBEXexcGood1 22 3" xfId="7991" xr:uid="{00000000-0005-0000-0000-0000814A0000}"/>
    <cellStyle name="SAPBEXexcGood1 22 4" xfId="10409" xr:uid="{00000000-0005-0000-0000-0000824A0000}"/>
    <cellStyle name="SAPBEXexcGood1 22 5" xfId="12733" xr:uid="{00000000-0005-0000-0000-0000834A0000}"/>
    <cellStyle name="SAPBEXexcGood1 22 6" xfId="16480" xr:uid="{00000000-0005-0000-0000-0000844A0000}"/>
    <cellStyle name="SAPBEXexcGood1 22 7" xfId="17429" xr:uid="{00000000-0005-0000-0000-0000854A0000}"/>
    <cellStyle name="SAPBEXexcGood1 22 8" xfId="21176" xr:uid="{00000000-0005-0000-0000-0000864A0000}"/>
    <cellStyle name="SAPBEXexcGood1 22 9" xfId="22080" xr:uid="{00000000-0005-0000-0000-0000874A0000}"/>
    <cellStyle name="SAPBEXexcGood1 23" xfId="3895" xr:uid="{00000000-0005-0000-0000-0000884A0000}"/>
    <cellStyle name="SAPBEXexcGood1 23 2" xfId="6433" xr:uid="{00000000-0005-0000-0000-0000894A0000}"/>
    <cellStyle name="SAPBEXexcGood1 23 3" xfId="10203" xr:uid="{00000000-0005-0000-0000-00008A4A0000}"/>
    <cellStyle name="SAPBEXexcGood1 23 4" xfId="10884" xr:uid="{00000000-0005-0000-0000-00008B4A0000}"/>
    <cellStyle name="SAPBEXexcGood1 23 5" xfId="13251" xr:uid="{00000000-0005-0000-0000-00008C4A0000}"/>
    <cellStyle name="SAPBEXexcGood1 23 6" xfId="16077" xr:uid="{00000000-0005-0000-0000-00008D4A0000}"/>
    <cellStyle name="SAPBEXexcGood1 23 7" xfId="17947" xr:uid="{00000000-0005-0000-0000-00008E4A0000}"/>
    <cellStyle name="SAPBEXexcGood1 23 8" xfId="20773" xr:uid="{00000000-0005-0000-0000-00008F4A0000}"/>
    <cellStyle name="SAPBEXexcGood1 23 9" xfId="22555" xr:uid="{00000000-0005-0000-0000-0000904A0000}"/>
    <cellStyle name="SAPBEXexcGood1 24" xfId="4135" xr:uid="{00000000-0005-0000-0000-0000914A0000}"/>
    <cellStyle name="SAPBEXexcGood1 24 2" xfId="6673" xr:uid="{00000000-0005-0000-0000-0000924A0000}"/>
    <cellStyle name="SAPBEXexcGood1 24 3" xfId="7771" xr:uid="{00000000-0005-0000-0000-0000934A0000}"/>
    <cellStyle name="SAPBEXexcGood1 24 4" xfId="11273" xr:uid="{00000000-0005-0000-0000-0000944A0000}"/>
    <cellStyle name="SAPBEXexcGood1 24 5" xfId="13679" xr:uid="{00000000-0005-0000-0000-0000954A0000}"/>
    <cellStyle name="SAPBEXexcGood1 24 6" xfId="16526" xr:uid="{00000000-0005-0000-0000-0000964A0000}"/>
    <cellStyle name="SAPBEXexcGood1 24 7" xfId="18375" xr:uid="{00000000-0005-0000-0000-0000974A0000}"/>
    <cellStyle name="SAPBEXexcGood1 24 8" xfId="21222" xr:uid="{00000000-0005-0000-0000-0000984A0000}"/>
    <cellStyle name="SAPBEXexcGood1 24 9" xfId="22947" xr:uid="{00000000-0005-0000-0000-0000994A0000}"/>
    <cellStyle name="SAPBEXexcGood1 25" xfId="4178" xr:uid="{00000000-0005-0000-0000-00009A4A0000}"/>
    <cellStyle name="SAPBEXexcGood1 25 2" xfId="6716" xr:uid="{00000000-0005-0000-0000-00009B4A0000}"/>
    <cellStyle name="SAPBEXexcGood1 25 3" xfId="7940" xr:uid="{00000000-0005-0000-0000-00009C4A0000}"/>
    <cellStyle name="SAPBEXexcGood1 25 4" xfId="10809" xr:uid="{00000000-0005-0000-0000-00009D4A0000}"/>
    <cellStyle name="SAPBEXexcGood1 25 5" xfId="13170" xr:uid="{00000000-0005-0000-0000-00009E4A0000}"/>
    <cellStyle name="SAPBEXexcGood1 25 6" xfId="16345" xr:uid="{00000000-0005-0000-0000-00009F4A0000}"/>
    <cellStyle name="SAPBEXexcGood1 25 7" xfId="17866" xr:uid="{00000000-0005-0000-0000-0000A04A0000}"/>
    <cellStyle name="SAPBEXexcGood1 25 8" xfId="21041" xr:uid="{00000000-0005-0000-0000-0000A14A0000}"/>
    <cellStyle name="SAPBEXexcGood1 25 9" xfId="22480" xr:uid="{00000000-0005-0000-0000-0000A24A0000}"/>
    <cellStyle name="SAPBEXexcGood1 26" xfId="3853" xr:uid="{00000000-0005-0000-0000-0000A34A0000}"/>
    <cellStyle name="SAPBEXexcGood1 26 2" xfId="6391" xr:uid="{00000000-0005-0000-0000-0000A44A0000}"/>
    <cellStyle name="SAPBEXexcGood1 26 3" xfId="10164" xr:uid="{00000000-0005-0000-0000-0000A54A0000}"/>
    <cellStyle name="SAPBEXexcGood1 26 4" xfId="11850" xr:uid="{00000000-0005-0000-0000-0000A64A0000}"/>
    <cellStyle name="SAPBEXexcGood1 26 5" xfId="13310" xr:uid="{00000000-0005-0000-0000-0000A74A0000}"/>
    <cellStyle name="SAPBEXexcGood1 26 6" xfId="16659" xr:uid="{00000000-0005-0000-0000-0000A84A0000}"/>
    <cellStyle name="SAPBEXexcGood1 26 7" xfId="18006" xr:uid="{00000000-0005-0000-0000-0000A94A0000}"/>
    <cellStyle name="SAPBEXexcGood1 26 8" xfId="21355" xr:uid="{00000000-0005-0000-0000-0000AA4A0000}"/>
    <cellStyle name="SAPBEXexcGood1 26 9" xfId="22610" xr:uid="{00000000-0005-0000-0000-0000AB4A0000}"/>
    <cellStyle name="SAPBEXexcGood1 27" xfId="4263" xr:uid="{00000000-0005-0000-0000-0000AC4A0000}"/>
    <cellStyle name="SAPBEXexcGood1 27 2" xfId="6801" xr:uid="{00000000-0005-0000-0000-0000AD4A0000}"/>
    <cellStyle name="SAPBEXexcGood1 27 3" xfId="9064" xr:uid="{00000000-0005-0000-0000-0000AE4A0000}"/>
    <cellStyle name="SAPBEXexcGood1 27 4" xfId="10138" xr:uid="{00000000-0005-0000-0000-0000AF4A0000}"/>
    <cellStyle name="SAPBEXexcGood1 27 5" xfId="12490" xr:uid="{00000000-0005-0000-0000-0000B04A0000}"/>
    <cellStyle name="SAPBEXexcGood1 27 6" xfId="16678" xr:uid="{00000000-0005-0000-0000-0000B14A0000}"/>
    <cellStyle name="SAPBEXexcGood1 27 7" xfId="17186" xr:uid="{00000000-0005-0000-0000-0000B24A0000}"/>
    <cellStyle name="SAPBEXexcGood1 27 8" xfId="21374" xr:uid="{00000000-0005-0000-0000-0000B34A0000}"/>
    <cellStyle name="SAPBEXexcGood1 27 9" xfId="21863" xr:uid="{00000000-0005-0000-0000-0000B44A0000}"/>
    <cellStyle name="SAPBEXexcGood1 28" xfId="4306" xr:uid="{00000000-0005-0000-0000-0000B54A0000}"/>
    <cellStyle name="SAPBEXexcGood1 28 2" xfId="6844" xr:uid="{00000000-0005-0000-0000-0000B64A0000}"/>
    <cellStyle name="SAPBEXexcGood1 28 3" xfId="7861" xr:uid="{00000000-0005-0000-0000-0000B74A0000}"/>
    <cellStyle name="SAPBEXexcGood1 28 4" xfId="12164" xr:uid="{00000000-0005-0000-0000-0000B84A0000}"/>
    <cellStyle name="SAPBEXexcGood1 28 5" xfId="13587" xr:uid="{00000000-0005-0000-0000-0000B94A0000}"/>
    <cellStyle name="SAPBEXexcGood1 28 6" xfId="16240" xr:uid="{00000000-0005-0000-0000-0000BA4A0000}"/>
    <cellStyle name="SAPBEXexcGood1 28 7" xfId="18283" xr:uid="{00000000-0005-0000-0000-0000BB4A0000}"/>
    <cellStyle name="SAPBEXexcGood1 28 8" xfId="20936" xr:uid="{00000000-0005-0000-0000-0000BC4A0000}"/>
    <cellStyle name="SAPBEXexcGood1 28 9" xfId="22862" xr:uid="{00000000-0005-0000-0000-0000BD4A0000}"/>
    <cellStyle name="SAPBEXexcGood1 29" xfId="4349" xr:uid="{00000000-0005-0000-0000-0000BE4A0000}"/>
    <cellStyle name="SAPBEXexcGood1 29 2" xfId="6887" xr:uid="{00000000-0005-0000-0000-0000BF4A0000}"/>
    <cellStyle name="SAPBEXexcGood1 29 3" xfId="9179" xr:uid="{00000000-0005-0000-0000-0000C04A0000}"/>
    <cellStyle name="SAPBEXexcGood1 29 4" xfId="11885" xr:uid="{00000000-0005-0000-0000-0000C14A0000}"/>
    <cellStyle name="SAPBEXexcGood1 29 5" xfId="14352" xr:uid="{00000000-0005-0000-0000-0000C24A0000}"/>
    <cellStyle name="SAPBEXexcGood1 29 6" xfId="14990" xr:uid="{00000000-0005-0000-0000-0000C34A0000}"/>
    <cellStyle name="SAPBEXexcGood1 29 7" xfId="19048" xr:uid="{00000000-0005-0000-0000-0000C44A0000}"/>
    <cellStyle name="SAPBEXexcGood1 29 8" xfId="19686" xr:uid="{00000000-0005-0000-0000-0000C54A0000}"/>
    <cellStyle name="SAPBEXexcGood1 29 9" xfId="23561" xr:uid="{00000000-0005-0000-0000-0000C64A0000}"/>
    <cellStyle name="SAPBEXexcGood1 3" xfId="3024" xr:uid="{00000000-0005-0000-0000-0000C74A0000}"/>
    <cellStyle name="SAPBEXexcGood1 3 2" xfId="5563" xr:uid="{00000000-0005-0000-0000-0000C84A0000}"/>
    <cellStyle name="SAPBEXexcGood1 3 3" xfId="8073" xr:uid="{00000000-0005-0000-0000-0000C94A0000}"/>
    <cellStyle name="SAPBEXexcGood1 3 4" xfId="10781" xr:uid="{00000000-0005-0000-0000-0000CA4A0000}"/>
    <cellStyle name="SAPBEXexcGood1 3 5" xfId="13137" xr:uid="{00000000-0005-0000-0000-0000CB4A0000}"/>
    <cellStyle name="SAPBEXexcGood1 3 6" xfId="16096" xr:uid="{00000000-0005-0000-0000-0000CC4A0000}"/>
    <cellStyle name="SAPBEXexcGood1 3 7" xfId="17833" xr:uid="{00000000-0005-0000-0000-0000CD4A0000}"/>
    <cellStyle name="SAPBEXexcGood1 3 8" xfId="20792" xr:uid="{00000000-0005-0000-0000-0000CE4A0000}"/>
    <cellStyle name="SAPBEXexcGood1 3 9" xfId="22452" xr:uid="{00000000-0005-0000-0000-0000CF4A0000}"/>
    <cellStyle name="SAPBEXexcGood1 30" xfId="4392" xr:uid="{00000000-0005-0000-0000-0000D04A0000}"/>
    <cellStyle name="SAPBEXexcGood1 30 2" xfId="6930" xr:uid="{00000000-0005-0000-0000-0000D14A0000}"/>
    <cellStyle name="SAPBEXexcGood1 30 3" xfId="5432" xr:uid="{00000000-0005-0000-0000-0000D24A0000}"/>
    <cellStyle name="SAPBEXexcGood1 30 4" xfId="12275" xr:uid="{00000000-0005-0000-0000-0000D34A0000}"/>
    <cellStyle name="SAPBEXexcGood1 30 5" xfId="13454" xr:uid="{00000000-0005-0000-0000-0000D44A0000}"/>
    <cellStyle name="SAPBEXexcGood1 30 6" xfId="15292" xr:uid="{00000000-0005-0000-0000-0000D54A0000}"/>
    <cellStyle name="SAPBEXexcGood1 30 7" xfId="18150" xr:uid="{00000000-0005-0000-0000-0000D64A0000}"/>
    <cellStyle name="SAPBEXexcGood1 30 8" xfId="19988" xr:uid="{00000000-0005-0000-0000-0000D74A0000}"/>
    <cellStyle name="SAPBEXexcGood1 30 9" xfId="22739" xr:uid="{00000000-0005-0000-0000-0000D84A0000}"/>
    <cellStyle name="SAPBEXexcGood1 31" xfId="4435" xr:uid="{00000000-0005-0000-0000-0000D94A0000}"/>
    <cellStyle name="SAPBEXexcGood1 31 2" xfId="6973" xr:uid="{00000000-0005-0000-0000-0000DA4A0000}"/>
    <cellStyle name="SAPBEXexcGood1 31 3" xfId="9792" xr:uid="{00000000-0005-0000-0000-0000DB4A0000}"/>
    <cellStyle name="SAPBEXexcGood1 31 4" xfId="10463" xr:uid="{00000000-0005-0000-0000-0000DC4A0000}"/>
    <cellStyle name="SAPBEXexcGood1 31 5" xfId="14862" xr:uid="{00000000-0005-0000-0000-0000DD4A0000}"/>
    <cellStyle name="SAPBEXexcGood1 31 6" xfId="16712" xr:uid="{00000000-0005-0000-0000-0000DE4A0000}"/>
    <cellStyle name="SAPBEXexcGood1 31 7" xfId="19558" xr:uid="{00000000-0005-0000-0000-0000DF4A0000}"/>
    <cellStyle name="SAPBEXexcGood1 31 8" xfId="21408" xr:uid="{00000000-0005-0000-0000-0000E04A0000}"/>
    <cellStyle name="SAPBEXexcGood1 31 9" xfId="24034" xr:uid="{00000000-0005-0000-0000-0000E14A0000}"/>
    <cellStyle name="SAPBEXexcGood1 32" xfId="4386" xr:uid="{00000000-0005-0000-0000-0000E24A0000}"/>
    <cellStyle name="SAPBEXexcGood1 32 2" xfId="6924" xr:uid="{00000000-0005-0000-0000-0000E34A0000}"/>
    <cellStyle name="SAPBEXexcGood1 32 3" xfId="7990" xr:uid="{00000000-0005-0000-0000-0000E44A0000}"/>
    <cellStyle name="SAPBEXexcGood1 32 4" xfId="11202" xr:uid="{00000000-0005-0000-0000-0000E54A0000}"/>
    <cellStyle name="SAPBEXexcGood1 32 5" xfId="13603" xr:uid="{00000000-0005-0000-0000-0000E64A0000}"/>
    <cellStyle name="SAPBEXexcGood1 32 6" xfId="15951" xr:uid="{00000000-0005-0000-0000-0000E74A0000}"/>
    <cellStyle name="SAPBEXexcGood1 32 7" xfId="18299" xr:uid="{00000000-0005-0000-0000-0000E84A0000}"/>
    <cellStyle name="SAPBEXexcGood1 32 8" xfId="20647" xr:uid="{00000000-0005-0000-0000-0000E94A0000}"/>
    <cellStyle name="SAPBEXexcGood1 32 9" xfId="22877" xr:uid="{00000000-0005-0000-0000-0000EA4A0000}"/>
    <cellStyle name="SAPBEXexcGood1 33" xfId="4426" xr:uid="{00000000-0005-0000-0000-0000EB4A0000}"/>
    <cellStyle name="SAPBEXexcGood1 33 2" xfId="6964" xr:uid="{00000000-0005-0000-0000-0000EC4A0000}"/>
    <cellStyle name="SAPBEXexcGood1 33 3" xfId="9426" xr:uid="{00000000-0005-0000-0000-0000ED4A0000}"/>
    <cellStyle name="SAPBEXexcGood1 33 4" xfId="11841" xr:uid="{00000000-0005-0000-0000-0000EE4A0000}"/>
    <cellStyle name="SAPBEXexcGood1 33 5" xfId="14302" xr:uid="{00000000-0005-0000-0000-0000EF4A0000}"/>
    <cellStyle name="SAPBEXexcGood1 33 6" xfId="16598" xr:uid="{00000000-0005-0000-0000-0000F04A0000}"/>
    <cellStyle name="SAPBEXexcGood1 33 7" xfId="18998" xr:uid="{00000000-0005-0000-0000-0000F14A0000}"/>
    <cellStyle name="SAPBEXexcGood1 33 8" xfId="21294" xr:uid="{00000000-0005-0000-0000-0000F24A0000}"/>
    <cellStyle name="SAPBEXexcGood1 33 9" xfId="23516" xr:uid="{00000000-0005-0000-0000-0000F34A0000}"/>
    <cellStyle name="SAPBEXexcGood1 34" xfId="4547" xr:uid="{00000000-0005-0000-0000-0000F44A0000}"/>
    <cellStyle name="SAPBEXexcGood1 34 2" xfId="7085" xr:uid="{00000000-0005-0000-0000-0000F54A0000}"/>
    <cellStyle name="SAPBEXexcGood1 34 3" xfId="8752" xr:uid="{00000000-0005-0000-0000-0000F64A0000}"/>
    <cellStyle name="SAPBEXexcGood1 34 4" xfId="11262" xr:uid="{00000000-0005-0000-0000-0000F74A0000}"/>
    <cellStyle name="SAPBEXexcGood1 34 5" xfId="13668" xr:uid="{00000000-0005-0000-0000-0000F84A0000}"/>
    <cellStyle name="SAPBEXexcGood1 34 6" xfId="16929" xr:uid="{00000000-0005-0000-0000-0000F94A0000}"/>
    <cellStyle name="SAPBEXexcGood1 34 7" xfId="18364" xr:uid="{00000000-0005-0000-0000-0000FA4A0000}"/>
    <cellStyle name="SAPBEXexcGood1 34 8" xfId="21625" xr:uid="{00000000-0005-0000-0000-0000FB4A0000}"/>
    <cellStyle name="SAPBEXexcGood1 34 9" xfId="22936" xr:uid="{00000000-0005-0000-0000-0000FC4A0000}"/>
    <cellStyle name="SAPBEXexcGood1 35" xfId="4607" xr:uid="{00000000-0005-0000-0000-0000FD4A0000}"/>
    <cellStyle name="SAPBEXexcGood1 35 2" xfId="7145" xr:uid="{00000000-0005-0000-0000-0000FE4A0000}"/>
    <cellStyle name="SAPBEXexcGood1 35 3" xfId="9229" xr:uid="{00000000-0005-0000-0000-0000FF4A0000}"/>
    <cellStyle name="SAPBEXexcGood1 35 4" xfId="12108" xr:uid="{00000000-0005-0000-0000-0000004B0000}"/>
    <cellStyle name="SAPBEXexcGood1 35 5" xfId="14590" xr:uid="{00000000-0005-0000-0000-0000014B0000}"/>
    <cellStyle name="SAPBEXexcGood1 35 6" xfId="16502" xr:uid="{00000000-0005-0000-0000-0000024B0000}"/>
    <cellStyle name="SAPBEXexcGood1 35 7" xfId="19286" xr:uid="{00000000-0005-0000-0000-0000034B0000}"/>
    <cellStyle name="SAPBEXexcGood1 35 8" xfId="21198" xr:uid="{00000000-0005-0000-0000-0000044B0000}"/>
    <cellStyle name="SAPBEXexcGood1 35 9" xfId="23782" xr:uid="{00000000-0005-0000-0000-0000054B0000}"/>
    <cellStyle name="SAPBEXexcGood1 36" xfId="4650" xr:uid="{00000000-0005-0000-0000-0000064B0000}"/>
    <cellStyle name="SAPBEXexcGood1 36 2" xfId="7188" xr:uid="{00000000-0005-0000-0000-0000074B0000}"/>
    <cellStyle name="SAPBEXexcGood1 36 3" xfId="8732" xr:uid="{00000000-0005-0000-0000-0000084B0000}"/>
    <cellStyle name="SAPBEXexcGood1 36 4" xfId="11261" xr:uid="{00000000-0005-0000-0000-0000094B0000}"/>
    <cellStyle name="SAPBEXexcGood1 36 5" xfId="13667" xr:uid="{00000000-0005-0000-0000-00000A4B0000}"/>
    <cellStyle name="SAPBEXexcGood1 36 6" xfId="15995" xr:uid="{00000000-0005-0000-0000-00000B4B0000}"/>
    <cellStyle name="SAPBEXexcGood1 36 7" xfId="18363" xr:uid="{00000000-0005-0000-0000-00000C4B0000}"/>
    <cellStyle name="SAPBEXexcGood1 36 8" xfId="20691" xr:uid="{00000000-0005-0000-0000-00000D4B0000}"/>
    <cellStyle name="SAPBEXexcGood1 36 9" xfId="22935" xr:uid="{00000000-0005-0000-0000-00000E4B0000}"/>
    <cellStyle name="SAPBEXexcGood1 37" xfId="4692" xr:uid="{00000000-0005-0000-0000-00000F4B0000}"/>
    <cellStyle name="SAPBEXexcGood1 37 2" xfId="7230" xr:uid="{00000000-0005-0000-0000-0000104B0000}"/>
    <cellStyle name="SAPBEXexcGood1 37 3" xfId="9451" xr:uid="{00000000-0005-0000-0000-0000114B0000}"/>
    <cellStyle name="SAPBEXexcGood1 37 4" xfId="11436" xr:uid="{00000000-0005-0000-0000-0000124B0000}"/>
    <cellStyle name="SAPBEXexcGood1 37 5" xfId="13854" xr:uid="{00000000-0005-0000-0000-0000134B0000}"/>
    <cellStyle name="SAPBEXexcGood1 37 6" xfId="15809" xr:uid="{00000000-0005-0000-0000-0000144B0000}"/>
    <cellStyle name="SAPBEXexcGood1 37 7" xfId="18550" xr:uid="{00000000-0005-0000-0000-0000154B0000}"/>
    <cellStyle name="SAPBEXexcGood1 37 8" xfId="20505" xr:uid="{00000000-0005-0000-0000-0000164B0000}"/>
    <cellStyle name="SAPBEXexcGood1 37 9" xfId="23111" xr:uid="{00000000-0005-0000-0000-0000174B0000}"/>
    <cellStyle name="SAPBEXexcGood1 38" xfId="4728" xr:uid="{00000000-0005-0000-0000-0000184B0000}"/>
    <cellStyle name="SAPBEXexcGood1 38 2" xfId="7266" xr:uid="{00000000-0005-0000-0000-0000194B0000}"/>
    <cellStyle name="SAPBEXexcGood1 38 3" xfId="8204" xr:uid="{00000000-0005-0000-0000-00001A4B0000}"/>
    <cellStyle name="SAPBEXexcGood1 38 4" xfId="11373" xr:uid="{00000000-0005-0000-0000-00001B4B0000}"/>
    <cellStyle name="SAPBEXexcGood1 38 5" xfId="13787" xr:uid="{00000000-0005-0000-0000-00001C4B0000}"/>
    <cellStyle name="SAPBEXexcGood1 38 6" xfId="15656" xr:uid="{00000000-0005-0000-0000-00001D4B0000}"/>
    <cellStyle name="SAPBEXexcGood1 38 7" xfId="18483" xr:uid="{00000000-0005-0000-0000-00001E4B0000}"/>
    <cellStyle name="SAPBEXexcGood1 38 8" xfId="20352" xr:uid="{00000000-0005-0000-0000-00001F4B0000}"/>
    <cellStyle name="SAPBEXexcGood1 38 9" xfId="23047" xr:uid="{00000000-0005-0000-0000-0000204B0000}"/>
    <cellStyle name="SAPBEXexcGood1 39" xfId="4797" xr:uid="{00000000-0005-0000-0000-0000214B0000}"/>
    <cellStyle name="SAPBEXexcGood1 39 2" xfId="7335" xr:uid="{00000000-0005-0000-0000-0000224B0000}"/>
    <cellStyle name="SAPBEXexcGood1 39 3" xfId="8956" xr:uid="{00000000-0005-0000-0000-0000234B0000}"/>
    <cellStyle name="SAPBEXexcGood1 39 4" xfId="10730" xr:uid="{00000000-0005-0000-0000-0000244B0000}"/>
    <cellStyle name="SAPBEXexcGood1 39 5" xfId="13085" xr:uid="{00000000-0005-0000-0000-0000254B0000}"/>
    <cellStyle name="SAPBEXexcGood1 39 6" xfId="14894" xr:uid="{00000000-0005-0000-0000-0000264B0000}"/>
    <cellStyle name="SAPBEXexcGood1 39 7" xfId="17781" xr:uid="{00000000-0005-0000-0000-0000274B0000}"/>
    <cellStyle name="SAPBEXexcGood1 39 8" xfId="19590" xr:uid="{00000000-0005-0000-0000-0000284B0000}"/>
    <cellStyle name="SAPBEXexcGood1 39 9" xfId="22403" xr:uid="{00000000-0005-0000-0000-0000294B0000}"/>
    <cellStyle name="SAPBEXexcGood1 4" xfId="3166" xr:uid="{00000000-0005-0000-0000-00002A4B0000}"/>
    <cellStyle name="SAPBEXexcGood1 4 2" xfId="5704" xr:uid="{00000000-0005-0000-0000-00002B4B0000}"/>
    <cellStyle name="SAPBEXexcGood1 4 3" xfId="10232" xr:uid="{00000000-0005-0000-0000-00002C4B0000}"/>
    <cellStyle name="SAPBEXexcGood1 4 4" xfId="11077" xr:uid="{00000000-0005-0000-0000-00002D4B0000}"/>
    <cellStyle name="SAPBEXexcGood1 4 5" xfId="13466" xr:uid="{00000000-0005-0000-0000-00002E4B0000}"/>
    <cellStyle name="SAPBEXexcGood1 4 6" xfId="15183" xr:uid="{00000000-0005-0000-0000-00002F4B0000}"/>
    <cellStyle name="SAPBEXexcGood1 4 7" xfId="18162" xr:uid="{00000000-0005-0000-0000-0000304B0000}"/>
    <cellStyle name="SAPBEXexcGood1 4 8" xfId="19879" xr:uid="{00000000-0005-0000-0000-0000314B0000}"/>
    <cellStyle name="SAPBEXexcGood1 4 9" xfId="22750" xr:uid="{00000000-0005-0000-0000-0000324B0000}"/>
    <cellStyle name="SAPBEXexcGood1 40" xfId="4840" xr:uid="{00000000-0005-0000-0000-0000334B0000}"/>
    <cellStyle name="SAPBEXexcGood1 40 2" xfId="7378" xr:uid="{00000000-0005-0000-0000-0000344B0000}"/>
    <cellStyle name="SAPBEXexcGood1 40 3" xfId="9203" xr:uid="{00000000-0005-0000-0000-0000354B0000}"/>
    <cellStyle name="SAPBEXexcGood1 40 4" xfId="10867" xr:uid="{00000000-0005-0000-0000-0000364B0000}"/>
    <cellStyle name="SAPBEXexcGood1 40 5" xfId="13232" xr:uid="{00000000-0005-0000-0000-0000374B0000}"/>
    <cellStyle name="SAPBEXexcGood1 40 6" xfId="16462" xr:uid="{00000000-0005-0000-0000-0000384B0000}"/>
    <cellStyle name="SAPBEXexcGood1 40 7" xfId="17928" xr:uid="{00000000-0005-0000-0000-0000394B0000}"/>
    <cellStyle name="SAPBEXexcGood1 40 8" xfId="21158" xr:uid="{00000000-0005-0000-0000-00003A4B0000}"/>
    <cellStyle name="SAPBEXexcGood1 40 9" xfId="22538" xr:uid="{00000000-0005-0000-0000-00003B4B0000}"/>
    <cellStyle name="SAPBEXexcGood1 41" xfId="4791" xr:uid="{00000000-0005-0000-0000-00003C4B0000}"/>
    <cellStyle name="SAPBEXexcGood1 41 2" xfId="7329" xr:uid="{00000000-0005-0000-0000-00003D4B0000}"/>
    <cellStyle name="SAPBEXexcGood1 41 3" xfId="5488" xr:uid="{00000000-0005-0000-0000-00003E4B0000}"/>
    <cellStyle name="SAPBEXexcGood1 41 4" xfId="11564" xr:uid="{00000000-0005-0000-0000-00003F4B0000}"/>
    <cellStyle name="SAPBEXexcGood1 41 5" xfId="13999" xr:uid="{00000000-0005-0000-0000-0000404B0000}"/>
    <cellStyle name="SAPBEXexcGood1 41 6" xfId="16630" xr:uid="{00000000-0005-0000-0000-0000414B0000}"/>
    <cellStyle name="SAPBEXexcGood1 41 7" xfId="18695" xr:uid="{00000000-0005-0000-0000-0000424B0000}"/>
    <cellStyle name="SAPBEXexcGood1 41 8" xfId="21326" xr:uid="{00000000-0005-0000-0000-0000434B0000}"/>
    <cellStyle name="SAPBEXexcGood1 41 9" xfId="23238" xr:uid="{00000000-0005-0000-0000-0000444B0000}"/>
    <cellStyle name="SAPBEXexcGood1 42" xfId="4831" xr:uid="{00000000-0005-0000-0000-0000454B0000}"/>
    <cellStyle name="SAPBEXexcGood1 42 2" xfId="7369" xr:uid="{00000000-0005-0000-0000-0000464B0000}"/>
    <cellStyle name="SAPBEXexcGood1 42 3" xfId="8313" xr:uid="{00000000-0005-0000-0000-0000474B0000}"/>
    <cellStyle name="SAPBEXexcGood1 42 4" xfId="10743" xr:uid="{00000000-0005-0000-0000-0000484B0000}"/>
    <cellStyle name="SAPBEXexcGood1 42 5" xfId="13098" xr:uid="{00000000-0005-0000-0000-0000494B0000}"/>
    <cellStyle name="SAPBEXexcGood1 42 6" xfId="16295" xr:uid="{00000000-0005-0000-0000-00004A4B0000}"/>
    <cellStyle name="SAPBEXexcGood1 42 7" xfId="17794" xr:uid="{00000000-0005-0000-0000-00004B4B0000}"/>
    <cellStyle name="SAPBEXexcGood1 42 8" xfId="20991" xr:uid="{00000000-0005-0000-0000-00004C4B0000}"/>
    <cellStyle name="SAPBEXexcGood1 42 9" xfId="22416" xr:uid="{00000000-0005-0000-0000-00004D4B0000}"/>
    <cellStyle name="SAPBEXexcGood1 43" xfId="4959" xr:uid="{00000000-0005-0000-0000-00004E4B0000}"/>
    <cellStyle name="SAPBEXexcGood1 43 2" xfId="7497" xr:uid="{00000000-0005-0000-0000-00004F4B0000}"/>
    <cellStyle name="SAPBEXexcGood1 43 3" xfId="9962" xr:uid="{00000000-0005-0000-0000-0000504B0000}"/>
    <cellStyle name="SAPBEXexcGood1 43 4" xfId="11448" xr:uid="{00000000-0005-0000-0000-0000514B0000}"/>
    <cellStyle name="SAPBEXexcGood1 43 5" xfId="13867" xr:uid="{00000000-0005-0000-0000-0000524B0000}"/>
    <cellStyle name="SAPBEXexcGood1 43 6" xfId="15646" xr:uid="{00000000-0005-0000-0000-0000534B0000}"/>
    <cellStyle name="SAPBEXexcGood1 43 7" xfId="18563" xr:uid="{00000000-0005-0000-0000-0000544B0000}"/>
    <cellStyle name="SAPBEXexcGood1 43 8" xfId="20342" xr:uid="{00000000-0005-0000-0000-0000554B0000}"/>
    <cellStyle name="SAPBEXexcGood1 43 9" xfId="23123" xr:uid="{00000000-0005-0000-0000-0000564B0000}"/>
    <cellStyle name="SAPBEXexcGood1 44" xfId="4999" xr:uid="{00000000-0005-0000-0000-0000574B0000}"/>
    <cellStyle name="SAPBEXexcGood1 44 2" xfId="7537" xr:uid="{00000000-0005-0000-0000-0000584B0000}"/>
    <cellStyle name="SAPBEXexcGood1 44 3" xfId="9156" xr:uid="{00000000-0005-0000-0000-0000594B0000}"/>
    <cellStyle name="SAPBEXexcGood1 44 4" xfId="11098" xr:uid="{00000000-0005-0000-0000-00005A4B0000}"/>
    <cellStyle name="SAPBEXexcGood1 44 5" xfId="13491" xr:uid="{00000000-0005-0000-0000-00005B4B0000}"/>
    <cellStyle name="SAPBEXexcGood1 44 6" xfId="15595" xr:uid="{00000000-0005-0000-0000-00005C4B0000}"/>
    <cellStyle name="SAPBEXexcGood1 44 7" xfId="18187" xr:uid="{00000000-0005-0000-0000-00005D4B0000}"/>
    <cellStyle name="SAPBEXexcGood1 44 8" xfId="20291" xr:uid="{00000000-0005-0000-0000-00005E4B0000}"/>
    <cellStyle name="SAPBEXexcGood1 44 9" xfId="22771" xr:uid="{00000000-0005-0000-0000-00005F4B0000}"/>
    <cellStyle name="SAPBEXexcGood1 45" xfId="5036" xr:uid="{00000000-0005-0000-0000-0000604B0000}"/>
    <cellStyle name="SAPBEXexcGood1 45 2" xfId="7574" xr:uid="{00000000-0005-0000-0000-0000614B0000}"/>
    <cellStyle name="SAPBEXexcGood1 45 3" xfId="8034" xr:uid="{00000000-0005-0000-0000-0000624B0000}"/>
    <cellStyle name="SAPBEXexcGood1 45 4" xfId="10482" xr:uid="{00000000-0005-0000-0000-0000634B0000}"/>
    <cellStyle name="SAPBEXexcGood1 45 5" xfId="12816" xr:uid="{00000000-0005-0000-0000-0000644B0000}"/>
    <cellStyle name="SAPBEXexcGood1 45 6" xfId="15025" xr:uid="{00000000-0005-0000-0000-0000654B0000}"/>
    <cellStyle name="SAPBEXexcGood1 45 7" xfId="17512" xr:uid="{00000000-0005-0000-0000-0000664B0000}"/>
    <cellStyle name="SAPBEXexcGood1 45 8" xfId="19721" xr:uid="{00000000-0005-0000-0000-0000674B0000}"/>
    <cellStyle name="SAPBEXexcGood1 45 9" xfId="22152" xr:uid="{00000000-0005-0000-0000-0000684B0000}"/>
    <cellStyle name="SAPBEXexcGood1 46" xfId="5067" xr:uid="{00000000-0005-0000-0000-0000694B0000}"/>
    <cellStyle name="SAPBEXexcGood1 46 2" xfId="7605" xr:uid="{00000000-0005-0000-0000-00006A4B0000}"/>
    <cellStyle name="SAPBEXexcGood1 46 3" xfId="8895" xr:uid="{00000000-0005-0000-0000-00006B4B0000}"/>
    <cellStyle name="SAPBEXexcGood1 46 4" xfId="11035" xr:uid="{00000000-0005-0000-0000-00006C4B0000}"/>
    <cellStyle name="SAPBEXexcGood1 46 5" xfId="13417" xr:uid="{00000000-0005-0000-0000-00006D4B0000}"/>
    <cellStyle name="SAPBEXexcGood1 46 6" xfId="16117" xr:uid="{00000000-0005-0000-0000-00006E4B0000}"/>
    <cellStyle name="SAPBEXexcGood1 46 7" xfId="18113" xr:uid="{00000000-0005-0000-0000-00006F4B0000}"/>
    <cellStyle name="SAPBEXexcGood1 46 8" xfId="20813" xr:uid="{00000000-0005-0000-0000-0000704B0000}"/>
    <cellStyle name="SAPBEXexcGood1 46 9" xfId="22708" xr:uid="{00000000-0005-0000-0000-0000714B0000}"/>
    <cellStyle name="SAPBEXexcGood1 47" xfId="5097" xr:uid="{00000000-0005-0000-0000-0000724B0000}"/>
    <cellStyle name="SAPBEXexcGood1 47 2" xfId="7635" xr:uid="{00000000-0005-0000-0000-0000734B0000}"/>
    <cellStyle name="SAPBEXexcGood1 47 3" xfId="9292" xr:uid="{00000000-0005-0000-0000-0000744B0000}"/>
    <cellStyle name="SAPBEXexcGood1 47 4" xfId="11968" xr:uid="{00000000-0005-0000-0000-0000754B0000}"/>
    <cellStyle name="SAPBEXexcGood1 47 5" xfId="14206" xr:uid="{00000000-0005-0000-0000-0000764B0000}"/>
    <cellStyle name="SAPBEXexcGood1 47 6" xfId="15240" xr:uid="{00000000-0005-0000-0000-0000774B0000}"/>
    <cellStyle name="SAPBEXexcGood1 47 7" xfId="18902" xr:uid="{00000000-0005-0000-0000-0000784B0000}"/>
    <cellStyle name="SAPBEXexcGood1 47 8" xfId="19936" xr:uid="{00000000-0005-0000-0000-0000794B0000}"/>
    <cellStyle name="SAPBEXexcGood1 47 9" xfId="23429" xr:uid="{00000000-0005-0000-0000-00007A4B0000}"/>
    <cellStyle name="SAPBEXexcGood1 48" xfId="5133" xr:uid="{00000000-0005-0000-0000-00007B4B0000}"/>
    <cellStyle name="SAPBEXexcGood1 48 2" xfId="7671" xr:uid="{00000000-0005-0000-0000-00007C4B0000}"/>
    <cellStyle name="SAPBEXexcGood1 48 3" xfId="8158" xr:uid="{00000000-0005-0000-0000-00007D4B0000}"/>
    <cellStyle name="SAPBEXexcGood1 48 4" xfId="8233" xr:uid="{00000000-0005-0000-0000-00007E4B0000}"/>
    <cellStyle name="SAPBEXexcGood1 48 5" xfId="14921" xr:uid="{00000000-0005-0000-0000-00007F4B0000}"/>
    <cellStyle name="SAPBEXexcGood1 48 6" xfId="15510" xr:uid="{00000000-0005-0000-0000-0000804B0000}"/>
    <cellStyle name="SAPBEXexcGood1 48 7" xfId="19617" xr:uid="{00000000-0005-0000-0000-0000814B0000}"/>
    <cellStyle name="SAPBEXexcGood1 48 8" xfId="20206" xr:uid="{00000000-0005-0000-0000-0000824B0000}"/>
    <cellStyle name="SAPBEXexcGood1 48 9" xfId="24084" xr:uid="{00000000-0005-0000-0000-0000834B0000}"/>
    <cellStyle name="SAPBEXexcGood1 49" xfId="5202" xr:uid="{00000000-0005-0000-0000-0000844B0000}"/>
    <cellStyle name="SAPBEXexcGood1 49 2" xfId="7741" xr:uid="{00000000-0005-0000-0000-0000854B0000}"/>
    <cellStyle name="SAPBEXexcGood1 49 3" xfId="8636" xr:uid="{00000000-0005-0000-0000-0000864B0000}"/>
    <cellStyle name="SAPBEXexcGood1 49 4" xfId="11643" xr:uid="{00000000-0005-0000-0000-0000874B0000}"/>
    <cellStyle name="SAPBEXexcGood1 49 5" xfId="14087" xr:uid="{00000000-0005-0000-0000-0000884B0000}"/>
    <cellStyle name="SAPBEXexcGood1 49 6" xfId="16233" xr:uid="{00000000-0005-0000-0000-0000894B0000}"/>
    <cellStyle name="SAPBEXexcGood1 49 7" xfId="18783" xr:uid="{00000000-0005-0000-0000-00008A4B0000}"/>
    <cellStyle name="SAPBEXexcGood1 49 8" xfId="20929" xr:uid="{00000000-0005-0000-0000-00008B4B0000}"/>
    <cellStyle name="SAPBEXexcGood1 49 9" xfId="23318" xr:uid="{00000000-0005-0000-0000-00008C4B0000}"/>
    <cellStyle name="SAPBEXexcGood1 5" xfId="3209" xr:uid="{00000000-0005-0000-0000-00008D4B0000}"/>
    <cellStyle name="SAPBEXexcGood1 5 2" xfId="5747" xr:uid="{00000000-0005-0000-0000-00008E4B0000}"/>
    <cellStyle name="SAPBEXexcGood1 5 3" xfId="9568" xr:uid="{00000000-0005-0000-0000-00008F4B0000}"/>
    <cellStyle name="SAPBEXexcGood1 5 4" xfId="12282" xr:uid="{00000000-0005-0000-0000-0000904B0000}"/>
    <cellStyle name="SAPBEXexcGood1 5 5" xfId="12538" xr:uid="{00000000-0005-0000-0000-0000914B0000}"/>
    <cellStyle name="SAPBEXexcGood1 5 6" xfId="15129" xr:uid="{00000000-0005-0000-0000-0000924B0000}"/>
    <cellStyle name="SAPBEXexcGood1 5 7" xfId="17234" xr:uid="{00000000-0005-0000-0000-0000934B0000}"/>
    <cellStyle name="SAPBEXexcGood1 5 8" xfId="19825" xr:uid="{00000000-0005-0000-0000-0000944B0000}"/>
    <cellStyle name="SAPBEXexcGood1 5 9" xfId="21902" xr:uid="{00000000-0005-0000-0000-0000954B0000}"/>
    <cellStyle name="SAPBEXexcGood1 50" xfId="5179" xr:uid="{00000000-0005-0000-0000-0000964B0000}"/>
    <cellStyle name="SAPBEXexcGood1 50 2" xfId="10055" xr:uid="{00000000-0005-0000-0000-0000974B0000}"/>
    <cellStyle name="SAPBEXexcGood1 50 3" xfId="10421" xr:uid="{00000000-0005-0000-0000-0000984B0000}"/>
    <cellStyle name="SAPBEXexcGood1 50 4" xfId="12746" xr:uid="{00000000-0005-0000-0000-0000994B0000}"/>
    <cellStyle name="SAPBEXexcGood1 50 5" xfId="16475" xr:uid="{00000000-0005-0000-0000-00009A4B0000}"/>
    <cellStyle name="SAPBEXexcGood1 50 6" xfId="17442" xr:uid="{00000000-0005-0000-0000-00009B4B0000}"/>
    <cellStyle name="SAPBEXexcGood1 50 7" xfId="21171" xr:uid="{00000000-0005-0000-0000-00009C4B0000}"/>
    <cellStyle name="SAPBEXexcGood1 50 8" xfId="22092" xr:uid="{00000000-0005-0000-0000-00009D4B0000}"/>
    <cellStyle name="SAPBEXexcGood1 51" xfId="8397" xr:uid="{00000000-0005-0000-0000-00009E4B0000}"/>
    <cellStyle name="SAPBEXexcGood1 52" xfId="12029" xr:uid="{00000000-0005-0000-0000-00009F4B0000}"/>
    <cellStyle name="SAPBEXexcGood1 53" xfId="14510" xr:uid="{00000000-0005-0000-0000-0000A04B0000}"/>
    <cellStyle name="SAPBEXexcGood1 54" xfId="16885" xr:uid="{00000000-0005-0000-0000-0000A14B0000}"/>
    <cellStyle name="SAPBEXexcGood1 55" xfId="19206" xr:uid="{00000000-0005-0000-0000-0000A24B0000}"/>
    <cellStyle name="SAPBEXexcGood1 56" xfId="21581" xr:uid="{00000000-0005-0000-0000-0000A34B0000}"/>
    <cellStyle name="SAPBEXexcGood1 57" xfId="23704" xr:uid="{00000000-0005-0000-0000-0000A44B0000}"/>
    <cellStyle name="SAPBEXexcGood1 58" xfId="42189" xr:uid="{C2042A47-53F7-4B1F-9CFC-DC4EF6288C9B}"/>
    <cellStyle name="SAPBEXexcGood1 6" xfId="3252" xr:uid="{00000000-0005-0000-0000-0000A54B0000}"/>
    <cellStyle name="SAPBEXexcGood1 6 2" xfId="5790" xr:uid="{00000000-0005-0000-0000-0000A64B0000}"/>
    <cellStyle name="SAPBEXexcGood1 6 3" xfId="9358" xr:uid="{00000000-0005-0000-0000-0000A74B0000}"/>
    <cellStyle name="SAPBEXexcGood1 6 4" xfId="10327" xr:uid="{00000000-0005-0000-0000-0000A84B0000}"/>
    <cellStyle name="SAPBEXexcGood1 6 5" xfId="12645" xr:uid="{00000000-0005-0000-0000-0000A94B0000}"/>
    <cellStyle name="SAPBEXexcGood1 6 6" xfId="16114" xr:uid="{00000000-0005-0000-0000-0000AA4B0000}"/>
    <cellStyle name="SAPBEXexcGood1 6 7" xfId="17341" xr:uid="{00000000-0005-0000-0000-0000AB4B0000}"/>
    <cellStyle name="SAPBEXexcGood1 6 8" xfId="20810" xr:uid="{00000000-0005-0000-0000-0000AC4B0000}"/>
    <cellStyle name="SAPBEXexcGood1 6 9" xfId="21998" xr:uid="{00000000-0005-0000-0000-0000AD4B0000}"/>
    <cellStyle name="SAPBEXexcGood1 7" xfId="3295" xr:uid="{00000000-0005-0000-0000-0000AE4B0000}"/>
    <cellStyle name="SAPBEXexcGood1 7 2" xfId="5833" xr:uid="{00000000-0005-0000-0000-0000AF4B0000}"/>
    <cellStyle name="SAPBEXexcGood1 7 3" xfId="9074" xr:uid="{00000000-0005-0000-0000-0000B04B0000}"/>
    <cellStyle name="SAPBEXexcGood1 7 4" xfId="11320" xr:uid="{00000000-0005-0000-0000-0000B14B0000}"/>
    <cellStyle name="SAPBEXexcGood1 7 5" xfId="13729" xr:uid="{00000000-0005-0000-0000-0000B24B0000}"/>
    <cellStyle name="SAPBEXexcGood1 7 6" xfId="16783" xr:uid="{00000000-0005-0000-0000-0000B34B0000}"/>
    <cellStyle name="SAPBEXexcGood1 7 7" xfId="18425" xr:uid="{00000000-0005-0000-0000-0000B44B0000}"/>
    <cellStyle name="SAPBEXexcGood1 7 8" xfId="21479" xr:uid="{00000000-0005-0000-0000-0000B54B0000}"/>
    <cellStyle name="SAPBEXexcGood1 7 9" xfId="22994" xr:uid="{00000000-0005-0000-0000-0000B64B0000}"/>
    <cellStyle name="SAPBEXexcGood1 8" xfId="3338" xr:uid="{00000000-0005-0000-0000-0000B74B0000}"/>
    <cellStyle name="SAPBEXexcGood1 8 2" xfId="5876" xr:uid="{00000000-0005-0000-0000-0000B84B0000}"/>
    <cellStyle name="SAPBEXexcGood1 8 3" xfId="9222" xr:uid="{00000000-0005-0000-0000-0000B94B0000}"/>
    <cellStyle name="SAPBEXexcGood1 8 4" xfId="11876" xr:uid="{00000000-0005-0000-0000-0000BA4B0000}"/>
    <cellStyle name="SAPBEXexcGood1 8 5" xfId="14340" xr:uid="{00000000-0005-0000-0000-0000BB4B0000}"/>
    <cellStyle name="SAPBEXexcGood1 8 6" xfId="15008" xr:uid="{00000000-0005-0000-0000-0000BC4B0000}"/>
    <cellStyle name="SAPBEXexcGood1 8 7" xfId="19036" xr:uid="{00000000-0005-0000-0000-0000BD4B0000}"/>
    <cellStyle name="SAPBEXexcGood1 8 8" xfId="19704" xr:uid="{00000000-0005-0000-0000-0000BE4B0000}"/>
    <cellStyle name="SAPBEXexcGood1 8 9" xfId="23552" xr:uid="{00000000-0005-0000-0000-0000BF4B0000}"/>
    <cellStyle name="SAPBEXexcGood1 9" xfId="3381" xr:uid="{00000000-0005-0000-0000-0000C04B0000}"/>
    <cellStyle name="SAPBEXexcGood1 9 2" xfId="5919" xr:uid="{00000000-0005-0000-0000-0000C14B0000}"/>
    <cellStyle name="SAPBEXexcGood1 9 3" xfId="8112" xr:uid="{00000000-0005-0000-0000-0000C24B0000}"/>
    <cellStyle name="SAPBEXexcGood1 9 4" xfId="10296" xr:uid="{00000000-0005-0000-0000-0000C34B0000}"/>
    <cellStyle name="SAPBEXexcGood1 9 5" xfId="12609" xr:uid="{00000000-0005-0000-0000-0000C44B0000}"/>
    <cellStyle name="SAPBEXexcGood1 9 6" xfId="15791" xr:uid="{00000000-0005-0000-0000-0000C54B0000}"/>
    <cellStyle name="SAPBEXexcGood1 9 7" xfId="17305" xr:uid="{00000000-0005-0000-0000-0000C64B0000}"/>
    <cellStyle name="SAPBEXexcGood1 9 8" xfId="20487" xr:uid="{00000000-0005-0000-0000-0000C74B0000}"/>
    <cellStyle name="SAPBEXexcGood1 9 9" xfId="21966" xr:uid="{00000000-0005-0000-0000-0000C84B0000}"/>
    <cellStyle name="SAPBEXexcGood2" xfId="2953" xr:uid="{00000000-0005-0000-0000-0000C94B0000}"/>
    <cellStyle name="SAPBEXexcGood2 10" xfId="3422" xr:uid="{00000000-0005-0000-0000-0000CA4B0000}"/>
    <cellStyle name="SAPBEXexcGood2 10 2" xfId="5960" xr:uid="{00000000-0005-0000-0000-0000CB4B0000}"/>
    <cellStyle name="SAPBEXexcGood2 10 3" xfId="10148" xr:uid="{00000000-0005-0000-0000-0000CC4B0000}"/>
    <cellStyle name="SAPBEXexcGood2 10 4" xfId="10686" xr:uid="{00000000-0005-0000-0000-0000CD4B0000}"/>
    <cellStyle name="SAPBEXexcGood2 10 5" xfId="13038" xr:uid="{00000000-0005-0000-0000-0000CE4B0000}"/>
    <cellStyle name="SAPBEXexcGood2 10 6" xfId="15270" xr:uid="{00000000-0005-0000-0000-0000CF4B0000}"/>
    <cellStyle name="SAPBEXexcGood2 10 7" xfId="17734" xr:uid="{00000000-0005-0000-0000-0000D04B0000}"/>
    <cellStyle name="SAPBEXexcGood2 10 8" xfId="19966" xr:uid="{00000000-0005-0000-0000-0000D14B0000}"/>
    <cellStyle name="SAPBEXexcGood2 10 9" xfId="22359" xr:uid="{00000000-0005-0000-0000-0000D24B0000}"/>
    <cellStyle name="SAPBEXexcGood2 11" xfId="3446" xr:uid="{00000000-0005-0000-0000-0000D34B0000}"/>
    <cellStyle name="SAPBEXexcGood2 11 2" xfId="5984" xr:uid="{00000000-0005-0000-0000-0000D44B0000}"/>
    <cellStyle name="SAPBEXexcGood2 11 3" xfId="9140" xr:uid="{00000000-0005-0000-0000-0000D54B0000}"/>
    <cellStyle name="SAPBEXexcGood2 11 4" xfId="10250" xr:uid="{00000000-0005-0000-0000-0000D64B0000}"/>
    <cellStyle name="SAPBEXexcGood2 11 5" xfId="12558" xr:uid="{00000000-0005-0000-0000-0000D74B0000}"/>
    <cellStyle name="SAPBEXexcGood2 11 6" xfId="16055" xr:uid="{00000000-0005-0000-0000-0000D84B0000}"/>
    <cellStyle name="SAPBEXexcGood2 11 7" xfId="17254" xr:uid="{00000000-0005-0000-0000-0000D94B0000}"/>
    <cellStyle name="SAPBEXexcGood2 11 8" xfId="20751" xr:uid="{00000000-0005-0000-0000-0000DA4B0000}"/>
    <cellStyle name="SAPBEXexcGood2 11 9" xfId="21919" xr:uid="{00000000-0005-0000-0000-0000DB4B0000}"/>
    <cellStyle name="SAPBEXexcGood2 12" xfId="3419" xr:uid="{00000000-0005-0000-0000-0000DC4B0000}"/>
    <cellStyle name="SAPBEXexcGood2 12 2" xfId="5957" xr:uid="{00000000-0005-0000-0000-0000DD4B0000}"/>
    <cellStyle name="SAPBEXexcGood2 12 3" xfId="8387" xr:uid="{00000000-0005-0000-0000-0000DE4B0000}"/>
    <cellStyle name="SAPBEXexcGood2 12 4" xfId="12141" xr:uid="{00000000-0005-0000-0000-0000DF4B0000}"/>
    <cellStyle name="SAPBEXexcGood2 12 5" xfId="14624" xr:uid="{00000000-0005-0000-0000-0000E04B0000}"/>
    <cellStyle name="SAPBEXexcGood2 12 6" xfId="13770" xr:uid="{00000000-0005-0000-0000-0000E14B0000}"/>
    <cellStyle name="SAPBEXexcGood2 12 7" xfId="19320" xr:uid="{00000000-0005-0000-0000-0000E24B0000}"/>
    <cellStyle name="SAPBEXexcGood2 12 8" xfId="18466" xr:uid="{00000000-0005-0000-0000-0000E34B0000}"/>
    <cellStyle name="SAPBEXexcGood2 12 9" xfId="23815" xr:uid="{00000000-0005-0000-0000-0000E44B0000}"/>
    <cellStyle name="SAPBEXexcGood2 13" xfId="3562" xr:uid="{00000000-0005-0000-0000-0000E54B0000}"/>
    <cellStyle name="SAPBEXexcGood2 13 2" xfId="6100" xr:uid="{00000000-0005-0000-0000-0000E64B0000}"/>
    <cellStyle name="SAPBEXexcGood2 13 3" xfId="9051" xr:uid="{00000000-0005-0000-0000-0000E74B0000}"/>
    <cellStyle name="SAPBEXexcGood2 13 4" xfId="10070" xr:uid="{00000000-0005-0000-0000-0000E84B0000}"/>
    <cellStyle name="SAPBEXexcGood2 13 5" xfId="14819" xr:uid="{00000000-0005-0000-0000-0000E94B0000}"/>
    <cellStyle name="SAPBEXexcGood2 13 6" xfId="16247" xr:uid="{00000000-0005-0000-0000-0000EA4B0000}"/>
    <cellStyle name="SAPBEXexcGood2 13 7" xfId="19515" xr:uid="{00000000-0005-0000-0000-0000EB4B0000}"/>
    <cellStyle name="SAPBEXexcGood2 13 8" xfId="20943" xr:uid="{00000000-0005-0000-0000-0000EC4B0000}"/>
    <cellStyle name="SAPBEXexcGood2 13 9" xfId="24003" xr:uid="{00000000-0005-0000-0000-0000ED4B0000}"/>
    <cellStyle name="SAPBEXexcGood2 14" xfId="3513" xr:uid="{00000000-0005-0000-0000-0000EE4B0000}"/>
    <cellStyle name="SAPBEXexcGood2 14 2" xfId="6051" xr:uid="{00000000-0005-0000-0000-0000EF4B0000}"/>
    <cellStyle name="SAPBEXexcGood2 14 3" xfId="8503" xr:uid="{00000000-0005-0000-0000-0000F04B0000}"/>
    <cellStyle name="SAPBEXexcGood2 14 4" xfId="11424" xr:uid="{00000000-0005-0000-0000-0000F14B0000}"/>
    <cellStyle name="SAPBEXexcGood2 14 5" xfId="13841" xr:uid="{00000000-0005-0000-0000-0000F24B0000}"/>
    <cellStyle name="SAPBEXexcGood2 14 6" xfId="16220" xr:uid="{00000000-0005-0000-0000-0000F34B0000}"/>
    <cellStyle name="SAPBEXexcGood2 14 7" xfId="18537" xr:uid="{00000000-0005-0000-0000-0000F44B0000}"/>
    <cellStyle name="SAPBEXexcGood2 14 8" xfId="20916" xr:uid="{00000000-0005-0000-0000-0000F54B0000}"/>
    <cellStyle name="SAPBEXexcGood2 14 9" xfId="23098" xr:uid="{00000000-0005-0000-0000-0000F64B0000}"/>
    <cellStyle name="SAPBEXexcGood2 15" xfId="3613" xr:uid="{00000000-0005-0000-0000-0000F74B0000}"/>
    <cellStyle name="SAPBEXexcGood2 15 2" xfId="6151" xr:uid="{00000000-0005-0000-0000-0000F84B0000}"/>
    <cellStyle name="SAPBEXexcGood2 15 3" xfId="9982" xr:uid="{00000000-0005-0000-0000-0000F94B0000}"/>
    <cellStyle name="SAPBEXexcGood2 15 4" xfId="10395" xr:uid="{00000000-0005-0000-0000-0000FA4B0000}"/>
    <cellStyle name="SAPBEXexcGood2 15 5" xfId="12718" xr:uid="{00000000-0005-0000-0000-0000FB4B0000}"/>
    <cellStyle name="SAPBEXexcGood2 15 6" xfId="15334" xr:uid="{00000000-0005-0000-0000-0000FC4B0000}"/>
    <cellStyle name="SAPBEXexcGood2 15 7" xfId="17414" xr:uid="{00000000-0005-0000-0000-0000FD4B0000}"/>
    <cellStyle name="SAPBEXexcGood2 15 8" xfId="20030" xr:uid="{00000000-0005-0000-0000-0000FE4B0000}"/>
    <cellStyle name="SAPBEXexcGood2 15 9" xfId="22066" xr:uid="{00000000-0005-0000-0000-0000FF4B0000}"/>
    <cellStyle name="SAPBEXexcGood2 16" xfId="3582" xr:uid="{00000000-0005-0000-0000-0000004C0000}"/>
    <cellStyle name="SAPBEXexcGood2 16 2" xfId="6120" xr:uid="{00000000-0005-0000-0000-0000014C0000}"/>
    <cellStyle name="SAPBEXexcGood2 16 3" xfId="9467" xr:uid="{00000000-0005-0000-0000-0000024C0000}"/>
    <cellStyle name="SAPBEXexcGood2 16 4" xfId="11870" xr:uid="{00000000-0005-0000-0000-0000034C0000}"/>
    <cellStyle name="SAPBEXexcGood2 16 5" xfId="14334" xr:uid="{00000000-0005-0000-0000-0000044C0000}"/>
    <cellStyle name="SAPBEXexcGood2 16 6" xfId="15854" xr:uid="{00000000-0005-0000-0000-0000054C0000}"/>
    <cellStyle name="SAPBEXexcGood2 16 7" xfId="19030" xr:uid="{00000000-0005-0000-0000-0000064C0000}"/>
    <cellStyle name="SAPBEXexcGood2 16 8" xfId="20550" xr:uid="{00000000-0005-0000-0000-0000074C0000}"/>
    <cellStyle name="SAPBEXexcGood2 16 9" xfId="23546" xr:uid="{00000000-0005-0000-0000-0000084C0000}"/>
    <cellStyle name="SAPBEXexcGood2 17" xfId="3599" xr:uid="{00000000-0005-0000-0000-0000094C0000}"/>
    <cellStyle name="SAPBEXexcGood2 17 2" xfId="6137" xr:uid="{00000000-0005-0000-0000-00000A4C0000}"/>
    <cellStyle name="SAPBEXexcGood2 17 3" xfId="7790" xr:uid="{00000000-0005-0000-0000-00000B4C0000}"/>
    <cellStyle name="SAPBEXexcGood2 17 4" xfId="11069" xr:uid="{00000000-0005-0000-0000-00000C4C0000}"/>
    <cellStyle name="SAPBEXexcGood2 17 5" xfId="13457" xr:uid="{00000000-0005-0000-0000-00000D4C0000}"/>
    <cellStyle name="SAPBEXexcGood2 17 6" xfId="16121" xr:uid="{00000000-0005-0000-0000-00000E4C0000}"/>
    <cellStyle name="SAPBEXexcGood2 17 7" xfId="18153" xr:uid="{00000000-0005-0000-0000-00000F4C0000}"/>
    <cellStyle name="SAPBEXexcGood2 17 8" xfId="20817" xr:uid="{00000000-0005-0000-0000-0000104C0000}"/>
    <cellStyle name="SAPBEXexcGood2 17 9" xfId="22742" xr:uid="{00000000-0005-0000-0000-0000114C0000}"/>
    <cellStyle name="SAPBEXexcGood2 18" xfId="3744" xr:uid="{00000000-0005-0000-0000-0000124C0000}"/>
    <cellStyle name="SAPBEXexcGood2 18 2" xfId="6282" xr:uid="{00000000-0005-0000-0000-0000134C0000}"/>
    <cellStyle name="SAPBEXexcGood2 18 3" xfId="9417" xr:uid="{00000000-0005-0000-0000-0000144C0000}"/>
    <cellStyle name="SAPBEXexcGood2 18 4" xfId="10558" xr:uid="{00000000-0005-0000-0000-0000154C0000}"/>
    <cellStyle name="SAPBEXexcGood2 18 5" xfId="12901" xr:uid="{00000000-0005-0000-0000-0000164C0000}"/>
    <cellStyle name="SAPBEXexcGood2 18 6" xfId="16297" xr:uid="{00000000-0005-0000-0000-0000174C0000}"/>
    <cellStyle name="SAPBEXexcGood2 18 7" xfId="17597" xr:uid="{00000000-0005-0000-0000-0000184C0000}"/>
    <cellStyle name="SAPBEXexcGood2 18 8" xfId="20993" xr:uid="{00000000-0005-0000-0000-0000194C0000}"/>
    <cellStyle name="SAPBEXexcGood2 18 9" xfId="22229" xr:uid="{00000000-0005-0000-0000-00001A4C0000}"/>
    <cellStyle name="SAPBEXexcGood2 19" xfId="3899" xr:uid="{00000000-0005-0000-0000-00001B4C0000}"/>
    <cellStyle name="SAPBEXexcGood2 19 2" xfId="6437" xr:uid="{00000000-0005-0000-0000-00001C4C0000}"/>
    <cellStyle name="SAPBEXexcGood2 19 3" xfId="5449" xr:uid="{00000000-0005-0000-0000-00001D4C0000}"/>
    <cellStyle name="SAPBEXexcGood2 19 4" xfId="10987" xr:uid="{00000000-0005-0000-0000-00001E4C0000}"/>
    <cellStyle name="SAPBEXexcGood2 19 5" xfId="13361" xr:uid="{00000000-0005-0000-0000-00001F4C0000}"/>
    <cellStyle name="SAPBEXexcGood2 19 6" xfId="15688" xr:uid="{00000000-0005-0000-0000-0000204C0000}"/>
    <cellStyle name="SAPBEXexcGood2 19 7" xfId="18057" xr:uid="{00000000-0005-0000-0000-0000214C0000}"/>
    <cellStyle name="SAPBEXexcGood2 19 8" xfId="20384" xr:uid="{00000000-0005-0000-0000-0000224C0000}"/>
    <cellStyle name="SAPBEXexcGood2 19 9" xfId="22660" xr:uid="{00000000-0005-0000-0000-0000234C0000}"/>
    <cellStyle name="SAPBEXexcGood2 2" xfId="3072" xr:uid="{00000000-0005-0000-0000-0000244C0000}"/>
    <cellStyle name="SAPBEXexcGood2 2 2" xfId="5610" xr:uid="{00000000-0005-0000-0000-0000254C0000}"/>
    <cellStyle name="SAPBEXexcGood2 2 3" xfId="8706" xr:uid="{00000000-0005-0000-0000-0000264C0000}"/>
    <cellStyle name="SAPBEXexcGood2 2 4" xfId="10443" xr:uid="{00000000-0005-0000-0000-0000274C0000}"/>
    <cellStyle name="SAPBEXexcGood2 2 5" xfId="12769" xr:uid="{00000000-0005-0000-0000-0000284C0000}"/>
    <cellStyle name="SAPBEXexcGood2 2 6" xfId="16275" xr:uid="{00000000-0005-0000-0000-0000294C0000}"/>
    <cellStyle name="SAPBEXexcGood2 2 7" xfId="17465" xr:uid="{00000000-0005-0000-0000-00002A4C0000}"/>
    <cellStyle name="SAPBEXexcGood2 2 8" xfId="20971" xr:uid="{00000000-0005-0000-0000-00002B4C0000}"/>
    <cellStyle name="SAPBEXexcGood2 2 9" xfId="22114" xr:uid="{00000000-0005-0000-0000-00002C4C0000}"/>
    <cellStyle name="SAPBEXexcGood2 20" xfId="3942" xr:uid="{00000000-0005-0000-0000-00002D4C0000}"/>
    <cellStyle name="SAPBEXexcGood2 20 2" xfId="6480" xr:uid="{00000000-0005-0000-0000-00002E4C0000}"/>
    <cellStyle name="SAPBEXexcGood2 20 3" xfId="9977" xr:uid="{00000000-0005-0000-0000-00002F4C0000}"/>
    <cellStyle name="SAPBEXexcGood2 20 4" xfId="11676" xr:uid="{00000000-0005-0000-0000-0000304C0000}"/>
    <cellStyle name="SAPBEXexcGood2 20 5" xfId="14123" xr:uid="{00000000-0005-0000-0000-0000314C0000}"/>
    <cellStyle name="SAPBEXexcGood2 20 6" xfId="13515" xr:uid="{00000000-0005-0000-0000-0000324C0000}"/>
    <cellStyle name="SAPBEXexcGood2 20 7" xfId="18819" xr:uid="{00000000-0005-0000-0000-0000334C0000}"/>
    <cellStyle name="SAPBEXexcGood2 20 8" xfId="18211" xr:uid="{00000000-0005-0000-0000-0000344C0000}"/>
    <cellStyle name="SAPBEXexcGood2 20 9" xfId="23350" xr:uid="{00000000-0005-0000-0000-0000354C0000}"/>
    <cellStyle name="SAPBEXexcGood2 21" xfId="3938" xr:uid="{00000000-0005-0000-0000-0000364C0000}"/>
    <cellStyle name="SAPBEXexcGood2 21 2" xfId="6476" xr:uid="{00000000-0005-0000-0000-0000374C0000}"/>
    <cellStyle name="SAPBEXexcGood2 21 3" xfId="8763" xr:uid="{00000000-0005-0000-0000-0000384C0000}"/>
    <cellStyle name="SAPBEXexcGood2 21 4" xfId="8395" xr:uid="{00000000-0005-0000-0000-0000394C0000}"/>
    <cellStyle name="SAPBEXexcGood2 21 5" xfId="12470" xr:uid="{00000000-0005-0000-0000-00003A4C0000}"/>
    <cellStyle name="SAPBEXexcGood2 21 6" xfId="15615" xr:uid="{00000000-0005-0000-0000-00003B4C0000}"/>
    <cellStyle name="SAPBEXexcGood2 21 7" xfId="17166" xr:uid="{00000000-0005-0000-0000-00003C4C0000}"/>
    <cellStyle name="SAPBEXexcGood2 21 8" xfId="20311" xr:uid="{00000000-0005-0000-0000-00003D4C0000}"/>
    <cellStyle name="SAPBEXexcGood2 21 9" xfId="21845" xr:uid="{00000000-0005-0000-0000-00003E4C0000}"/>
    <cellStyle name="SAPBEXexcGood2 22" xfId="3975" xr:uid="{00000000-0005-0000-0000-00003F4C0000}"/>
    <cellStyle name="SAPBEXexcGood2 22 2" xfId="6513" xr:uid="{00000000-0005-0000-0000-0000404C0000}"/>
    <cellStyle name="SAPBEXexcGood2 22 3" xfId="8935" xr:uid="{00000000-0005-0000-0000-0000414C0000}"/>
    <cellStyle name="SAPBEXexcGood2 22 4" xfId="10788" xr:uid="{00000000-0005-0000-0000-0000424C0000}"/>
    <cellStyle name="SAPBEXexcGood2 22 5" xfId="13145" xr:uid="{00000000-0005-0000-0000-0000434C0000}"/>
    <cellStyle name="SAPBEXexcGood2 22 6" xfId="16262" xr:uid="{00000000-0005-0000-0000-0000444C0000}"/>
    <cellStyle name="SAPBEXexcGood2 22 7" xfId="17841" xr:uid="{00000000-0005-0000-0000-0000454C0000}"/>
    <cellStyle name="SAPBEXexcGood2 22 8" xfId="20958" xr:uid="{00000000-0005-0000-0000-0000464C0000}"/>
    <cellStyle name="SAPBEXexcGood2 22 9" xfId="22459" xr:uid="{00000000-0005-0000-0000-0000474C0000}"/>
    <cellStyle name="SAPBEXexcGood2 23" xfId="3977" xr:uid="{00000000-0005-0000-0000-0000484C0000}"/>
    <cellStyle name="SAPBEXexcGood2 23 2" xfId="6515" xr:uid="{00000000-0005-0000-0000-0000494C0000}"/>
    <cellStyle name="SAPBEXexcGood2 23 3" xfId="8111" xr:uid="{00000000-0005-0000-0000-00004A4C0000}"/>
    <cellStyle name="SAPBEXexcGood2 23 4" xfId="11533" xr:uid="{00000000-0005-0000-0000-00004B4C0000}"/>
    <cellStyle name="SAPBEXexcGood2 23 5" xfId="12345" xr:uid="{00000000-0005-0000-0000-00004C4C0000}"/>
    <cellStyle name="SAPBEXexcGood2 23 6" xfId="16784" xr:uid="{00000000-0005-0000-0000-00004D4C0000}"/>
    <cellStyle name="SAPBEXexcGood2 23 7" xfId="17041" xr:uid="{00000000-0005-0000-0000-00004E4C0000}"/>
    <cellStyle name="SAPBEXexcGood2 23 8" xfId="21480" xr:uid="{00000000-0005-0000-0000-00004F4C0000}"/>
    <cellStyle name="SAPBEXexcGood2 23 9" xfId="21733" xr:uid="{00000000-0005-0000-0000-0000504C0000}"/>
    <cellStyle name="SAPBEXexcGood2 24" xfId="4133" xr:uid="{00000000-0005-0000-0000-0000514C0000}"/>
    <cellStyle name="SAPBEXexcGood2 24 2" xfId="6671" xr:uid="{00000000-0005-0000-0000-0000524C0000}"/>
    <cellStyle name="SAPBEXexcGood2 24 3" xfId="8759" xr:uid="{00000000-0005-0000-0000-0000534C0000}"/>
    <cellStyle name="SAPBEXexcGood2 24 4" xfId="10294" xr:uid="{00000000-0005-0000-0000-0000544C0000}"/>
    <cellStyle name="SAPBEXexcGood2 24 5" xfId="12607" xr:uid="{00000000-0005-0000-0000-0000554C0000}"/>
    <cellStyle name="SAPBEXexcGood2 24 6" xfId="16324" xr:uid="{00000000-0005-0000-0000-0000564C0000}"/>
    <cellStyle name="SAPBEXexcGood2 24 7" xfId="17303" xr:uid="{00000000-0005-0000-0000-0000574C0000}"/>
    <cellStyle name="SAPBEXexcGood2 24 8" xfId="21020" xr:uid="{00000000-0005-0000-0000-0000584C0000}"/>
    <cellStyle name="SAPBEXexcGood2 24 9" xfId="21964" xr:uid="{00000000-0005-0000-0000-0000594C0000}"/>
    <cellStyle name="SAPBEXexcGood2 25" xfId="4176" xr:uid="{00000000-0005-0000-0000-00005A4C0000}"/>
    <cellStyle name="SAPBEXexcGood2 25 2" xfId="6714" xr:uid="{00000000-0005-0000-0000-00005B4C0000}"/>
    <cellStyle name="SAPBEXexcGood2 25 3" xfId="9558" xr:uid="{00000000-0005-0000-0000-00005C4C0000}"/>
    <cellStyle name="SAPBEXexcGood2 25 4" xfId="10152" xr:uid="{00000000-0005-0000-0000-00005D4C0000}"/>
    <cellStyle name="SAPBEXexcGood2 25 5" xfId="14931" xr:uid="{00000000-0005-0000-0000-00005E4C0000}"/>
    <cellStyle name="SAPBEXexcGood2 25 6" xfId="15722" xr:uid="{00000000-0005-0000-0000-00005F4C0000}"/>
    <cellStyle name="SAPBEXexcGood2 25 7" xfId="19627" xr:uid="{00000000-0005-0000-0000-0000604C0000}"/>
    <cellStyle name="SAPBEXexcGood2 25 8" xfId="20418" xr:uid="{00000000-0005-0000-0000-0000614C0000}"/>
    <cellStyle name="SAPBEXexcGood2 25 9" xfId="24094" xr:uid="{00000000-0005-0000-0000-0000624C0000}"/>
    <cellStyle name="SAPBEXexcGood2 26" xfId="4221" xr:uid="{00000000-0005-0000-0000-0000634C0000}"/>
    <cellStyle name="SAPBEXexcGood2 26 2" xfId="6759" xr:uid="{00000000-0005-0000-0000-0000644C0000}"/>
    <cellStyle name="SAPBEXexcGood2 26 3" xfId="9165" xr:uid="{00000000-0005-0000-0000-0000654C0000}"/>
    <cellStyle name="SAPBEXexcGood2 26 4" xfId="10455" xr:uid="{00000000-0005-0000-0000-0000664C0000}"/>
    <cellStyle name="SAPBEXexcGood2 26 5" xfId="12786" xr:uid="{00000000-0005-0000-0000-0000674C0000}"/>
    <cellStyle name="SAPBEXexcGood2 26 6" xfId="16026" xr:uid="{00000000-0005-0000-0000-0000684C0000}"/>
    <cellStyle name="SAPBEXexcGood2 26 7" xfId="17482" xr:uid="{00000000-0005-0000-0000-0000694C0000}"/>
    <cellStyle name="SAPBEXexcGood2 26 8" xfId="20722" xr:uid="{00000000-0005-0000-0000-00006A4C0000}"/>
    <cellStyle name="SAPBEXexcGood2 26 9" xfId="22126" xr:uid="{00000000-0005-0000-0000-00006B4C0000}"/>
    <cellStyle name="SAPBEXexcGood2 27" xfId="4261" xr:uid="{00000000-0005-0000-0000-00006C4C0000}"/>
    <cellStyle name="SAPBEXexcGood2 27 2" xfId="6799" xr:uid="{00000000-0005-0000-0000-00006D4C0000}"/>
    <cellStyle name="SAPBEXexcGood2 27 3" xfId="8583" xr:uid="{00000000-0005-0000-0000-00006E4C0000}"/>
    <cellStyle name="SAPBEXexcGood2 27 4" xfId="11650" xr:uid="{00000000-0005-0000-0000-00006F4C0000}"/>
    <cellStyle name="SAPBEXexcGood2 27 5" xfId="13840" xr:uid="{00000000-0005-0000-0000-0000704C0000}"/>
    <cellStyle name="SAPBEXexcGood2 27 6" xfId="15750" xr:uid="{00000000-0005-0000-0000-0000714C0000}"/>
    <cellStyle name="SAPBEXexcGood2 27 7" xfId="18536" xr:uid="{00000000-0005-0000-0000-0000724C0000}"/>
    <cellStyle name="SAPBEXexcGood2 27 8" xfId="20446" xr:uid="{00000000-0005-0000-0000-0000734C0000}"/>
    <cellStyle name="SAPBEXexcGood2 27 9" xfId="23097" xr:uid="{00000000-0005-0000-0000-0000744C0000}"/>
    <cellStyle name="SAPBEXexcGood2 28" xfId="4304" xr:uid="{00000000-0005-0000-0000-0000754C0000}"/>
    <cellStyle name="SAPBEXexcGood2 28 2" xfId="6842" xr:uid="{00000000-0005-0000-0000-0000764C0000}"/>
    <cellStyle name="SAPBEXexcGood2 28 3" xfId="8930" xr:uid="{00000000-0005-0000-0000-0000774C0000}"/>
    <cellStyle name="SAPBEXexcGood2 28 4" xfId="11425" xr:uid="{00000000-0005-0000-0000-0000784C0000}"/>
    <cellStyle name="SAPBEXexcGood2 28 5" xfId="13842" xr:uid="{00000000-0005-0000-0000-0000794C0000}"/>
    <cellStyle name="SAPBEXexcGood2 28 6" xfId="15488" xr:uid="{00000000-0005-0000-0000-00007A4C0000}"/>
    <cellStyle name="SAPBEXexcGood2 28 7" xfId="18538" xr:uid="{00000000-0005-0000-0000-00007B4C0000}"/>
    <cellStyle name="SAPBEXexcGood2 28 8" xfId="20184" xr:uid="{00000000-0005-0000-0000-00007C4C0000}"/>
    <cellStyle name="SAPBEXexcGood2 28 9" xfId="23099" xr:uid="{00000000-0005-0000-0000-00007D4C0000}"/>
    <cellStyle name="SAPBEXexcGood2 29" xfId="4347" xr:uid="{00000000-0005-0000-0000-00007E4C0000}"/>
    <cellStyle name="SAPBEXexcGood2 29 2" xfId="6885" xr:uid="{00000000-0005-0000-0000-00007F4C0000}"/>
    <cellStyle name="SAPBEXexcGood2 29 3" xfId="9298" xr:uid="{00000000-0005-0000-0000-0000804C0000}"/>
    <cellStyle name="SAPBEXexcGood2 29 4" xfId="9242" xr:uid="{00000000-0005-0000-0000-0000814C0000}"/>
    <cellStyle name="SAPBEXexcGood2 29 5" xfId="12439" xr:uid="{00000000-0005-0000-0000-0000824C0000}"/>
    <cellStyle name="SAPBEXexcGood2 29 6" xfId="15996" xr:uid="{00000000-0005-0000-0000-0000834C0000}"/>
    <cellStyle name="SAPBEXexcGood2 29 7" xfId="17135" xr:uid="{00000000-0005-0000-0000-0000844C0000}"/>
    <cellStyle name="SAPBEXexcGood2 29 8" xfId="20692" xr:uid="{00000000-0005-0000-0000-0000854C0000}"/>
    <cellStyle name="SAPBEXexcGood2 29 9" xfId="21818" xr:uid="{00000000-0005-0000-0000-0000864C0000}"/>
    <cellStyle name="SAPBEXexcGood2 3" xfId="3027" xr:uid="{00000000-0005-0000-0000-0000874C0000}"/>
    <cellStyle name="SAPBEXexcGood2 3 2" xfId="5566" xr:uid="{00000000-0005-0000-0000-0000884C0000}"/>
    <cellStyle name="SAPBEXexcGood2 3 3" xfId="8030" xr:uid="{00000000-0005-0000-0000-0000894C0000}"/>
    <cellStyle name="SAPBEXexcGood2 3 4" xfId="11051" xr:uid="{00000000-0005-0000-0000-00008A4C0000}"/>
    <cellStyle name="SAPBEXexcGood2 3 5" xfId="13436" xr:uid="{00000000-0005-0000-0000-00008B4C0000}"/>
    <cellStyle name="SAPBEXexcGood2 3 6" xfId="16204" xr:uid="{00000000-0005-0000-0000-00008C4C0000}"/>
    <cellStyle name="SAPBEXexcGood2 3 7" xfId="18132" xr:uid="{00000000-0005-0000-0000-00008D4C0000}"/>
    <cellStyle name="SAPBEXexcGood2 3 8" xfId="20900" xr:uid="{00000000-0005-0000-0000-00008E4C0000}"/>
    <cellStyle name="SAPBEXexcGood2 3 9" xfId="22724" xr:uid="{00000000-0005-0000-0000-00008F4C0000}"/>
    <cellStyle name="SAPBEXexcGood2 30" xfId="4390" xr:uid="{00000000-0005-0000-0000-0000904C0000}"/>
    <cellStyle name="SAPBEXexcGood2 30 2" xfId="6928" xr:uid="{00000000-0005-0000-0000-0000914C0000}"/>
    <cellStyle name="SAPBEXexcGood2 30 3" xfId="9267" xr:uid="{00000000-0005-0000-0000-0000924C0000}"/>
    <cellStyle name="SAPBEXexcGood2 30 4" xfId="11681" xr:uid="{00000000-0005-0000-0000-0000934C0000}"/>
    <cellStyle name="SAPBEXexcGood2 30 5" xfId="14128" xr:uid="{00000000-0005-0000-0000-0000944C0000}"/>
    <cellStyle name="SAPBEXexcGood2 30 6" xfId="15227" xr:uid="{00000000-0005-0000-0000-0000954C0000}"/>
    <cellStyle name="SAPBEXexcGood2 30 7" xfId="18824" xr:uid="{00000000-0005-0000-0000-0000964C0000}"/>
    <cellStyle name="SAPBEXexcGood2 30 8" xfId="19923" xr:uid="{00000000-0005-0000-0000-0000974C0000}"/>
    <cellStyle name="SAPBEXexcGood2 30 9" xfId="23355" xr:uid="{00000000-0005-0000-0000-0000984C0000}"/>
    <cellStyle name="SAPBEXexcGood2 31" xfId="4433" xr:uid="{00000000-0005-0000-0000-0000994C0000}"/>
    <cellStyle name="SAPBEXexcGood2 31 2" xfId="6971" xr:uid="{00000000-0005-0000-0000-00009A4C0000}"/>
    <cellStyle name="SAPBEXexcGood2 31 3" xfId="9209" xr:uid="{00000000-0005-0000-0000-00009B4C0000}"/>
    <cellStyle name="SAPBEXexcGood2 31 4" xfId="11333" xr:uid="{00000000-0005-0000-0000-00009C4C0000}"/>
    <cellStyle name="SAPBEXexcGood2 31 5" xfId="13742" xr:uid="{00000000-0005-0000-0000-00009D4C0000}"/>
    <cellStyle name="SAPBEXexcGood2 31 6" xfId="16763" xr:uid="{00000000-0005-0000-0000-00009E4C0000}"/>
    <cellStyle name="SAPBEXexcGood2 31 7" xfId="18438" xr:uid="{00000000-0005-0000-0000-00009F4C0000}"/>
    <cellStyle name="SAPBEXexcGood2 31 8" xfId="21459" xr:uid="{00000000-0005-0000-0000-0000A04C0000}"/>
    <cellStyle name="SAPBEXexcGood2 31 9" xfId="23007" xr:uid="{00000000-0005-0000-0000-0000A14C0000}"/>
    <cellStyle name="SAPBEXexcGood2 32" xfId="4428" xr:uid="{00000000-0005-0000-0000-0000A24C0000}"/>
    <cellStyle name="SAPBEXexcGood2 32 2" xfId="6966" xr:uid="{00000000-0005-0000-0000-0000A34C0000}"/>
    <cellStyle name="SAPBEXexcGood2 32 3" xfId="8151" xr:uid="{00000000-0005-0000-0000-0000A44C0000}"/>
    <cellStyle name="SAPBEXexcGood2 32 4" xfId="10916" xr:uid="{00000000-0005-0000-0000-0000A54C0000}"/>
    <cellStyle name="SAPBEXexcGood2 32 5" xfId="13286" xr:uid="{00000000-0005-0000-0000-0000A64C0000}"/>
    <cellStyle name="SAPBEXexcGood2 32 6" xfId="15327" xr:uid="{00000000-0005-0000-0000-0000A74C0000}"/>
    <cellStyle name="SAPBEXexcGood2 32 7" xfId="17982" xr:uid="{00000000-0005-0000-0000-0000A84C0000}"/>
    <cellStyle name="SAPBEXexcGood2 32 8" xfId="20023" xr:uid="{00000000-0005-0000-0000-0000A94C0000}"/>
    <cellStyle name="SAPBEXexcGood2 32 9" xfId="22587" xr:uid="{00000000-0005-0000-0000-0000AA4C0000}"/>
    <cellStyle name="SAPBEXexcGood2 33" xfId="4425" xr:uid="{00000000-0005-0000-0000-0000AB4C0000}"/>
    <cellStyle name="SAPBEXexcGood2 33 2" xfId="6963" xr:uid="{00000000-0005-0000-0000-0000AC4C0000}"/>
    <cellStyle name="SAPBEXexcGood2 33 3" xfId="9889" xr:uid="{00000000-0005-0000-0000-0000AD4C0000}"/>
    <cellStyle name="SAPBEXexcGood2 33 4" xfId="10755" xr:uid="{00000000-0005-0000-0000-0000AE4C0000}"/>
    <cellStyle name="SAPBEXexcGood2 33 5" xfId="14903" xr:uid="{00000000-0005-0000-0000-0000AF4C0000}"/>
    <cellStyle name="SAPBEXexcGood2 33 6" xfId="15835" xr:uid="{00000000-0005-0000-0000-0000B04C0000}"/>
    <cellStyle name="SAPBEXexcGood2 33 7" xfId="19599" xr:uid="{00000000-0005-0000-0000-0000B14C0000}"/>
    <cellStyle name="SAPBEXexcGood2 33 8" xfId="20531" xr:uid="{00000000-0005-0000-0000-0000B24C0000}"/>
    <cellStyle name="SAPBEXexcGood2 33 9" xfId="24068" xr:uid="{00000000-0005-0000-0000-0000B34C0000}"/>
    <cellStyle name="SAPBEXexcGood2 34" xfId="4467" xr:uid="{00000000-0005-0000-0000-0000B44C0000}"/>
    <cellStyle name="SAPBEXexcGood2 34 2" xfId="7005" xr:uid="{00000000-0005-0000-0000-0000B54C0000}"/>
    <cellStyle name="SAPBEXexcGood2 34 3" xfId="9771" xr:uid="{00000000-0005-0000-0000-0000B64C0000}"/>
    <cellStyle name="SAPBEXexcGood2 34 4" xfId="12286" xr:uid="{00000000-0005-0000-0000-0000B74C0000}"/>
    <cellStyle name="SAPBEXexcGood2 34 5" xfId="13716" xr:uid="{00000000-0005-0000-0000-0000B84C0000}"/>
    <cellStyle name="SAPBEXexcGood2 34 6" xfId="16081" xr:uid="{00000000-0005-0000-0000-0000B94C0000}"/>
    <cellStyle name="SAPBEXexcGood2 34 7" xfId="18412" xr:uid="{00000000-0005-0000-0000-0000BA4C0000}"/>
    <cellStyle name="SAPBEXexcGood2 34 8" xfId="20777" xr:uid="{00000000-0005-0000-0000-0000BB4C0000}"/>
    <cellStyle name="SAPBEXexcGood2 34 9" xfId="22982" xr:uid="{00000000-0005-0000-0000-0000BC4C0000}"/>
    <cellStyle name="SAPBEXexcGood2 35" xfId="4605" xr:uid="{00000000-0005-0000-0000-0000BD4C0000}"/>
    <cellStyle name="SAPBEXexcGood2 35 2" xfId="7143" xr:uid="{00000000-0005-0000-0000-0000BE4C0000}"/>
    <cellStyle name="SAPBEXexcGood2 35 3" xfId="8626" xr:uid="{00000000-0005-0000-0000-0000BF4C0000}"/>
    <cellStyle name="SAPBEXexcGood2 35 4" xfId="12115" xr:uid="{00000000-0005-0000-0000-0000C04C0000}"/>
    <cellStyle name="SAPBEXexcGood2 35 5" xfId="14597" xr:uid="{00000000-0005-0000-0000-0000C14C0000}"/>
    <cellStyle name="SAPBEXexcGood2 35 6" xfId="16749" xr:uid="{00000000-0005-0000-0000-0000C24C0000}"/>
    <cellStyle name="SAPBEXexcGood2 35 7" xfId="19293" xr:uid="{00000000-0005-0000-0000-0000C34C0000}"/>
    <cellStyle name="SAPBEXexcGood2 35 8" xfId="21445" xr:uid="{00000000-0005-0000-0000-0000C44C0000}"/>
    <cellStyle name="SAPBEXexcGood2 35 9" xfId="23789" xr:uid="{00000000-0005-0000-0000-0000C54C0000}"/>
    <cellStyle name="SAPBEXexcGood2 36" xfId="4648" xr:uid="{00000000-0005-0000-0000-0000C64C0000}"/>
    <cellStyle name="SAPBEXexcGood2 36 2" xfId="7186" xr:uid="{00000000-0005-0000-0000-0000C74C0000}"/>
    <cellStyle name="SAPBEXexcGood2 36 3" xfId="9824" xr:uid="{00000000-0005-0000-0000-0000C84C0000}"/>
    <cellStyle name="SAPBEXexcGood2 36 4" xfId="12220" xr:uid="{00000000-0005-0000-0000-0000C94C0000}"/>
    <cellStyle name="SAPBEXexcGood2 36 5" xfId="14834" xr:uid="{00000000-0005-0000-0000-0000CA4C0000}"/>
    <cellStyle name="SAPBEXexcGood2 36 6" xfId="15675" xr:uid="{00000000-0005-0000-0000-0000CB4C0000}"/>
    <cellStyle name="SAPBEXexcGood2 36 7" xfId="19530" xr:uid="{00000000-0005-0000-0000-0000CC4C0000}"/>
    <cellStyle name="SAPBEXexcGood2 36 8" xfId="20371" xr:uid="{00000000-0005-0000-0000-0000CD4C0000}"/>
    <cellStyle name="SAPBEXexcGood2 36 9" xfId="24015" xr:uid="{00000000-0005-0000-0000-0000CE4C0000}"/>
    <cellStyle name="SAPBEXexcGood2 37" xfId="4690" xr:uid="{00000000-0005-0000-0000-0000CF4C0000}"/>
    <cellStyle name="SAPBEXexcGood2 37 2" xfId="7228" xr:uid="{00000000-0005-0000-0000-0000D04C0000}"/>
    <cellStyle name="SAPBEXexcGood2 37 3" xfId="8811" xr:uid="{00000000-0005-0000-0000-0000D14C0000}"/>
    <cellStyle name="SAPBEXexcGood2 37 4" xfId="10563" xr:uid="{00000000-0005-0000-0000-0000D24C0000}"/>
    <cellStyle name="SAPBEXexcGood2 37 5" xfId="12907" xr:uid="{00000000-0005-0000-0000-0000D34C0000}"/>
    <cellStyle name="SAPBEXexcGood2 37 6" xfId="16952" xr:uid="{00000000-0005-0000-0000-0000D44C0000}"/>
    <cellStyle name="SAPBEXexcGood2 37 7" xfId="17603" xr:uid="{00000000-0005-0000-0000-0000D54C0000}"/>
    <cellStyle name="SAPBEXexcGood2 37 8" xfId="21648" xr:uid="{00000000-0005-0000-0000-0000D64C0000}"/>
    <cellStyle name="SAPBEXexcGood2 37 9" xfId="22234" xr:uid="{00000000-0005-0000-0000-0000D74C0000}"/>
    <cellStyle name="SAPBEXexcGood2 38" xfId="4686" xr:uid="{00000000-0005-0000-0000-0000D84C0000}"/>
    <cellStyle name="SAPBEXexcGood2 38 2" xfId="7224" xr:uid="{00000000-0005-0000-0000-0000D94C0000}"/>
    <cellStyle name="SAPBEXexcGood2 38 3" xfId="8105" xr:uid="{00000000-0005-0000-0000-0000DA4C0000}"/>
    <cellStyle name="SAPBEXexcGood2 38 4" xfId="11524" xr:uid="{00000000-0005-0000-0000-0000DB4C0000}"/>
    <cellStyle name="SAPBEXexcGood2 38 5" xfId="13953" xr:uid="{00000000-0005-0000-0000-0000DC4C0000}"/>
    <cellStyle name="SAPBEXexcGood2 38 6" xfId="15759" xr:uid="{00000000-0005-0000-0000-0000DD4C0000}"/>
    <cellStyle name="SAPBEXexcGood2 38 7" xfId="18649" xr:uid="{00000000-0005-0000-0000-0000DE4C0000}"/>
    <cellStyle name="SAPBEXexcGood2 38 8" xfId="20455" xr:uid="{00000000-0005-0000-0000-0000DF4C0000}"/>
    <cellStyle name="SAPBEXexcGood2 38 9" xfId="23198" xr:uid="{00000000-0005-0000-0000-0000E04C0000}"/>
    <cellStyle name="SAPBEXexcGood2 39" xfId="4795" xr:uid="{00000000-0005-0000-0000-0000E14C0000}"/>
    <cellStyle name="SAPBEXexcGood2 39 2" xfId="7333" xr:uid="{00000000-0005-0000-0000-0000E24C0000}"/>
    <cellStyle name="SAPBEXexcGood2 39 3" xfId="10090" xr:uid="{00000000-0005-0000-0000-0000E34C0000}"/>
    <cellStyle name="SAPBEXexcGood2 39 4" xfId="10400" xr:uid="{00000000-0005-0000-0000-0000E44C0000}"/>
    <cellStyle name="SAPBEXexcGood2 39 5" xfId="12723" xr:uid="{00000000-0005-0000-0000-0000E54C0000}"/>
    <cellStyle name="SAPBEXexcGood2 39 6" xfId="15619" xr:uid="{00000000-0005-0000-0000-0000E64C0000}"/>
    <cellStyle name="SAPBEXexcGood2 39 7" xfId="17419" xr:uid="{00000000-0005-0000-0000-0000E74C0000}"/>
    <cellStyle name="SAPBEXexcGood2 39 8" xfId="20315" xr:uid="{00000000-0005-0000-0000-0000E84C0000}"/>
    <cellStyle name="SAPBEXexcGood2 39 9" xfId="22071" xr:uid="{00000000-0005-0000-0000-0000E94C0000}"/>
    <cellStyle name="SAPBEXexcGood2 4" xfId="3164" xr:uid="{00000000-0005-0000-0000-0000EA4C0000}"/>
    <cellStyle name="SAPBEXexcGood2 4 2" xfId="5702" xr:uid="{00000000-0005-0000-0000-0000EB4C0000}"/>
    <cellStyle name="SAPBEXexcGood2 4 3" xfId="8431" xr:uid="{00000000-0005-0000-0000-0000EC4C0000}"/>
    <cellStyle name="SAPBEXexcGood2 4 4" xfId="10376" xr:uid="{00000000-0005-0000-0000-0000ED4C0000}"/>
    <cellStyle name="SAPBEXexcGood2 4 5" xfId="12698" xr:uid="{00000000-0005-0000-0000-0000EE4C0000}"/>
    <cellStyle name="SAPBEXexcGood2 4 6" xfId="15057" xr:uid="{00000000-0005-0000-0000-0000EF4C0000}"/>
    <cellStyle name="SAPBEXexcGood2 4 7" xfId="17394" xr:uid="{00000000-0005-0000-0000-0000F04C0000}"/>
    <cellStyle name="SAPBEXexcGood2 4 8" xfId="19753" xr:uid="{00000000-0005-0000-0000-0000F14C0000}"/>
    <cellStyle name="SAPBEXexcGood2 4 9" xfId="22047" xr:uid="{00000000-0005-0000-0000-0000F24C0000}"/>
    <cellStyle name="SAPBEXexcGood2 40" xfId="4838" xr:uid="{00000000-0005-0000-0000-0000F34C0000}"/>
    <cellStyle name="SAPBEXexcGood2 40 2" xfId="7376" xr:uid="{00000000-0005-0000-0000-0000F44C0000}"/>
    <cellStyle name="SAPBEXexcGood2 40 3" xfId="9191" xr:uid="{00000000-0005-0000-0000-0000F54C0000}"/>
    <cellStyle name="SAPBEXexcGood2 40 4" xfId="11265" xr:uid="{00000000-0005-0000-0000-0000F64C0000}"/>
    <cellStyle name="SAPBEXexcGood2 40 5" xfId="13671" xr:uid="{00000000-0005-0000-0000-0000F74C0000}"/>
    <cellStyle name="SAPBEXexcGood2 40 6" xfId="16966" xr:uid="{00000000-0005-0000-0000-0000F84C0000}"/>
    <cellStyle name="SAPBEXexcGood2 40 7" xfId="18367" xr:uid="{00000000-0005-0000-0000-0000F94C0000}"/>
    <cellStyle name="SAPBEXexcGood2 40 8" xfId="21662" xr:uid="{00000000-0005-0000-0000-0000FA4C0000}"/>
    <cellStyle name="SAPBEXexcGood2 40 9" xfId="22939" xr:uid="{00000000-0005-0000-0000-0000FB4C0000}"/>
    <cellStyle name="SAPBEXexcGood2 41" xfId="4833" xr:uid="{00000000-0005-0000-0000-0000FC4C0000}"/>
    <cellStyle name="SAPBEXexcGood2 41 2" xfId="7371" xr:uid="{00000000-0005-0000-0000-0000FD4C0000}"/>
    <cellStyle name="SAPBEXexcGood2 41 3" xfId="8758" xr:uid="{00000000-0005-0000-0000-0000FE4C0000}"/>
    <cellStyle name="SAPBEXexcGood2 41 4" xfId="12025" xr:uid="{00000000-0005-0000-0000-0000FF4C0000}"/>
    <cellStyle name="SAPBEXexcGood2 41 5" xfId="14870" xr:uid="{00000000-0005-0000-0000-0000004D0000}"/>
    <cellStyle name="SAPBEXexcGood2 41 6" xfId="13434" xr:uid="{00000000-0005-0000-0000-0000014D0000}"/>
    <cellStyle name="SAPBEXexcGood2 41 7" xfId="19566" xr:uid="{00000000-0005-0000-0000-0000024D0000}"/>
    <cellStyle name="SAPBEXexcGood2 41 8" xfId="18130" xr:uid="{00000000-0005-0000-0000-0000034D0000}"/>
    <cellStyle name="SAPBEXexcGood2 41 9" xfId="24040" xr:uid="{00000000-0005-0000-0000-0000044D0000}"/>
    <cellStyle name="SAPBEXexcGood2 42" xfId="4830" xr:uid="{00000000-0005-0000-0000-0000054D0000}"/>
    <cellStyle name="SAPBEXexcGood2 42 2" xfId="7368" xr:uid="{00000000-0005-0000-0000-0000064D0000}"/>
    <cellStyle name="SAPBEXexcGood2 42 3" xfId="10114" xr:uid="{00000000-0005-0000-0000-0000074D0000}"/>
    <cellStyle name="SAPBEXexcGood2 42 4" xfId="12019" xr:uid="{00000000-0005-0000-0000-0000084D0000}"/>
    <cellStyle name="SAPBEXexcGood2 42 5" xfId="14499" xr:uid="{00000000-0005-0000-0000-0000094D0000}"/>
    <cellStyle name="SAPBEXexcGood2 42 6" xfId="16790" xr:uid="{00000000-0005-0000-0000-00000A4D0000}"/>
    <cellStyle name="SAPBEXexcGood2 42 7" xfId="19195" xr:uid="{00000000-0005-0000-0000-00000B4D0000}"/>
    <cellStyle name="SAPBEXexcGood2 42 8" xfId="21486" xr:uid="{00000000-0005-0000-0000-00000C4D0000}"/>
    <cellStyle name="SAPBEXexcGood2 42 9" xfId="23694" xr:uid="{00000000-0005-0000-0000-00000D4D0000}"/>
    <cellStyle name="SAPBEXexcGood2 43" xfId="4946" xr:uid="{00000000-0005-0000-0000-00000E4D0000}"/>
    <cellStyle name="SAPBEXexcGood2 43 2" xfId="7484" xr:uid="{00000000-0005-0000-0000-00000F4D0000}"/>
    <cellStyle name="SAPBEXexcGood2 43 3" xfId="8976" xr:uid="{00000000-0005-0000-0000-0000104D0000}"/>
    <cellStyle name="SAPBEXexcGood2 43 4" xfId="10911" xr:uid="{00000000-0005-0000-0000-0000114D0000}"/>
    <cellStyle name="SAPBEXexcGood2 43 5" xfId="13281" xr:uid="{00000000-0005-0000-0000-0000124D0000}"/>
    <cellStyle name="SAPBEXexcGood2 43 6" xfId="16959" xr:uid="{00000000-0005-0000-0000-0000134D0000}"/>
    <cellStyle name="SAPBEXexcGood2 43 7" xfId="17977" xr:uid="{00000000-0005-0000-0000-0000144D0000}"/>
    <cellStyle name="SAPBEXexcGood2 43 8" xfId="21655" xr:uid="{00000000-0005-0000-0000-0000154D0000}"/>
    <cellStyle name="SAPBEXexcGood2 43 9" xfId="22582" xr:uid="{00000000-0005-0000-0000-0000164D0000}"/>
    <cellStyle name="SAPBEXexcGood2 44" xfId="4997" xr:uid="{00000000-0005-0000-0000-0000174D0000}"/>
    <cellStyle name="SAPBEXexcGood2 44 2" xfId="7535" xr:uid="{00000000-0005-0000-0000-0000184D0000}"/>
    <cellStyle name="SAPBEXexcGood2 44 3" xfId="7797" xr:uid="{00000000-0005-0000-0000-0000194D0000}"/>
    <cellStyle name="SAPBEXexcGood2 44 4" xfId="11744" xr:uid="{00000000-0005-0000-0000-00001A4D0000}"/>
    <cellStyle name="SAPBEXexcGood2 44 5" xfId="14195" xr:uid="{00000000-0005-0000-0000-00001B4D0000}"/>
    <cellStyle name="SAPBEXexcGood2 44 6" xfId="16728" xr:uid="{00000000-0005-0000-0000-00001C4D0000}"/>
    <cellStyle name="SAPBEXexcGood2 44 7" xfId="18891" xr:uid="{00000000-0005-0000-0000-00001D4D0000}"/>
    <cellStyle name="SAPBEXexcGood2 44 8" xfId="21424" xr:uid="{00000000-0005-0000-0000-00001E4D0000}"/>
    <cellStyle name="SAPBEXexcGood2 44 9" xfId="23418" xr:uid="{00000000-0005-0000-0000-00001F4D0000}"/>
    <cellStyle name="SAPBEXexcGood2 45" xfId="5034" xr:uid="{00000000-0005-0000-0000-0000204D0000}"/>
    <cellStyle name="SAPBEXexcGood2 45 2" xfId="7572" xr:uid="{00000000-0005-0000-0000-0000214D0000}"/>
    <cellStyle name="SAPBEXexcGood2 45 3" xfId="8468" xr:uid="{00000000-0005-0000-0000-0000224D0000}"/>
    <cellStyle name="SAPBEXexcGood2 45 4" xfId="10869" xr:uid="{00000000-0005-0000-0000-0000234D0000}"/>
    <cellStyle name="SAPBEXexcGood2 45 5" xfId="12908" xr:uid="{00000000-0005-0000-0000-0000244D0000}"/>
    <cellStyle name="SAPBEXexcGood2 45 6" xfId="16044" xr:uid="{00000000-0005-0000-0000-0000254D0000}"/>
    <cellStyle name="SAPBEXexcGood2 45 7" xfId="17604" xr:uid="{00000000-0005-0000-0000-0000264D0000}"/>
    <cellStyle name="SAPBEXexcGood2 45 8" xfId="20740" xr:uid="{00000000-0005-0000-0000-0000274D0000}"/>
    <cellStyle name="SAPBEXexcGood2 45 9" xfId="22235" xr:uid="{00000000-0005-0000-0000-0000284D0000}"/>
    <cellStyle name="SAPBEXexcGood2 46" xfId="5065" xr:uid="{00000000-0005-0000-0000-0000294D0000}"/>
    <cellStyle name="SAPBEXexcGood2 46 2" xfId="7603" xr:uid="{00000000-0005-0000-0000-00002A4D0000}"/>
    <cellStyle name="SAPBEXexcGood2 46 3" xfId="10112" xr:uid="{00000000-0005-0000-0000-00002B4D0000}"/>
    <cellStyle name="SAPBEXexcGood2 46 4" xfId="10778" xr:uid="{00000000-0005-0000-0000-00002C4D0000}"/>
    <cellStyle name="SAPBEXexcGood2 46 5" xfId="12334" xr:uid="{00000000-0005-0000-0000-00002D4D0000}"/>
    <cellStyle name="SAPBEXexcGood2 46 6" xfId="16557" xr:uid="{00000000-0005-0000-0000-00002E4D0000}"/>
    <cellStyle name="SAPBEXexcGood2 46 7" xfId="17030" xr:uid="{00000000-0005-0000-0000-00002F4D0000}"/>
    <cellStyle name="SAPBEXexcGood2 46 8" xfId="21253" xr:uid="{00000000-0005-0000-0000-0000304D0000}"/>
    <cellStyle name="SAPBEXexcGood2 46 9" xfId="21723" xr:uid="{00000000-0005-0000-0000-0000314D0000}"/>
    <cellStyle name="SAPBEXexcGood2 47" xfId="5095" xr:uid="{00000000-0005-0000-0000-0000324D0000}"/>
    <cellStyle name="SAPBEXexcGood2 47 2" xfId="7633" xr:uid="{00000000-0005-0000-0000-0000334D0000}"/>
    <cellStyle name="SAPBEXexcGood2 47 3" xfId="9772" xr:uid="{00000000-0005-0000-0000-0000344D0000}"/>
    <cellStyle name="SAPBEXexcGood2 47 4" xfId="7825" xr:uid="{00000000-0005-0000-0000-0000354D0000}"/>
    <cellStyle name="SAPBEXexcGood2 47 5" xfId="12509" xr:uid="{00000000-0005-0000-0000-0000364D0000}"/>
    <cellStyle name="SAPBEXexcGood2 47 6" xfId="15748" xr:uid="{00000000-0005-0000-0000-0000374D0000}"/>
    <cellStyle name="SAPBEXexcGood2 47 7" xfId="17205" xr:uid="{00000000-0005-0000-0000-0000384D0000}"/>
    <cellStyle name="SAPBEXexcGood2 47 8" xfId="20444" xr:uid="{00000000-0005-0000-0000-0000394D0000}"/>
    <cellStyle name="SAPBEXexcGood2 47 9" xfId="21876" xr:uid="{00000000-0005-0000-0000-00003A4D0000}"/>
    <cellStyle name="SAPBEXexcGood2 48" xfId="5134" xr:uid="{00000000-0005-0000-0000-00003B4D0000}"/>
    <cellStyle name="SAPBEXexcGood2 48 2" xfId="7672" xr:uid="{00000000-0005-0000-0000-00003C4D0000}"/>
    <cellStyle name="SAPBEXexcGood2 48 3" xfId="8114" xr:uid="{00000000-0005-0000-0000-00003D4D0000}"/>
    <cellStyle name="SAPBEXexcGood2 48 4" xfId="11188" xr:uid="{00000000-0005-0000-0000-00003E4D0000}"/>
    <cellStyle name="SAPBEXexcGood2 48 5" xfId="13588" xr:uid="{00000000-0005-0000-0000-00003F4D0000}"/>
    <cellStyle name="SAPBEXexcGood2 48 6" xfId="16252" xr:uid="{00000000-0005-0000-0000-0000404D0000}"/>
    <cellStyle name="SAPBEXexcGood2 48 7" xfId="18284" xr:uid="{00000000-0005-0000-0000-0000414D0000}"/>
    <cellStyle name="SAPBEXexcGood2 48 8" xfId="20948" xr:uid="{00000000-0005-0000-0000-0000424D0000}"/>
    <cellStyle name="SAPBEXexcGood2 48 9" xfId="22863" xr:uid="{00000000-0005-0000-0000-0000434D0000}"/>
    <cellStyle name="SAPBEXexcGood2 49" xfId="5203" xr:uid="{00000000-0005-0000-0000-0000444D0000}"/>
    <cellStyle name="SAPBEXexcGood2 49 2" xfId="7742" xr:uid="{00000000-0005-0000-0000-0000454D0000}"/>
    <cellStyle name="SAPBEXexcGood2 49 3" xfId="9423" xr:uid="{00000000-0005-0000-0000-0000464D0000}"/>
    <cellStyle name="SAPBEXexcGood2 49 4" xfId="11296" xr:uid="{00000000-0005-0000-0000-0000474D0000}"/>
    <cellStyle name="SAPBEXexcGood2 49 5" xfId="13703" xr:uid="{00000000-0005-0000-0000-0000484D0000}"/>
    <cellStyle name="SAPBEXexcGood2 49 6" xfId="14957" xr:uid="{00000000-0005-0000-0000-0000494D0000}"/>
    <cellStyle name="SAPBEXexcGood2 49 7" xfId="18399" xr:uid="{00000000-0005-0000-0000-00004A4D0000}"/>
    <cellStyle name="SAPBEXexcGood2 49 8" xfId="19653" xr:uid="{00000000-0005-0000-0000-00004B4D0000}"/>
    <cellStyle name="SAPBEXexcGood2 49 9" xfId="22970" xr:uid="{00000000-0005-0000-0000-00004C4D0000}"/>
    <cellStyle name="SAPBEXexcGood2 5" xfId="3207" xr:uid="{00000000-0005-0000-0000-00004D4D0000}"/>
    <cellStyle name="SAPBEXexcGood2 5 2" xfId="5745" xr:uid="{00000000-0005-0000-0000-00004E4D0000}"/>
    <cellStyle name="SAPBEXexcGood2 5 3" xfId="9443" xr:uid="{00000000-0005-0000-0000-00004F4D0000}"/>
    <cellStyle name="SAPBEXexcGood2 5 4" xfId="10410" xr:uid="{00000000-0005-0000-0000-0000504D0000}"/>
    <cellStyle name="SAPBEXexcGood2 5 5" xfId="12734" xr:uid="{00000000-0005-0000-0000-0000514D0000}"/>
    <cellStyle name="SAPBEXexcGood2 5 6" xfId="16001" xr:uid="{00000000-0005-0000-0000-0000524D0000}"/>
    <cellStyle name="SAPBEXexcGood2 5 7" xfId="17430" xr:uid="{00000000-0005-0000-0000-0000534D0000}"/>
    <cellStyle name="SAPBEXexcGood2 5 8" xfId="20697" xr:uid="{00000000-0005-0000-0000-0000544D0000}"/>
    <cellStyle name="SAPBEXexcGood2 5 9" xfId="22081" xr:uid="{00000000-0005-0000-0000-0000554D0000}"/>
    <cellStyle name="SAPBEXexcGood2 50" xfId="5178" xr:uid="{00000000-0005-0000-0000-0000564D0000}"/>
    <cellStyle name="SAPBEXexcGood2 50 2" xfId="5452" xr:uid="{00000000-0005-0000-0000-0000574D0000}"/>
    <cellStyle name="SAPBEXexcGood2 50 3" xfId="12151" xr:uid="{00000000-0005-0000-0000-0000584D0000}"/>
    <cellStyle name="SAPBEXexcGood2 50 4" xfId="14634" xr:uid="{00000000-0005-0000-0000-0000594D0000}"/>
    <cellStyle name="SAPBEXexcGood2 50 5" xfId="15194" xr:uid="{00000000-0005-0000-0000-00005A4D0000}"/>
    <cellStyle name="SAPBEXexcGood2 50 6" xfId="19330" xr:uid="{00000000-0005-0000-0000-00005B4D0000}"/>
    <cellStyle name="SAPBEXexcGood2 50 7" xfId="19890" xr:uid="{00000000-0005-0000-0000-00005C4D0000}"/>
    <cellStyle name="SAPBEXexcGood2 50 8" xfId="23825" xr:uid="{00000000-0005-0000-0000-00005D4D0000}"/>
    <cellStyle name="SAPBEXexcGood2 51" xfId="10123" xr:uid="{00000000-0005-0000-0000-00005E4D0000}"/>
    <cellStyle name="SAPBEXexcGood2 52" xfId="10953" xr:uid="{00000000-0005-0000-0000-00005F4D0000}"/>
    <cellStyle name="SAPBEXexcGood2 53" xfId="13324" xr:uid="{00000000-0005-0000-0000-0000604D0000}"/>
    <cellStyle name="SAPBEXexcGood2 54" xfId="16653" xr:uid="{00000000-0005-0000-0000-0000614D0000}"/>
    <cellStyle name="SAPBEXexcGood2 55" xfId="18020" xr:uid="{00000000-0005-0000-0000-0000624D0000}"/>
    <cellStyle name="SAPBEXexcGood2 56" xfId="21349" xr:uid="{00000000-0005-0000-0000-0000634D0000}"/>
    <cellStyle name="SAPBEXexcGood2 57" xfId="22624" xr:uid="{00000000-0005-0000-0000-0000644D0000}"/>
    <cellStyle name="SAPBEXexcGood2 58" xfId="42188" xr:uid="{1E1847DA-34E0-40F7-816E-AEC98190254E}"/>
    <cellStyle name="SAPBEXexcGood2 6" xfId="3250" xr:uid="{00000000-0005-0000-0000-0000654D0000}"/>
    <cellStyle name="SAPBEXexcGood2 6 2" xfId="5788" xr:uid="{00000000-0005-0000-0000-0000664D0000}"/>
    <cellStyle name="SAPBEXexcGood2 6 3" xfId="8398" xr:uid="{00000000-0005-0000-0000-0000674D0000}"/>
    <cellStyle name="SAPBEXexcGood2 6 4" xfId="10672" xr:uid="{00000000-0005-0000-0000-0000684D0000}"/>
    <cellStyle name="SAPBEXexcGood2 6 5" xfId="13021" xr:uid="{00000000-0005-0000-0000-0000694D0000}"/>
    <cellStyle name="SAPBEXexcGood2 6 6" xfId="13756" xr:uid="{00000000-0005-0000-0000-00006A4D0000}"/>
    <cellStyle name="SAPBEXexcGood2 6 7" xfId="17717" xr:uid="{00000000-0005-0000-0000-00006B4D0000}"/>
    <cellStyle name="SAPBEXexcGood2 6 8" xfId="18452" xr:uid="{00000000-0005-0000-0000-00006C4D0000}"/>
    <cellStyle name="SAPBEXexcGood2 6 9" xfId="22345" xr:uid="{00000000-0005-0000-0000-00006D4D0000}"/>
    <cellStyle name="SAPBEXexcGood2 7" xfId="3293" xr:uid="{00000000-0005-0000-0000-00006E4D0000}"/>
    <cellStyle name="SAPBEXexcGood2 7 2" xfId="5831" xr:uid="{00000000-0005-0000-0000-00006F4D0000}"/>
    <cellStyle name="SAPBEXexcGood2 7 3" xfId="9372" xr:uid="{00000000-0005-0000-0000-0000704D0000}"/>
    <cellStyle name="SAPBEXexcGood2 7 4" xfId="11486" xr:uid="{00000000-0005-0000-0000-0000714D0000}"/>
    <cellStyle name="SAPBEXexcGood2 7 5" xfId="13911" xr:uid="{00000000-0005-0000-0000-0000724D0000}"/>
    <cellStyle name="SAPBEXexcGood2 7 6" xfId="15956" xr:uid="{00000000-0005-0000-0000-0000734D0000}"/>
    <cellStyle name="SAPBEXexcGood2 7 7" xfId="18607" xr:uid="{00000000-0005-0000-0000-0000744D0000}"/>
    <cellStyle name="SAPBEXexcGood2 7 8" xfId="20652" xr:uid="{00000000-0005-0000-0000-0000754D0000}"/>
    <cellStyle name="SAPBEXexcGood2 7 9" xfId="23161" xr:uid="{00000000-0005-0000-0000-0000764D0000}"/>
    <cellStyle name="SAPBEXexcGood2 8" xfId="3336" xr:uid="{00000000-0005-0000-0000-0000774D0000}"/>
    <cellStyle name="SAPBEXexcGood2 8 2" xfId="5874" xr:uid="{00000000-0005-0000-0000-0000784D0000}"/>
    <cellStyle name="SAPBEXexcGood2 8 3" xfId="9633" xr:uid="{00000000-0005-0000-0000-0000794D0000}"/>
    <cellStyle name="SAPBEXexcGood2 8 4" xfId="11364" xr:uid="{00000000-0005-0000-0000-00007A4D0000}"/>
    <cellStyle name="SAPBEXexcGood2 8 5" xfId="13777" xr:uid="{00000000-0005-0000-0000-00007B4D0000}"/>
    <cellStyle name="SAPBEXexcGood2 8 6" xfId="15734" xr:uid="{00000000-0005-0000-0000-00007C4D0000}"/>
    <cellStyle name="SAPBEXexcGood2 8 7" xfId="18473" xr:uid="{00000000-0005-0000-0000-00007D4D0000}"/>
    <cellStyle name="SAPBEXexcGood2 8 8" xfId="20430" xr:uid="{00000000-0005-0000-0000-00007E4D0000}"/>
    <cellStyle name="SAPBEXexcGood2 8 9" xfId="23038" xr:uid="{00000000-0005-0000-0000-00007F4D0000}"/>
    <cellStyle name="SAPBEXexcGood2 9" xfId="3379" xr:uid="{00000000-0005-0000-0000-0000804D0000}"/>
    <cellStyle name="SAPBEXexcGood2 9 2" xfId="5917" xr:uid="{00000000-0005-0000-0000-0000814D0000}"/>
    <cellStyle name="SAPBEXexcGood2 9 3" xfId="8237" xr:uid="{00000000-0005-0000-0000-0000824D0000}"/>
    <cellStyle name="SAPBEXexcGood2 9 4" xfId="11654" xr:uid="{00000000-0005-0000-0000-0000834D0000}"/>
    <cellStyle name="SAPBEXexcGood2 9 5" xfId="14100" xr:uid="{00000000-0005-0000-0000-0000844D0000}"/>
    <cellStyle name="SAPBEXexcGood2 9 6" xfId="15337" xr:uid="{00000000-0005-0000-0000-0000854D0000}"/>
    <cellStyle name="SAPBEXexcGood2 9 7" xfId="18796" xr:uid="{00000000-0005-0000-0000-0000864D0000}"/>
    <cellStyle name="SAPBEXexcGood2 9 8" xfId="20033" xr:uid="{00000000-0005-0000-0000-0000874D0000}"/>
    <cellStyle name="SAPBEXexcGood2 9 9" xfId="23329" xr:uid="{00000000-0005-0000-0000-0000884D0000}"/>
    <cellStyle name="SAPBEXexcGood3" xfId="2954" xr:uid="{00000000-0005-0000-0000-0000894D0000}"/>
    <cellStyle name="SAPBEXexcGood3 10" xfId="3409" xr:uid="{00000000-0005-0000-0000-00008A4D0000}"/>
    <cellStyle name="SAPBEXexcGood3 10 2" xfId="5947" xr:uid="{00000000-0005-0000-0000-00008B4D0000}"/>
    <cellStyle name="SAPBEXexcGood3 10 3" xfId="9928" xr:uid="{00000000-0005-0000-0000-00008C4D0000}"/>
    <cellStyle name="SAPBEXexcGood3 10 4" xfId="11497" xr:uid="{00000000-0005-0000-0000-00008D4D0000}"/>
    <cellStyle name="SAPBEXexcGood3 10 5" xfId="13634" xr:uid="{00000000-0005-0000-0000-00008E4D0000}"/>
    <cellStyle name="SAPBEXexcGood3 10 6" xfId="16798" xr:uid="{00000000-0005-0000-0000-00008F4D0000}"/>
    <cellStyle name="SAPBEXexcGood3 10 7" xfId="18330" xr:uid="{00000000-0005-0000-0000-0000904D0000}"/>
    <cellStyle name="SAPBEXexcGood3 10 8" xfId="21494" xr:uid="{00000000-0005-0000-0000-0000914D0000}"/>
    <cellStyle name="SAPBEXexcGood3 10 9" xfId="22904" xr:uid="{00000000-0005-0000-0000-0000924D0000}"/>
    <cellStyle name="SAPBEXexcGood3 11" xfId="3516" xr:uid="{00000000-0005-0000-0000-0000934D0000}"/>
    <cellStyle name="SAPBEXexcGood3 11 2" xfId="6054" xr:uid="{00000000-0005-0000-0000-0000944D0000}"/>
    <cellStyle name="SAPBEXexcGood3 11 3" xfId="8142" xr:uid="{00000000-0005-0000-0000-0000954D0000}"/>
    <cellStyle name="SAPBEXexcGood3 11 4" xfId="12043" xr:uid="{00000000-0005-0000-0000-0000964D0000}"/>
    <cellStyle name="SAPBEXexcGood3 11 5" xfId="14525" xr:uid="{00000000-0005-0000-0000-0000974D0000}"/>
    <cellStyle name="SAPBEXexcGood3 11 6" xfId="13335" xr:uid="{00000000-0005-0000-0000-0000984D0000}"/>
    <cellStyle name="SAPBEXexcGood3 11 7" xfId="19221" xr:uid="{00000000-0005-0000-0000-0000994D0000}"/>
    <cellStyle name="SAPBEXexcGood3 11 8" xfId="18031" xr:uid="{00000000-0005-0000-0000-00009A4D0000}"/>
    <cellStyle name="SAPBEXexcGood3 11 9" xfId="23718" xr:uid="{00000000-0005-0000-0000-00009B4D0000}"/>
    <cellStyle name="SAPBEXexcGood3 12" xfId="3473" xr:uid="{00000000-0005-0000-0000-00009C4D0000}"/>
    <cellStyle name="SAPBEXexcGood3 12 2" xfId="6011" xr:uid="{00000000-0005-0000-0000-00009D4D0000}"/>
    <cellStyle name="SAPBEXexcGood3 12 3" xfId="9032" xr:uid="{00000000-0005-0000-0000-00009E4D0000}"/>
    <cellStyle name="SAPBEXexcGood3 12 4" xfId="7802" xr:uid="{00000000-0005-0000-0000-00009F4D0000}"/>
    <cellStyle name="SAPBEXexcGood3 12 5" xfId="12495" xr:uid="{00000000-0005-0000-0000-0000A04D0000}"/>
    <cellStyle name="SAPBEXexcGood3 12 6" xfId="16034" xr:uid="{00000000-0005-0000-0000-0000A14D0000}"/>
    <cellStyle name="SAPBEXexcGood3 12 7" xfId="17191" xr:uid="{00000000-0005-0000-0000-0000A24D0000}"/>
    <cellStyle name="SAPBEXexcGood3 12 8" xfId="20730" xr:uid="{00000000-0005-0000-0000-0000A34D0000}"/>
    <cellStyle name="SAPBEXexcGood3 12 9" xfId="21867" xr:uid="{00000000-0005-0000-0000-0000A44D0000}"/>
    <cellStyle name="SAPBEXexcGood3 13" xfId="3567" xr:uid="{00000000-0005-0000-0000-0000A54D0000}"/>
    <cellStyle name="SAPBEXexcGood3 13 2" xfId="6105" xr:uid="{00000000-0005-0000-0000-0000A64D0000}"/>
    <cellStyle name="SAPBEXexcGood3 13 3" xfId="7947" xr:uid="{00000000-0005-0000-0000-0000A74D0000}"/>
    <cellStyle name="SAPBEXexcGood3 13 4" xfId="9913" xr:uid="{00000000-0005-0000-0000-0000A84D0000}"/>
    <cellStyle name="SAPBEXexcGood3 13 5" xfId="14916" xr:uid="{00000000-0005-0000-0000-0000A94D0000}"/>
    <cellStyle name="SAPBEXexcGood3 13 6" xfId="15808" xr:uid="{00000000-0005-0000-0000-0000AA4D0000}"/>
    <cellStyle name="SAPBEXexcGood3 13 7" xfId="19612" xr:uid="{00000000-0005-0000-0000-0000AB4D0000}"/>
    <cellStyle name="SAPBEXexcGood3 13 8" xfId="20504" xr:uid="{00000000-0005-0000-0000-0000AC4D0000}"/>
    <cellStyle name="SAPBEXexcGood3 13 9" xfId="24080" xr:uid="{00000000-0005-0000-0000-0000AD4D0000}"/>
    <cellStyle name="SAPBEXexcGood3 14" xfId="3407" xr:uid="{00000000-0005-0000-0000-0000AE4D0000}"/>
    <cellStyle name="SAPBEXexcGood3 14 2" xfId="5945" xr:uid="{00000000-0005-0000-0000-0000AF4D0000}"/>
    <cellStyle name="SAPBEXexcGood3 14 3" xfId="8691" xr:uid="{00000000-0005-0000-0000-0000B04D0000}"/>
    <cellStyle name="SAPBEXexcGood3 14 4" xfId="9256" xr:uid="{00000000-0005-0000-0000-0000B14D0000}"/>
    <cellStyle name="SAPBEXexcGood3 14 5" xfId="12528" xr:uid="{00000000-0005-0000-0000-0000B24D0000}"/>
    <cellStyle name="SAPBEXexcGood3 14 6" xfId="15845" xr:uid="{00000000-0005-0000-0000-0000B34D0000}"/>
    <cellStyle name="SAPBEXexcGood3 14 7" xfId="17224" xr:uid="{00000000-0005-0000-0000-0000B44D0000}"/>
    <cellStyle name="SAPBEXexcGood3 14 8" xfId="20541" xr:uid="{00000000-0005-0000-0000-0000B54D0000}"/>
    <cellStyle name="SAPBEXexcGood3 14 9" xfId="21895" xr:uid="{00000000-0005-0000-0000-0000B64D0000}"/>
    <cellStyle name="SAPBEXexcGood3 15" xfId="3482" xr:uid="{00000000-0005-0000-0000-0000B74D0000}"/>
    <cellStyle name="SAPBEXexcGood3 15 2" xfId="6020" xr:uid="{00000000-0005-0000-0000-0000B84D0000}"/>
    <cellStyle name="SAPBEXexcGood3 15 3" xfId="8401" xr:uid="{00000000-0005-0000-0000-0000B94D0000}"/>
    <cellStyle name="SAPBEXexcGood3 15 4" xfId="11899" xr:uid="{00000000-0005-0000-0000-0000BA4D0000}"/>
    <cellStyle name="SAPBEXexcGood3 15 5" xfId="14369" xr:uid="{00000000-0005-0000-0000-0000BB4D0000}"/>
    <cellStyle name="SAPBEXexcGood3 15 6" xfId="15160" xr:uid="{00000000-0005-0000-0000-0000BC4D0000}"/>
    <cellStyle name="SAPBEXexcGood3 15 7" xfId="19065" xr:uid="{00000000-0005-0000-0000-0000BD4D0000}"/>
    <cellStyle name="SAPBEXexcGood3 15 8" xfId="19856" xr:uid="{00000000-0005-0000-0000-0000BE4D0000}"/>
    <cellStyle name="SAPBEXexcGood3 15 9" xfId="23574" xr:uid="{00000000-0005-0000-0000-0000BF4D0000}"/>
    <cellStyle name="SAPBEXexcGood3 16" xfId="3464" xr:uid="{00000000-0005-0000-0000-0000C04D0000}"/>
    <cellStyle name="SAPBEXexcGood3 16 2" xfId="6002" xr:uid="{00000000-0005-0000-0000-0000C14D0000}"/>
    <cellStyle name="SAPBEXexcGood3 16 3" xfId="8174" xr:uid="{00000000-0005-0000-0000-0000C24D0000}"/>
    <cellStyle name="SAPBEXexcGood3 16 4" xfId="11115" xr:uid="{00000000-0005-0000-0000-0000C34D0000}"/>
    <cellStyle name="SAPBEXexcGood3 16 5" xfId="13509" xr:uid="{00000000-0005-0000-0000-0000C44D0000}"/>
    <cellStyle name="SAPBEXexcGood3 16 6" xfId="15256" xr:uid="{00000000-0005-0000-0000-0000C54D0000}"/>
    <cellStyle name="SAPBEXexcGood3 16 7" xfId="18205" xr:uid="{00000000-0005-0000-0000-0000C64D0000}"/>
    <cellStyle name="SAPBEXexcGood3 16 8" xfId="19952" xr:uid="{00000000-0005-0000-0000-0000C74D0000}"/>
    <cellStyle name="SAPBEXexcGood3 16 9" xfId="22788" xr:uid="{00000000-0005-0000-0000-0000C84D0000}"/>
    <cellStyle name="SAPBEXexcGood3 17" xfId="3791" xr:uid="{00000000-0005-0000-0000-0000C94D0000}"/>
    <cellStyle name="SAPBEXexcGood3 17 2" xfId="6329" xr:uid="{00000000-0005-0000-0000-0000CA4D0000}"/>
    <cellStyle name="SAPBEXexcGood3 17 3" xfId="9176" xr:uid="{00000000-0005-0000-0000-0000CB4D0000}"/>
    <cellStyle name="SAPBEXexcGood3 17 4" xfId="10529" xr:uid="{00000000-0005-0000-0000-0000CC4D0000}"/>
    <cellStyle name="SAPBEXexcGood3 17 5" xfId="12871" xr:uid="{00000000-0005-0000-0000-0000CD4D0000}"/>
    <cellStyle name="SAPBEXexcGood3 17 6" xfId="15063" xr:uid="{00000000-0005-0000-0000-0000CE4D0000}"/>
    <cellStyle name="SAPBEXexcGood3 17 7" xfId="17567" xr:uid="{00000000-0005-0000-0000-0000CF4D0000}"/>
    <cellStyle name="SAPBEXexcGood3 17 8" xfId="19759" xr:uid="{00000000-0005-0000-0000-0000D04D0000}"/>
    <cellStyle name="SAPBEXexcGood3 17 9" xfId="22200" xr:uid="{00000000-0005-0000-0000-0000D14D0000}"/>
    <cellStyle name="SAPBEXexcGood3 18" xfId="3778" xr:uid="{00000000-0005-0000-0000-0000D24D0000}"/>
    <cellStyle name="SAPBEXexcGood3 18 2" xfId="6316" xr:uid="{00000000-0005-0000-0000-0000D34D0000}"/>
    <cellStyle name="SAPBEXexcGood3 18 3" xfId="8852" xr:uid="{00000000-0005-0000-0000-0000D44D0000}"/>
    <cellStyle name="SAPBEXexcGood3 18 4" xfId="12192" xr:uid="{00000000-0005-0000-0000-0000D54D0000}"/>
    <cellStyle name="SAPBEXexcGood3 18 5" xfId="14679" xr:uid="{00000000-0005-0000-0000-0000D64D0000}"/>
    <cellStyle name="SAPBEXexcGood3 18 6" xfId="13146" xr:uid="{00000000-0005-0000-0000-0000D74D0000}"/>
    <cellStyle name="SAPBEXexcGood3 18 7" xfId="19375" xr:uid="{00000000-0005-0000-0000-0000D84D0000}"/>
    <cellStyle name="SAPBEXexcGood3 18 8" xfId="17842" xr:uid="{00000000-0005-0000-0000-0000D94D0000}"/>
    <cellStyle name="SAPBEXexcGood3 18 9" xfId="23866" xr:uid="{00000000-0005-0000-0000-0000DA4D0000}"/>
    <cellStyle name="SAPBEXexcGood3 19" xfId="3815" xr:uid="{00000000-0005-0000-0000-0000DB4D0000}"/>
    <cellStyle name="SAPBEXexcGood3 19 2" xfId="6353" xr:uid="{00000000-0005-0000-0000-0000DC4D0000}"/>
    <cellStyle name="SAPBEXexcGood3 19 3" xfId="9970" xr:uid="{00000000-0005-0000-0000-0000DD4D0000}"/>
    <cellStyle name="SAPBEXexcGood3 19 4" xfId="11951" xr:uid="{00000000-0005-0000-0000-0000DE4D0000}"/>
    <cellStyle name="SAPBEXexcGood3 19 5" xfId="14425" xr:uid="{00000000-0005-0000-0000-0000DF4D0000}"/>
    <cellStyle name="SAPBEXexcGood3 19 6" xfId="16571" xr:uid="{00000000-0005-0000-0000-0000E04D0000}"/>
    <cellStyle name="SAPBEXexcGood3 19 7" xfId="19121" xr:uid="{00000000-0005-0000-0000-0000E14D0000}"/>
    <cellStyle name="SAPBEXexcGood3 19 8" xfId="21267" xr:uid="{00000000-0005-0000-0000-0000E24D0000}"/>
    <cellStyle name="SAPBEXexcGood3 19 9" xfId="23626" xr:uid="{00000000-0005-0000-0000-0000E34D0000}"/>
    <cellStyle name="SAPBEXexcGood3 2" xfId="3073" xr:uid="{00000000-0005-0000-0000-0000E44D0000}"/>
    <cellStyle name="SAPBEXexcGood3 2 2" xfId="5611" xr:uid="{00000000-0005-0000-0000-0000E54D0000}"/>
    <cellStyle name="SAPBEXexcGood3 2 3" xfId="8614" xr:uid="{00000000-0005-0000-0000-0000E64D0000}"/>
    <cellStyle name="SAPBEXexcGood3 2 4" xfId="11092" xr:uid="{00000000-0005-0000-0000-0000E74D0000}"/>
    <cellStyle name="SAPBEXexcGood3 2 5" xfId="12337" xr:uid="{00000000-0005-0000-0000-0000E84D0000}"/>
    <cellStyle name="SAPBEXexcGood3 2 6" xfId="15501" xr:uid="{00000000-0005-0000-0000-0000E94D0000}"/>
    <cellStyle name="SAPBEXexcGood3 2 7" xfId="17033" xr:uid="{00000000-0005-0000-0000-0000EA4D0000}"/>
    <cellStyle name="SAPBEXexcGood3 2 8" xfId="20197" xr:uid="{00000000-0005-0000-0000-0000EB4D0000}"/>
    <cellStyle name="SAPBEXexcGood3 2 9" xfId="21726" xr:uid="{00000000-0005-0000-0000-0000EC4D0000}"/>
    <cellStyle name="SAPBEXexcGood3 20" xfId="3929" xr:uid="{00000000-0005-0000-0000-0000ED4D0000}"/>
    <cellStyle name="SAPBEXexcGood3 20 2" xfId="6467" xr:uid="{00000000-0005-0000-0000-0000EE4D0000}"/>
    <cellStyle name="SAPBEXexcGood3 20 3" xfId="8369" xr:uid="{00000000-0005-0000-0000-0000EF4D0000}"/>
    <cellStyle name="SAPBEXexcGood3 20 4" xfId="9620" xr:uid="{00000000-0005-0000-0000-0000F04D0000}"/>
    <cellStyle name="SAPBEXexcGood3 20 5" xfId="12519" xr:uid="{00000000-0005-0000-0000-0000F14D0000}"/>
    <cellStyle name="SAPBEXexcGood3 20 6" xfId="15267" xr:uid="{00000000-0005-0000-0000-0000F24D0000}"/>
    <cellStyle name="SAPBEXexcGood3 20 7" xfId="17215" xr:uid="{00000000-0005-0000-0000-0000F34D0000}"/>
    <cellStyle name="SAPBEXexcGood3 20 8" xfId="19963" xr:uid="{00000000-0005-0000-0000-0000F44D0000}"/>
    <cellStyle name="SAPBEXexcGood3 20 9" xfId="21886" xr:uid="{00000000-0005-0000-0000-0000F54D0000}"/>
    <cellStyle name="SAPBEXexcGood3 21" xfId="3863" xr:uid="{00000000-0005-0000-0000-0000F64D0000}"/>
    <cellStyle name="SAPBEXexcGood3 21 2" xfId="6401" xr:uid="{00000000-0005-0000-0000-0000F74D0000}"/>
    <cellStyle name="SAPBEXexcGood3 21 3" xfId="9035" xr:uid="{00000000-0005-0000-0000-0000F84D0000}"/>
    <cellStyle name="SAPBEXexcGood3 21 4" xfId="12206" xr:uid="{00000000-0005-0000-0000-0000F94D0000}"/>
    <cellStyle name="SAPBEXexcGood3 21 5" xfId="14754" xr:uid="{00000000-0005-0000-0000-0000FA4D0000}"/>
    <cellStyle name="SAPBEXexcGood3 21 6" xfId="16901" xr:uid="{00000000-0005-0000-0000-0000FB4D0000}"/>
    <cellStyle name="SAPBEXexcGood3 21 7" xfId="19450" xr:uid="{00000000-0005-0000-0000-0000FC4D0000}"/>
    <cellStyle name="SAPBEXexcGood3 21 8" xfId="21597" xr:uid="{00000000-0005-0000-0000-0000FD4D0000}"/>
    <cellStyle name="SAPBEXexcGood3 21 9" xfId="23939" xr:uid="{00000000-0005-0000-0000-0000FE4D0000}"/>
    <cellStyle name="SAPBEXexcGood3 22" xfId="3934" xr:uid="{00000000-0005-0000-0000-0000FF4D0000}"/>
    <cellStyle name="SAPBEXexcGood3 22 2" xfId="6472" xr:uid="{00000000-0005-0000-0000-0000004E0000}"/>
    <cellStyle name="SAPBEXexcGood3 22 3" xfId="9679" xr:uid="{00000000-0005-0000-0000-0000014E0000}"/>
    <cellStyle name="SAPBEXexcGood3 22 4" xfId="10526" xr:uid="{00000000-0005-0000-0000-0000024E0000}"/>
    <cellStyle name="SAPBEXexcGood3 22 5" xfId="12867" xr:uid="{00000000-0005-0000-0000-0000034E0000}"/>
    <cellStyle name="SAPBEXexcGood3 22 6" xfId="16419" xr:uid="{00000000-0005-0000-0000-0000044E0000}"/>
    <cellStyle name="SAPBEXexcGood3 22 7" xfId="17563" xr:uid="{00000000-0005-0000-0000-0000054E0000}"/>
    <cellStyle name="SAPBEXexcGood3 22 8" xfId="21115" xr:uid="{00000000-0005-0000-0000-0000064E0000}"/>
    <cellStyle name="SAPBEXexcGood3 22 9" xfId="22197" xr:uid="{00000000-0005-0000-0000-0000074E0000}"/>
    <cellStyle name="SAPBEXexcGood3 23" xfId="4054" xr:uid="{00000000-0005-0000-0000-0000084E0000}"/>
    <cellStyle name="SAPBEXexcGood3 23 2" xfId="6592" xr:uid="{00000000-0005-0000-0000-0000094E0000}"/>
    <cellStyle name="SAPBEXexcGood3 23 3" xfId="9370" xr:uid="{00000000-0005-0000-0000-00000A4E0000}"/>
    <cellStyle name="SAPBEXexcGood3 23 4" xfId="10474" xr:uid="{00000000-0005-0000-0000-00000B4E0000}"/>
    <cellStyle name="SAPBEXexcGood3 23 5" xfId="12808" xr:uid="{00000000-0005-0000-0000-00000C4E0000}"/>
    <cellStyle name="SAPBEXexcGood3 23 6" xfId="15179" xr:uid="{00000000-0005-0000-0000-00000D4E0000}"/>
    <cellStyle name="SAPBEXexcGood3 23 7" xfId="17504" xr:uid="{00000000-0005-0000-0000-00000E4E0000}"/>
    <cellStyle name="SAPBEXexcGood3 23 8" xfId="19875" xr:uid="{00000000-0005-0000-0000-00000F4E0000}"/>
    <cellStyle name="SAPBEXexcGood3 23 9" xfId="22144" xr:uid="{00000000-0005-0000-0000-0000104E0000}"/>
    <cellStyle name="SAPBEXexcGood3 24" xfId="4120" xr:uid="{00000000-0005-0000-0000-0000114E0000}"/>
    <cellStyle name="SAPBEXexcGood3 24 2" xfId="6658" xr:uid="{00000000-0005-0000-0000-0000124E0000}"/>
    <cellStyle name="SAPBEXexcGood3 24 3" xfId="9431" xr:uid="{00000000-0005-0000-0000-0000134E0000}"/>
    <cellStyle name="SAPBEXexcGood3 24 4" xfId="11022" xr:uid="{00000000-0005-0000-0000-0000144E0000}"/>
    <cellStyle name="SAPBEXexcGood3 24 5" xfId="13403" xr:uid="{00000000-0005-0000-0000-0000154E0000}"/>
    <cellStyle name="SAPBEXexcGood3 24 6" xfId="15058" xr:uid="{00000000-0005-0000-0000-0000164E0000}"/>
    <cellStyle name="SAPBEXexcGood3 24 7" xfId="18099" xr:uid="{00000000-0005-0000-0000-0000174E0000}"/>
    <cellStyle name="SAPBEXexcGood3 24 8" xfId="19754" xr:uid="{00000000-0005-0000-0000-0000184E0000}"/>
    <cellStyle name="SAPBEXexcGood3 24 9" xfId="22695" xr:uid="{00000000-0005-0000-0000-0000194E0000}"/>
    <cellStyle name="SAPBEXexcGood3 25" xfId="4163" xr:uid="{00000000-0005-0000-0000-00001A4E0000}"/>
    <cellStyle name="SAPBEXexcGood3 25 2" xfId="6701" xr:uid="{00000000-0005-0000-0000-00001B4E0000}"/>
    <cellStyle name="SAPBEXexcGood3 25 3" xfId="8442" xr:uid="{00000000-0005-0000-0000-00001C4E0000}"/>
    <cellStyle name="SAPBEXexcGood3 25 4" xfId="8246" xr:uid="{00000000-0005-0000-0000-00001D4E0000}"/>
    <cellStyle name="SAPBEXexcGood3 25 5" xfId="12474" xr:uid="{00000000-0005-0000-0000-00001E4E0000}"/>
    <cellStyle name="SAPBEXexcGood3 25 6" xfId="15463" xr:uid="{00000000-0005-0000-0000-00001F4E0000}"/>
    <cellStyle name="SAPBEXexcGood3 25 7" xfId="17170" xr:uid="{00000000-0005-0000-0000-0000204E0000}"/>
    <cellStyle name="SAPBEXexcGood3 25 8" xfId="20159" xr:uid="{00000000-0005-0000-0000-0000214E0000}"/>
    <cellStyle name="SAPBEXexcGood3 25 9" xfId="21849" xr:uid="{00000000-0005-0000-0000-0000224E0000}"/>
    <cellStyle name="SAPBEXexcGood3 26" xfId="4219" xr:uid="{00000000-0005-0000-0000-0000234E0000}"/>
    <cellStyle name="SAPBEXexcGood3 26 2" xfId="6757" xr:uid="{00000000-0005-0000-0000-0000244E0000}"/>
    <cellStyle name="SAPBEXexcGood3 26 3" xfId="8116" xr:uid="{00000000-0005-0000-0000-0000254E0000}"/>
    <cellStyle name="SAPBEXexcGood3 26 4" xfId="11348" xr:uid="{00000000-0005-0000-0000-0000264E0000}"/>
    <cellStyle name="SAPBEXexcGood3 26 5" xfId="13760" xr:uid="{00000000-0005-0000-0000-0000274E0000}"/>
    <cellStyle name="SAPBEXexcGood3 26 6" xfId="16336" xr:uid="{00000000-0005-0000-0000-0000284E0000}"/>
    <cellStyle name="SAPBEXexcGood3 26 7" xfId="18456" xr:uid="{00000000-0005-0000-0000-0000294E0000}"/>
    <cellStyle name="SAPBEXexcGood3 26 8" xfId="21032" xr:uid="{00000000-0005-0000-0000-00002A4E0000}"/>
    <cellStyle name="SAPBEXexcGood3 26 9" xfId="23022" xr:uid="{00000000-0005-0000-0000-00002B4E0000}"/>
    <cellStyle name="SAPBEXexcGood3 27" xfId="4248" xr:uid="{00000000-0005-0000-0000-00002C4E0000}"/>
    <cellStyle name="SAPBEXexcGood3 27 2" xfId="6786" xr:uid="{00000000-0005-0000-0000-00002D4E0000}"/>
    <cellStyle name="SAPBEXexcGood3 27 3" xfId="7943" xr:uid="{00000000-0005-0000-0000-00002E4E0000}"/>
    <cellStyle name="SAPBEXexcGood3 27 4" xfId="10396" xr:uid="{00000000-0005-0000-0000-00002F4E0000}"/>
    <cellStyle name="SAPBEXexcGood3 27 5" xfId="13757" xr:uid="{00000000-0005-0000-0000-0000304E0000}"/>
    <cellStyle name="SAPBEXexcGood3 27 6" xfId="16643" xr:uid="{00000000-0005-0000-0000-0000314E0000}"/>
    <cellStyle name="SAPBEXexcGood3 27 7" xfId="18453" xr:uid="{00000000-0005-0000-0000-0000324E0000}"/>
    <cellStyle name="SAPBEXexcGood3 27 8" xfId="21339" xr:uid="{00000000-0005-0000-0000-0000334E0000}"/>
    <cellStyle name="SAPBEXexcGood3 27 9" xfId="23019" xr:uid="{00000000-0005-0000-0000-0000344E0000}"/>
    <cellStyle name="SAPBEXexcGood3 28" xfId="4291" xr:uid="{00000000-0005-0000-0000-0000354E0000}"/>
    <cellStyle name="SAPBEXexcGood3 28 2" xfId="6829" xr:uid="{00000000-0005-0000-0000-0000364E0000}"/>
    <cellStyle name="SAPBEXexcGood3 28 3" xfId="8963" xr:uid="{00000000-0005-0000-0000-0000374E0000}"/>
    <cellStyle name="SAPBEXexcGood3 28 4" xfId="11840" xr:uid="{00000000-0005-0000-0000-0000384E0000}"/>
    <cellStyle name="SAPBEXexcGood3 28 5" xfId="14301" xr:uid="{00000000-0005-0000-0000-0000394E0000}"/>
    <cellStyle name="SAPBEXexcGood3 28 6" xfId="13385" xr:uid="{00000000-0005-0000-0000-00003A4E0000}"/>
    <cellStyle name="SAPBEXexcGood3 28 7" xfId="18997" xr:uid="{00000000-0005-0000-0000-00003B4E0000}"/>
    <cellStyle name="SAPBEXexcGood3 28 8" xfId="18081" xr:uid="{00000000-0005-0000-0000-00003C4E0000}"/>
    <cellStyle name="SAPBEXexcGood3 28 9" xfId="23515" xr:uid="{00000000-0005-0000-0000-00003D4E0000}"/>
    <cellStyle name="SAPBEXexcGood3 29" xfId="4334" xr:uid="{00000000-0005-0000-0000-00003E4E0000}"/>
    <cellStyle name="SAPBEXexcGood3 29 2" xfId="6872" xr:uid="{00000000-0005-0000-0000-00003F4E0000}"/>
    <cellStyle name="SAPBEXexcGood3 29 3" xfId="9355" xr:uid="{00000000-0005-0000-0000-0000404E0000}"/>
    <cellStyle name="SAPBEXexcGood3 29 4" xfId="10285" xr:uid="{00000000-0005-0000-0000-0000414E0000}"/>
    <cellStyle name="SAPBEXexcGood3 29 5" xfId="12598" xr:uid="{00000000-0005-0000-0000-0000424E0000}"/>
    <cellStyle name="SAPBEXexcGood3 29 6" xfId="15018" xr:uid="{00000000-0005-0000-0000-0000434E0000}"/>
    <cellStyle name="SAPBEXexcGood3 29 7" xfId="17294" xr:uid="{00000000-0005-0000-0000-0000444E0000}"/>
    <cellStyle name="SAPBEXexcGood3 29 8" xfId="19714" xr:uid="{00000000-0005-0000-0000-0000454E0000}"/>
    <cellStyle name="SAPBEXexcGood3 29 9" xfId="21955" xr:uid="{00000000-0005-0000-0000-0000464E0000}"/>
    <cellStyle name="SAPBEXexcGood3 3" xfId="3026" xr:uid="{00000000-0005-0000-0000-0000474E0000}"/>
    <cellStyle name="SAPBEXexcGood3 3 2" xfId="5565" xr:uid="{00000000-0005-0000-0000-0000484E0000}"/>
    <cellStyle name="SAPBEXexcGood3 3 3" xfId="9167" xr:uid="{00000000-0005-0000-0000-0000494E0000}"/>
    <cellStyle name="SAPBEXexcGood3 3 4" xfId="10645" xr:uid="{00000000-0005-0000-0000-00004A4E0000}"/>
    <cellStyle name="SAPBEXexcGood3 3 5" xfId="12994" xr:uid="{00000000-0005-0000-0000-00004B4E0000}"/>
    <cellStyle name="SAPBEXexcGood3 3 6" xfId="13861" xr:uid="{00000000-0005-0000-0000-00004C4E0000}"/>
    <cellStyle name="SAPBEXexcGood3 3 7" xfId="17690" xr:uid="{00000000-0005-0000-0000-00004D4E0000}"/>
    <cellStyle name="SAPBEXexcGood3 3 8" xfId="18557" xr:uid="{00000000-0005-0000-0000-00004E4E0000}"/>
    <cellStyle name="SAPBEXexcGood3 3 9" xfId="22318" xr:uid="{00000000-0005-0000-0000-00004F4E0000}"/>
    <cellStyle name="SAPBEXexcGood3 30" xfId="4377" xr:uid="{00000000-0005-0000-0000-0000504E0000}"/>
    <cellStyle name="SAPBEXexcGood3 30 2" xfId="6915" xr:uid="{00000000-0005-0000-0000-0000514E0000}"/>
    <cellStyle name="SAPBEXexcGood3 30 3" xfId="8958" xr:uid="{00000000-0005-0000-0000-0000524E0000}"/>
    <cellStyle name="SAPBEXexcGood3 30 4" xfId="11522" xr:uid="{00000000-0005-0000-0000-0000534E0000}"/>
    <cellStyle name="SAPBEXexcGood3 30 5" xfId="13951" xr:uid="{00000000-0005-0000-0000-0000544E0000}"/>
    <cellStyle name="SAPBEXexcGood3 30 6" xfId="16428" xr:uid="{00000000-0005-0000-0000-0000554E0000}"/>
    <cellStyle name="SAPBEXexcGood3 30 7" xfId="18647" xr:uid="{00000000-0005-0000-0000-0000564E0000}"/>
    <cellStyle name="SAPBEXexcGood3 30 8" xfId="21124" xr:uid="{00000000-0005-0000-0000-0000574E0000}"/>
    <cellStyle name="SAPBEXexcGood3 30 9" xfId="23196" xr:uid="{00000000-0005-0000-0000-0000584E0000}"/>
    <cellStyle name="SAPBEXexcGood3 31" xfId="4420" xr:uid="{00000000-0005-0000-0000-0000594E0000}"/>
    <cellStyle name="SAPBEXexcGood3 31 2" xfId="6958" xr:uid="{00000000-0005-0000-0000-00005A4E0000}"/>
    <cellStyle name="SAPBEXexcGood3 31 3" xfId="8868" xr:uid="{00000000-0005-0000-0000-00005B4E0000}"/>
    <cellStyle name="SAPBEXexcGood3 31 4" xfId="10137" xr:uid="{00000000-0005-0000-0000-00005C4E0000}"/>
    <cellStyle name="SAPBEXexcGood3 31 5" xfId="12489" xr:uid="{00000000-0005-0000-0000-00005D4E0000}"/>
    <cellStyle name="SAPBEXexcGood3 31 6" xfId="16819" xr:uid="{00000000-0005-0000-0000-00005E4E0000}"/>
    <cellStyle name="SAPBEXexcGood3 31 7" xfId="17185" xr:uid="{00000000-0005-0000-0000-00005F4E0000}"/>
    <cellStyle name="SAPBEXexcGood3 31 8" xfId="21515" xr:uid="{00000000-0005-0000-0000-0000604E0000}"/>
    <cellStyle name="SAPBEXexcGood3 31 9" xfId="21862" xr:uid="{00000000-0005-0000-0000-0000614E0000}"/>
    <cellStyle name="SAPBEXexcGood3 32" xfId="4457" xr:uid="{00000000-0005-0000-0000-0000624E0000}"/>
    <cellStyle name="SAPBEXexcGood3 32 2" xfId="6995" xr:uid="{00000000-0005-0000-0000-0000634E0000}"/>
    <cellStyle name="SAPBEXexcGood3 32 3" xfId="7770" xr:uid="{00000000-0005-0000-0000-0000644E0000}"/>
    <cellStyle name="SAPBEXexcGood3 32 4" xfId="11558" xr:uid="{00000000-0005-0000-0000-0000654E0000}"/>
    <cellStyle name="SAPBEXexcGood3 32 5" xfId="13993" xr:uid="{00000000-0005-0000-0000-0000664E0000}"/>
    <cellStyle name="SAPBEXexcGood3 32 6" xfId="15541" xr:uid="{00000000-0005-0000-0000-0000674E0000}"/>
    <cellStyle name="SAPBEXexcGood3 32 7" xfId="18689" xr:uid="{00000000-0005-0000-0000-0000684E0000}"/>
    <cellStyle name="SAPBEXexcGood3 32 8" xfId="20237" xr:uid="{00000000-0005-0000-0000-0000694E0000}"/>
    <cellStyle name="SAPBEXexcGood3 32 9" xfId="23232" xr:uid="{00000000-0005-0000-0000-00006A4E0000}"/>
    <cellStyle name="SAPBEXexcGood3 33" xfId="4483" xr:uid="{00000000-0005-0000-0000-00006B4E0000}"/>
    <cellStyle name="SAPBEXexcGood3 33 2" xfId="7021" xr:uid="{00000000-0005-0000-0000-00006C4E0000}"/>
    <cellStyle name="SAPBEXexcGood3 33 3" xfId="8307" xr:uid="{00000000-0005-0000-0000-00006D4E0000}"/>
    <cellStyle name="SAPBEXexcGood3 33 4" xfId="11027" xr:uid="{00000000-0005-0000-0000-00006E4E0000}"/>
    <cellStyle name="SAPBEXexcGood3 33 5" xfId="13409" xr:uid="{00000000-0005-0000-0000-00006F4E0000}"/>
    <cellStyle name="SAPBEXexcGood3 33 6" xfId="15296" xr:uid="{00000000-0005-0000-0000-0000704E0000}"/>
    <cellStyle name="SAPBEXexcGood3 33 7" xfId="18105" xr:uid="{00000000-0005-0000-0000-0000714E0000}"/>
    <cellStyle name="SAPBEXexcGood3 33 8" xfId="19992" xr:uid="{00000000-0005-0000-0000-0000724E0000}"/>
    <cellStyle name="SAPBEXexcGood3 33 9" xfId="22700" xr:uid="{00000000-0005-0000-0000-0000734E0000}"/>
    <cellStyle name="SAPBEXexcGood3 34" xfId="4406" xr:uid="{00000000-0005-0000-0000-0000744E0000}"/>
    <cellStyle name="SAPBEXexcGood3 34 2" xfId="6944" xr:uid="{00000000-0005-0000-0000-0000754E0000}"/>
    <cellStyle name="SAPBEXexcGood3 34 3" xfId="8848" xr:uid="{00000000-0005-0000-0000-0000764E0000}"/>
    <cellStyle name="SAPBEXexcGood3 34 4" xfId="12158" xr:uid="{00000000-0005-0000-0000-0000774E0000}"/>
    <cellStyle name="SAPBEXexcGood3 34 5" xfId="14641" xr:uid="{00000000-0005-0000-0000-0000784E0000}"/>
    <cellStyle name="SAPBEXexcGood3 34 6" xfId="15470" xr:uid="{00000000-0005-0000-0000-0000794E0000}"/>
    <cellStyle name="SAPBEXexcGood3 34 7" xfId="19337" xr:uid="{00000000-0005-0000-0000-00007A4E0000}"/>
    <cellStyle name="SAPBEXexcGood3 34 8" xfId="20166" xr:uid="{00000000-0005-0000-0000-00007B4E0000}"/>
    <cellStyle name="SAPBEXexcGood3 34 9" xfId="23832" xr:uid="{00000000-0005-0000-0000-00007C4E0000}"/>
    <cellStyle name="SAPBEXexcGood3 35" xfId="4592" xr:uid="{00000000-0005-0000-0000-00007D4E0000}"/>
    <cellStyle name="SAPBEXexcGood3 35 2" xfId="7130" xr:uid="{00000000-0005-0000-0000-00007E4E0000}"/>
    <cellStyle name="SAPBEXexcGood3 35 3" xfId="8178" xr:uid="{00000000-0005-0000-0000-00007F4E0000}"/>
    <cellStyle name="SAPBEXexcGood3 35 4" xfId="11761" xr:uid="{00000000-0005-0000-0000-0000804E0000}"/>
    <cellStyle name="SAPBEXexcGood3 35 5" xfId="14212" xr:uid="{00000000-0005-0000-0000-0000814E0000}"/>
    <cellStyle name="SAPBEXexcGood3 35 6" xfId="16625" xr:uid="{00000000-0005-0000-0000-0000824E0000}"/>
    <cellStyle name="SAPBEXexcGood3 35 7" xfId="18908" xr:uid="{00000000-0005-0000-0000-0000834E0000}"/>
    <cellStyle name="SAPBEXexcGood3 35 8" xfId="21321" xr:uid="{00000000-0005-0000-0000-0000844E0000}"/>
    <cellStyle name="SAPBEXexcGood3 35 9" xfId="23435" xr:uid="{00000000-0005-0000-0000-0000854E0000}"/>
    <cellStyle name="SAPBEXexcGood3 36" xfId="4635" xr:uid="{00000000-0005-0000-0000-0000864E0000}"/>
    <cellStyle name="SAPBEXexcGood3 36 2" xfId="7173" xr:uid="{00000000-0005-0000-0000-0000874E0000}"/>
    <cellStyle name="SAPBEXexcGood3 36 3" xfId="8524" xr:uid="{00000000-0005-0000-0000-0000884E0000}"/>
    <cellStyle name="SAPBEXexcGood3 36 4" xfId="11119" xr:uid="{00000000-0005-0000-0000-0000894E0000}"/>
    <cellStyle name="SAPBEXexcGood3 36 5" xfId="13513" xr:uid="{00000000-0005-0000-0000-00008A4E0000}"/>
    <cellStyle name="SAPBEXexcGood3 36 6" xfId="15746" xr:uid="{00000000-0005-0000-0000-00008B4E0000}"/>
    <cellStyle name="SAPBEXexcGood3 36 7" xfId="18209" xr:uid="{00000000-0005-0000-0000-00008C4E0000}"/>
    <cellStyle name="SAPBEXexcGood3 36 8" xfId="20442" xr:uid="{00000000-0005-0000-0000-00008D4E0000}"/>
    <cellStyle name="SAPBEXexcGood3 36 9" xfId="22792" xr:uid="{00000000-0005-0000-0000-00008E4E0000}"/>
    <cellStyle name="SAPBEXexcGood3 37" xfId="4678" xr:uid="{00000000-0005-0000-0000-00008F4E0000}"/>
    <cellStyle name="SAPBEXexcGood3 37 2" xfId="7216" xr:uid="{00000000-0005-0000-0000-0000904E0000}"/>
    <cellStyle name="SAPBEXexcGood3 37 3" xfId="8982" xr:uid="{00000000-0005-0000-0000-0000914E0000}"/>
    <cellStyle name="SAPBEXexcGood3 37 4" xfId="10677" xr:uid="{00000000-0005-0000-0000-0000924E0000}"/>
    <cellStyle name="SAPBEXexcGood3 37 5" xfId="13026" xr:uid="{00000000-0005-0000-0000-0000934E0000}"/>
    <cellStyle name="SAPBEXexcGood3 37 6" xfId="15358" xr:uid="{00000000-0005-0000-0000-0000944E0000}"/>
    <cellStyle name="SAPBEXexcGood3 37 7" xfId="17722" xr:uid="{00000000-0005-0000-0000-0000954E0000}"/>
    <cellStyle name="SAPBEXexcGood3 37 8" xfId="20054" xr:uid="{00000000-0005-0000-0000-0000964E0000}"/>
    <cellStyle name="SAPBEXexcGood3 37 9" xfId="22350" xr:uid="{00000000-0005-0000-0000-0000974E0000}"/>
    <cellStyle name="SAPBEXexcGood3 38" xfId="4588" xr:uid="{00000000-0005-0000-0000-0000984E0000}"/>
    <cellStyle name="SAPBEXexcGood3 38 2" xfId="7126" xr:uid="{00000000-0005-0000-0000-0000994E0000}"/>
    <cellStyle name="SAPBEXexcGood3 38 3" xfId="9437" xr:uid="{00000000-0005-0000-0000-00009A4E0000}"/>
    <cellStyle name="SAPBEXexcGood3 38 4" xfId="11648" xr:uid="{00000000-0005-0000-0000-00009B4E0000}"/>
    <cellStyle name="SAPBEXexcGood3 38 5" xfId="14093" xr:uid="{00000000-0005-0000-0000-00009C4E0000}"/>
    <cellStyle name="SAPBEXexcGood3 38 6" xfId="14300" xr:uid="{00000000-0005-0000-0000-00009D4E0000}"/>
    <cellStyle name="SAPBEXexcGood3 38 7" xfId="18789" xr:uid="{00000000-0005-0000-0000-00009E4E0000}"/>
    <cellStyle name="SAPBEXexcGood3 38 8" xfId="18996" xr:uid="{00000000-0005-0000-0000-00009F4E0000}"/>
    <cellStyle name="SAPBEXexcGood3 38 9" xfId="23323" xr:uid="{00000000-0005-0000-0000-0000A04E0000}"/>
    <cellStyle name="SAPBEXexcGood3 39" xfId="4676" xr:uid="{00000000-0005-0000-0000-0000A14E0000}"/>
    <cellStyle name="SAPBEXexcGood3 39 2" xfId="7214" xr:uid="{00000000-0005-0000-0000-0000A24E0000}"/>
    <cellStyle name="SAPBEXexcGood3 39 3" xfId="5496" xr:uid="{00000000-0005-0000-0000-0000A34E0000}"/>
    <cellStyle name="SAPBEXexcGood3 39 4" xfId="12018" xr:uid="{00000000-0005-0000-0000-0000A44E0000}"/>
    <cellStyle name="SAPBEXexcGood3 39 5" xfId="14498" xr:uid="{00000000-0005-0000-0000-0000A54E0000}"/>
    <cellStyle name="SAPBEXexcGood3 39 6" xfId="14395" xr:uid="{00000000-0005-0000-0000-0000A64E0000}"/>
    <cellStyle name="SAPBEXexcGood3 39 7" xfId="19194" xr:uid="{00000000-0005-0000-0000-0000A74E0000}"/>
    <cellStyle name="SAPBEXexcGood3 39 8" xfId="19091" xr:uid="{00000000-0005-0000-0000-0000A84E0000}"/>
    <cellStyle name="SAPBEXexcGood3 39 9" xfId="23693" xr:uid="{00000000-0005-0000-0000-0000A94E0000}"/>
    <cellStyle name="SAPBEXexcGood3 4" xfId="3151" xr:uid="{00000000-0005-0000-0000-0000AA4E0000}"/>
    <cellStyle name="SAPBEXexcGood3 4 2" xfId="5689" xr:uid="{00000000-0005-0000-0000-0000AB4E0000}"/>
    <cellStyle name="SAPBEXexcGood3 4 3" xfId="9171" xr:uid="{00000000-0005-0000-0000-0000AC4E0000}"/>
    <cellStyle name="SAPBEXexcGood3 4 4" xfId="11725" xr:uid="{00000000-0005-0000-0000-0000AD4E0000}"/>
    <cellStyle name="SAPBEXexcGood3 4 5" xfId="14176" xr:uid="{00000000-0005-0000-0000-0000AE4E0000}"/>
    <cellStyle name="SAPBEXexcGood3 4 6" xfId="16510" xr:uid="{00000000-0005-0000-0000-0000AF4E0000}"/>
    <cellStyle name="SAPBEXexcGood3 4 7" xfId="18872" xr:uid="{00000000-0005-0000-0000-0000B04E0000}"/>
    <cellStyle name="SAPBEXexcGood3 4 8" xfId="21206" xr:uid="{00000000-0005-0000-0000-0000B14E0000}"/>
    <cellStyle name="SAPBEXexcGood3 4 9" xfId="23399" xr:uid="{00000000-0005-0000-0000-0000B24E0000}"/>
    <cellStyle name="SAPBEXexcGood3 40" xfId="4825" xr:uid="{00000000-0005-0000-0000-0000B34E0000}"/>
    <cellStyle name="SAPBEXexcGood3 40 2" xfId="7363" xr:uid="{00000000-0005-0000-0000-0000B44E0000}"/>
    <cellStyle name="SAPBEXexcGood3 40 3" xfId="8820" xr:uid="{00000000-0005-0000-0000-0000B54E0000}"/>
    <cellStyle name="SAPBEXexcGood3 40 4" xfId="10331" xr:uid="{00000000-0005-0000-0000-0000B64E0000}"/>
    <cellStyle name="SAPBEXexcGood3 40 5" xfId="12650" xr:uid="{00000000-0005-0000-0000-0000B74E0000}"/>
    <cellStyle name="SAPBEXexcGood3 40 6" xfId="16353" xr:uid="{00000000-0005-0000-0000-0000B84E0000}"/>
    <cellStyle name="SAPBEXexcGood3 40 7" xfId="17346" xr:uid="{00000000-0005-0000-0000-0000B94E0000}"/>
    <cellStyle name="SAPBEXexcGood3 40 8" xfId="21049" xr:uid="{00000000-0005-0000-0000-0000BA4E0000}"/>
    <cellStyle name="SAPBEXexcGood3 40 9" xfId="22002" xr:uid="{00000000-0005-0000-0000-0000BB4E0000}"/>
    <cellStyle name="SAPBEXexcGood3 41" xfId="4862" xr:uid="{00000000-0005-0000-0000-0000BC4E0000}"/>
    <cellStyle name="SAPBEXexcGood3 41 2" xfId="7400" xr:uid="{00000000-0005-0000-0000-0000BD4E0000}"/>
    <cellStyle name="SAPBEXexcGood3 41 3" xfId="9003" xr:uid="{00000000-0005-0000-0000-0000BE4E0000}"/>
    <cellStyle name="SAPBEXexcGood3 41 4" xfId="9094" xr:uid="{00000000-0005-0000-0000-0000BF4E0000}"/>
    <cellStyle name="SAPBEXexcGood3 41 5" xfId="12453" xr:uid="{00000000-0005-0000-0000-0000C04E0000}"/>
    <cellStyle name="SAPBEXexcGood3 41 6" xfId="15548" xr:uid="{00000000-0005-0000-0000-0000C14E0000}"/>
    <cellStyle name="SAPBEXexcGood3 41 7" xfId="17149" xr:uid="{00000000-0005-0000-0000-0000C24E0000}"/>
    <cellStyle name="SAPBEXexcGood3 41 8" xfId="20244" xr:uid="{00000000-0005-0000-0000-0000C34E0000}"/>
    <cellStyle name="SAPBEXexcGood3 41 9" xfId="21832" xr:uid="{00000000-0005-0000-0000-0000C44E0000}"/>
    <cellStyle name="SAPBEXexcGood3 42" xfId="4888" xr:uid="{00000000-0005-0000-0000-0000C54E0000}"/>
    <cellStyle name="SAPBEXexcGood3 42 2" xfId="7426" xr:uid="{00000000-0005-0000-0000-0000C64E0000}"/>
    <cellStyle name="SAPBEXexcGood3 42 3" xfId="9020" xr:uid="{00000000-0005-0000-0000-0000C74E0000}"/>
    <cellStyle name="SAPBEXexcGood3 42 4" xfId="10802" xr:uid="{00000000-0005-0000-0000-0000C84E0000}"/>
    <cellStyle name="SAPBEXexcGood3 42 5" xfId="13162" xr:uid="{00000000-0005-0000-0000-0000C94E0000}"/>
    <cellStyle name="SAPBEXexcGood3 42 6" xfId="15288" xr:uid="{00000000-0005-0000-0000-0000CA4E0000}"/>
    <cellStyle name="SAPBEXexcGood3 42 7" xfId="17858" xr:uid="{00000000-0005-0000-0000-0000CB4E0000}"/>
    <cellStyle name="SAPBEXexcGood3 42 8" xfId="19984" xr:uid="{00000000-0005-0000-0000-0000CC4E0000}"/>
    <cellStyle name="SAPBEXexcGood3 42 9" xfId="22473" xr:uid="{00000000-0005-0000-0000-0000CD4E0000}"/>
    <cellStyle name="SAPBEXexcGood3 43" xfId="4872" xr:uid="{00000000-0005-0000-0000-0000CE4E0000}"/>
    <cellStyle name="SAPBEXexcGood3 43 2" xfId="7410" xr:uid="{00000000-0005-0000-0000-0000CF4E0000}"/>
    <cellStyle name="SAPBEXexcGood3 43 3" xfId="9722" xr:uid="{00000000-0005-0000-0000-0000D04E0000}"/>
    <cellStyle name="SAPBEXexcGood3 43 4" xfId="11256" xr:uid="{00000000-0005-0000-0000-0000D14E0000}"/>
    <cellStyle name="SAPBEXexcGood3 43 5" xfId="13662" xr:uid="{00000000-0005-0000-0000-0000D24E0000}"/>
    <cellStyle name="SAPBEXexcGood3 43 6" xfId="16342" xr:uid="{00000000-0005-0000-0000-0000D34E0000}"/>
    <cellStyle name="SAPBEXexcGood3 43 7" xfId="18358" xr:uid="{00000000-0005-0000-0000-0000D44E0000}"/>
    <cellStyle name="SAPBEXexcGood3 43 8" xfId="21038" xr:uid="{00000000-0005-0000-0000-0000D54E0000}"/>
    <cellStyle name="SAPBEXexcGood3 43 9" xfId="22930" xr:uid="{00000000-0005-0000-0000-0000D64E0000}"/>
    <cellStyle name="SAPBEXexcGood3 44" xfId="4985" xr:uid="{00000000-0005-0000-0000-0000D74E0000}"/>
    <cellStyle name="SAPBEXexcGood3 44 2" xfId="7523" xr:uid="{00000000-0005-0000-0000-0000D84E0000}"/>
    <cellStyle name="SAPBEXexcGood3 44 3" xfId="8413" xr:uid="{00000000-0005-0000-0000-0000D94E0000}"/>
    <cellStyle name="SAPBEXexcGood3 44 4" xfId="11421" xr:uid="{00000000-0005-0000-0000-0000DA4E0000}"/>
    <cellStyle name="SAPBEXexcGood3 44 5" xfId="13838" xr:uid="{00000000-0005-0000-0000-0000DB4E0000}"/>
    <cellStyle name="SAPBEXexcGood3 44 6" xfId="16665" xr:uid="{00000000-0005-0000-0000-0000DC4E0000}"/>
    <cellStyle name="SAPBEXexcGood3 44 7" xfId="18534" xr:uid="{00000000-0005-0000-0000-0000DD4E0000}"/>
    <cellStyle name="SAPBEXexcGood3 44 8" xfId="21361" xr:uid="{00000000-0005-0000-0000-0000DE4E0000}"/>
    <cellStyle name="SAPBEXexcGood3 44 9" xfId="23095" xr:uid="{00000000-0005-0000-0000-0000DF4E0000}"/>
    <cellStyle name="SAPBEXexcGood3 45" xfId="5023" xr:uid="{00000000-0005-0000-0000-0000E04E0000}"/>
    <cellStyle name="SAPBEXexcGood3 45 2" xfId="7561" xr:uid="{00000000-0005-0000-0000-0000E14E0000}"/>
    <cellStyle name="SAPBEXexcGood3 45 3" xfId="10147" xr:uid="{00000000-0005-0000-0000-0000E24E0000}"/>
    <cellStyle name="SAPBEXexcGood3 45 4" xfId="10584" xr:uid="{00000000-0005-0000-0000-0000E34E0000}"/>
    <cellStyle name="SAPBEXexcGood3 45 5" xfId="12931" xr:uid="{00000000-0005-0000-0000-0000E44E0000}"/>
    <cellStyle name="SAPBEXexcGood3 45 6" xfId="16084" xr:uid="{00000000-0005-0000-0000-0000E54E0000}"/>
    <cellStyle name="SAPBEXexcGood3 45 7" xfId="17627" xr:uid="{00000000-0005-0000-0000-0000E64E0000}"/>
    <cellStyle name="SAPBEXexcGood3 45 8" xfId="20780" xr:uid="{00000000-0005-0000-0000-0000E74E0000}"/>
    <cellStyle name="SAPBEXexcGood3 45 9" xfId="22257" xr:uid="{00000000-0005-0000-0000-0000E84E0000}"/>
    <cellStyle name="SAPBEXexcGood3 46" xfId="5058" xr:uid="{00000000-0005-0000-0000-0000E94E0000}"/>
    <cellStyle name="SAPBEXexcGood3 46 2" xfId="7596" xr:uid="{00000000-0005-0000-0000-0000EA4E0000}"/>
    <cellStyle name="SAPBEXexcGood3 46 3" xfId="8358" xr:uid="{00000000-0005-0000-0000-0000EB4E0000}"/>
    <cellStyle name="SAPBEXexcGood3 46 4" xfId="11120" xr:uid="{00000000-0005-0000-0000-0000EC4E0000}"/>
    <cellStyle name="SAPBEXexcGood3 46 5" xfId="13514" xr:uid="{00000000-0005-0000-0000-0000ED4E0000}"/>
    <cellStyle name="SAPBEXexcGood3 46 6" xfId="15203" xr:uid="{00000000-0005-0000-0000-0000EE4E0000}"/>
    <cellStyle name="SAPBEXexcGood3 46 7" xfId="18210" xr:uid="{00000000-0005-0000-0000-0000EF4E0000}"/>
    <cellStyle name="SAPBEXexcGood3 46 8" xfId="19899" xr:uid="{00000000-0005-0000-0000-0000F04E0000}"/>
    <cellStyle name="SAPBEXexcGood3 46 9" xfId="22793" xr:uid="{00000000-0005-0000-0000-0000F14E0000}"/>
    <cellStyle name="SAPBEXexcGood3 47" xfId="5088" xr:uid="{00000000-0005-0000-0000-0000F24E0000}"/>
    <cellStyle name="SAPBEXexcGood3 47 2" xfId="7626" xr:uid="{00000000-0005-0000-0000-0000F34E0000}"/>
    <cellStyle name="SAPBEXexcGood3 47 3" xfId="10051" xr:uid="{00000000-0005-0000-0000-0000F44E0000}"/>
    <cellStyle name="SAPBEXexcGood3 47 4" xfId="11551" xr:uid="{00000000-0005-0000-0000-0000F54E0000}"/>
    <cellStyle name="SAPBEXexcGood3 47 5" xfId="13986" xr:uid="{00000000-0005-0000-0000-0000F64E0000}"/>
    <cellStyle name="SAPBEXexcGood3 47 6" xfId="16244" xr:uid="{00000000-0005-0000-0000-0000F74E0000}"/>
    <cellStyle name="SAPBEXexcGood3 47 7" xfId="18682" xr:uid="{00000000-0005-0000-0000-0000F84E0000}"/>
    <cellStyle name="SAPBEXexcGood3 47 8" xfId="20940" xr:uid="{00000000-0005-0000-0000-0000F94E0000}"/>
    <cellStyle name="SAPBEXexcGood3 47 9" xfId="23225" xr:uid="{00000000-0005-0000-0000-0000FA4E0000}"/>
    <cellStyle name="SAPBEXexcGood3 48" xfId="5135" xr:uid="{00000000-0005-0000-0000-0000FB4E0000}"/>
    <cellStyle name="SAPBEXexcGood3 48 2" xfId="7673" xr:uid="{00000000-0005-0000-0000-0000FC4E0000}"/>
    <cellStyle name="SAPBEXexcGood3 48 3" xfId="8163" xr:uid="{00000000-0005-0000-0000-0000FD4E0000}"/>
    <cellStyle name="SAPBEXexcGood3 48 4" xfId="10391" xr:uid="{00000000-0005-0000-0000-0000FE4E0000}"/>
    <cellStyle name="SAPBEXexcGood3 48 5" xfId="12714" xr:uid="{00000000-0005-0000-0000-0000FF4E0000}"/>
    <cellStyle name="SAPBEXexcGood3 48 6" xfId="14881" xr:uid="{00000000-0005-0000-0000-0000004F0000}"/>
    <cellStyle name="SAPBEXexcGood3 48 7" xfId="17410" xr:uid="{00000000-0005-0000-0000-0000014F0000}"/>
    <cellStyle name="SAPBEXexcGood3 48 8" xfId="19577" xr:uid="{00000000-0005-0000-0000-0000024F0000}"/>
    <cellStyle name="SAPBEXexcGood3 48 9" xfId="22062" xr:uid="{00000000-0005-0000-0000-0000034F0000}"/>
    <cellStyle name="SAPBEXexcGood3 49" xfId="5204" xr:uid="{00000000-0005-0000-0000-0000044F0000}"/>
    <cellStyle name="SAPBEXexcGood3 49 2" xfId="7743" xr:uid="{00000000-0005-0000-0000-0000054F0000}"/>
    <cellStyle name="SAPBEXexcGood3 49 3" xfId="8862" xr:uid="{00000000-0005-0000-0000-0000064F0000}"/>
    <cellStyle name="SAPBEXexcGood3 49 4" xfId="10762" xr:uid="{00000000-0005-0000-0000-0000074F0000}"/>
    <cellStyle name="SAPBEXexcGood3 49 5" xfId="13117" xr:uid="{00000000-0005-0000-0000-0000084F0000}"/>
    <cellStyle name="SAPBEXexcGood3 49 6" xfId="16865" xr:uid="{00000000-0005-0000-0000-0000094F0000}"/>
    <cellStyle name="SAPBEXexcGood3 49 7" xfId="17813" xr:uid="{00000000-0005-0000-0000-00000A4F0000}"/>
    <cellStyle name="SAPBEXexcGood3 49 8" xfId="21561" xr:uid="{00000000-0005-0000-0000-00000B4F0000}"/>
    <cellStyle name="SAPBEXexcGood3 49 9" xfId="22434" xr:uid="{00000000-0005-0000-0000-00000C4F0000}"/>
    <cellStyle name="SAPBEXexcGood3 5" xfId="3194" xr:uid="{00000000-0005-0000-0000-00000D4F0000}"/>
    <cellStyle name="SAPBEXexcGood3 5 2" xfId="5732" xr:uid="{00000000-0005-0000-0000-00000E4F0000}"/>
    <cellStyle name="SAPBEXexcGood3 5 3" xfId="7979" xr:uid="{00000000-0005-0000-0000-00000F4F0000}"/>
    <cellStyle name="SAPBEXexcGood3 5 4" xfId="10991" xr:uid="{00000000-0005-0000-0000-0000104F0000}"/>
    <cellStyle name="SAPBEXexcGood3 5 5" xfId="13365" xr:uid="{00000000-0005-0000-0000-0000114F0000}"/>
    <cellStyle name="SAPBEXexcGood3 5 6" xfId="16868" xr:uid="{00000000-0005-0000-0000-0000124F0000}"/>
    <cellStyle name="SAPBEXexcGood3 5 7" xfId="18061" xr:uid="{00000000-0005-0000-0000-0000134F0000}"/>
    <cellStyle name="SAPBEXexcGood3 5 8" xfId="21564" xr:uid="{00000000-0005-0000-0000-0000144F0000}"/>
    <cellStyle name="SAPBEXexcGood3 5 9" xfId="22664" xr:uid="{00000000-0005-0000-0000-0000154F0000}"/>
    <cellStyle name="SAPBEXexcGood3 50" xfId="5177" xr:uid="{00000000-0005-0000-0000-0000164F0000}"/>
    <cellStyle name="SAPBEXexcGood3 50 2" xfId="8481" xr:uid="{00000000-0005-0000-0000-0000174F0000}"/>
    <cellStyle name="SAPBEXexcGood3 50 3" xfId="10510" xr:uid="{00000000-0005-0000-0000-0000184F0000}"/>
    <cellStyle name="SAPBEXexcGood3 50 4" xfId="12756" xr:uid="{00000000-0005-0000-0000-0000194F0000}"/>
    <cellStyle name="SAPBEXexcGood3 50 5" xfId="16862" xr:uid="{00000000-0005-0000-0000-00001A4F0000}"/>
    <cellStyle name="SAPBEXexcGood3 50 6" xfId="17452" xr:uid="{00000000-0005-0000-0000-00001B4F0000}"/>
    <cellStyle name="SAPBEXexcGood3 50 7" xfId="21558" xr:uid="{00000000-0005-0000-0000-00001C4F0000}"/>
    <cellStyle name="SAPBEXexcGood3 50 8" xfId="22101" xr:uid="{00000000-0005-0000-0000-00001D4F0000}"/>
    <cellStyle name="SAPBEXexcGood3 51" xfId="8769" xr:uid="{00000000-0005-0000-0000-00001E4F0000}"/>
    <cellStyle name="SAPBEXexcGood3 52" xfId="10491" xr:uid="{00000000-0005-0000-0000-00001F4F0000}"/>
    <cellStyle name="SAPBEXexcGood3 53" xfId="12826" xr:uid="{00000000-0005-0000-0000-0000204F0000}"/>
    <cellStyle name="SAPBEXexcGood3 54" xfId="16276" xr:uid="{00000000-0005-0000-0000-0000214F0000}"/>
    <cellStyle name="SAPBEXexcGood3 55" xfId="17522" xr:uid="{00000000-0005-0000-0000-0000224F0000}"/>
    <cellStyle name="SAPBEXexcGood3 56" xfId="20972" xr:uid="{00000000-0005-0000-0000-0000234F0000}"/>
    <cellStyle name="SAPBEXexcGood3 57" xfId="22161" xr:uid="{00000000-0005-0000-0000-0000244F0000}"/>
    <cellStyle name="SAPBEXexcGood3 58" xfId="42187" xr:uid="{FA8EBFCB-DFFF-4D32-920F-A2E3E2620B11}"/>
    <cellStyle name="SAPBEXexcGood3 6" xfId="3237" xr:uid="{00000000-0005-0000-0000-0000254F0000}"/>
    <cellStyle name="SAPBEXexcGood3 6 2" xfId="5775" xr:uid="{00000000-0005-0000-0000-0000264F0000}"/>
    <cellStyle name="SAPBEXexcGood3 6 3" xfId="9102" xr:uid="{00000000-0005-0000-0000-0000274F0000}"/>
    <cellStyle name="SAPBEXexcGood3 6 4" xfId="11038" xr:uid="{00000000-0005-0000-0000-0000284F0000}"/>
    <cellStyle name="SAPBEXexcGood3 6 5" xfId="13421" xr:uid="{00000000-0005-0000-0000-0000294F0000}"/>
    <cellStyle name="SAPBEXexcGood3 6 6" xfId="15729" xr:uid="{00000000-0005-0000-0000-00002A4F0000}"/>
    <cellStyle name="SAPBEXexcGood3 6 7" xfId="18117" xr:uid="{00000000-0005-0000-0000-00002B4F0000}"/>
    <cellStyle name="SAPBEXexcGood3 6 8" xfId="20425" xr:uid="{00000000-0005-0000-0000-00002C4F0000}"/>
    <cellStyle name="SAPBEXexcGood3 6 9" xfId="22711" xr:uid="{00000000-0005-0000-0000-00002D4F0000}"/>
    <cellStyle name="SAPBEXexcGood3 7" xfId="3280" xr:uid="{00000000-0005-0000-0000-00002E4F0000}"/>
    <cellStyle name="SAPBEXexcGood3 7 2" xfId="5818" xr:uid="{00000000-0005-0000-0000-00002F4F0000}"/>
    <cellStyle name="SAPBEXexcGood3 7 3" xfId="8803" xr:uid="{00000000-0005-0000-0000-0000304F0000}"/>
    <cellStyle name="SAPBEXexcGood3 7 4" xfId="12069" xr:uid="{00000000-0005-0000-0000-0000314F0000}"/>
    <cellStyle name="SAPBEXexcGood3 7 5" xfId="14549" xr:uid="{00000000-0005-0000-0000-0000324F0000}"/>
    <cellStyle name="SAPBEXexcGood3 7 6" xfId="13699" xr:uid="{00000000-0005-0000-0000-0000334F0000}"/>
    <cellStyle name="SAPBEXexcGood3 7 7" xfId="19245" xr:uid="{00000000-0005-0000-0000-0000344F0000}"/>
    <cellStyle name="SAPBEXexcGood3 7 8" xfId="18395" xr:uid="{00000000-0005-0000-0000-0000354F0000}"/>
    <cellStyle name="SAPBEXexcGood3 7 9" xfId="23741" xr:uid="{00000000-0005-0000-0000-0000364F0000}"/>
    <cellStyle name="SAPBEXexcGood3 8" xfId="3323" xr:uid="{00000000-0005-0000-0000-0000374F0000}"/>
    <cellStyle name="SAPBEXexcGood3 8 2" xfId="5861" xr:uid="{00000000-0005-0000-0000-0000384F0000}"/>
    <cellStyle name="SAPBEXexcGood3 8 3" xfId="9087" xr:uid="{00000000-0005-0000-0000-0000394F0000}"/>
    <cellStyle name="SAPBEXexcGood3 8 4" xfId="10963" xr:uid="{00000000-0005-0000-0000-00003A4F0000}"/>
    <cellStyle name="SAPBEXexcGood3 8 5" xfId="13334" xr:uid="{00000000-0005-0000-0000-00003B4F0000}"/>
    <cellStyle name="SAPBEXexcGood3 8 6" xfId="16125" xr:uid="{00000000-0005-0000-0000-00003C4F0000}"/>
    <cellStyle name="SAPBEXexcGood3 8 7" xfId="18030" xr:uid="{00000000-0005-0000-0000-00003D4F0000}"/>
    <cellStyle name="SAPBEXexcGood3 8 8" xfId="20821" xr:uid="{00000000-0005-0000-0000-00003E4F0000}"/>
    <cellStyle name="SAPBEXexcGood3 8 9" xfId="22634" xr:uid="{00000000-0005-0000-0000-00003F4F0000}"/>
    <cellStyle name="SAPBEXexcGood3 9" xfId="3366" xr:uid="{00000000-0005-0000-0000-0000404F0000}"/>
    <cellStyle name="SAPBEXexcGood3 9 2" xfId="5904" xr:uid="{00000000-0005-0000-0000-0000414F0000}"/>
    <cellStyle name="SAPBEXexcGood3 9 3" xfId="9207" xr:uid="{00000000-0005-0000-0000-0000424F0000}"/>
    <cellStyle name="SAPBEXexcGood3 9 4" xfId="11234" xr:uid="{00000000-0005-0000-0000-0000434F0000}"/>
    <cellStyle name="SAPBEXexcGood3 9 5" xfId="13639" xr:uid="{00000000-0005-0000-0000-0000444F0000}"/>
    <cellStyle name="SAPBEXexcGood3 9 6" xfId="16320" xr:uid="{00000000-0005-0000-0000-0000454F0000}"/>
    <cellStyle name="SAPBEXexcGood3 9 7" xfId="18335" xr:uid="{00000000-0005-0000-0000-0000464F0000}"/>
    <cellStyle name="SAPBEXexcGood3 9 8" xfId="21016" xr:uid="{00000000-0005-0000-0000-0000474F0000}"/>
    <cellStyle name="SAPBEXexcGood3 9 9" xfId="22908" xr:uid="{00000000-0005-0000-0000-0000484F0000}"/>
    <cellStyle name="SAPBEXfilterDrill" xfId="2955" xr:uid="{00000000-0005-0000-0000-0000494F0000}"/>
    <cellStyle name="SAPBEXfilterDrill 10" xfId="3177" xr:uid="{00000000-0005-0000-0000-00004A4F0000}"/>
    <cellStyle name="SAPBEXfilterDrill 10 2" xfId="5715" xr:uid="{00000000-0005-0000-0000-00004B4F0000}"/>
    <cellStyle name="SAPBEXfilterDrill 10 3" xfId="9061" xr:uid="{00000000-0005-0000-0000-00004C4F0000}"/>
    <cellStyle name="SAPBEXfilterDrill 10 4" xfId="11239" xr:uid="{00000000-0005-0000-0000-00004D4F0000}"/>
    <cellStyle name="SAPBEXfilterDrill 10 5" xfId="13644" xr:uid="{00000000-0005-0000-0000-00004E4F0000}"/>
    <cellStyle name="SAPBEXfilterDrill 10 6" xfId="14677" xr:uid="{00000000-0005-0000-0000-00004F4F0000}"/>
    <cellStyle name="SAPBEXfilterDrill 10 7" xfId="18340" xr:uid="{00000000-0005-0000-0000-0000504F0000}"/>
    <cellStyle name="SAPBEXfilterDrill 10 8" xfId="19373" xr:uid="{00000000-0005-0000-0000-0000514F0000}"/>
    <cellStyle name="SAPBEXfilterDrill 10 9" xfId="22913" xr:uid="{00000000-0005-0000-0000-0000524F0000}"/>
    <cellStyle name="SAPBEXfilterDrill 11" xfId="3515" xr:uid="{00000000-0005-0000-0000-0000534F0000}"/>
    <cellStyle name="SAPBEXfilterDrill 11 2" xfId="6053" xr:uid="{00000000-0005-0000-0000-0000544F0000}"/>
    <cellStyle name="SAPBEXfilterDrill 11 3" xfId="8243" xr:uid="{00000000-0005-0000-0000-0000554F0000}"/>
    <cellStyle name="SAPBEXfilterDrill 11 4" xfId="11620" xr:uid="{00000000-0005-0000-0000-0000564F0000}"/>
    <cellStyle name="SAPBEXfilterDrill 11 5" xfId="14061" xr:uid="{00000000-0005-0000-0000-0000574F0000}"/>
    <cellStyle name="SAPBEXfilterDrill 11 6" xfId="15755" xr:uid="{00000000-0005-0000-0000-0000584F0000}"/>
    <cellStyle name="SAPBEXfilterDrill 11 7" xfId="18757" xr:uid="{00000000-0005-0000-0000-0000594F0000}"/>
    <cellStyle name="SAPBEXfilterDrill 11 8" xfId="20451" xr:uid="{00000000-0005-0000-0000-00005A4F0000}"/>
    <cellStyle name="SAPBEXfilterDrill 11 9" xfId="23295" xr:uid="{00000000-0005-0000-0000-00005B4F0000}"/>
    <cellStyle name="SAPBEXfilterDrill 12" xfId="3170" xr:uid="{00000000-0005-0000-0000-00005C4F0000}"/>
    <cellStyle name="SAPBEXfilterDrill 12 2" xfId="5708" xr:uid="{00000000-0005-0000-0000-00005D4F0000}"/>
    <cellStyle name="SAPBEXfilterDrill 12 3" xfId="9163" xr:uid="{00000000-0005-0000-0000-00005E4F0000}"/>
    <cellStyle name="SAPBEXfilterDrill 12 4" xfId="10990" xr:uid="{00000000-0005-0000-0000-00005F4F0000}"/>
    <cellStyle name="SAPBEXfilterDrill 12 5" xfId="12340" xr:uid="{00000000-0005-0000-0000-0000604F0000}"/>
    <cellStyle name="SAPBEXfilterDrill 12 6" xfId="15341" xr:uid="{00000000-0005-0000-0000-0000614F0000}"/>
    <cellStyle name="SAPBEXfilterDrill 12 7" xfId="17036" xr:uid="{00000000-0005-0000-0000-0000624F0000}"/>
    <cellStyle name="SAPBEXfilterDrill 12 8" xfId="20037" xr:uid="{00000000-0005-0000-0000-0000634F0000}"/>
    <cellStyle name="SAPBEXfilterDrill 12 9" xfId="21729" xr:uid="{00000000-0005-0000-0000-0000644F0000}"/>
    <cellStyle name="SAPBEXfilterDrill 13" xfId="3463" xr:uid="{00000000-0005-0000-0000-0000654F0000}"/>
    <cellStyle name="SAPBEXfilterDrill 13 2" xfId="6001" xr:uid="{00000000-0005-0000-0000-0000664F0000}"/>
    <cellStyle name="SAPBEXfilterDrill 13 3" xfId="8893" xr:uid="{00000000-0005-0000-0000-0000674F0000}"/>
    <cellStyle name="SAPBEXfilterDrill 13 4" xfId="11086" xr:uid="{00000000-0005-0000-0000-0000684F0000}"/>
    <cellStyle name="SAPBEXfilterDrill 13 5" xfId="13476" xr:uid="{00000000-0005-0000-0000-0000694F0000}"/>
    <cellStyle name="SAPBEXfilterDrill 13 6" xfId="16631" xr:uid="{00000000-0005-0000-0000-00006A4F0000}"/>
    <cellStyle name="SAPBEXfilterDrill 13 7" xfId="18172" xr:uid="{00000000-0005-0000-0000-00006B4F0000}"/>
    <cellStyle name="SAPBEXfilterDrill 13 8" xfId="21327" xr:uid="{00000000-0005-0000-0000-00006C4F0000}"/>
    <cellStyle name="SAPBEXfilterDrill 13 9" xfId="22759" xr:uid="{00000000-0005-0000-0000-00006D4F0000}"/>
    <cellStyle name="SAPBEXfilterDrill 14" xfId="3586" xr:uid="{00000000-0005-0000-0000-00006E4F0000}"/>
    <cellStyle name="SAPBEXfilterDrill 14 2" xfId="6124" xr:uid="{00000000-0005-0000-0000-00006F4F0000}"/>
    <cellStyle name="SAPBEXfilterDrill 14 3" xfId="9054" xr:uid="{00000000-0005-0000-0000-0000704F0000}"/>
    <cellStyle name="SAPBEXfilterDrill 14 4" xfId="11393" xr:uid="{00000000-0005-0000-0000-0000714F0000}"/>
    <cellStyle name="SAPBEXfilterDrill 14 5" xfId="13808" xr:uid="{00000000-0005-0000-0000-0000724F0000}"/>
    <cellStyle name="SAPBEXfilterDrill 14 6" xfId="15991" xr:uid="{00000000-0005-0000-0000-0000734F0000}"/>
    <cellStyle name="SAPBEXfilterDrill 14 7" xfId="18504" xr:uid="{00000000-0005-0000-0000-0000744F0000}"/>
    <cellStyle name="SAPBEXfilterDrill 14 8" xfId="20687" xr:uid="{00000000-0005-0000-0000-0000754F0000}"/>
    <cellStyle name="SAPBEXfilterDrill 14 9" xfId="23067" xr:uid="{00000000-0005-0000-0000-0000764F0000}"/>
    <cellStyle name="SAPBEXfilterDrill 15" xfId="3577" xr:uid="{00000000-0005-0000-0000-0000774F0000}"/>
    <cellStyle name="SAPBEXfilterDrill 15 2" xfId="6115" xr:uid="{00000000-0005-0000-0000-0000784F0000}"/>
    <cellStyle name="SAPBEXfilterDrill 15 3" xfId="8748" xr:uid="{00000000-0005-0000-0000-0000794F0000}"/>
    <cellStyle name="SAPBEXfilterDrill 15 4" xfId="11162" xr:uid="{00000000-0005-0000-0000-00007A4F0000}"/>
    <cellStyle name="SAPBEXfilterDrill 15 5" xfId="13558" xr:uid="{00000000-0005-0000-0000-00007B4F0000}"/>
    <cellStyle name="SAPBEXfilterDrill 15 6" xfId="15262" xr:uid="{00000000-0005-0000-0000-00007C4F0000}"/>
    <cellStyle name="SAPBEXfilterDrill 15 7" xfId="18254" xr:uid="{00000000-0005-0000-0000-00007D4F0000}"/>
    <cellStyle name="SAPBEXfilterDrill 15 8" xfId="19958" xr:uid="{00000000-0005-0000-0000-00007E4F0000}"/>
    <cellStyle name="SAPBEXfilterDrill 15 9" xfId="22835" xr:uid="{00000000-0005-0000-0000-00007F4F0000}"/>
    <cellStyle name="SAPBEXfilterDrill 16" xfId="3592" xr:uid="{00000000-0005-0000-0000-0000804F0000}"/>
    <cellStyle name="SAPBEXfilterDrill 16 2" xfId="6130" xr:uid="{00000000-0005-0000-0000-0000814F0000}"/>
    <cellStyle name="SAPBEXfilterDrill 16 3" xfId="8332" xr:uid="{00000000-0005-0000-0000-0000824F0000}"/>
    <cellStyle name="SAPBEXfilterDrill 16 4" xfId="10364" xr:uid="{00000000-0005-0000-0000-0000834F0000}"/>
    <cellStyle name="SAPBEXfilterDrill 16 5" xfId="12686" xr:uid="{00000000-0005-0000-0000-0000844F0000}"/>
    <cellStyle name="SAPBEXfilterDrill 16 6" xfId="16863" xr:uid="{00000000-0005-0000-0000-0000854F0000}"/>
    <cellStyle name="SAPBEXfilterDrill 16 7" xfId="17382" xr:uid="{00000000-0005-0000-0000-0000864F0000}"/>
    <cellStyle name="SAPBEXfilterDrill 16 8" xfId="21559" xr:uid="{00000000-0005-0000-0000-0000874F0000}"/>
    <cellStyle name="SAPBEXfilterDrill 16 9" xfId="22035" xr:uid="{00000000-0005-0000-0000-0000884F0000}"/>
    <cellStyle name="SAPBEXfilterDrill 17" xfId="3579" xr:uid="{00000000-0005-0000-0000-0000894F0000}"/>
    <cellStyle name="SAPBEXfilterDrill 17 2" xfId="6117" xr:uid="{00000000-0005-0000-0000-00008A4F0000}"/>
    <cellStyle name="SAPBEXfilterDrill 17 3" xfId="5535" xr:uid="{00000000-0005-0000-0000-00008B4F0000}"/>
    <cellStyle name="SAPBEXfilterDrill 17 4" xfId="11526" xr:uid="{00000000-0005-0000-0000-00008C4F0000}"/>
    <cellStyle name="SAPBEXfilterDrill 17 5" xfId="13955" xr:uid="{00000000-0005-0000-0000-00008D4F0000}"/>
    <cellStyle name="SAPBEXfilterDrill 17 6" xfId="16555" xr:uid="{00000000-0005-0000-0000-00008E4F0000}"/>
    <cellStyle name="SAPBEXfilterDrill 17 7" xfId="18651" xr:uid="{00000000-0005-0000-0000-00008F4F0000}"/>
    <cellStyle name="SAPBEXfilterDrill 17 8" xfId="21251" xr:uid="{00000000-0005-0000-0000-0000904F0000}"/>
    <cellStyle name="SAPBEXfilterDrill 17 9" xfId="23200" xr:uid="{00000000-0005-0000-0000-0000914F0000}"/>
    <cellStyle name="SAPBEXfilterDrill 18" xfId="3698" xr:uid="{00000000-0005-0000-0000-0000924F0000}"/>
    <cellStyle name="SAPBEXfilterDrill 18 2" xfId="6236" xr:uid="{00000000-0005-0000-0000-0000934F0000}"/>
    <cellStyle name="SAPBEXfilterDrill 18 3" xfId="8875" xr:uid="{00000000-0005-0000-0000-0000944F0000}"/>
    <cellStyle name="SAPBEXfilterDrill 18 4" xfId="11560" xr:uid="{00000000-0005-0000-0000-0000954F0000}"/>
    <cellStyle name="SAPBEXfilterDrill 18 5" xfId="13995" xr:uid="{00000000-0005-0000-0000-0000964F0000}"/>
    <cellStyle name="SAPBEXfilterDrill 18 6" xfId="15442" xr:uid="{00000000-0005-0000-0000-0000974F0000}"/>
    <cellStyle name="SAPBEXfilterDrill 18 7" xfId="18691" xr:uid="{00000000-0005-0000-0000-0000984F0000}"/>
    <cellStyle name="SAPBEXfilterDrill 18 8" xfId="20138" xr:uid="{00000000-0005-0000-0000-0000994F0000}"/>
    <cellStyle name="SAPBEXfilterDrill 18 9" xfId="23234" xr:uid="{00000000-0005-0000-0000-00009A4F0000}"/>
    <cellStyle name="SAPBEXfilterDrill 19" xfId="3494" xr:uid="{00000000-0005-0000-0000-00009B4F0000}"/>
    <cellStyle name="SAPBEXfilterDrill 19 2" xfId="6032" xr:uid="{00000000-0005-0000-0000-00009C4F0000}"/>
    <cellStyle name="SAPBEXfilterDrill 19 3" xfId="8953" xr:uid="{00000000-0005-0000-0000-00009D4F0000}"/>
    <cellStyle name="SAPBEXfilterDrill 19 4" xfId="11729" xr:uid="{00000000-0005-0000-0000-00009E4F0000}"/>
    <cellStyle name="SAPBEXfilterDrill 19 5" xfId="14180" xr:uid="{00000000-0005-0000-0000-00009F4F0000}"/>
    <cellStyle name="SAPBEXfilterDrill 19 6" xfId="15617" xr:uid="{00000000-0005-0000-0000-0000A04F0000}"/>
    <cellStyle name="SAPBEXfilterDrill 19 7" xfId="18876" xr:uid="{00000000-0005-0000-0000-0000A14F0000}"/>
    <cellStyle name="SAPBEXfilterDrill 19 8" xfId="20313" xr:uid="{00000000-0005-0000-0000-0000A24F0000}"/>
    <cellStyle name="SAPBEXfilterDrill 19 9" xfId="23403" xr:uid="{00000000-0005-0000-0000-0000A34F0000}"/>
    <cellStyle name="SAPBEXfilterDrill 2" xfId="3074" xr:uid="{00000000-0005-0000-0000-0000A44F0000}"/>
    <cellStyle name="SAPBEXfilterDrill 2 2" xfId="5612" xr:uid="{00000000-0005-0000-0000-0000A54F0000}"/>
    <cellStyle name="SAPBEXfilterDrill 2 3" xfId="9284" xr:uid="{00000000-0005-0000-0000-0000A64F0000}"/>
    <cellStyle name="SAPBEXfilterDrill 2 4" xfId="11361" xr:uid="{00000000-0005-0000-0000-0000A74F0000}"/>
    <cellStyle name="SAPBEXfilterDrill 2 5" xfId="13774" xr:uid="{00000000-0005-0000-0000-0000A84F0000}"/>
    <cellStyle name="SAPBEXfilterDrill 2 6" xfId="16087" xr:uid="{00000000-0005-0000-0000-0000A94F0000}"/>
    <cellStyle name="SAPBEXfilterDrill 2 7" xfId="18470" xr:uid="{00000000-0005-0000-0000-0000AA4F0000}"/>
    <cellStyle name="SAPBEXfilterDrill 2 8" xfId="20783" xr:uid="{00000000-0005-0000-0000-0000AB4F0000}"/>
    <cellStyle name="SAPBEXfilterDrill 2 9" xfId="23035" xr:uid="{00000000-0005-0000-0000-0000AC4F0000}"/>
    <cellStyle name="SAPBEXfilterDrill 20" xfId="3760" xr:uid="{00000000-0005-0000-0000-0000AD4F0000}"/>
    <cellStyle name="SAPBEXfilterDrill 20 2" xfId="6298" xr:uid="{00000000-0005-0000-0000-0000AE4F0000}"/>
    <cellStyle name="SAPBEXfilterDrill 20 3" xfId="9846" xr:uid="{00000000-0005-0000-0000-0000AF4F0000}"/>
    <cellStyle name="SAPBEXfilterDrill 20 4" xfId="10663" xr:uid="{00000000-0005-0000-0000-0000B04F0000}"/>
    <cellStyle name="SAPBEXfilterDrill 20 5" xfId="13012" xr:uid="{00000000-0005-0000-0000-0000B14F0000}"/>
    <cellStyle name="SAPBEXfilterDrill 20 6" xfId="16059" xr:uid="{00000000-0005-0000-0000-0000B24F0000}"/>
    <cellStyle name="SAPBEXfilterDrill 20 7" xfId="17708" xr:uid="{00000000-0005-0000-0000-0000B34F0000}"/>
    <cellStyle name="SAPBEXfilterDrill 20 8" xfId="20755" xr:uid="{00000000-0005-0000-0000-0000B44F0000}"/>
    <cellStyle name="SAPBEXfilterDrill 20 9" xfId="22336" xr:uid="{00000000-0005-0000-0000-0000B54F0000}"/>
    <cellStyle name="SAPBEXfilterDrill 21" xfId="3712" xr:uid="{00000000-0005-0000-0000-0000B64F0000}"/>
    <cellStyle name="SAPBEXfilterDrill 21 2" xfId="6250" xr:uid="{00000000-0005-0000-0000-0000B74F0000}"/>
    <cellStyle name="SAPBEXfilterDrill 21 3" xfId="8388" xr:uid="{00000000-0005-0000-0000-0000B84F0000}"/>
    <cellStyle name="SAPBEXfilterDrill 21 4" xfId="12287" xr:uid="{00000000-0005-0000-0000-0000B94F0000}"/>
    <cellStyle name="SAPBEXfilterDrill 21 5" xfId="13965" xr:uid="{00000000-0005-0000-0000-0000BA4F0000}"/>
    <cellStyle name="SAPBEXfilterDrill 21 6" xfId="16120" xr:uid="{00000000-0005-0000-0000-0000BB4F0000}"/>
    <cellStyle name="SAPBEXfilterDrill 21 7" xfId="18661" xr:uid="{00000000-0005-0000-0000-0000BC4F0000}"/>
    <cellStyle name="SAPBEXfilterDrill 21 8" xfId="20816" xr:uid="{00000000-0005-0000-0000-0000BD4F0000}"/>
    <cellStyle name="SAPBEXfilterDrill 21 9" xfId="23207" xr:uid="{00000000-0005-0000-0000-0000BE4F0000}"/>
    <cellStyle name="SAPBEXfilterDrill 22" xfId="3738" xr:uid="{00000000-0005-0000-0000-0000BF4F0000}"/>
    <cellStyle name="SAPBEXfilterDrill 22 2" xfId="6276" xr:uid="{00000000-0005-0000-0000-0000C04F0000}"/>
    <cellStyle name="SAPBEXfilterDrill 22 3" xfId="8762" xr:uid="{00000000-0005-0000-0000-0000C14F0000}"/>
    <cellStyle name="SAPBEXfilterDrill 22 4" xfId="11516" xr:uid="{00000000-0005-0000-0000-0000C24F0000}"/>
    <cellStyle name="SAPBEXfilterDrill 22 5" xfId="13944" xr:uid="{00000000-0005-0000-0000-0000C34F0000}"/>
    <cellStyle name="SAPBEXfilterDrill 22 6" xfId="15532" xr:uid="{00000000-0005-0000-0000-0000C44F0000}"/>
    <cellStyle name="SAPBEXfilterDrill 22 7" xfId="18640" xr:uid="{00000000-0005-0000-0000-0000C54F0000}"/>
    <cellStyle name="SAPBEXfilterDrill 22 8" xfId="20228" xr:uid="{00000000-0005-0000-0000-0000C64F0000}"/>
    <cellStyle name="SAPBEXfilterDrill 22 9" xfId="23190" xr:uid="{00000000-0005-0000-0000-0000C74F0000}"/>
    <cellStyle name="SAPBEXfilterDrill 23" xfId="3625" xr:uid="{00000000-0005-0000-0000-0000C84F0000}"/>
    <cellStyle name="SAPBEXfilterDrill 23 2" xfId="6163" xr:uid="{00000000-0005-0000-0000-0000C94F0000}"/>
    <cellStyle name="SAPBEXfilterDrill 23 3" xfId="5537" xr:uid="{00000000-0005-0000-0000-0000CA4F0000}"/>
    <cellStyle name="SAPBEXfilterDrill 23 4" xfId="10706" xr:uid="{00000000-0005-0000-0000-0000CB4F0000}"/>
    <cellStyle name="SAPBEXfilterDrill 23 5" xfId="13060" xr:uid="{00000000-0005-0000-0000-0000CC4F0000}"/>
    <cellStyle name="SAPBEXfilterDrill 23 6" xfId="16371" xr:uid="{00000000-0005-0000-0000-0000CD4F0000}"/>
    <cellStyle name="SAPBEXfilterDrill 23 7" xfId="17756" xr:uid="{00000000-0005-0000-0000-0000CE4F0000}"/>
    <cellStyle name="SAPBEXfilterDrill 23 8" xfId="21067" xr:uid="{00000000-0005-0000-0000-0000CF4F0000}"/>
    <cellStyle name="SAPBEXfilterDrill 23 9" xfId="22379" xr:uid="{00000000-0005-0000-0000-0000D04F0000}"/>
    <cellStyle name="SAPBEXfilterDrill 24" xfId="3872" xr:uid="{00000000-0005-0000-0000-0000D14F0000}"/>
    <cellStyle name="SAPBEXfilterDrill 24 2" xfId="6410" xr:uid="{00000000-0005-0000-0000-0000D24F0000}"/>
    <cellStyle name="SAPBEXfilterDrill 24 3" xfId="9103" xr:uid="{00000000-0005-0000-0000-0000D34F0000}"/>
    <cellStyle name="SAPBEXfilterDrill 24 4" xfId="11699" xr:uid="{00000000-0005-0000-0000-0000D44F0000}"/>
    <cellStyle name="SAPBEXfilterDrill 24 5" xfId="14148" xr:uid="{00000000-0005-0000-0000-0000D54F0000}"/>
    <cellStyle name="SAPBEXfilterDrill 24 6" xfId="15095" xr:uid="{00000000-0005-0000-0000-0000D64F0000}"/>
    <cellStyle name="SAPBEXfilterDrill 24 7" xfId="18844" xr:uid="{00000000-0005-0000-0000-0000D74F0000}"/>
    <cellStyle name="SAPBEXfilterDrill 24 8" xfId="19791" xr:uid="{00000000-0005-0000-0000-0000D84F0000}"/>
    <cellStyle name="SAPBEXfilterDrill 24 9" xfId="23373" xr:uid="{00000000-0005-0000-0000-0000D94F0000}"/>
    <cellStyle name="SAPBEXfilterDrill 25" xfId="3789" xr:uid="{00000000-0005-0000-0000-0000DA4F0000}"/>
    <cellStyle name="SAPBEXfilterDrill 25 2" xfId="6327" xr:uid="{00000000-0005-0000-0000-0000DB4F0000}"/>
    <cellStyle name="SAPBEXfilterDrill 25 3" xfId="8968" xr:uid="{00000000-0005-0000-0000-0000DC4F0000}"/>
    <cellStyle name="SAPBEXfilterDrill 25 4" xfId="11220" xr:uid="{00000000-0005-0000-0000-0000DD4F0000}"/>
    <cellStyle name="SAPBEXfilterDrill 25 5" xfId="13623" xr:uid="{00000000-0005-0000-0000-0000DE4F0000}"/>
    <cellStyle name="SAPBEXfilterDrill 25 6" xfId="16450" xr:uid="{00000000-0005-0000-0000-0000DF4F0000}"/>
    <cellStyle name="SAPBEXfilterDrill 25 7" xfId="18319" xr:uid="{00000000-0005-0000-0000-0000E04F0000}"/>
    <cellStyle name="SAPBEXfilterDrill 25 8" xfId="21146" xr:uid="{00000000-0005-0000-0000-0000E14F0000}"/>
    <cellStyle name="SAPBEXfilterDrill 25 9" xfId="22895" xr:uid="{00000000-0005-0000-0000-0000E24F0000}"/>
    <cellStyle name="SAPBEXfilterDrill 26" xfId="3749" xr:uid="{00000000-0005-0000-0000-0000E34F0000}"/>
    <cellStyle name="SAPBEXfilterDrill 26 2" xfId="6287" xr:uid="{00000000-0005-0000-0000-0000E44F0000}"/>
    <cellStyle name="SAPBEXfilterDrill 26 3" xfId="8126" xr:uid="{00000000-0005-0000-0000-0000E54F0000}"/>
    <cellStyle name="SAPBEXfilterDrill 26 4" xfId="11230" xr:uid="{00000000-0005-0000-0000-0000E64F0000}"/>
    <cellStyle name="SAPBEXfilterDrill 26 5" xfId="13350" xr:uid="{00000000-0005-0000-0000-0000E74F0000}"/>
    <cellStyle name="SAPBEXfilterDrill 26 6" xfId="14485" xr:uid="{00000000-0005-0000-0000-0000E84F0000}"/>
    <cellStyle name="SAPBEXfilterDrill 26 7" xfId="18046" xr:uid="{00000000-0005-0000-0000-0000E94F0000}"/>
    <cellStyle name="SAPBEXfilterDrill 26 8" xfId="19181" xr:uid="{00000000-0005-0000-0000-0000EA4F0000}"/>
    <cellStyle name="SAPBEXfilterDrill 26 9" xfId="22649" xr:uid="{00000000-0005-0000-0000-0000EB4F0000}"/>
    <cellStyle name="SAPBEXfilterDrill 27" xfId="3884" xr:uid="{00000000-0005-0000-0000-0000EC4F0000}"/>
    <cellStyle name="SAPBEXfilterDrill 27 2" xfId="6422" xr:uid="{00000000-0005-0000-0000-0000ED4F0000}"/>
    <cellStyle name="SAPBEXfilterDrill 27 3" xfId="8165" xr:uid="{00000000-0005-0000-0000-0000EE4F0000}"/>
    <cellStyle name="SAPBEXfilterDrill 27 4" xfId="11614" xr:uid="{00000000-0005-0000-0000-0000EF4F0000}"/>
    <cellStyle name="SAPBEXfilterDrill 27 5" xfId="14054" xr:uid="{00000000-0005-0000-0000-0000F04F0000}"/>
    <cellStyle name="SAPBEXfilterDrill 27 6" xfId="16638" xr:uid="{00000000-0005-0000-0000-0000F14F0000}"/>
    <cellStyle name="SAPBEXfilterDrill 27 7" xfId="18750" xr:uid="{00000000-0005-0000-0000-0000F24F0000}"/>
    <cellStyle name="SAPBEXfilterDrill 27 8" xfId="21334" xr:uid="{00000000-0005-0000-0000-0000F34F0000}"/>
    <cellStyle name="SAPBEXfilterDrill 27 9" xfId="23288" xr:uid="{00000000-0005-0000-0000-0000F44F0000}"/>
    <cellStyle name="SAPBEXfilterDrill 28" xfId="4020" xr:uid="{00000000-0005-0000-0000-0000F54F0000}"/>
    <cellStyle name="SAPBEXfilterDrill 28 2" xfId="6558" xr:uid="{00000000-0005-0000-0000-0000F64F0000}"/>
    <cellStyle name="SAPBEXfilterDrill 28 3" xfId="8077" xr:uid="{00000000-0005-0000-0000-0000F74F0000}"/>
    <cellStyle name="SAPBEXfilterDrill 28 4" xfId="11835" xr:uid="{00000000-0005-0000-0000-0000F84F0000}"/>
    <cellStyle name="SAPBEXfilterDrill 28 5" xfId="14293" xr:uid="{00000000-0005-0000-0000-0000F94F0000}"/>
    <cellStyle name="SAPBEXfilterDrill 28 6" xfId="15213" xr:uid="{00000000-0005-0000-0000-0000FA4F0000}"/>
    <cellStyle name="SAPBEXfilterDrill 28 7" xfId="18989" xr:uid="{00000000-0005-0000-0000-0000FB4F0000}"/>
    <cellStyle name="SAPBEXfilterDrill 28 8" xfId="19909" xr:uid="{00000000-0005-0000-0000-0000FC4F0000}"/>
    <cellStyle name="SAPBEXfilterDrill 28 9" xfId="23510" xr:uid="{00000000-0005-0000-0000-0000FD4F0000}"/>
    <cellStyle name="SAPBEXfilterDrill 29" xfId="4099" xr:uid="{00000000-0005-0000-0000-0000FE4F0000}"/>
    <cellStyle name="SAPBEXfilterDrill 29 2" xfId="6637" xr:uid="{00000000-0005-0000-0000-0000FF4F0000}"/>
    <cellStyle name="SAPBEXfilterDrill 29 3" xfId="10210" xr:uid="{00000000-0005-0000-0000-000000500000}"/>
    <cellStyle name="SAPBEXfilterDrill 29 4" xfId="11569" xr:uid="{00000000-0005-0000-0000-000001500000}"/>
    <cellStyle name="SAPBEXfilterDrill 29 5" xfId="14005" xr:uid="{00000000-0005-0000-0000-000002500000}"/>
    <cellStyle name="SAPBEXfilterDrill 29 6" xfId="14965" xr:uid="{00000000-0005-0000-0000-000003500000}"/>
    <cellStyle name="SAPBEXfilterDrill 29 7" xfId="18701" xr:uid="{00000000-0005-0000-0000-000004500000}"/>
    <cellStyle name="SAPBEXfilterDrill 29 8" xfId="19661" xr:uid="{00000000-0005-0000-0000-000005500000}"/>
    <cellStyle name="SAPBEXfilterDrill 29 9" xfId="23243" xr:uid="{00000000-0005-0000-0000-000006500000}"/>
    <cellStyle name="SAPBEXfilterDrill 3" xfId="3025" xr:uid="{00000000-0005-0000-0000-000007500000}"/>
    <cellStyle name="SAPBEXfilterDrill 3 2" xfId="5564" xr:uid="{00000000-0005-0000-0000-000008500000}"/>
    <cellStyle name="SAPBEXfilterDrill 3 3" xfId="9354" xr:uid="{00000000-0005-0000-0000-000009500000}"/>
    <cellStyle name="SAPBEXfilterDrill 3 4" xfId="11956" xr:uid="{00000000-0005-0000-0000-00000A500000}"/>
    <cellStyle name="SAPBEXfilterDrill 3 5" xfId="14431" xr:uid="{00000000-0005-0000-0000-00000B500000}"/>
    <cellStyle name="SAPBEXfilterDrill 3 6" xfId="16707" xr:uid="{00000000-0005-0000-0000-00000C500000}"/>
    <cellStyle name="SAPBEXfilterDrill 3 7" xfId="19127" xr:uid="{00000000-0005-0000-0000-00000D500000}"/>
    <cellStyle name="SAPBEXfilterDrill 3 8" xfId="21403" xr:uid="{00000000-0005-0000-0000-00000E500000}"/>
    <cellStyle name="SAPBEXfilterDrill 3 9" xfId="23631" xr:uid="{00000000-0005-0000-0000-00000F500000}"/>
    <cellStyle name="SAPBEXfilterDrill 30" xfId="3987" xr:uid="{00000000-0005-0000-0000-000010500000}"/>
    <cellStyle name="SAPBEXfilterDrill 30 2" xfId="6525" xr:uid="{00000000-0005-0000-0000-000011500000}"/>
    <cellStyle name="SAPBEXfilterDrill 30 3" xfId="7977" xr:uid="{00000000-0005-0000-0000-000012500000}"/>
    <cellStyle name="SAPBEXfilterDrill 30 4" xfId="10697" xr:uid="{00000000-0005-0000-0000-000013500000}"/>
    <cellStyle name="SAPBEXfilterDrill 30 5" xfId="13049" xr:uid="{00000000-0005-0000-0000-000014500000}"/>
    <cellStyle name="SAPBEXfilterDrill 30 6" xfId="15439" xr:uid="{00000000-0005-0000-0000-000015500000}"/>
    <cellStyle name="SAPBEXfilterDrill 30 7" xfId="17745" xr:uid="{00000000-0005-0000-0000-000016500000}"/>
    <cellStyle name="SAPBEXfilterDrill 30 8" xfId="20135" xr:uid="{00000000-0005-0000-0000-000017500000}"/>
    <cellStyle name="SAPBEXfilterDrill 30 9" xfId="22370" xr:uid="{00000000-0005-0000-0000-000018500000}"/>
    <cellStyle name="SAPBEXfilterDrill 31" xfId="4038" xr:uid="{00000000-0005-0000-0000-000019500000}"/>
    <cellStyle name="SAPBEXfilterDrill 31 2" xfId="6576" xr:uid="{00000000-0005-0000-0000-00001A500000}"/>
    <cellStyle name="SAPBEXfilterDrill 31 3" xfId="8857" xr:uid="{00000000-0005-0000-0000-00001B500000}"/>
    <cellStyle name="SAPBEXfilterDrill 31 4" xfId="10902" xr:uid="{00000000-0005-0000-0000-00001C500000}"/>
    <cellStyle name="SAPBEXfilterDrill 31 5" xfId="13272" xr:uid="{00000000-0005-0000-0000-00001D500000}"/>
    <cellStyle name="SAPBEXfilterDrill 31 6" xfId="16711" xr:uid="{00000000-0005-0000-0000-00001E500000}"/>
    <cellStyle name="SAPBEXfilterDrill 31 7" xfId="17968" xr:uid="{00000000-0005-0000-0000-00001F500000}"/>
    <cellStyle name="SAPBEXfilterDrill 31 8" xfId="21407" xr:uid="{00000000-0005-0000-0000-000020500000}"/>
    <cellStyle name="SAPBEXfilterDrill 31 9" xfId="22573" xr:uid="{00000000-0005-0000-0000-000021500000}"/>
    <cellStyle name="SAPBEXfilterDrill 32" xfId="4047" xr:uid="{00000000-0005-0000-0000-000022500000}"/>
    <cellStyle name="SAPBEXfilterDrill 32 2" xfId="6585" xr:uid="{00000000-0005-0000-0000-000023500000}"/>
    <cellStyle name="SAPBEXfilterDrill 32 3" xfId="8031" xr:uid="{00000000-0005-0000-0000-000024500000}"/>
    <cellStyle name="SAPBEXfilterDrill 32 4" xfId="10637" xr:uid="{00000000-0005-0000-0000-000025500000}"/>
    <cellStyle name="SAPBEXfilterDrill 32 5" xfId="12986" xr:uid="{00000000-0005-0000-0000-000026500000}"/>
    <cellStyle name="SAPBEXfilterDrill 32 6" xfId="16358" xr:uid="{00000000-0005-0000-0000-000027500000}"/>
    <cellStyle name="SAPBEXfilterDrill 32 7" xfId="17682" xr:uid="{00000000-0005-0000-0000-000028500000}"/>
    <cellStyle name="SAPBEXfilterDrill 32 8" xfId="21054" xr:uid="{00000000-0005-0000-0000-000029500000}"/>
    <cellStyle name="SAPBEXfilterDrill 32 9" xfId="22310" xr:uid="{00000000-0005-0000-0000-00002A500000}"/>
    <cellStyle name="SAPBEXfilterDrill 33" xfId="4206" xr:uid="{00000000-0005-0000-0000-00002B500000}"/>
    <cellStyle name="SAPBEXfilterDrill 33 2" xfId="6744" xr:uid="{00000000-0005-0000-0000-00002C500000}"/>
    <cellStyle name="SAPBEXfilterDrill 33 3" xfId="8336" xr:uid="{00000000-0005-0000-0000-00002D500000}"/>
    <cellStyle name="SAPBEXfilterDrill 33 4" xfId="12020" xr:uid="{00000000-0005-0000-0000-00002E500000}"/>
    <cellStyle name="SAPBEXfilterDrill 33 5" xfId="14500" xr:uid="{00000000-0005-0000-0000-00002F500000}"/>
    <cellStyle name="SAPBEXfilterDrill 33 6" xfId="12411" xr:uid="{00000000-0005-0000-0000-000030500000}"/>
    <cellStyle name="SAPBEXfilterDrill 33 7" xfId="19196" xr:uid="{00000000-0005-0000-0000-000031500000}"/>
    <cellStyle name="SAPBEXfilterDrill 33 8" xfId="17107" xr:uid="{00000000-0005-0000-0000-000032500000}"/>
    <cellStyle name="SAPBEXfilterDrill 33 9" xfId="23695" xr:uid="{00000000-0005-0000-0000-000033500000}"/>
    <cellStyle name="SAPBEXfilterDrill 34" xfId="4067" xr:uid="{00000000-0005-0000-0000-000034500000}"/>
    <cellStyle name="SAPBEXfilterDrill 34 2" xfId="6605" xr:uid="{00000000-0005-0000-0000-000035500000}"/>
    <cellStyle name="SAPBEXfilterDrill 34 3" xfId="8518" xr:uid="{00000000-0005-0000-0000-000036500000}"/>
    <cellStyle name="SAPBEXfilterDrill 34 4" xfId="10525" xr:uid="{00000000-0005-0000-0000-000037500000}"/>
    <cellStyle name="SAPBEXfilterDrill 34 5" xfId="12866" xr:uid="{00000000-0005-0000-0000-000038500000}"/>
    <cellStyle name="SAPBEXfilterDrill 34 6" xfId="16758" xr:uid="{00000000-0005-0000-0000-000039500000}"/>
    <cellStyle name="SAPBEXfilterDrill 34 7" xfId="17562" xr:uid="{00000000-0005-0000-0000-00003A500000}"/>
    <cellStyle name="SAPBEXfilterDrill 34 8" xfId="21454" xr:uid="{00000000-0005-0000-0000-00003B500000}"/>
    <cellStyle name="SAPBEXfilterDrill 34 9" xfId="22196" xr:uid="{00000000-0005-0000-0000-00003C500000}"/>
    <cellStyle name="SAPBEXfilterDrill 35" xfId="4212" xr:uid="{00000000-0005-0000-0000-00003D500000}"/>
    <cellStyle name="SAPBEXfilterDrill 35 2" xfId="6750" xr:uid="{00000000-0005-0000-0000-00003E500000}"/>
    <cellStyle name="SAPBEXfilterDrill 35 3" xfId="9599" xr:uid="{00000000-0005-0000-0000-00003F500000}"/>
    <cellStyle name="SAPBEXfilterDrill 35 4" xfId="11656" xr:uid="{00000000-0005-0000-0000-000040500000}"/>
    <cellStyle name="SAPBEXfilterDrill 35 5" xfId="14102" xr:uid="{00000000-0005-0000-0000-000041500000}"/>
    <cellStyle name="SAPBEXfilterDrill 35 6" xfId="15980" xr:uid="{00000000-0005-0000-0000-000042500000}"/>
    <cellStyle name="SAPBEXfilterDrill 35 7" xfId="18798" xr:uid="{00000000-0005-0000-0000-000043500000}"/>
    <cellStyle name="SAPBEXfilterDrill 35 8" xfId="20676" xr:uid="{00000000-0005-0000-0000-000044500000}"/>
    <cellStyle name="SAPBEXfilterDrill 35 9" xfId="23331" xr:uid="{00000000-0005-0000-0000-000045500000}"/>
    <cellStyle name="SAPBEXfilterDrill 36" xfId="4224" xr:uid="{00000000-0005-0000-0000-000046500000}"/>
    <cellStyle name="SAPBEXfilterDrill 36 2" xfId="6762" xr:uid="{00000000-0005-0000-0000-000047500000}"/>
    <cellStyle name="SAPBEXfilterDrill 36 3" xfId="8572" xr:uid="{00000000-0005-0000-0000-000048500000}"/>
    <cellStyle name="SAPBEXfilterDrill 36 4" xfId="11494" xr:uid="{00000000-0005-0000-0000-000049500000}"/>
    <cellStyle name="SAPBEXfilterDrill 36 5" xfId="13669" xr:uid="{00000000-0005-0000-0000-00004A500000}"/>
    <cellStyle name="SAPBEXfilterDrill 36 6" xfId="15378" xr:uid="{00000000-0005-0000-0000-00004B500000}"/>
    <cellStyle name="SAPBEXfilterDrill 36 7" xfId="18365" xr:uid="{00000000-0005-0000-0000-00004C500000}"/>
    <cellStyle name="SAPBEXfilterDrill 36 8" xfId="20074" xr:uid="{00000000-0005-0000-0000-00004D500000}"/>
    <cellStyle name="SAPBEXfilterDrill 36 9" xfId="22937" xr:uid="{00000000-0005-0000-0000-00004E500000}"/>
    <cellStyle name="SAPBEXfilterDrill 37" xfId="4182" xr:uid="{00000000-0005-0000-0000-00004F500000}"/>
    <cellStyle name="SAPBEXfilterDrill 37 2" xfId="6720" xr:uid="{00000000-0005-0000-0000-000050500000}"/>
    <cellStyle name="SAPBEXfilterDrill 37 3" xfId="9159" xr:uid="{00000000-0005-0000-0000-000051500000}"/>
    <cellStyle name="SAPBEXfilterDrill 37 4" xfId="10603" xr:uid="{00000000-0005-0000-0000-000052500000}"/>
    <cellStyle name="SAPBEXfilterDrill 37 5" xfId="12951" xr:uid="{00000000-0005-0000-0000-000053500000}"/>
    <cellStyle name="SAPBEXfilterDrill 37 6" xfId="16468" xr:uid="{00000000-0005-0000-0000-000054500000}"/>
    <cellStyle name="SAPBEXfilterDrill 37 7" xfId="17647" xr:uid="{00000000-0005-0000-0000-000055500000}"/>
    <cellStyle name="SAPBEXfilterDrill 37 8" xfId="21164" xr:uid="{00000000-0005-0000-0000-000056500000}"/>
    <cellStyle name="SAPBEXfilterDrill 37 9" xfId="22276" xr:uid="{00000000-0005-0000-0000-000057500000}"/>
    <cellStyle name="SAPBEXfilterDrill 38" xfId="4189" xr:uid="{00000000-0005-0000-0000-000058500000}"/>
    <cellStyle name="SAPBEXfilterDrill 38 2" xfId="6727" xr:uid="{00000000-0005-0000-0000-000059500000}"/>
    <cellStyle name="SAPBEXfilterDrill 38 3" xfId="9733" xr:uid="{00000000-0005-0000-0000-00005A500000}"/>
    <cellStyle name="SAPBEXfilterDrill 38 4" xfId="11465" xr:uid="{00000000-0005-0000-0000-00005B500000}"/>
    <cellStyle name="SAPBEXfilterDrill 38 5" xfId="13888" xr:uid="{00000000-0005-0000-0000-00005C500000}"/>
    <cellStyle name="SAPBEXfilterDrill 38 6" xfId="15107" xr:uid="{00000000-0005-0000-0000-00005D500000}"/>
    <cellStyle name="SAPBEXfilterDrill 38 7" xfId="18584" xr:uid="{00000000-0005-0000-0000-00005E500000}"/>
    <cellStyle name="SAPBEXfilterDrill 38 8" xfId="19803" xr:uid="{00000000-0005-0000-0000-00005F500000}"/>
    <cellStyle name="SAPBEXfilterDrill 38 9" xfId="23140" xr:uid="{00000000-0005-0000-0000-000060500000}"/>
    <cellStyle name="SAPBEXfilterDrill 39" xfId="4528" xr:uid="{00000000-0005-0000-0000-000061500000}"/>
    <cellStyle name="SAPBEXfilterDrill 39 2" xfId="7066" xr:uid="{00000000-0005-0000-0000-000062500000}"/>
    <cellStyle name="SAPBEXfilterDrill 39 3" xfId="9028" xr:uid="{00000000-0005-0000-0000-000063500000}"/>
    <cellStyle name="SAPBEXfilterDrill 39 4" xfId="11252" xr:uid="{00000000-0005-0000-0000-000064500000}"/>
    <cellStyle name="SAPBEXfilterDrill 39 5" xfId="13657" xr:uid="{00000000-0005-0000-0000-000065500000}"/>
    <cellStyle name="SAPBEXfilterDrill 39 6" xfId="12541" xr:uid="{00000000-0005-0000-0000-000066500000}"/>
    <cellStyle name="SAPBEXfilterDrill 39 7" xfId="18353" xr:uid="{00000000-0005-0000-0000-000067500000}"/>
    <cellStyle name="SAPBEXfilterDrill 39 8" xfId="17237" xr:uid="{00000000-0005-0000-0000-000068500000}"/>
    <cellStyle name="SAPBEXfilterDrill 39 9" xfId="22926" xr:uid="{00000000-0005-0000-0000-000069500000}"/>
    <cellStyle name="SAPBEXfilterDrill 4" xfId="3053" xr:uid="{00000000-0005-0000-0000-00006A500000}"/>
    <cellStyle name="SAPBEXfilterDrill 4 2" xfId="5592" xr:uid="{00000000-0005-0000-0000-00006B500000}"/>
    <cellStyle name="SAPBEXfilterDrill 4 3" xfId="9773" xr:uid="{00000000-0005-0000-0000-00006C500000}"/>
    <cellStyle name="SAPBEXfilterDrill 4 4" xfId="8801" xr:uid="{00000000-0005-0000-0000-00006D500000}"/>
    <cellStyle name="SAPBEXfilterDrill 4 5" xfId="12462" xr:uid="{00000000-0005-0000-0000-00006E500000}"/>
    <cellStyle name="SAPBEXfilterDrill 4 6" xfId="15254" xr:uid="{00000000-0005-0000-0000-00006F500000}"/>
    <cellStyle name="SAPBEXfilterDrill 4 7" xfId="17158" xr:uid="{00000000-0005-0000-0000-000070500000}"/>
    <cellStyle name="SAPBEXfilterDrill 4 8" xfId="19950" xr:uid="{00000000-0005-0000-0000-000071500000}"/>
    <cellStyle name="SAPBEXfilterDrill 4 9" xfId="21839" xr:uid="{00000000-0005-0000-0000-000072500000}"/>
    <cellStyle name="SAPBEXfilterDrill 40" xfId="4380" xr:uid="{00000000-0005-0000-0000-000073500000}"/>
    <cellStyle name="SAPBEXfilterDrill 40 2" xfId="6918" xr:uid="{00000000-0005-0000-0000-000074500000}"/>
    <cellStyle name="SAPBEXfilterDrill 40 3" xfId="8346" xr:uid="{00000000-0005-0000-0000-000075500000}"/>
    <cellStyle name="SAPBEXfilterDrill 40 4" xfId="10980" xr:uid="{00000000-0005-0000-0000-000076500000}"/>
    <cellStyle name="SAPBEXfilterDrill 40 5" xfId="13354" xr:uid="{00000000-0005-0000-0000-000077500000}"/>
    <cellStyle name="SAPBEXfilterDrill 40 6" xfId="16483" xr:uid="{00000000-0005-0000-0000-000078500000}"/>
    <cellStyle name="SAPBEXfilterDrill 40 7" xfId="18050" xr:uid="{00000000-0005-0000-0000-000079500000}"/>
    <cellStyle name="SAPBEXfilterDrill 40 8" xfId="21179" xr:uid="{00000000-0005-0000-0000-00007A500000}"/>
    <cellStyle name="SAPBEXfilterDrill 40 9" xfId="22653" xr:uid="{00000000-0005-0000-0000-00007B500000}"/>
    <cellStyle name="SAPBEXfilterDrill 41" xfId="4320" xr:uid="{00000000-0005-0000-0000-00007C500000}"/>
    <cellStyle name="SAPBEXfilterDrill 41 2" xfId="6858" xr:uid="{00000000-0005-0000-0000-00007D500000}"/>
    <cellStyle name="SAPBEXfilterDrill 41 3" xfId="9612" xr:uid="{00000000-0005-0000-0000-00007E500000}"/>
    <cellStyle name="SAPBEXfilterDrill 41 4" xfId="12258" xr:uid="{00000000-0005-0000-0000-00007F500000}"/>
    <cellStyle name="SAPBEXfilterDrill 41 5" xfId="12352" xr:uid="{00000000-0005-0000-0000-000080500000}"/>
    <cellStyle name="SAPBEXfilterDrill 41 6" xfId="15255" xr:uid="{00000000-0005-0000-0000-000081500000}"/>
    <cellStyle name="SAPBEXfilterDrill 41 7" xfId="17048" xr:uid="{00000000-0005-0000-0000-000082500000}"/>
    <cellStyle name="SAPBEXfilterDrill 41 8" xfId="19951" xr:uid="{00000000-0005-0000-0000-000083500000}"/>
    <cellStyle name="SAPBEXfilterDrill 41 9" xfId="21739" xr:uid="{00000000-0005-0000-0000-000084500000}"/>
    <cellStyle name="SAPBEXfilterDrill 42" xfId="4519" xr:uid="{00000000-0005-0000-0000-000085500000}"/>
    <cellStyle name="SAPBEXfilterDrill 42 2" xfId="7057" xr:uid="{00000000-0005-0000-0000-000086500000}"/>
    <cellStyle name="SAPBEXfilterDrill 42 3" xfId="8254" xr:uid="{00000000-0005-0000-0000-000087500000}"/>
    <cellStyle name="SAPBEXfilterDrill 42 4" xfId="12289" xr:uid="{00000000-0005-0000-0000-000088500000}"/>
    <cellStyle name="SAPBEXfilterDrill 42 5" xfId="14023" xr:uid="{00000000-0005-0000-0000-000089500000}"/>
    <cellStyle name="SAPBEXfilterDrill 42 6" xfId="15423" xr:uid="{00000000-0005-0000-0000-00008A500000}"/>
    <cellStyle name="SAPBEXfilterDrill 42 7" xfId="18719" xr:uid="{00000000-0005-0000-0000-00008B500000}"/>
    <cellStyle name="SAPBEXfilterDrill 42 8" xfId="20119" xr:uid="{00000000-0005-0000-0000-00008C500000}"/>
    <cellStyle name="SAPBEXfilterDrill 42 9" xfId="23260" xr:uid="{00000000-0005-0000-0000-00008D500000}"/>
    <cellStyle name="SAPBEXfilterDrill 43" xfId="4495" xr:uid="{00000000-0005-0000-0000-00008E500000}"/>
    <cellStyle name="SAPBEXfilterDrill 43 2" xfId="7033" xr:uid="{00000000-0005-0000-0000-00008F500000}"/>
    <cellStyle name="SAPBEXfilterDrill 43 3" xfId="9823" xr:uid="{00000000-0005-0000-0000-000090500000}"/>
    <cellStyle name="SAPBEXfilterDrill 43 4" xfId="10486" xr:uid="{00000000-0005-0000-0000-000091500000}"/>
    <cellStyle name="SAPBEXfilterDrill 43 5" xfId="12821" xr:uid="{00000000-0005-0000-0000-000092500000}"/>
    <cellStyle name="SAPBEXfilterDrill 43 6" xfId="15484" xr:uid="{00000000-0005-0000-0000-000093500000}"/>
    <cellStyle name="SAPBEXfilterDrill 43 7" xfId="17517" xr:uid="{00000000-0005-0000-0000-000094500000}"/>
    <cellStyle name="SAPBEXfilterDrill 43 8" xfId="20180" xr:uid="{00000000-0005-0000-0000-000095500000}"/>
    <cellStyle name="SAPBEXfilterDrill 43 9" xfId="22156" xr:uid="{00000000-0005-0000-0000-000096500000}"/>
    <cellStyle name="SAPBEXfilterDrill 44" xfId="4520" xr:uid="{00000000-0005-0000-0000-000097500000}"/>
    <cellStyle name="SAPBEXfilterDrill 44 2" xfId="7058" xr:uid="{00000000-0005-0000-0000-000098500000}"/>
    <cellStyle name="SAPBEXfilterDrill 44 3" xfId="8744" xr:uid="{00000000-0005-0000-0000-000099500000}"/>
    <cellStyle name="SAPBEXfilterDrill 44 4" xfId="10397" xr:uid="{00000000-0005-0000-0000-00009A500000}"/>
    <cellStyle name="SAPBEXfilterDrill 44 5" xfId="12720" xr:uid="{00000000-0005-0000-0000-00009B500000}"/>
    <cellStyle name="SAPBEXfilterDrill 44 6" xfId="15794" xr:uid="{00000000-0005-0000-0000-00009C500000}"/>
    <cellStyle name="SAPBEXfilterDrill 44 7" xfId="17416" xr:uid="{00000000-0005-0000-0000-00009D500000}"/>
    <cellStyle name="SAPBEXfilterDrill 44 8" xfId="20490" xr:uid="{00000000-0005-0000-0000-00009E500000}"/>
    <cellStyle name="SAPBEXfilterDrill 44 9" xfId="22068" xr:uid="{00000000-0005-0000-0000-00009F500000}"/>
    <cellStyle name="SAPBEXfilterDrill 45" xfId="4494" xr:uid="{00000000-0005-0000-0000-0000A0500000}"/>
    <cellStyle name="SAPBEXfilterDrill 45 2" xfId="7032" xr:uid="{00000000-0005-0000-0000-0000A1500000}"/>
    <cellStyle name="SAPBEXfilterDrill 45 3" xfId="8559" xr:uid="{00000000-0005-0000-0000-0000A2500000}"/>
    <cellStyle name="SAPBEXfilterDrill 45 4" xfId="11050" xr:uid="{00000000-0005-0000-0000-0000A3500000}"/>
    <cellStyle name="SAPBEXfilterDrill 45 5" xfId="13435" xr:uid="{00000000-0005-0000-0000-0000A4500000}"/>
    <cellStyle name="SAPBEXfilterDrill 45 6" xfId="16505" xr:uid="{00000000-0005-0000-0000-0000A5500000}"/>
    <cellStyle name="SAPBEXfilterDrill 45 7" xfId="18131" xr:uid="{00000000-0005-0000-0000-0000A6500000}"/>
    <cellStyle name="SAPBEXfilterDrill 45 8" xfId="21201" xr:uid="{00000000-0005-0000-0000-0000A7500000}"/>
    <cellStyle name="SAPBEXfilterDrill 45 9" xfId="22723" xr:uid="{00000000-0005-0000-0000-0000A8500000}"/>
    <cellStyle name="SAPBEXfilterDrill 46" xfId="4768" xr:uid="{00000000-0005-0000-0000-0000A9500000}"/>
    <cellStyle name="SAPBEXfilterDrill 46 2" xfId="7306" xr:uid="{00000000-0005-0000-0000-0000AA500000}"/>
    <cellStyle name="SAPBEXfilterDrill 46 3" xfId="7956" xr:uid="{00000000-0005-0000-0000-0000AB500000}"/>
    <cellStyle name="SAPBEXfilterDrill 46 4" xfId="12196" xr:uid="{00000000-0005-0000-0000-0000AC500000}"/>
    <cellStyle name="SAPBEXfilterDrill 46 5" xfId="14692" xr:uid="{00000000-0005-0000-0000-0000AD500000}"/>
    <cellStyle name="SAPBEXfilterDrill 46 6" xfId="16626" xr:uid="{00000000-0005-0000-0000-0000AE500000}"/>
    <cellStyle name="SAPBEXfilterDrill 46 7" xfId="19388" xr:uid="{00000000-0005-0000-0000-0000AF500000}"/>
    <cellStyle name="SAPBEXfilterDrill 46 8" xfId="21322" xr:uid="{00000000-0005-0000-0000-0000B0500000}"/>
    <cellStyle name="SAPBEXfilterDrill 46 9" xfId="23879" xr:uid="{00000000-0005-0000-0000-0000B1500000}"/>
    <cellStyle name="SAPBEXfilterDrill 47" xfId="4629" xr:uid="{00000000-0005-0000-0000-0000B2500000}"/>
    <cellStyle name="SAPBEXfilterDrill 47 2" xfId="7167" xr:uid="{00000000-0005-0000-0000-0000B3500000}"/>
    <cellStyle name="SAPBEXfilterDrill 47 3" xfId="9714" xr:uid="{00000000-0005-0000-0000-0000B4500000}"/>
    <cellStyle name="SAPBEXfilterDrill 47 4" xfId="12119" xr:uid="{00000000-0005-0000-0000-0000B5500000}"/>
    <cellStyle name="SAPBEXfilterDrill 47 5" xfId="14868" xr:uid="{00000000-0005-0000-0000-0000B6500000}"/>
    <cellStyle name="SAPBEXfilterDrill 47 6" xfId="16915" xr:uid="{00000000-0005-0000-0000-0000B7500000}"/>
    <cellStyle name="SAPBEXfilterDrill 47 7" xfId="19564" xr:uid="{00000000-0005-0000-0000-0000B8500000}"/>
    <cellStyle name="SAPBEXfilterDrill 47 8" xfId="21611" xr:uid="{00000000-0005-0000-0000-0000B9500000}"/>
    <cellStyle name="SAPBEXfilterDrill 47 9" xfId="24038" xr:uid="{00000000-0005-0000-0000-0000BA500000}"/>
    <cellStyle name="SAPBEXfilterDrill 48" xfId="4685" xr:uid="{00000000-0005-0000-0000-0000BB500000}"/>
    <cellStyle name="SAPBEXfilterDrill 48 2" xfId="7223" xr:uid="{00000000-0005-0000-0000-0000BC500000}"/>
    <cellStyle name="SAPBEXfilterDrill 48 3" xfId="8970" xr:uid="{00000000-0005-0000-0000-0000BD500000}"/>
    <cellStyle name="SAPBEXfilterDrill 48 4" xfId="11944" xr:uid="{00000000-0005-0000-0000-0000BE500000}"/>
    <cellStyle name="SAPBEXfilterDrill 48 5" xfId="14417" xr:uid="{00000000-0005-0000-0000-0000BF500000}"/>
    <cellStyle name="SAPBEXfilterDrill 48 6" xfId="15513" xr:uid="{00000000-0005-0000-0000-0000C0500000}"/>
    <cellStyle name="SAPBEXfilterDrill 48 7" xfId="19113" xr:uid="{00000000-0005-0000-0000-0000C1500000}"/>
    <cellStyle name="SAPBEXfilterDrill 48 8" xfId="20209" xr:uid="{00000000-0005-0000-0000-0000C2500000}"/>
    <cellStyle name="SAPBEXfilterDrill 48 9" xfId="23619" xr:uid="{00000000-0005-0000-0000-0000C3500000}"/>
    <cellStyle name="SAPBEXfilterDrill 49" xfId="4928" xr:uid="{00000000-0005-0000-0000-0000C4500000}"/>
    <cellStyle name="SAPBEXfilterDrill 49 2" xfId="7466" xr:uid="{00000000-0005-0000-0000-0000C5500000}"/>
    <cellStyle name="SAPBEXfilterDrill 49 3" xfId="8023" xr:uid="{00000000-0005-0000-0000-0000C6500000}"/>
    <cellStyle name="SAPBEXfilterDrill 49 4" xfId="11990" xr:uid="{00000000-0005-0000-0000-0000C7500000}"/>
    <cellStyle name="SAPBEXfilterDrill 49 5" xfId="14468" xr:uid="{00000000-0005-0000-0000-0000C8500000}"/>
    <cellStyle name="SAPBEXfilterDrill 49 6" xfId="15223" xr:uid="{00000000-0005-0000-0000-0000C9500000}"/>
    <cellStyle name="SAPBEXfilterDrill 49 7" xfId="19164" xr:uid="{00000000-0005-0000-0000-0000CA500000}"/>
    <cellStyle name="SAPBEXfilterDrill 49 8" xfId="19919" xr:uid="{00000000-0005-0000-0000-0000CB500000}"/>
    <cellStyle name="SAPBEXfilterDrill 49 9" xfId="23665" xr:uid="{00000000-0005-0000-0000-0000CC500000}"/>
    <cellStyle name="SAPBEXfilterDrill 5" xfId="3037" xr:uid="{00000000-0005-0000-0000-0000CD500000}"/>
    <cellStyle name="SAPBEXfilterDrill 5 2" xfId="5576" xr:uid="{00000000-0005-0000-0000-0000CE500000}"/>
    <cellStyle name="SAPBEXfilterDrill 5 3" xfId="8125" xr:uid="{00000000-0005-0000-0000-0000CF500000}"/>
    <cellStyle name="SAPBEXfilterDrill 5 4" xfId="11183" xr:uid="{00000000-0005-0000-0000-0000D0500000}"/>
    <cellStyle name="SAPBEXfilterDrill 5 5" xfId="13581" xr:uid="{00000000-0005-0000-0000-0000D1500000}"/>
    <cellStyle name="SAPBEXfilterDrill 5 6" xfId="15555" xr:uid="{00000000-0005-0000-0000-0000D2500000}"/>
    <cellStyle name="SAPBEXfilterDrill 5 7" xfId="18277" xr:uid="{00000000-0005-0000-0000-0000D3500000}"/>
    <cellStyle name="SAPBEXfilterDrill 5 8" xfId="20251" xr:uid="{00000000-0005-0000-0000-0000D4500000}"/>
    <cellStyle name="SAPBEXfilterDrill 5 9" xfId="22856" xr:uid="{00000000-0005-0000-0000-0000D5500000}"/>
    <cellStyle name="SAPBEXfilterDrill 50" xfId="4681" xr:uid="{00000000-0005-0000-0000-0000D6500000}"/>
    <cellStyle name="SAPBEXfilterDrill 50 2" xfId="7219" xr:uid="{00000000-0005-0000-0000-0000D7500000}"/>
    <cellStyle name="SAPBEXfilterDrill 50 3" xfId="8322" xr:uid="{00000000-0005-0000-0000-0000D8500000}"/>
    <cellStyle name="SAPBEXfilterDrill 50 4" xfId="11293" xr:uid="{00000000-0005-0000-0000-0000D9500000}"/>
    <cellStyle name="SAPBEXfilterDrill 50 5" xfId="13700" xr:uid="{00000000-0005-0000-0000-0000DA500000}"/>
    <cellStyle name="SAPBEXfilterDrill 50 6" xfId="16194" xr:uid="{00000000-0005-0000-0000-0000DB500000}"/>
    <cellStyle name="SAPBEXfilterDrill 50 7" xfId="18396" xr:uid="{00000000-0005-0000-0000-0000DC500000}"/>
    <cellStyle name="SAPBEXfilterDrill 50 8" xfId="20890" xr:uid="{00000000-0005-0000-0000-0000DD500000}"/>
    <cellStyle name="SAPBEXfilterDrill 50 9" xfId="22967" xr:uid="{00000000-0005-0000-0000-0000DE500000}"/>
    <cellStyle name="SAPBEXfilterDrill 51" xfId="4811" xr:uid="{00000000-0005-0000-0000-0000DF500000}"/>
    <cellStyle name="SAPBEXfilterDrill 51 2" xfId="7349" xr:uid="{00000000-0005-0000-0000-0000E0500000}"/>
    <cellStyle name="SAPBEXfilterDrill 51 3" xfId="8447" xr:uid="{00000000-0005-0000-0000-0000E1500000}"/>
    <cellStyle name="SAPBEXfilterDrill 51 4" xfId="11838" xr:uid="{00000000-0005-0000-0000-0000E2500000}"/>
    <cellStyle name="SAPBEXfilterDrill 51 5" xfId="14296" xr:uid="{00000000-0005-0000-0000-0000E3500000}"/>
    <cellStyle name="SAPBEXfilterDrill 51 6" xfId="15831" xr:uid="{00000000-0005-0000-0000-0000E4500000}"/>
    <cellStyle name="SAPBEXfilterDrill 51 7" xfId="18992" xr:uid="{00000000-0005-0000-0000-0000E5500000}"/>
    <cellStyle name="SAPBEXfilterDrill 51 8" xfId="20527" xr:uid="{00000000-0005-0000-0000-0000E6500000}"/>
    <cellStyle name="SAPBEXfilterDrill 51 9" xfId="23513" xr:uid="{00000000-0005-0000-0000-0000E7500000}"/>
    <cellStyle name="SAPBEXfilterDrill 52" xfId="4819" xr:uid="{00000000-0005-0000-0000-0000E8500000}"/>
    <cellStyle name="SAPBEXfilterDrill 52 2" xfId="7357" xr:uid="{00000000-0005-0000-0000-0000E9500000}"/>
    <cellStyle name="SAPBEXfilterDrill 52 3" xfId="9886" xr:uid="{00000000-0005-0000-0000-0000EA500000}"/>
    <cellStyle name="SAPBEXfilterDrill 52 4" xfId="12006" xr:uid="{00000000-0005-0000-0000-0000EB500000}"/>
    <cellStyle name="SAPBEXfilterDrill 52 5" xfId="14486" xr:uid="{00000000-0005-0000-0000-0000EC500000}"/>
    <cellStyle name="SAPBEXfilterDrill 52 6" xfId="16781" xr:uid="{00000000-0005-0000-0000-0000ED500000}"/>
    <cellStyle name="SAPBEXfilterDrill 52 7" xfId="19182" xr:uid="{00000000-0005-0000-0000-0000EE500000}"/>
    <cellStyle name="SAPBEXfilterDrill 52 8" xfId="21477" xr:uid="{00000000-0005-0000-0000-0000EF500000}"/>
    <cellStyle name="SAPBEXfilterDrill 52 9" xfId="23681" xr:uid="{00000000-0005-0000-0000-0000F0500000}"/>
    <cellStyle name="SAPBEXfilterDrill 53" xfId="4900" xr:uid="{00000000-0005-0000-0000-0000F1500000}"/>
    <cellStyle name="SAPBEXfilterDrill 53 2" xfId="7438" xr:uid="{00000000-0005-0000-0000-0000F2500000}"/>
    <cellStyle name="SAPBEXfilterDrill 53 3" xfId="5503" xr:uid="{00000000-0005-0000-0000-0000F3500000}"/>
    <cellStyle name="SAPBEXfilterDrill 53 4" xfId="10633" xr:uid="{00000000-0005-0000-0000-0000F4500000}"/>
    <cellStyle name="SAPBEXfilterDrill 53 5" xfId="12982" xr:uid="{00000000-0005-0000-0000-0000F5500000}"/>
    <cellStyle name="SAPBEXfilterDrill 53 6" xfId="15180" xr:uid="{00000000-0005-0000-0000-0000F6500000}"/>
    <cellStyle name="SAPBEXfilterDrill 53 7" xfId="17678" xr:uid="{00000000-0005-0000-0000-0000F7500000}"/>
    <cellStyle name="SAPBEXfilterDrill 53 8" xfId="19876" xr:uid="{00000000-0005-0000-0000-0000F8500000}"/>
    <cellStyle name="SAPBEXfilterDrill 53 9" xfId="22306" xr:uid="{00000000-0005-0000-0000-0000F9500000}"/>
    <cellStyle name="SAPBEXfilterDrill 54" xfId="4894" xr:uid="{00000000-0005-0000-0000-0000FA500000}"/>
    <cellStyle name="SAPBEXfilterDrill 54 2" xfId="7432" xr:uid="{00000000-0005-0000-0000-0000FB500000}"/>
    <cellStyle name="SAPBEXfilterDrill 54 3" xfId="9625" xr:uid="{00000000-0005-0000-0000-0000FC500000}"/>
    <cellStyle name="SAPBEXfilterDrill 54 4" xfId="12149" xr:uid="{00000000-0005-0000-0000-0000FD500000}"/>
    <cellStyle name="SAPBEXfilterDrill 54 5" xfId="14632" xr:uid="{00000000-0005-0000-0000-0000FE500000}"/>
    <cellStyle name="SAPBEXfilterDrill 54 6" xfId="16267" xr:uid="{00000000-0005-0000-0000-0000FF500000}"/>
    <cellStyle name="SAPBEXfilterDrill 54 7" xfId="19328" xr:uid="{00000000-0005-0000-0000-000000510000}"/>
    <cellStyle name="SAPBEXfilterDrill 54 8" xfId="20963" xr:uid="{00000000-0005-0000-0000-000001510000}"/>
    <cellStyle name="SAPBEXfilterDrill 54 9" xfId="23823" xr:uid="{00000000-0005-0000-0000-000002510000}"/>
    <cellStyle name="SAPBEXfilterDrill 55" xfId="4834" xr:uid="{00000000-0005-0000-0000-000003510000}"/>
    <cellStyle name="SAPBEXfilterDrill 55 2" xfId="7372" xr:uid="{00000000-0005-0000-0000-000004510000}"/>
    <cellStyle name="SAPBEXfilterDrill 55 3" xfId="8141" xr:uid="{00000000-0005-0000-0000-000005510000}"/>
    <cellStyle name="SAPBEXfilterDrill 55 4" xfId="9536" xr:uid="{00000000-0005-0000-0000-000006510000}"/>
    <cellStyle name="SAPBEXfilterDrill 55 5" xfId="12402" xr:uid="{00000000-0005-0000-0000-000007510000}"/>
    <cellStyle name="SAPBEXfilterDrill 55 6" xfId="15421" xr:uid="{00000000-0005-0000-0000-000008510000}"/>
    <cellStyle name="SAPBEXfilterDrill 55 7" xfId="17098" xr:uid="{00000000-0005-0000-0000-000009510000}"/>
    <cellStyle name="SAPBEXfilterDrill 55 8" xfId="20117" xr:uid="{00000000-0005-0000-0000-00000A510000}"/>
    <cellStyle name="SAPBEXfilterDrill 55 9" xfId="21785" xr:uid="{00000000-0005-0000-0000-00000B510000}"/>
    <cellStyle name="SAPBEXfilterDrill 56" xfId="5136" xr:uid="{00000000-0005-0000-0000-00000C510000}"/>
    <cellStyle name="SAPBEXfilterDrill 56 2" xfId="7674" xr:uid="{00000000-0005-0000-0000-00000D510000}"/>
    <cellStyle name="SAPBEXfilterDrill 56 3" xfId="5470" xr:uid="{00000000-0005-0000-0000-00000E510000}"/>
    <cellStyle name="SAPBEXfilterDrill 56 4" xfId="11217" xr:uid="{00000000-0005-0000-0000-00000F510000}"/>
    <cellStyle name="SAPBEXfilterDrill 56 5" xfId="13620" xr:uid="{00000000-0005-0000-0000-000010510000}"/>
    <cellStyle name="SAPBEXfilterDrill 56 6" xfId="16338" xr:uid="{00000000-0005-0000-0000-000011510000}"/>
    <cellStyle name="SAPBEXfilterDrill 56 7" xfId="18316" xr:uid="{00000000-0005-0000-0000-000012510000}"/>
    <cellStyle name="SAPBEXfilterDrill 56 8" xfId="21034" xr:uid="{00000000-0005-0000-0000-000013510000}"/>
    <cellStyle name="SAPBEXfilterDrill 56 9" xfId="22892" xr:uid="{00000000-0005-0000-0000-000014510000}"/>
    <cellStyle name="SAPBEXfilterDrill 57" xfId="5205" xr:uid="{00000000-0005-0000-0000-000015510000}"/>
    <cellStyle name="SAPBEXfilterDrill 57 2" xfId="7744" xr:uid="{00000000-0005-0000-0000-000016510000}"/>
    <cellStyle name="SAPBEXfilterDrill 57 3" xfId="9966" xr:uid="{00000000-0005-0000-0000-000017510000}"/>
    <cellStyle name="SAPBEXfilterDrill 57 4" xfId="11253" xr:uid="{00000000-0005-0000-0000-000018510000}"/>
    <cellStyle name="SAPBEXfilterDrill 57 5" xfId="13658" xr:uid="{00000000-0005-0000-0000-000019510000}"/>
    <cellStyle name="SAPBEXfilterDrill 57 6" xfId="15290" xr:uid="{00000000-0005-0000-0000-00001A510000}"/>
    <cellStyle name="SAPBEXfilterDrill 57 7" xfId="18354" xr:uid="{00000000-0005-0000-0000-00001B510000}"/>
    <cellStyle name="SAPBEXfilterDrill 57 8" xfId="19986" xr:uid="{00000000-0005-0000-0000-00001C510000}"/>
    <cellStyle name="SAPBEXfilterDrill 57 9" xfId="22927" xr:uid="{00000000-0005-0000-0000-00001D510000}"/>
    <cellStyle name="SAPBEXfilterDrill 58" xfId="5239" xr:uid="{00000000-0005-0000-0000-00001E510000}"/>
    <cellStyle name="SAPBEXfilterDrill 58 2" xfId="7975" xr:uid="{00000000-0005-0000-0000-00001F510000}"/>
    <cellStyle name="SAPBEXfilterDrill 58 3" xfId="10612" xr:uid="{00000000-0005-0000-0000-000020510000}"/>
    <cellStyle name="SAPBEXfilterDrill 58 4" xfId="12713" xr:uid="{00000000-0005-0000-0000-000021510000}"/>
    <cellStyle name="SAPBEXfilterDrill 58 5" xfId="16878" xr:uid="{00000000-0005-0000-0000-000022510000}"/>
    <cellStyle name="SAPBEXfilterDrill 58 6" xfId="17409" xr:uid="{00000000-0005-0000-0000-000023510000}"/>
    <cellStyle name="SAPBEXfilterDrill 58 7" xfId="21574" xr:uid="{00000000-0005-0000-0000-000024510000}"/>
    <cellStyle name="SAPBEXfilterDrill 58 8" xfId="22061" xr:uid="{00000000-0005-0000-0000-000025510000}"/>
    <cellStyle name="SAPBEXfilterDrill 59" xfId="9037" xr:uid="{00000000-0005-0000-0000-000026510000}"/>
    <cellStyle name="SAPBEXfilterDrill 6" xfId="3012" xr:uid="{00000000-0005-0000-0000-000027510000}"/>
    <cellStyle name="SAPBEXfilterDrill 6 2" xfId="5551" xr:uid="{00000000-0005-0000-0000-000028510000}"/>
    <cellStyle name="SAPBEXfilterDrill 6 3" xfId="9194" xr:uid="{00000000-0005-0000-0000-000029510000}"/>
    <cellStyle name="SAPBEXfilterDrill 6 4" xfId="10551" xr:uid="{00000000-0005-0000-0000-00002A510000}"/>
    <cellStyle name="SAPBEXfilterDrill 6 5" xfId="12894" xr:uid="{00000000-0005-0000-0000-00002B510000}"/>
    <cellStyle name="SAPBEXfilterDrill 6 6" xfId="15606" xr:uid="{00000000-0005-0000-0000-00002C510000}"/>
    <cellStyle name="SAPBEXfilterDrill 6 7" xfId="17590" xr:uid="{00000000-0005-0000-0000-00002D510000}"/>
    <cellStyle name="SAPBEXfilterDrill 6 8" xfId="20302" xr:uid="{00000000-0005-0000-0000-00002E510000}"/>
    <cellStyle name="SAPBEXfilterDrill 6 9" xfId="22222" xr:uid="{00000000-0005-0000-0000-00002F510000}"/>
    <cellStyle name="SAPBEXfilterDrill 60" xfId="11877" xr:uid="{00000000-0005-0000-0000-000030510000}"/>
    <cellStyle name="SAPBEXfilterDrill 61" xfId="14342" xr:uid="{00000000-0005-0000-0000-000031510000}"/>
    <cellStyle name="SAPBEXfilterDrill 62" xfId="16822" xr:uid="{00000000-0005-0000-0000-000032510000}"/>
    <cellStyle name="SAPBEXfilterDrill 63" xfId="19038" xr:uid="{00000000-0005-0000-0000-000033510000}"/>
    <cellStyle name="SAPBEXfilterDrill 64" xfId="21518" xr:uid="{00000000-0005-0000-0000-000034510000}"/>
    <cellStyle name="SAPBEXfilterDrill 65" xfId="23553" xr:uid="{00000000-0005-0000-0000-000035510000}"/>
    <cellStyle name="SAPBEXfilterDrill 66" xfId="42186" xr:uid="{A378B899-BA67-4C7F-9532-350DC373C2EB}"/>
    <cellStyle name="SAPBEXfilterDrill 7" xfId="3009" xr:uid="{00000000-0005-0000-0000-000036510000}"/>
    <cellStyle name="SAPBEXfilterDrill 7 2" xfId="5548" xr:uid="{00000000-0005-0000-0000-000037510000}"/>
    <cellStyle name="SAPBEXfilterDrill 7 3" xfId="9056" xr:uid="{00000000-0005-0000-0000-000038510000}"/>
    <cellStyle name="SAPBEXfilterDrill 7 4" xfId="11155" xr:uid="{00000000-0005-0000-0000-000039510000}"/>
    <cellStyle name="SAPBEXfilterDrill 7 5" xfId="13551" xr:uid="{00000000-0005-0000-0000-00003A510000}"/>
    <cellStyle name="SAPBEXfilterDrill 7 6" xfId="14828" xr:uid="{00000000-0005-0000-0000-00003B510000}"/>
    <cellStyle name="SAPBEXfilterDrill 7 7" xfId="18247" xr:uid="{00000000-0005-0000-0000-00003C510000}"/>
    <cellStyle name="SAPBEXfilterDrill 7 8" xfId="19524" xr:uid="{00000000-0005-0000-0000-00003D510000}"/>
    <cellStyle name="SAPBEXfilterDrill 7 9" xfId="22828" xr:uid="{00000000-0005-0000-0000-00003E510000}"/>
    <cellStyle name="SAPBEXfilterDrill 8" xfId="3088" xr:uid="{00000000-0005-0000-0000-00003F510000}"/>
    <cellStyle name="SAPBEXfilterDrill 8 2" xfId="5626" xr:uid="{00000000-0005-0000-0000-000040510000}"/>
    <cellStyle name="SAPBEXfilterDrill 8 3" xfId="7849" xr:uid="{00000000-0005-0000-0000-000041510000}"/>
    <cellStyle name="SAPBEXfilterDrill 8 4" xfId="11825" xr:uid="{00000000-0005-0000-0000-000042510000}"/>
    <cellStyle name="SAPBEXfilterDrill 8 5" xfId="14282" xr:uid="{00000000-0005-0000-0000-000043510000}"/>
    <cellStyle name="SAPBEXfilterDrill 8 6" xfId="15538" xr:uid="{00000000-0005-0000-0000-000044510000}"/>
    <cellStyle name="SAPBEXfilterDrill 8 7" xfId="18978" xr:uid="{00000000-0005-0000-0000-000045510000}"/>
    <cellStyle name="SAPBEXfilterDrill 8 8" xfId="20234" xr:uid="{00000000-0005-0000-0000-000046510000}"/>
    <cellStyle name="SAPBEXfilterDrill 8 9" xfId="23500" xr:uid="{00000000-0005-0000-0000-000047510000}"/>
    <cellStyle name="SAPBEXfilterDrill 9" xfId="3134" xr:uid="{00000000-0005-0000-0000-000048510000}"/>
    <cellStyle name="SAPBEXfilterDrill 9 2" xfId="5672" xr:uid="{00000000-0005-0000-0000-000049510000}"/>
    <cellStyle name="SAPBEXfilterDrill 9 3" xfId="9312" xr:uid="{00000000-0005-0000-0000-00004A510000}"/>
    <cellStyle name="SAPBEXfilterDrill 9 4" xfId="11307" xr:uid="{00000000-0005-0000-0000-00004B510000}"/>
    <cellStyle name="SAPBEXfilterDrill 9 5" xfId="13715" xr:uid="{00000000-0005-0000-0000-00004C510000}"/>
    <cellStyle name="SAPBEXfilterDrill 9 6" xfId="15816" xr:uid="{00000000-0005-0000-0000-00004D510000}"/>
    <cellStyle name="SAPBEXfilterDrill 9 7" xfId="18411" xr:uid="{00000000-0005-0000-0000-00004E510000}"/>
    <cellStyle name="SAPBEXfilterDrill 9 8" xfId="20512" xr:uid="{00000000-0005-0000-0000-00004F510000}"/>
    <cellStyle name="SAPBEXfilterDrill 9 9" xfId="22981" xr:uid="{00000000-0005-0000-0000-000050510000}"/>
    <cellStyle name="SAPBEXfilterItem" xfId="2956" xr:uid="{00000000-0005-0000-0000-000051510000}"/>
    <cellStyle name="SAPBEXfilterItem 10" xfId="3328" xr:uid="{00000000-0005-0000-0000-000052510000}"/>
    <cellStyle name="SAPBEXfilterItem 10 2" xfId="5866" xr:uid="{00000000-0005-0000-0000-000053510000}"/>
    <cellStyle name="SAPBEXfilterItem 10 3" xfId="5433" xr:uid="{00000000-0005-0000-0000-000054510000}"/>
    <cellStyle name="SAPBEXfilterItem 10 4" xfId="12249" xr:uid="{00000000-0005-0000-0000-000055510000}"/>
    <cellStyle name="SAPBEXfilterItem 10 5" xfId="14699" xr:uid="{00000000-0005-0000-0000-000056510000}"/>
    <cellStyle name="SAPBEXfilterItem 10 6" xfId="16721" xr:uid="{00000000-0005-0000-0000-000057510000}"/>
    <cellStyle name="SAPBEXfilterItem 10 7" xfId="19395" xr:uid="{00000000-0005-0000-0000-000058510000}"/>
    <cellStyle name="SAPBEXfilterItem 10 8" xfId="21417" xr:uid="{00000000-0005-0000-0000-000059510000}"/>
    <cellStyle name="SAPBEXfilterItem 10 9" xfId="23886" xr:uid="{00000000-0005-0000-0000-00005A510000}"/>
    <cellStyle name="SAPBEXfilterItem 11" xfId="3514" xr:uid="{00000000-0005-0000-0000-00005B510000}"/>
    <cellStyle name="SAPBEXfilterItem 11 2" xfId="6052" xr:uid="{00000000-0005-0000-0000-00005C510000}"/>
    <cellStyle name="SAPBEXfilterItem 11 3" xfId="9120" xr:uid="{00000000-0005-0000-0000-00005D510000}"/>
    <cellStyle name="SAPBEXfilterItem 11 4" xfId="11141" xr:uid="{00000000-0005-0000-0000-00005E510000}"/>
    <cellStyle name="SAPBEXfilterItem 11 5" xfId="13537" xr:uid="{00000000-0005-0000-0000-00005F510000}"/>
    <cellStyle name="SAPBEXfilterItem 11 6" xfId="16400" xr:uid="{00000000-0005-0000-0000-000060510000}"/>
    <cellStyle name="SAPBEXfilterItem 11 7" xfId="18233" xr:uid="{00000000-0005-0000-0000-000061510000}"/>
    <cellStyle name="SAPBEXfilterItem 11 8" xfId="21096" xr:uid="{00000000-0005-0000-0000-000062510000}"/>
    <cellStyle name="SAPBEXfilterItem 11 9" xfId="22814" xr:uid="{00000000-0005-0000-0000-000063510000}"/>
    <cellStyle name="SAPBEXfilterItem 12" xfId="3451" xr:uid="{00000000-0005-0000-0000-000064510000}"/>
    <cellStyle name="SAPBEXfilterItem 12 2" xfId="5989" xr:uid="{00000000-0005-0000-0000-000065510000}"/>
    <cellStyle name="SAPBEXfilterItem 12 3" xfId="5482" xr:uid="{00000000-0005-0000-0000-000066510000}"/>
    <cellStyle name="SAPBEXfilterItem 12 4" xfId="10679" xr:uid="{00000000-0005-0000-0000-000067510000}"/>
    <cellStyle name="SAPBEXfilterItem 12 5" xfId="13028" xr:uid="{00000000-0005-0000-0000-000068510000}"/>
    <cellStyle name="SAPBEXfilterItem 12 6" xfId="16667" xr:uid="{00000000-0005-0000-0000-000069510000}"/>
    <cellStyle name="SAPBEXfilterItem 12 7" xfId="17724" xr:uid="{00000000-0005-0000-0000-00006A510000}"/>
    <cellStyle name="SAPBEXfilterItem 12 8" xfId="21363" xr:uid="{00000000-0005-0000-0000-00006B510000}"/>
    <cellStyle name="SAPBEXfilterItem 12 9" xfId="22352" xr:uid="{00000000-0005-0000-0000-00006C510000}"/>
    <cellStyle name="SAPBEXfilterItem 13" xfId="3309" xr:uid="{00000000-0005-0000-0000-00006D510000}"/>
    <cellStyle name="SAPBEXfilterItem 13 2" xfId="5847" xr:uid="{00000000-0005-0000-0000-00006E510000}"/>
    <cellStyle name="SAPBEXfilterItem 13 3" xfId="9848" xr:uid="{00000000-0005-0000-0000-00006F510000}"/>
    <cellStyle name="SAPBEXfilterItem 13 4" xfId="12071" xr:uid="{00000000-0005-0000-0000-000070510000}"/>
    <cellStyle name="SAPBEXfilterItem 13 5" xfId="14551" xr:uid="{00000000-0005-0000-0000-000071510000}"/>
    <cellStyle name="SAPBEXfilterItem 13 6" xfId="14531" xr:uid="{00000000-0005-0000-0000-000072510000}"/>
    <cellStyle name="SAPBEXfilterItem 13 7" xfId="19247" xr:uid="{00000000-0005-0000-0000-000073510000}"/>
    <cellStyle name="SAPBEXfilterItem 13 8" xfId="19227" xr:uid="{00000000-0005-0000-0000-000074510000}"/>
    <cellStyle name="SAPBEXfilterItem 13 9" xfId="23743" xr:uid="{00000000-0005-0000-0000-000075510000}"/>
    <cellStyle name="SAPBEXfilterItem 14" xfId="3591" xr:uid="{00000000-0005-0000-0000-000076510000}"/>
    <cellStyle name="SAPBEXfilterItem 14 2" xfId="6129" xr:uid="{00000000-0005-0000-0000-000077510000}"/>
    <cellStyle name="SAPBEXfilterItem 14 3" xfId="9462" xr:uid="{00000000-0005-0000-0000-000078510000}"/>
    <cellStyle name="SAPBEXfilterItem 14 4" xfId="10723" xr:uid="{00000000-0005-0000-0000-000079510000}"/>
    <cellStyle name="SAPBEXfilterItem 14 5" xfId="13078" xr:uid="{00000000-0005-0000-0000-00007A510000}"/>
    <cellStyle name="SAPBEXfilterItem 14 6" xfId="16023" xr:uid="{00000000-0005-0000-0000-00007B510000}"/>
    <cellStyle name="SAPBEXfilterItem 14 7" xfId="17774" xr:uid="{00000000-0005-0000-0000-00007C510000}"/>
    <cellStyle name="SAPBEXfilterItem 14 8" xfId="20719" xr:uid="{00000000-0005-0000-0000-00007D510000}"/>
    <cellStyle name="SAPBEXfilterItem 14 9" xfId="22396" xr:uid="{00000000-0005-0000-0000-00007E510000}"/>
    <cellStyle name="SAPBEXfilterItem 15" xfId="3485" xr:uid="{00000000-0005-0000-0000-00007F510000}"/>
    <cellStyle name="SAPBEXfilterItem 15 2" xfId="6023" xr:uid="{00000000-0005-0000-0000-000080510000}"/>
    <cellStyle name="SAPBEXfilterItem 15 3" xfId="9882" xr:uid="{00000000-0005-0000-0000-000081510000}"/>
    <cellStyle name="SAPBEXfilterItem 15 4" xfId="10674" xr:uid="{00000000-0005-0000-0000-000082510000}"/>
    <cellStyle name="SAPBEXfilterItem 15 5" xfId="13023" xr:uid="{00000000-0005-0000-0000-000083510000}"/>
    <cellStyle name="SAPBEXfilterItem 15 6" xfId="15326" xr:uid="{00000000-0005-0000-0000-000084510000}"/>
    <cellStyle name="SAPBEXfilterItem 15 7" xfId="17719" xr:uid="{00000000-0005-0000-0000-000085510000}"/>
    <cellStyle name="SAPBEXfilterItem 15 8" xfId="20022" xr:uid="{00000000-0005-0000-0000-000086510000}"/>
    <cellStyle name="SAPBEXfilterItem 15 9" xfId="22347" xr:uid="{00000000-0005-0000-0000-000087510000}"/>
    <cellStyle name="SAPBEXfilterItem 16" xfId="3488" xr:uid="{00000000-0005-0000-0000-000088510000}"/>
    <cellStyle name="SAPBEXfilterItem 16 2" xfId="6026" xr:uid="{00000000-0005-0000-0000-000089510000}"/>
    <cellStyle name="SAPBEXfilterItem 16 3" xfId="10144" xr:uid="{00000000-0005-0000-0000-00008A510000}"/>
    <cellStyle name="SAPBEXfilterItem 16 4" xfId="12209" xr:uid="{00000000-0005-0000-0000-00008B510000}"/>
    <cellStyle name="SAPBEXfilterItem 16 5" xfId="14854" xr:uid="{00000000-0005-0000-0000-00008C510000}"/>
    <cellStyle name="SAPBEXfilterItem 16 6" xfId="16904" xr:uid="{00000000-0005-0000-0000-00008D510000}"/>
    <cellStyle name="SAPBEXfilterItem 16 7" xfId="19550" xr:uid="{00000000-0005-0000-0000-00008E510000}"/>
    <cellStyle name="SAPBEXfilterItem 16 8" xfId="21600" xr:uid="{00000000-0005-0000-0000-00008F510000}"/>
    <cellStyle name="SAPBEXfilterItem 16 9" xfId="24026" xr:uid="{00000000-0005-0000-0000-000090510000}"/>
    <cellStyle name="SAPBEXfilterItem 17" xfId="3575" xr:uid="{00000000-0005-0000-0000-000091510000}"/>
    <cellStyle name="SAPBEXfilterItem 17 2" xfId="6113" xr:uid="{00000000-0005-0000-0000-000092510000}"/>
    <cellStyle name="SAPBEXfilterItem 17 3" xfId="7982" xr:uid="{00000000-0005-0000-0000-000093510000}"/>
    <cellStyle name="SAPBEXfilterItem 17 4" xfId="11978" xr:uid="{00000000-0005-0000-0000-000094510000}"/>
    <cellStyle name="SAPBEXfilterItem 17 5" xfId="14456" xr:uid="{00000000-0005-0000-0000-000095510000}"/>
    <cellStyle name="SAPBEXfilterItem 17 6" xfId="15047" xr:uid="{00000000-0005-0000-0000-000096510000}"/>
    <cellStyle name="SAPBEXfilterItem 17 7" xfId="19152" xr:uid="{00000000-0005-0000-0000-000097510000}"/>
    <cellStyle name="SAPBEXfilterItem 17 8" xfId="19743" xr:uid="{00000000-0005-0000-0000-000098510000}"/>
    <cellStyle name="SAPBEXfilterItem 17 9" xfId="23653" xr:uid="{00000000-0005-0000-0000-000099510000}"/>
    <cellStyle name="SAPBEXfilterItem 18" xfId="3703" xr:uid="{00000000-0005-0000-0000-00009A510000}"/>
    <cellStyle name="SAPBEXfilterItem 18 2" xfId="6241" xr:uid="{00000000-0005-0000-0000-00009B510000}"/>
    <cellStyle name="SAPBEXfilterItem 18 3" xfId="8070" xr:uid="{00000000-0005-0000-0000-00009C510000}"/>
    <cellStyle name="SAPBEXfilterItem 18 4" xfId="9233" xr:uid="{00000000-0005-0000-0000-00009D510000}"/>
    <cellStyle name="SAPBEXfilterItem 18 5" xfId="12430" xr:uid="{00000000-0005-0000-0000-00009E510000}"/>
    <cellStyle name="SAPBEXfilterItem 18 6" xfId="15152" xr:uid="{00000000-0005-0000-0000-00009F510000}"/>
    <cellStyle name="SAPBEXfilterItem 18 7" xfId="17126" xr:uid="{00000000-0005-0000-0000-0000A0510000}"/>
    <cellStyle name="SAPBEXfilterItem 18 8" xfId="19848" xr:uid="{00000000-0005-0000-0000-0000A1510000}"/>
    <cellStyle name="SAPBEXfilterItem 18 9" xfId="21810" xr:uid="{00000000-0005-0000-0000-0000A2510000}"/>
    <cellStyle name="SAPBEXfilterItem 19" xfId="3651" xr:uid="{00000000-0005-0000-0000-0000A3510000}"/>
    <cellStyle name="SAPBEXfilterItem 19 2" xfId="6189" xr:uid="{00000000-0005-0000-0000-0000A4510000}"/>
    <cellStyle name="SAPBEXfilterItem 19 3" xfId="8053" xr:uid="{00000000-0005-0000-0000-0000A5510000}"/>
    <cellStyle name="SAPBEXfilterItem 19 4" xfId="8836" xr:uid="{00000000-0005-0000-0000-0000A6510000}"/>
    <cellStyle name="SAPBEXfilterItem 19 5" xfId="12435" xr:uid="{00000000-0005-0000-0000-0000A7510000}"/>
    <cellStyle name="SAPBEXfilterItem 19 6" xfId="14989" xr:uid="{00000000-0005-0000-0000-0000A8510000}"/>
    <cellStyle name="SAPBEXfilterItem 19 7" xfId="17131" xr:uid="{00000000-0005-0000-0000-0000A9510000}"/>
    <cellStyle name="SAPBEXfilterItem 19 8" xfId="19685" xr:uid="{00000000-0005-0000-0000-0000AA510000}"/>
    <cellStyle name="SAPBEXfilterItem 19 9" xfId="21815" xr:uid="{00000000-0005-0000-0000-0000AB510000}"/>
    <cellStyle name="SAPBEXfilterItem 2" xfId="3075" xr:uid="{00000000-0005-0000-0000-0000AC510000}"/>
    <cellStyle name="SAPBEXfilterItem 2 2" xfId="5613" xr:uid="{00000000-0005-0000-0000-0000AD510000}"/>
    <cellStyle name="SAPBEXfilterItem 2 3" xfId="8102" xr:uid="{00000000-0005-0000-0000-0000AE510000}"/>
    <cellStyle name="SAPBEXfilterItem 2 4" xfId="10262" xr:uid="{00000000-0005-0000-0000-0000AF510000}"/>
    <cellStyle name="SAPBEXfilterItem 2 5" xfId="12571" xr:uid="{00000000-0005-0000-0000-0000B0510000}"/>
    <cellStyle name="SAPBEXfilterItem 2 6" xfId="16278" xr:uid="{00000000-0005-0000-0000-0000B1510000}"/>
    <cellStyle name="SAPBEXfilterItem 2 7" xfId="17267" xr:uid="{00000000-0005-0000-0000-0000B2510000}"/>
    <cellStyle name="SAPBEXfilterItem 2 8" xfId="20974" xr:uid="{00000000-0005-0000-0000-0000B3510000}"/>
    <cellStyle name="SAPBEXfilterItem 2 9" xfId="21931" xr:uid="{00000000-0005-0000-0000-0000B4510000}"/>
    <cellStyle name="SAPBEXfilterItem 20" xfId="3765" xr:uid="{00000000-0005-0000-0000-0000B5510000}"/>
    <cellStyle name="SAPBEXfilterItem 20 2" xfId="6303" xr:uid="{00000000-0005-0000-0000-0000B6510000}"/>
    <cellStyle name="SAPBEXfilterItem 20 3" xfId="10031" xr:uid="{00000000-0005-0000-0000-0000B7510000}"/>
    <cellStyle name="SAPBEXfilterItem 20 4" xfId="11337" xr:uid="{00000000-0005-0000-0000-0000B8510000}"/>
    <cellStyle name="SAPBEXfilterItem 20 5" xfId="13747" xr:uid="{00000000-0005-0000-0000-0000B9510000}"/>
    <cellStyle name="SAPBEXfilterItem 20 6" xfId="16574" xr:uid="{00000000-0005-0000-0000-0000BA510000}"/>
    <cellStyle name="SAPBEXfilterItem 20 7" xfId="18443" xr:uid="{00000000-0005-0000-0000-0000BB510000}"/>
    <cellStyle name="SAPBEXfilterItem 20 8" xfId="21270" xr:uid="{00000000-0005-0000-0000-0000BC510000}"/>
    <cellStyle name="SAPBEXfilterItem 20 9" xfId="23011" xr:uid="{00000000-0005-0000-0000-0000BD510000}"/>
    <cellStyle name="SAPBEXfilterItem 21" xfId="3555" xr:uid="{00000000-0005-0000-0000-0000BE510000}"/>
    <cellStyle name="SAPBEXfilterItem 21 2" xfId="6093" xr:uid="{00000000-0005-0000-0000-0000BF510000}"/>
    <cellStyle name="SAPBEXfilterItem 21 3" xfId="10040" xr:uid="{00000000-0005-0000-0000-0000C0510000}"/>
    <cellStyle name="SAPBEXfilterItem 21 4" xfId="11534" xr:uid="{00000000-0005-0000-0000-0000C1510000}"/>
    <cellStyle name="SAPBEXfilterItem 21 5" xfId="13966" xr:uid="{00000000-0005-0000-0000-0000C2510000}"/>
    <cellStyle name="SAPBEXfilterItem 21 6" xfId="15263" xr:uid="{00000000-0005-0000-0000-0000C3510000}"/>
    <cellStyle name="SAPBEXfilterItem 21 7" xfId="18662" xr:uid="{00000000-0005-0000-0000-0000C4510000}"/>
    <cellStyle name="SAPBEXfilterItem 21 8" xfId="19959" xr:uid="{00000000-0005-0000-0000-0000C5510000}"/>
    <cellStyle name="SAPBEXfilterItem 21 9" xfId="23208" xr:uid="{00000000-0005-0000-0000-0000C6510000}"/>
    <cellStyle name="SAPBEXfilterItem 22" xfId="3570" xr:uid="{00000000-0005-0000-0000-0000C7510000}"/>
    <cellStyle name="SAPBEXfilterItem 22 2" xfId="6108" xr:uid="{00000000-0005-0000-0000-0000C8510000}"/>
    <cellStyle name="SAPBEXfilterItem 22 3" xfId="8440" xr:uid="{00000000-0005-0000-0000-0000C9510000}"/>
    <cellStyle name="SAPBEXfilterItem 22 4" xfId="10934" xr:uid="{00000000-0005-0000-0000-0000CA510000}"/>
    <cellStyle name="SAPBEXfilterItem 22 5" xfId="13305" xr:uid="{00000000-0005-0000-0000-0000CB510000}"/>
    <cellStyle name="SAPBEXfilterItem 22 6" xfId="15931" xr:uid="{00000000-0005-0000-0000-0000CC510000}"/>
    <cellStyle name="SAPBEXfilterItem 22 7" xfId="18001" xr:uid="{00000000-0005-0000-0000-0000CD510000}"/>
    <cellStyle name="SAPBEXfilterItem 22 8" xfId="20627" xr:uid="{00000000-0005-0000-0000-0000CE510000}"/>
    <cellStyle name="SAPBEXfilterItem 22 9" xfId="22605" xr:uid="{00000000-0005-0000-0000-0000CF510000}"/>
    <cellStyle name="SAPBEXfilterItem 23" xfId="3754" xr:uid="{00000000-0005-0000-0000-0000D0510000}"/>
    <cellStyle name="SAPBEXfilterItem 23 2" xfId="6292" xr:uid="{00000000-0005-0000-0000-0000D1510000}"/>
    <cellStyle name="SAPBEXfilterItem 23 3" xfId="8833" xr:uid="{00000000-0005-0000-0000-0000D2510000}"/>
    <cellStyle name="SAPBEXfilterItem 23 4" xfId="11150" xr:uid="{00000000-0005-0000-0000-0000D3510000}"/>
    <cellStyle name="SAPBEXfilterItem 23 5" xfId="13546" xr:uid="{00000000-0005-0000-0000-0000D4510000}"/>
    <cellStyle name="SAPBEXfilterItem 23 6" xfId="16339" xr:uid="{00000000-0005-0000-0000-0000D5510000}"/>
    <cellStyle name="SAPBEXfilterItem 23 7" xfId="18242" xr:uid="{00000000-0005-0000-0000-0000D6510000}"/>
    <cellStyle name="SAPBEXfilterItem 23 8" xfId="21035" xr:uid="{00000000-0005-0000-0000-0000D7510000}"/>
    <cellStyle name="SAPBEXfilterItem 23 9" xfId="22823" xr:uid="{00000000-0005-0000-0000-0000D8510000}"/>
    <cellStyle name="SAPBEXfilterItem 24" xfId="3877" xr:uid="{00000000-0005-0000-0000-0000D9510000}"/>
    <cellStyle name="SAPBEXfilterItem 24 2" xfId="6415" xr:uid="{00000000-0005-0000-0000-0000DA510000}"/>
    <cellStyle name="SAPBEXfilterItem 24 3" xfId="9572" xr:uid="{00000000-0005-0000-0000-0000DB510000}"/>
    <cellStyle name="SAPBEXfilterItem 24 4" xfId="12145" xr:uid="{00000000-0005-0000-0000-0000DC510000}"/>
    <cellStyle name="SAPBEXfilterItem 24 5" xfId="14628" xr:uid="{00000000-0005-0000-0000-0000DD510000}"/>
    <cellStyle name="SAPBEXfilterItem 24 6" xfId="16000" xr:uid="{00000000-0005-0000-0000-0000DE510000}"/>
    <cellStyle name="SAPBEXfilterItem 24 7" xfId="19324" xr:uid="{00000000-0005-0000-0000-0000DF510000}"/>
    <cellStyle name="SAPBEXfilterItem 24 8" xfId="20696" xr:uid="{00000000-0005-0000-0000-0000E0510000}"/>
    <cellStyle name="SAPBEXfilterItem 24 9" xfId="23819" xr:uid="{00000000-0005-0000-0000-0000E1510000}"/>
    <cellStyle name="SAPBEXfilterItem 25" xfId="3718" xr:uid="{00000000-0005-0000-0000-0000E2510000}"/>
    <cellStyle name="SAPBEXfilterItem 25 2" xfId="6256" xr:uid="{00000000-0005-0000-0000-0000E3510000}"/>
    <cellStyle name="SAPBEXfilterItem 25 3" xfId="9106" xr:uid="{00000000-0005-0000-0000-0000E4510000}"/>
    <cellStyle name="SAPBEXfilterItem 25 4" xfId="11891" xr:uid="{00000000-0005-0000-0000-0000E5510000}"/>
    <cellStyle name="SAPBEXfilterItem 25 5" xfId="14359" xr:uid="{00000000-0005-0000-0000-0000E6510000}"/>
    <cellStyle name="SAPBEXfilterItem 25 6" xfId="15657" xr:uid="{00000000-0005-0000-0000-0000E7510000}"/>
    <cellStyle name="SAPBEXfilterItem 25 7" xfId="19055" xr:uid="{00000000-0005-0000-0000-0000E8510000}"/>
    <cellStyle name="SAPBEXfilterItem 25 8" xfId="20353" xr:uid="{00000000-0005-0000-0000-0000E9510000}"/>
    <cellStyle name="SAPBEXfilterItem 25 9" xfId="23567" xr:uid="{00000000-0005-0000-0000-0000EA510000}"/>
    <cellStyle name="SAPBEXfilterItem 26" xfId="3653" xr:uid="{00000000-0005-0000-0000-0000EB510000}"/>
    <cellStyle name="SAPBEXfilterItem 26 2" xfId="6191" xr:uid="{00000000-0005-0000-0000-0000EC510000}"/>
    <cellStyle name="SAPBEXfilterItem 26 3" xfId="8945" xr:uid="{00000000-0005-0000-0000-0000ED510000}"/>
    <cellStyle name="SAPBEXfilterItem 26 4" xfId="10505" xr:uid="{00000000-0005-0000-0000-0000EE510000}"/>
    <cellStyle name="SAPBEXfilterItem 26 5" xfId="12843" xr:uid="{00000000-0005-0000-0000-0000EF510000}"/>
    <cellStyle name="SAPBEXfilterItem 26 6" xfId="15453" xr:uid="{00000000-0005-0000-0000-0000F0510000}"/>
    <cellStyle name="SAPBEXfilterItem 26 7" xfId="17539" xr:uid="{00000000-0005-0000-0000-0000F1510000}"/>
    <cellStyle name="SAPBEXfilterItem 26 8" xfId="20149" xr:uid="{00000000-0005-0000-0000-0000F2510000}"/>
    <cellStyle name="SAPBEXfilterItem 26 9" xfId="22176" xr:uid="{00000000-0005-0000-0000-0000F3510000}"/>
    <cellStyle name="SAPBEXfilterItem 27" xfId="3891" xr:uid="{00000000-0005-0000-0000-0000F4510000}"/>
    <cellStyle name="SAPBEXfilterItem 27 2" xfId="6429" xr:uid="{00000000-0005-0000-0000-0000F5510000}"/>
    <cellStyle name="SAPBEXfilterItem 27 3" xfId="8171" xr:uid="{00000000-0005-0000-0000-0000F6510000}"/>
    <cellStyle name="SAPBEXfilterItem 27 4" xfId="12053" xr:uid="{00000000-0005-0000-0000-0000F7510000}"/>
    <cellStyle name="SAPBEXfilterItem 27 5" xfId="14267" xr:uid="{00000000-0005-0000-0000-0000F8510000}"/>
    <cellStyle name="SAPBEXfilterItem 27 6" xfId="13401" xr:uid="{00000000-0005-0000-0000-0000F9510000}"/>
    <cellStyle name="SAPBEXfilterItem 27 7" xfId="18963" xr:uid="{00000000-0005-0000-0000-0000FA510000}"/>
    <cellStyle name="SAPBEXfilterItem 27 8" xfId="18097" xr:uid="{00000000-0005-0000-0000-0000FB510000}"/>
    <cellStyle name="SAPBEXfilterItem 27 9" xfId="23485" xr:uid="{00000000-0005-0000-0000-0000FC510000}"/>
    <cellStyle name="SAPBEXfilterItem 28" xfId="4025" xr:uid="{00000000-0005-0000-0000-0000FD510000}"/>
    <cellStyle name="SAPBEXfilterItem 28 2" xfId="6563" xr:uid="{00000000-0005-0000-0000-0000FE510000}"/>
    <cellStyle name="SAPBEXfilterItem 28 3" xfId="8877" xr:uid="{00000000-0005-0000-0000-0000FF510000}"/>
    <cellStyle name="SAPBEXfilterItem 28 4" xfId="10315" xr:uid="{00000000-0005-0000-0000-000000520000}"/>
    <cellStyle name="SAPBEXfilterItem 28 5" xfId="12632" xr:uid="{00000000-0005-0000-0000-000001520000}"/>
    <cellStyle name="SAPBEXfilterItem 28 6" xfId="16622" xr:uid="{00000000-0005-0000-0000-000002520000}"/>
    <cellStyle name="SAPBEXfilterItem 28 7" xfId="17328" xr:uid="{00000000-0005-0000-0000-000003520000}"/>
    <cellStyle name="SAPBEXfilterItem 28 8" xfId="21318" xr:uid="{00000000-0005-0000-0000-000004520000}"/>
    <cellStyle name="SAPBEXfilterItem 28 9" xfId="21986" xr:uid="{00000000-0005-0000-0000-000005520000}"/>
    <cellStyle name="SAPBEXfilterItem 29" xfId="4098" xr:uid="{00000000-0005-0000-0000-000006520000}"/>
    <cellStyle name="SAPBEXfilterItem 29 2" xfId="6636" xr:uid="{00000000-0005-0000-0000-000007520000}"/>
    <cellStyle name="SAPBEXfilterItem 29 3" xfId="9130" xr:uid="{00000000-0005-0000-0000-000008520000}"/>
    <cellStyle name="SAPBEXfilterItem 29 4" xfId="11629" xr:uid="{00000000-0005-0000-0000-000009520000}"/>
    <cellStyle name="SAPBEXfilterItem 29 5" xfId="14072" xr:uid="{00000000-0005-0000-0000-00000A520000}"/>
    <cellStyle name="SAPBEXfilterItem 29 6" xfId="15433" xr:uid="{00000000-0005-0000-0000-00000B520000}"/>
    <cellStyle name="SAPBEXfilterItem 29 7" xfId="18768" xr:uid="{00000000-0005-0000-0000-00000C520000}"/>
    <cellStyle name="SAPBEXfilterItem 29 8" xfId="20129" xr:uid="{00000000-0005-0000-0000-00000D520000}"/>
    <cellStyle name="SAPBEXfilterItem 29 9" xfId="23304" xr:uid="{00000000-0005-0000-0000-00000E520000}"/>
    <cellStyle name="SAPBEXfilterItem 3" xfId="3121" xr:uid="{00000000-0005-0000-0000-00000F520000}"/>
    <cellStyle name="SAPBEXfilterItem 3 2" xfId="5659" xr:uid="{00000000-0005-0000-0000-000010520000}"/>
    <cellStyle name="SAPBEXfilterItem 3 3" xfId="8399" xr:uid="{00000000-0005-0000-0000-000011520000}"/>
    <cellStyle name="SAPBEXfilterItem 3 4" xfId="11187" xr:uid="{00000000-0005-0000-0000-000012520000}"/>
    <cellStyle name="SAPBEXfilterItem 3 5" xfId="13586" xr:uid="{00000000-0005-0000-0000-000013520000}"/>
    <cellStyle name="SAPBEXfilterItem 3 6" xfId="15789" xr:uid="{00000000-0005-0000-0000-000014520000}"/>
    <cellStyle name="SAPBEXfilterItem 3 7" xfId="18282" xr:uid="{00000000-0005-0000-0000-000015520000}"/>
    <cellStyle name="SAPBEXfilterItem 3 8" xfId="20485" xr:uid="{00000000-0005-0000-0000-000016520000}"/>
    <cellStyle name="SAPBEXfilterItem 3 9" xfId="22861" xr:uid="{00000000-0005-0000-0000-000017520000}"/>
    <cellStyle name="SAPBEXfilterItem 30" xfId="3985" xr:uid="{00000000-0005-0000-0000-000018520000}"/>
    <cellStyle name="SAPBEXfilterItem 30 2" xfId="6523" xr:uid="{00000000-0005-0000-0000-000019520000}"/>
    <cellStyle name="SAPBEXfilterItem 30 3" xfId="5525" xr:uid="{00000000-0005-0000-0000-00001A520000}"/>
    <cellStyle name="SAPBEXfilterItem 30 4" xfId="11874" xr:uid="{00000000-0005-0000-0000-00001B520000}"/>
    <cellStyle name="SAPBEXfilterItem 30 5" xfId="14338" xr:uid="{00000000-0005-0000-0000-00001C520000}"/>
    <cellStyle name="SAPBEXfilterItem 30 6" xfId="15711" xr:uid="{00000000-0005-0000-0000-00001D520000}"/>
    <cellStyle name="SAPBEXfilterItem 30 7" xfId="19034" xr:uid="{00000000-0005-0000-0000-00001E520000}"/>
    <cellStyle name="SAPBEXfilterItem 30 8" xfId="20407" xr:uid="{00000000-0005-0000-0000-00001F520000}"/>
    <cellStyle name="SAPBEXfilterItem 30 9" xfId="23550" xr:uid="{00000000-0005-0000-0000-000020520000}"/>
    <cellStyle name="SAPBEXfilterItem 31" xfId="4009" xr:uid="{00000000-0005-0000-0000-000021520000}"/>
    <cellStyle name="SAPBEXfilterItem 31 2" xfId="6547" xr:uid="{00000000-0005-0000-0000-000022520000}"/>
    <cellStyle name="SAPBEXfilterItem 31 3" xfId="8265" xr:uid="{00000000-0005-0000-0000-000023520000}"/>
    <cellStyle name="SAPBEXfilterItem 31 4" xfId="11209" xr:uid="{00000000-0005-0000-0000-000024520000}"/>
    <cellStyle name="SAPBEXfilterItem 31 5" xfId="13611" xr:uid="{00000000-0005-0000-0000-000025520000}"/>
    <cellStyle name="SAPBEXfilterItem 31 6" xfId="16575" xr:uid="{00000000-0005-0000-0000-000026520000}"/>
    <cellStyle name="SAPBEXfilterItem 31 7" xfId="18307" xr:uid="{00000000-0005-0000-0000-000027520000}"/>
    <cellStyle name="SAPBEXfilterItem 31 8" xfId="21271" xr:uid="{00000000-0005-0000-0000-000028520000}"/>
    <cellStyle name="SAPBEXfilterItem 31 9" xfId="22884" xr:uid="{00000000-0005-0000-0000-000029520000}"/>
    <cellStyle name="SAPBEXfilterItem 32" xfId="3982" xr:uid="{00000000-0005-0000-0000-00002A520000}"/>
    <cellStyle name="SAPBEXfilterItem 32 2" xfId="6520" xr:uid="{00000000-0005-0000-0000-00002B520000}"/>
    <cellStyle name="SAPBEXfilterItem 32 3" xfId="8704" xr:uid="{00000000-0005-0000-0000-00002C520000}"/>
    <cellStyle name="SAPBEXfilterItem 32 4" xfId="10450" xr:uid="{00000000-0005-0000-0000-00002D520000}"/>
    <cellStyle name="SAPBEXfilterItem 32 5" xfId="12780" xr:uid="{00000000-0005-0000-0000-00002E520000}"/>
    <cellStyle name="SAPBEXfilterItem 32 6" xfId="15448" xr:uid="{00000000-0005-0000-0000-00002F520000}"/>
    <cellStyle name="SAPBEXfilterItem 32 7" xfId="17476" xr:uid="{00000000-0005-0000-0000-000030520000}"/>
    <cellStyle name="SAPBEXfilterItem 32 8" xfId="20144" xr:uid="{00000000-0005-0000-0000-000031520000}"/>
    <cellStyle name="SAPBEXfilterItem 32 9" xfId="22121" xr:uid="{00000000-0005-0000-0000-000032520000}"/>
    <cellStyle name="SAPBEXfilterItem 33" xfId="4064" xr:uid="{00000000-0005-0000-0000-000033520000}"/>
    <cellStyle name="SAPBEXfilterItem 33 2" xfId="6602" xr:uid="{00000000-0005-0000-0000-000034520000}"/>
    <cellStyle name="SAPBEXfilterItem 33 3" xfId="9841" xr:uid="{00000000-0005-0000-0000-000035520000}"/>
    <cellStyle name="SAPBEXfilterItem 33 4" xfId="12023" xr:uid="{00000000-0005-0000-0000-000036520000}"/>
    <cellStyle name="SAPBEXfilterItem 33 5" xfId="14503" xr:uid="{00000000-0005-0000-0000-000037520000}"/>
    <cellStyle name="SAPBEXfilterItem 33 6" xfId="14887" xr:uid="{00000000-0005-0000-0000-000038520000}"/>
    <cellStyle name="SAPBEXfilterItem 33 7" xfId="19199" xr:uid="{00000000-0005-0000-0000-000039520000}"/>
    <cellStyle name="SAPBEXfilterItem 33 8" xfId="19583" xr:uid="{00000000-0005-0000-0000-00003A520000}"/>
    <cellStyle name="SAPBEXfilterItem 33 9" xfId="23698" xr:uid="{00000000-0005-0000-0000-00003B520000}"/>
    <cellStyle name="SAPBEXfilterItem 34" xfId="4173" xr:uid="{00000000-0005-0000-0000-00003C520000}"/>
    <cellStyle name="SAPBEXfilterItem 34 2" xfId="6711" xr:uid="{00000000-0005-0000-0000-00003D520000}"/>
    <cellStyle name="SAPBEXfilterItem 34 3" xfId="9857" xr:uid="{00000000-0005-0000-0000-00003E520000}"/>
    <cellStyle name="SAPBEXfilterItem 34 4" xfId="11555" xr:uid="{00000000-0005-0000-0000-00003F520000}"/>
    <cellStyle name="SAPBEXfilterItem 34 5" xfId="13990" xr:uid="{00000000-0005-0000-0000-000040520000}"/>
    <cellStyle name="SAPBEXfilterItem 34 6" xfId="15144" xr:uid="{00000000-0005-0000-0000-000041520000}"/>
    <cellStyle name="SAPBEXfilterItem 34 7" xfId="18686" xr:uid="{00000000-0005-0000-0000-000042520000}"/>
    <cellStyle name="SAPBEXfilterItem 34 8" xfId="19840" xr:uid="{00000000-0005-0000-0000-000043520000}"/>
    <cellStyle name="SAPBEXfilterItem 34 9" xfId="23229" xr:uid="{00000000-0005-0000-0000-000044520000}"/>
    <cellStyle name="SAPBEXfilterItem 35" xfId="4074" xr:uid="{00000000-0005-0000-0000-000045520000}"/>
    <cellStyle name="SAPBEXfilterItem 35 2" xfId="6612" xr:uid="{00000000-0005-0000-0000-000046520000}"/>
    <cellStyle name="SAPBEXfilterItem 35 3" xfId="9277" xr:uid="{00000000-0005-0000-0000-000047520000}"/>
    <cellStyle name="SAPBEXfilterItem 35 4" xfId="11554" xr:uid="{00000000-0005-0000-0000-000048520000}"/>
    <cellStyle name="SAPBEXfilterItem 35 5" xfId="13989" xr:uid="{00000000-0005-0000-0000-000049520000}"/>
    <cellStyle name="SAPBEXfilterItem 35 6" xfId="15971" xr:uid="{00000000-0005-0000-0000-00004A520000}"/>
    <cellStyle name="SAPBEXfilterItem 35 7" xfId="18685" xr:uid="{00000000-0005-0000-0000-00004B520000}"/>
    <cellStyle name="SAPBEXfilterItem 35 8" xfId="20667" xr:uid="{00000000-0005-0000-0000-00004C520000}"/>
    <cellStyle name="SAPBEXfilterItem 35 9" xfId="23228" xr:uid="{00000000-0005-0000-0000-00004D520000}"/>
    <cellStyle name="SAPBEXfilterItem 36" xfId="4253" xr:uid="{00000000-0005-0000-0000-00004E520000}"/>
    <cellStyle name="SAPBEXfilterItem 36 2" xfId="6791" xr:uid="{00000000-0005-0000-0000-00004F520000}"/>
    <cellStyle name="SAPBEXfilterItem 36 3" xfId="9794" xr:uid="{00000000-0005-0000-0000-000050520000}"/>
    <cellStyle name="SAPBEXfilterItem 36 4" xfId="11142" xr:uid="{00000000-0005-0000-0000-000051520000}"/>
    <cellStyle name="SAPBEXfilterItem 36 5" xfId="13538" xr:uid="{00000000-0005-0000-0000-000052520000}"/>
    <cellStyle name="SAPBEXfilterItem 36 6" xfId="16870" xr:uid="{00000000-0005-0000-0000-000053520000}"/>
    <cellStyle name="SAPBEXfilterItem 36 7" xfId="18234" xr:uid="{00000000-0005-0000-0000-000054520000}"/>
    <cellStyle name="SAPBEXfilterItem 36 8" xfId="21566" xr:uid="{00000000-0005-0000-0000-000055520000}"/>
    <cellStyle name="SAPBEXfilterItem 36 9" xfId="22815" xr:uid="{00000000-0005-0000-0000-000056520000}"/>
    <cellStyle name="SAPBEXfilterItem 37" xfId="4296" xr:uid="{00000000-0005-0000-0000-000057520000}"/>
    <cellStyle name="SAPBEXfilterItem 37 2" xfId="6834" xr:uid="{00000000-0005-0000-0000-000058520000}"/>
    <cellStyle name="SAPBEXfilterItem 37 3" xfId="8386" xr:uid="{00000000-0005-0000-0000-000059520000}"/>
    <cellStyle name="SAPBEXfilterItem 37 4" xfId="8172" xr:uid="{00000000-0005-0000-0000-00005A520000}"/>
    <cellStyle name="SAPBEXfilterItem 37 5" xfId="14860" xr:uid="{00000000-0005-0000-0000-00005B520000}"/>
    <cellStyle name="SAPBEXfilterItem 37 6" xfId="15780" xr:uid="{00000000-0005-0000-0000-00005C520000}"/>
    <cellStyle name="SAPBEXfilterItem 37 7" xfId="19556" xr:uid="{00000000-0005-0000-0000-00005D520000}"/>
    <cellStyle name="SAPBEXfilterItem 37 8" xfId="20476" xr:uid="{00000000-0005-0000-0000-00005E520000}"/>
    <cellStyle name="SAPBEXfilterItem 37 9" xfId="24032" xr:uid="{00000000-0005-0000-0000-00005F520000}"/>
    <cellStyle name="SAPBEXfilterItem 38" xfId="4339" xr:uid="{00000000-0005-0000-0000-000060520000}"/>
    <cellStyle name="SAPBEXfilterItem 38 2" xfId="6877" xr:uid="{00000000-0005-0000-0000-000061520000}"/>
    <cellStyle name="SAPBEXfilterItem 38 3" xfId="8423" xr:uid="{00000000-0005-0000-0000-000062520000}"/>
    <cellStyle name="SAPBEXfilterItem 38 4" xfId="11538" xr:uid="{00000000-0005-0000-0000-000063520000}"/>
    <cellStyle name="SAPBEXfilterItem 38 5" xfId="13970" xr:uid="{00000000-0005-0000-0000-000064520000}"/>
    <cellStyle name="SAPBEXfilterItem 38 6" xfId="16649" xr:uid="{00000000-0005-0000-0000-000065520000}"/>
    <cellStyle name="SAPBEXfilterItem 38 7" xfId="18666" xr:uid="{00000000-0005-0000-0000-000066520000}"/>
    <cellStyle name="SAPBEXfilterItem 38 8" xfId="21345" xr:uid="{00000000-0005-0000-0000-000067520000}"/>
    <cellStyle name="SAPBEXfilterItem 38 9" xfId="23212" xr:uid="{00000000-0005-0000-0000-000068520000}"/>
    <cellStyle name="SAPBEXfilterItem 39" xfId="4527" xr:uid="{00000000-0005-0000-0000-000069520000}"/>
    <cellStyle name="SAPBEXfilterItem 39 2" xfId="7065" xr:uid="{00000000-0005-0000-0000-00006A520000}"/>
    <cellStyle name="SAPBEXfilterItem 39 3" xfId="8816" xr:uid="{00000000-0005-0000-0000-00006B520000}"/>
    <cellStyle name="SAPBEXfilterItem 39 4" xfId="9278" xr:uid="{00000000-0005-0000-0000-00006C520000}"/>
    <cellStyle name="SAPBEXfilterItem 39 5" xfId="12501" xr:uid="{00000000-0005-0000-0000-00006D520000}"/>
    <cellStyle name="SAPBEXfilterItem 39 6" xfId="16231" xr:uid="{00000000-0005-0000-0000-00006E520000}"/>
    <cellStyle name="SAPBEXfilterItem 39 7" xfId="17197" xr:uid="{00000000-0005-0000-0000-00006F520000}"/>
    <cellStyle name="SAPBEXfilterItem 39 8" xfId="20927" xr:uid="{00000000-0005-0000-0000-000070520000}"/>
    <cellStyle name="SAPBEXfilterItem 39 9" xfId="21870" xr:uid="{00000000-0005-0000-0000-000071520000}"/>
    <cellStyle name="SAPBEXfilterItem 4" xfId="3050" xr:uid="{00000000-0005-0000-0000-000072520000}"/>
    <cellStyle name="SAPBEXfilterItem 4 2" xfId="5589" xr:uid="{00000000-0005-0000-0000-000073520000}"/>
    <cellStyle name="SAPBEXfilterItem 4 3" xfId="9963" xr:uid="{00000000-0005-0000-0000-000074520000}"/>
    <cellStyle name="SAPBEXfilterItem 4 4" xfId="10357" xr:uid="{00000000-0005-0000-0000-000075520000}"/>
    <cellStyle name="SAPBEXfilterItem 4 5" xfId="12679" xr:uid="{00000000-0005-0000-0000-000076520000}"/>
    <cellStyle name="SAPBEXfilterItem 4 6" xfId="16109" xr:uid="{00000000-0005-0000-0000-000077520000}"/>
    <cellStyle name="SAPBEXfilterItem 4 7" xfId="17375" xr:uid="{00000000-0005-0000-0000-000078520000}"/>
    <cellStyle name="SAPBEXfilterItem 4 8" xfId="20805" xr:uid="{00000000-0005-0000-0000-000079520000}"/>
    <cellStyle name="SAPBEXfilterItem 4 9" xfId="22028" xr:uid="{00000000-0005-0000-0000-00007A520000}"/>
    <cellStyle name="SAPBEXfilterItem 40" xfId="4375" xr:uid="{00000000-0005-0000-0000-00007B520000}"/>
    <cellStyle name="SAPBEXfilterItem 40 2" xfId="6913" xr:uid="{00000000-0005-0000-0000-00007C520000}"/>
    <cellStyle name="SAPBEXfilterItem 40 3" xfId="9373" xr:uid="{00000000-0005-0000-0000-00007D520000}"/>
    <cellStyle name="SAPBEXfilterItem 40 4" xfId="8826" xr:uid="{00000000-0005-0000-0000-00007E520000}"/>
    <cellStyle name="SAPBEXfilterItem 40 5" xfId="12542" xr:uid="{00000000-0005-0000-0000-00007F520000}"/>
    <cellStyle name="SAPBEXfilterItem 40 6" xfId="16024" xr:uid="{00000000-0005-0000-0000-000080520000}"/>
    <cellStyle name="SAPBEXfilterItem 40 7" xfId="17238" xr:uid="{00000000-0005-0000-0000-000081520000}"/>
    <cellStyle name="SAPBEXfilterItem 40 8" xfId="20720" xr:uid="{00000000-0005-0000-0000-000082520000}"/>
    <cellStyle name="SAPBEXfilterItem 40 9" xfId="21905" xr:uid="{00000000-0005-0000-0000-000083520000}"/>
    <cellStyle name="SAPBEXfilterItem 41" xfId="4363" xr:uid="{00000000-0005-0000-0000-000084520000}"/>
    <cellStyle name="SAPBEXfilterItem 41 2" xfId="6901" xr:uid="{00000000-0005-0000-0000-000085520000}"/>
    <cellStyle name="SAPBEXfilterItem 41 3" xfId="9951" xr:uid="{00000000-0005-0000-0000-000086520000}"/>
    <cellStyle name="SAPBEXfilterItem 41 4" xfId="10787" xr:uid="{00000000-0005-0000-0000-000087520000}"/>
    <cellStyle name="SAPBEXfilterItem 41 5" xfId="13144" xr:uid="{00000000-0005-0000-0000-000088520000}"/>
    <cellStyle name="SAPBEXfilterItem 41 6" xfId="16009" xr:uid="{00000000-0005-0000-0000-000089520000}"/>
    <cellStyle name="SAPBEXfilterItem 41 7" xfId="17840" xr:uid="{00000000-0005-0000-0000-00008A520000}"/>
    <cellStyle name="SAPBEXfilterItem 41 8" xfId="20705" xr:uid="{00000000-0005-0000-0000-00008B520000}"/>
    <cellStyle name="SAPBEXfilterItem 41 9" xfId="22458" xr:uid="{00000000-0005-0000-0000-00008C520000}"/>
    <cellStyle name="SAPBEXfilterItem 42" xfId="4465" xr:uid="{00000000-0005-0000-0000-00008D520000}"/>
    <cellStyle name="SAPBEXfilterItem 42 2" xfId="7003" xr:uid="{00000000-0005-0000-0000-00008E520000}"/>
    <cellStyle name="SAPBEXfilterItem 42 3" xfId="8535" xr:uid="{00000000-0005-0000-0000-00008F520000}"/>
    <cellStyle name="SAPBEXfilterItem 42 4" xfId="11495" xr:uid="{00000000-0005-0000-0000-000090520000}"/>
    <cellStyle name="SAPBEXfilterItem 42 5" xfId="13676" xr:uid="{00000000-0005-0000-0000-000091520000}"/>
    <cellStyle name="SAPBEXfilterItem 42 6" xfId="16696" xr:uid="{00000000-0005-0000-0000-000092520000}"/>
    <cellStyle name="SAPBEXfilterItem 42 7" xfId="18372" xr:uid="{00000000-0005-0000-0000-000093520000}"/>
    <cellStyle name="SAPBEXfilterItem 42 8" xfId="21392" xr:uid="{00000000-0005-0000-0000-000094520000}"/>
    <cellStyle name="SAPBEXfilterItem 42 9" xfId="22944" xr:uid="{00000000-0005-0000-0000-000095520000}"/>
    <cellStyle name="SAPBEXfilterItem 43" xfId="4553" xr:uid="{00000000-0005-0000-0000-000096520000}"/>
    <cellStyle name="SAPBEXfilterItem 43 2" xfId="7091" xr:uid="{00000000-0005-0000-0000-000097520000}"/>
    <cellStyle name="SAPBEXfilterItem 43 3" xfId="8603" xr:uid="{00000000-0005-0000-0000-000098520000}"/>
    <cellStyle name="SAPBEXfilterItem 43 4" xfId="10657" xr:uid="{00000000-0005-0000-0000-000099520000}"/>
    <cellStyle name="SAPBEXfilterItem 43 5" xfId="13006" xr:uid="{00000000-0005-0000-0000-00009A520000}"/>
    <cellStyle name="SAPBEXfilterItem 43 6" xfId="16228" xr:uid="{00000000-0005-0000-0000-00009B520000}"/>
    <cellStyle name="SAPBEXfilterItem 43 7" xfId="17702" xr:uid="{00000000-0005-0000-0000-00009C520000}"/>
    <cellStyle name="SAPBEXfilterItem 43 8" xfId="20924" xr:uid="{00000000-0005-0000-0000-00009D520000}"/>
    <cellStyle name="SAPBEXfilterItem 43 9" xfId="22330" xr:uid="{00000000-0005-0000-0000-00009E520000}"/>
    <cellStyle name="SAPBEXfilterItem 44" xfId="4597" xr:uid="{00000000-0005-0000-0000-00009F520000}"/>
    <cellStyle name="SAPBEXfilterItem 44 2" xfId="7135" xr:uid="{00000000-0005-0000-0000-0000A0520000}"/>
    <cellStyle name="SAPBEXfilterItem 44 3" xfId="9929" xr:uid="{00000000-0005-0000-0000-0000A1520000}"/>
    <cellStyle name="SAPBEXfilterItem 44 4" xfId="8971" xr:uid="{00000000-0005-0000-0000-0000A2520000}"/>
    <cellStyle name="SAPBEXfilterItem 44 5" xfId="14945" xr:uid="{00000000-0005-0000-0000-0000A3520000}"/>
    <cellStyle name="SAPBEXfilterItem 44 6" xfId="14213" xr:uid="{00000000-0005-0000-0000-0000A4520000}"/>
    <cellStyle name="SAPBEXfilterItem 44 7" xfId="19641" xr:uid="{00000000-0005-0000-0000-0000A5520000}"/>
    <cellStyle name="SAPBEXfilterItem 44 8" xfId="18909" xr:uid="{00000000-0005-0000-0000-0000A6520000}"/>
    <cellStyle name="SAPBEXfilterItem 44 9" xfId="24108" xr:uid="{00000000-0005-0000-0000-0000A7520000}"/>
    <cellStyle name="SAPBEXfilterItem 45" xfId="4640" xr:uid="{00000000-0005-0000-0000-0000A8520000}"/>
    <cellStyle name="SAPBEXfilterItem 45 2" xfId="7178" xr:uid="{00000000-0005-0000-0000-0000A9520000}"/>
    <cellStyle name="SAPBEXfilterItem 45 3" xfId="8865" xr:uid="{00000000-0005-0000-0000-0000AA520000}"/>
    <cellStyle name="SAPBEXfilterItem 45 4" xfId="10654" xr:uid="{00000000-0005-0000-0000-0000AB520000}"/>
    <cellStyle name="SAPBEXfilterItem 45 5" xfId="13003" xr:uid="{00000000-0005-0000-0000-0000AC520000}"/>
    <cellStyle name="SAPBEXfilterItem 45 6" xfId="15820" xr:uid="{00000000-0005-0000-0000-0000AD520000}"/>
    <cellStyle name="SAPBEXfilterItem 45 7" xfId="17699" xr:uid="{00000000-0005-0000-0000-0000AE520000}"/>
    <cellStyle name="SAPBEXfilterItem 45 8" xfId="20516" xr:uid="{00000000-0005-0000-0000-0000AF520000}"/>
    <cellStyle name="SAPBEXfilterItem 45 9" xfId="22327" xr:uid="{00000000-0005-0000-0000-0000B0520000}"/>
    <cellStyle name="SAPBEXfilterItem 46" xfId="4773" xr:uid="{00000000-0005-0000-0000-0000B1520000}"/>
    <cellStyle name="SAPBEXfilterItem 46 2" xfId="7311" xr:uid="{00000000-0005-0000-0000-0000B2520000}"/>
    <cellStyle name="SAPBEXfilterItem 46 3" xfId="10171" xr:uid="{00000000-0005-0000-0000-0000B3520000}"/>
    <cellStyle name="SAPBEXfilterItem 46 4" xfId="10457" xr:uid="{00000000-0005-0000-0000-0000B4520000}"/>
    <cellStyle name="SAPBEXfilterItem 46 5" xfId="12789" xr:uid="{00000000-0005-0000-0000-0000B5520000}"/>
    <cellStyle name="SAPBEXfilterItem 46 6" xfId="16584" xr:uid="{00000000-0005-0000-0000-0000B6520000}"/>
    <cellStyle name="SAPBEXfilterItem 46 7" xfId="17485" xr:uid="{00000000-0005-0000-0000-0000B7520000}"/>
    <cellStyle name="SAPBEXfilterItem 46 8" xfId="21280" xr:uid="{00000000-0005-0000-0000-0000B8520000}"/>
    <cellStyle name="SAPBEXfilterItem 46 9" xfId="22128" xr:uid="{00000000-0005-0000-0000-0000B9520000}"/>
    <cellStyle name="SAPBEXfilterItem 47" xfId="4721" xr:uid="{00000000-0005-0000-0000-0000BA520000}"/>
    <cellStyle name="SAPBEXfilterItem 47 2" xfId="7259" xr:uid="{00000000-0005-0000-0000-0000BB520000}"/>
    <cellStyle name="SAPBEXfilterItem 47 3" xfId="8808" xr:uid="{00000000-0005-0000-0000-0000BC520000}"/>
    <cellStyle name="SAPBEXfilterItem 47 4" xfId="11587" xr:uid="{00000000-0005-0000-0000-0000BD520000}"/>
    <cellStyle name="SAPBEXfilterItem 47 5" xfId="14024" xr:uid="{00000000-0005-0000-0000-0000BE520000}"/>
    <cellStyle name="SAPBEXfilterItem 47 6" xfId="15671" xr:uid="{00000000-0005-0000-0000-0000BF520000}"/>
    <cellStyle name="SAPBEXfilterItem 47 7" xfId="18720" xr:uid="{00000000-0005-0000-0000-0000C0520000}"/>
    <cellStyle name="SAPBEXfilterItem 47 8" xfId="20367" xr:uid="{00000000-0005-0000-0000-0000C1520000}"/>
    <cellStyle name="SAPBEXfilterItem 47 9" xfId="23261" xr:uid="{00000000-0005-0000-0000-0000C2520000}"/>
    <cellStyle name="SAPBEXfilterItem 48" xfId="4725" xr:uid="{00000000-0005-0000-0000-0000C3520000}"/>
    <cellStyle name="SAPBEXfilterItem 48 2" xfId="7263" xr:uid="{00000000-0005-0000-0000-0000C4520000}"/>
    <cellStyle name="SAPBEXfilterItem 48 3" xfId="8989" xr:uid="{00000000-0005-0000-0000-0000C5520000}"/>
    <cellStyle name="SAPBEXfilterItem 48 4" xfId="9569" xr:uid="{00000000-0005-0000-0000-0000C6520000}"/>
    <cellStyle name="SAPBEXfilterItem 48 5" xfId="12390" xr:uid="{00000000-0005-0000-0000-0000C7520000}"/>
    <cellStyle name="SAPBEXfilterItem 48 6" xfId="16347" xr:uid="{00000000-0005-0000-0000-0000C8520000}"/>
    <cellStyle name="SAPBEXfilterItem 48 7" xfId="17086" xr:uid="{00000000-0005-0000-0000-0000C9520000}"/>
    <cellStyle name="SAPBEXfilterItem 48 8" xfId="21043" xr:uid="{00000000-0005-0000-0000-0000CA520000}"/>
    <cellStyle name="SAPBEXfilterItem 48 9" xfId="21775" xr:uid="{00000000-0005-0000-0000-0000CB520000}"/>
    <cellStyle name="SAPBEXfilterItem 49" xfId="4927" xr:uid="{00000000-0005-0000-0000-0000CC520000}"/>
    <cellStyle name="SAPBEXfilterItem 49 2" xfId="7465" xr:uid="{00000000-0005-0000-0000-0000CD520000}"/>
    <cellStyle name="SAPBEXfilterItem 49 3" xfId="8483" xr:uid="{00000000-0005-0000-0000-0000CE520000}"/>
    <cellStyle name="SAPBEXfilterItem 49 4" xfId="11783" xr:uid="{00000000-0005-0000-0000-0000CF520000}"/>
    <cellStyle name="SAPBEXfilterItem 49 5" xfId="14237" xr:uid="{00000000-0005-0000-0000-0000D0520000}"/>
    <cellStyle name="SAPBEXfilterItem 49 6" xfId="15985" xr:uid="{00000000-0005-0000-0000-0000D1520000}"/>
    <cellStyle name="SAPBEXfilterItem 49 7" xfId="18933" xr:uid="{00000000-0005-0000-0000-0000D2520000}"/>
    <cellStyle name="SAPBEXfilterItem 49 8" xfId="20681" xr:uid="{00000000-0005-0000-0000-0000D3520000}"/>
    <cellStyle name="SAPBEXfilterItem 49 9" xfId="23457" xr:uid="{00000000-0005-0000-0000-0000D4520000}"/>
    <cellStyle name="SAPBEXfilterItem 5" xfId="3036" xr:uid="{00000000-0005-0000-0000-0000D5520000}"/>
    <cellStyle name="SAPBEXfilterItem 5 2" xfId="5575" xr:uid="{00000000-0005-0000-0000-0000D6520000}"/>
    <cellStyle name="SAPBEXfilterItem 5 3" xfId="9901" xr:uid="{00000000-0005-0000-0000-0000D7520000}"/>
    <cellStyle name="SAPBEXfilterItem 5 4" xfId="11655" xr:uid="{00000000-0005-0000-0000-0000D8520000}"/>
    <cellStyle name="SAPBEXfilterItem 5 5" xfId="13804" xr:uid="{00000000-0005-0000-0000-0000D9520000}"/>
    <cellStyle name="SAPBEXfilterItem 5 6" xfId="15061" xr:uid="{00000000-0005-0000-0000-0000DA520000}"/>
    <cellStyle name="SAPBEXfilterItem 5 7" xfId="18500" xr:uid="{00000000-0005-0000-0000-0000DB520000}"/>
    <cellStyle name="SAPBEXfilterItem 5 8" xfId="19757" xr:uid="{00000000-0005-0000-0000-0000DC520000}"/>
    <cellStyle name="SAPBEXfilterItem 5 9" xfId="23063" xr:uid="{00000000-0005-0000-0000-0000DD520000}"/>
    <cellStyle name="SAPBEXfilterItem 50" xfId="4777" xr:uid="{00000000-0005-0000-0000-0000DE520000}"/>
    <cellStyle name="SAPBEXfilterItem 50 2" xfId="7315" xr:uid="{00000000-0005-0000-0000-0000DF520000}"/>
    <cellStyle name="SAPBEXfilterItem 50 3" xfId="9308" xr:uid="{00000000-0005-0000-0000-0000E0520000}"/>
    <cellStyle name="SAPBEXfilterItem 50 4" xfId="9912" xr:uid="{00000000-0005-0000-0000-0000E1520000}"/>
    <cellStyle name="SAPBEXfilterItem 50 5" xfId="12371" xr:uid="{00000000-0005-0000-0000-0000E2520000}"/>
    <cellStyle name="SAPBEXfilterItem 50 6" xfId="16942" xr:uid="{00000000-0005-0000-0000-0000E3520000}"/>
    <cellStyle name="SAPBEXfilterItem 50 7" xfId="17067" xr:uid="{00000000-0005-0000-0000-0000E4520000}"/>
    <cellStyle name="SAPBEXfilterItem 50 8" xfId="21638" xr:uid="{00000000-0005-0000-0000-0000E5520000}"/>
    <cellStyle name="SAPBEXfilterItem 50 9" xfId="21756" xr:uid="{00000000-0005-0000-0000-0000E6520000}"/>
    <cellStyle name="SAPBEXfilterItem 51" xfId="4757" xr:uid="{00000000-0005-0000-0000-0000E7520000}"/>
    <cellStyle name="SAPBEXfilterItem 51 2" xfId="7295" xr:uid="{00000000-0005-0000-0000-0000E8520000}"/>
    <cellStyle name="SAPBEXfilterItem 51 3" xfId="9586" xr:uid="{00000000-0005-0000-0000-0000E9520000}"/>
    <cellStyle name="SAPBEXfilterItem 51 4" xfId="11057" xr:uid="{00000000-0005-0000-0000-0000EA520000}"/>
    <cellStyle name="SAPBEXfilterItem 51 5" xfId="13443" xr:uid="{00000000-0005-0000-0000-0000EB520000}"/>
    <cellStyle name="SAPBEXfilterItem 51 6" xfId="15201" xr:uid="{00000000-0005-0000-0000-0000EC520000}"/>
    <cellStyle name="SAPBEXfilterItem 51 7" xfId="18139" xr:uid="{00000000-0005-0000-0000-0000ED520000}"/>
    <cellStyle name="SAPBEXfilterItem 51 8" xfId="19897" xr:uid="{00000000-0005-0000-0000-0000EE520000}"/>
    <cellStyle name="SAPBEXfilterItem 51 9" xfId="22730" xr:uid="{00000000-0005-0000-0000-0000EF520000}"/>
    <cellStyle name="SAPBEXfilterItem 52" xfId="4696" xr:uid="{00000000-0005-0000-0000-0000F0520000}"/>
    <cellStyle name="SAPBEXfilterItem 52 2" xfId="7234" xr:uid="{00000000-0005-0000-0000-0000F1520000}"/>
    <cellStyle name="SAPBEXfilterItem 52 3" xfId="8725" xr:uid="{00000000-0005-0000-0000-0000F2520000}"/>
    <cellStyle name="SAPBEXfilterItem 52 4" xfId="12024" xr:uid="{00000000-0005-0000-0000-0000F3520000}"/>
    <cellStyle name="SAPBEXfilterItem 52 5" xfId="14214" xr:uid="{00000000-0005-0000-0000-0000F4520000}"/>
    <cellStyle name="SAPBEXfilterItem 52 6" xfId="12531" xr:uid="{00000000-0005-0000-0000-0000F5520000}"/>
    <cellStyle name="SAPBEXfilterItem 52 7" xfId="18910" xr:uid="{00000000-0005-0000-0000-0000F6520000}"/>
    <cellStyle name="SAPBEXfilterItem 52 8" xfId="17227" xr:uid="{00000000-0005-0000-0000-0000F7520000}"/>
    <cellStyle name="SAPBEXfilterItem 52 9" xfId="23436" xr:uid="{00000000-0005-0000-0000-0000F8520000}"/>
    <cellStyle name="SAPBEXfilterItem 53" xfId="4956" xr:uid="{00000000-0005-0000-0000-0000F9520000}"/>
    <cellStyle name="SAPBEXfilterItem 53 2" xfId="7494" xr:uid="{00000000-0005-0000-0000-0000FA520000}"/>
    <cellStyle name="SAPBEXfilterItem 53 3" xfId="8690" xr:uid="{00000000-0005-0000-0000-0000FB520000}"/>
    <cellStyle name="SAPBEXfilterItem 53 4" xfId="11928" xr:uid="{00000000-0005-0000-0000-0000FC520000}"/>
    <cellStyle name="SAPBEXfilterItem 53 5" xfId="14401" xr:uid="{00000000-0005-0000-0000-0000FD520000}"/>
    <cellStyle name="SAPBEXfilterItem 53 6" xfId="15910" xr:uid="{00000000-0005-0000-0000-0000FE520000}"/>
    <cellStyle name="SAPBEXfilterItem 53 7" xfId="19097" xr:uid="{00000000-0005-0000-0000-0000FF520000}"/>
    <cellStyle name="SAPBEXfilterItem 53 8" xfId="20606" xr:uid="{00000000-0005-0000-0000-000000530000}"/>
    <cellStyle name="SAPBEXfilterItem 53 9" xfId="23603" xr:uid="{00000000-0005-0000-0000-000001530000}"/>
    <cellStyle name="SAPBEXfilterItem 54" xfId="4990" xr:uid="{00000000-0005-0000-0000-000002530000}"/>
    <cellStyle name="SAPBEXfilterItem 54 2" xfId="7528" xr:uid="{00000000-0005-0000-0000-000003530000}"/>
    <cellStyle name="SAPBEXfilterItem 54 3" xfId="9562" xr:uid="{00000000-0005-0000-0000-000004530000}"/>
    <cellStyle name="SAPBEXfilterItem 54 4" xfId="10501" xr:uid="{00000000-0005-0000-0000-000005530000}"/>
    <cellStyle name="SAPBEXfilterItem 54 5" xfId="12839" xr:uid="{00000000-0005-0000-0000-000006530000}"/>
    <cellStyle name="SAPBEXfilterItem 54 6" xfId="15504" xr:uid="{00000000-0005-0000-0000-000007530000}"/>
    <cellStyle name="SAPBEXfilterItem 54 7" xfId="17535" xr:uid="{00000000-0005-0000-0000-000008530000}"/>
    <cellStyle name="SAPBEXfilterItem 54 8" xfId="20200" xr:uid="{00000000-0005-0000-0000-000009530000}"/>
    <cellStyle name="SAPBEXfilterItem 54 9" xfId="22172" xr:uid="{00000000-0005-0000-0000-00000A530000}"/>
    <cellStyle name="SAPBEXfilterItem 55" xfId="5028" xr:uid="{00000000-0005-0000-0000-00000B530000}"/>
    <cellStyle name="SAPBEXfilterItem 55 2" xfId="7566" xr:uid="{00000000-0005-0000-0000-00000C530000}"/>
    <cellStyle name="SAPBEXfilterItem 55 3" xfId="9326" xr:uid="{00000000-0005-0000-0000-00000D530000}"/>
    <cellStyle name="SAPBEXfilterItem 55 4" xfId="10548" xr:uid="{00000000-0005-0000-0000-00000E530000}"/>
    <cellStyle name="SAPBEXfilterItem 55 5" xfId="12891" xr:uid="{00000000-0005-0000-0000-00000F530000}"/>
    <cellStyle name="SAPBEXfilterItem 55 6" xfId="16390" xr:uid="{00000000-0005-0000-0000-000010530000}"/>
    <cellStyle name="SAPBEXfilterItem 55 7" xfId="17587" xr:uid="{00000000-0005-0000-0000-000011530000}"/>
    <cellStyle name="SAPBEXfilterItem 55 8" xfId="21086" xr:uid="{00000000-0005-0000-0000-000012530000}"/>
    <cellStyle name="SAPBEXfilterItem 55 9" xfId="22219" xr:uid="{00000000-0005-0000-0000-000013530000}"/>
    <cellStyle name="SAPBEXfilterItem 56" xfId="5137" xr:uid="{00000000-0005-0000-0000-000014530000}"/>
    <cellStyle name="SAPBEXfilterItem 56 2" xfId="7675" xr:uid="{00000000-0005-0000-0000-000015530000}"/>
    <cellStyle name="SAPBEXfilterItem 56 3" xfId="9031" xr:uid="{00000000-0005-0000-0000-000016530000}"/>
    <cellStyle name="SAPBEXfilterItem 56 4" xfId="10854" xr:uid="{00000000-0005-0000-0000-000017530000}"/>
    <cellStyle name="SAPBEXfilterItem 56 5" xfId="13219" xr:uid="{00000000-0005-0000-0000-000018530000}"/>
    <cellStyle name="SAPBEXfilterItem 56 6" xfId="16073" xr:uid="{00000000-0005-0000-0000-000019530000}"/>
    <cellStyle name="SAPBEXfilterItem 56 7" xfId="17915" xr:uid="{00000000-0005-0000-0000-00001A530000}"/>
    <cellStyle name="SAPBEXfilterItem 56 8" xfId="20769" xr:uid="{00000000-0005-0000-0000-00001B530000}"/>
    <cellStyle name="SAPBEXfilterItem 56 9" xfId="22525" xr:uid="{00000000-0005-0000-0000-00001C530000}"/>
    <cellStyle name="SAPBEXfilterItem 57" xfId="5206" xr:uid="{00000000-0005-0000-0000-00001D530000}"/>
    <cellStyle name="SAPBEXfilterItem 57 2" xfId="7745" xr:uid="{00000000-0005-0000-0000-00001E530000}"/>
    <cellStyle name="SAPBEXfilterItem 57 3" xfId="8201" xr:uid="{00000000-0005-0000-0000-00001F530000}"/>
    <cellStyle name="SAPBEXfilterItem 57 4" xfId="12037" xr:uid="{00000000-0005-0000-0000-000020530000}"/>
    <cellStyle name="SAPBEXfilterItem 57 5" xfId="14519" xr:uid="{00000000-0005-0000-0000-000021530000}"/>
    <cellStyle name="SAPBEXfilterItem 57 6" xfId="16986" xr:uid="{00000000-0005-0000-0000-000022530000}"/>
    <cellStyle name="SAPBEXfilterItem 57 7" xfId="19215" xr:uid="{00000000-0005-0000-0000-000023530000}"/>
    <cellStyle name="SAPBEXfilterItem 57 8" xfId="21682" xr:uid="{00000000-0005-0000-0000-000024530000}"/>
    <cellStyle name="SAPBEXfilterItem 57 9" xfId="23712" xr:uid="{00000000-0005-0000-0000-000025530000}"/>
    <cellStyle name="SAPBEXfilterItem 58" xfId="5237" xr:uid="{00000000-0005-0000-0000-000026530000}"/>
    <cellStyle name="SAPBEXfilterItem 58 2" xfId="9266" xr:uid="{00000000-0005-0000-0000-000027530000}"/>
    <cellStyle name="SAPBEXfilterItem 58 3" xfId="11784" xr:uid="{00000000-0005-0000-0000-000028530000}"/>
    <cellStyle name="SAPBEXfilterItem 58 4" xfId="14238" xr:uid="{00000000-0005-0000-0000-000029530000}"/>
    <cellStyle name="SAPBEXfilterItem 58 5" xfId="16646" xr:uid="{00000000-0005-0000-0000-00002A530000}"/>
    <cellStyle name="SAPBEXfilterItem 58 6" xfId="18934" xr:uid="{00000000-0005-0000-0000-00002B530000}"/>
    <cellStyle name="SAPBEXfilterItem 58 7" xfId="21342" xr:uid="{00000000-0005-0000-0000-00002C530000}"/>
    <cellStyle name="SAPBEXfilterItem 58 8" xfId="23458" xr:uid="{00000000-0005-0000-0000-00002D530000}"/>
    <cellStyle name="SAPBEXfilterItem 59" xfId="10233" xr:uid="{00000000-0005-0000-0000-00002E530000}"/>
    <cellStyle name="SAPBEXfilterItem 6" xfId="3156" xr:uid="{00000000-0005-0000-0000-00002F530000}"/>
    <cellStyle name="SAPBEXfilterItem 6 2" xfId="5694" xr:uid="{00000000-0005-0000-0000-000030530000}"/>
    <cellStyle name="SAPBEXfilterItem 6 3" xfId="9903" xr:uid="{00000000-0005-0000-0000-000031530000}"/>
    <cellStyle name="SAPBEXfilterItem 6 4" xfId="12106" xr:uid="{00000000-0005-0000-0000-000032530000}"/>
    <cellStyle name="SAPBEXfilterItem 6 5" xfId="14588" xr:uid="{00000000-0005-0000-0000-000033530000}"/>
    <cellStyle name="SAPBEXfilterItem 6 6" xfId="16914" xr:uid="{00000000-0005-0000-0000-000034530000}"/>
    <cellStyle name="SAPBEXfilterItem 6 7" xfId="19284" xr:uid="{00000000-0005-0000-0000-000035530000}"/>
    <cellStyle name="SAPBEXfilterItem 6 8" xfId="21610" xr:uid="{00000000-0005-0000-0000-000036530000}"/>
    <cellStyle name="SAPBEXfilterItem 6 9" xfId="23780" xr:uid="{00000000-0005-0000-0000-000037530000}"/>
    <cellStyle name="SAPBEXfilterItem 60" xfId="11046" xr:uid="{00000000-0005-0000-0000-000038530000}"/>
    <cellStyle name="SAPBEXfilterItem 61" xfId="13430" xr:uid="{00000000-0005-0000-0000-000039530000}"/>
    <cellStyle name="SAPBEXfilterItem 62" xfId="16108" xr:uid="{00000000-0005-0000-0000-00003A530000}"/>
    <cellStyle name="SAPBEXfilterItem 63" xfId="18126" xr:uid="{00000000-0005-0000-0000-00003B530000}"/>
    <cellStyle name="SAPBEXfilterItem 64" xfId="20804" xr:uid="{00000000-0005-0000-0000-00003C530000}"/>
    <cellStyle name="SAPBEXfilterItem 65" xfId="22719" xr:uid="{00000000-0005-0000-0000-00003D530000}"/>
    <cellStyle name="SAPBEXfilterItem 66" xfId="42185" xr:uid="{13809E7C-B76E-49B0-BBB1-A45CFF10BC5C}"/>
    <cellStyle name="SAPBEXfilterItem 7" xfId="3199" xr:uid="{00000000-0005-0000-0000-00003E530000}"/>
    <cellStyle name="SAPBEXfilterItem 7 2" xfId="5737" xr:uid="{00000000-0005-0000-0000-00003F530000}"/>
    <cellStyle name="SAPBEXfilterItem 7 3" xfId="8380" xr:uid="{00000000-0005-0000-0000-000040530000}"/>
    <cellStyle name="SAPBEXfilterItem 7 4" xfId="11369" xr:uid="{00000000-0005-0000-0000-000041530000}"/>
    <cellStyle name="SAPBEXfilterItem 7 5" xfId="13783" xr:uid="{00000000-0005-0000-0000-000042530000}"/>
    <cellStyle name="SAPBEXfilterItem 7 6" xfId="15400" xr:uid="{00000000-0005-0000-0000-000043530000}"/>
    <cellStyle name="SAPBEXfilterItem 7 7" xfId="18479" xr:uid="{00000000-0005-0000-0000-000044530000}"/>
    <cellStyle name="SAPBEXfilterItem 7 8" xfId="20096" xr:uid="{00000000-0005-0000-0000-000045530000}"/>
    <cellStyle name="SAPBEXfilterItem 7 9" xfId="23043" xr:uid="{00000000-0005-0000-0000-000046530000}"/>
    <cellStyle name="SAPBEXfilterItem 8" xfId="3242" xr:uid="{00000000-0005-0000-0000-000047530000}"/>
    <cellStyle name="SAPBEXfilterItem 8 2" xfId="5780" xr:uid="{00000000-0005-0000-0000-000048530000}"/>
    <cellStyle name="SAPBEXfilterItem 8 3" xfId="8212" xr:uid="{00000000-0005-0000-0000-000049530000}"/>
    <cellStyle name="SAPBEXfilterItem 8 4" xfId="10368" xr:uid="{00000000-0005-0000-0000-00004A530000}"/>
    <cellStyle name="SAPBEXfilterItem 8 5" xfId="12690" xr:uid="{00000000-0005-0000-0000-00004B530000}"/>
    <cellStyle name="SAPBEXfilterItem 8 6" xfId="16279" xr:uid="{00000000-0005-0000-0000-00004C530000}"/>
    <cellStyle name="SAPBEXfilterItem 8 7" xfId="17386" xr:uid="{00000000-0005-0000-0000-00004D530000}"/>
    <cellStyle name="SAPBEXfilterItem 8 8" xfId="20975" xr:uid="{00000000-0005-0000-0000-00004E530000}"/>
    <cellStyle name="SAPBEXfilterItem 8 9" xfId="22039" xr:uid="{00000000-0005-0000-0000-00004F530000}"/>
    <cellStyle name="SAPBEXfilterItem 9" xfId="3285" xr:uid="{00000000-0005-0000-0000-000050530000}"/>
    <cellStyle name="SAPBEXfilterItem 9 2" xfId="5823" xr:uid="{00000000-0005-0000-0000-000051530000}"/>
    <cellStyle name="SAPBEXfilterItem 9 3" xfId="8793" xr:uid="{00000000-0005-0000-0000-000052530000}"/>
    <cellStyle name="SAPBEXfilterItem 9 4" xfId="10306" xr:uid="{00000000-0005-0000-0000-000053530000}"/>
    <cellStyle name="SAPBEXfilterItem 9 5" xfId="12621" xr:uid="{00000000-0005-0000-0000-000054530000}"/>
    <cellStyle name="SAPBEXfilterItem 9 6" xfId="16078" xr:uid="{00000000-0005-0000-0000-000055530000}"/>
    <cellStyle name="SAPBEXfilterItem 9 7" xfId="17317" xr:uid="{00000000-0005-0000-0000-000056530000}"/>
    <cellStyle name="SAPBEXfilterItem 9 8" xfId="20774" xr:uid="{00000000-0005-0000-0000-000057530000}"/>
    <cellStyle name="SAPBEXfilterItem 9 9" xfId="21976" xr:uid="{00000000-0005-0000-0000-000058530000}"/>
    <cellStyle name="SAPBEXfilterText" xfId="2957" xr:uid="{00000000-0005-0000-0000-000059530000}"/>
    <cellStyle name="SAPBEXfilterText 10" xfId="3333" xr:uid="{00000000-0005-0000-0000-00005A530000}"/>
    <cellStyle name="SAPBEXfilterText 10 2" xfId="5871" xr:uid="{00000000-0005-0000-0000-00005B530000}"/>
    <cellStyle name="SAPBEXfilterText 10 3" xfId="8441" xr:uid="{00000000-0005-0000-0000-00005C530000}"/>
    <cellStyle name="SAPBEXfilterText 10 4" xfId="11804" xr:uid="{00000000-0005-0000-0000-00005D530000}"/>
    <cellStyle name="SAPBEXfilterText 10 5" xfId="14261" xr:uid="{00000000-0005-0000-0000-00005E530000}"/>
    <cellStyle name="SAPBEXfilterText 10 6" xfId="13135" xr:uid="{00000000-0005-0000-0000-00005F530000}"/>
    <cellStyle name="SAPBEXfilterText 10 7" xfId="18957" xr:uid="{00000000-0005-0000-0000-000060530000}"/>
    <cellStyle name="SAPBEXfilterText 10 8" xfId="17831" xr:uid="{00000000-0005-0000-0000-000061530000}"/>
    <cellStyle name="SAPBEXfilterText 10 9" xfId="23479" xr:uid="{00000000-0005-0000-0000-000062530000}"/>
    <cellStyle name="SAPBEXfilterText 11" xfId="3512" xr:uid="{00000000-0005-0000-0000-000063530000}"/>
    <cellStyle name="SAPBEXfilterText 11 2" xfId="6050" xr:uid="{00000000-0005-0000-0000-000064530000}"/>
    <cellStyle name="SAPBEXfilterText 11 3" xfId="9550" xr:uid="{00000000-0005-0000-0000-000065530000}"/>
    <cellStyle name="SAPBEXfilterText 11 4" xfId="11530" xr:uid="{00000000-0005-0000-0000-000066530000}"/>
    <cellStyle name="SAPBEXfilterText 11 5" xfId="13962" xr:uid="{00000000-0005-0000-0000-000067530000}"/>
    <cellStyle name="SAPBEXfilterText 11 6" xfId="15278" xr:uid="{00000000-0005-0000-0000-000068530000}"/>
    <cellStyle name="SAPBEXfilterText 11 7" xfId="18658" xr:uid="{00000000-0005-0000-0000-000069530000}"/>
    <cellStyle name="SAPBEXfilterText 11 8" xfId="19974" xr:uid="{00000000-0005-0000-0000-00006A530000}"/>
    <cellStyle name="SAPBEXfilterText 11 9" xfId="23204" xr:uid="{00000000-0005-0000-0000-00006B530000}"/>
    <cellStyle name="SAPBEXfilterText 12" xfId="3364" xr:uid="{00000000-0005-0000-0000-00006C530000}"/>
    <cellStyle name="SAPBEXfilterText 12 2" xfId="5902" xr:uid="{00000000-0005-0000-0000-00006D530000}"/>
    <cellStyle name="SAPBEXfilterText 12 3" xfId="9345" xr:uid="{00000000-0005-0000-0000-00006E530000}"/>
    <cellStyle name="SAPBEXfilterText 12 4" xfId="10761" xr:uid="{00000000-0005-0000-0000-00006F530000}"/>
    <cellStyle name="SAPBEXfilterText 12 5" xfId="13116" xr:uid="{00000000-0005-0000-0000-000070530000}"/>
    <cellStyle name="SAPBEXfilterText 12 6" xfId="15050" xr:uid="{00000000-0005-0000-0000-000071530000}"/>
    <cellStyle name="SAPBEXfilterText 12 7" xfId="17812" xr:uid="{00000000-0005-0000-0000-000072530000}"/>
    <cellStyle name="SAPBEXfilterText 12 8" xfId="19746" xr:uid="{00000000-0005-0000-0000-000073530000}"/>
    <cellStyle name="SAPBEXfilterText 12 9" xfId="22433" xr:uid="{00000000-0005-0000-0000-000074530000}"/>
    <cellStyle name="SAPBEXfilterText 13" xfId="3352" xr:uid="{00000000-0005-0000-0000-000075530000}"/>
    <cellStyle name="SAPBEXfilterText 13 2" xfId="5890" xr:uid="{00000000-0005-0000-0000-000076530000}"/>
    <cellStyle name="SAPBEXfilterText 13 3" xfId="10058" xr:uid="{00000000-0005-0000-0000-000077530000}"/>
    <cellStyle name="SAPBEXfilterText 13 4" xfId="10713" xr:uid="{00000000-0005-0000-0000-000078530000}"/>
    <cellStyle name="SAPBEXfilterText 13 5" xfId="13190" xr:uid="{00000000-0005-0000-0000-000079530000}"/>
    <cellStyle name="SAPBEXfilterText 13 6" xfId="16792" xr:uid="{00000000-0005-0000-0000-00007A530000}"/>
    <cellStyle name="SAPBEXfilterText 13 7" xfId="17886" xr:uid="{00000000-0005-0000-0000-00007B530000}"/>
    <cellStyle name="SAPBEXfilterText 13 8" xfId="21488" xr:uid="{00000000-0005-0000-0000-00007C530000}"/>
    <cellStyle name="SAPBEXfilterText 13 9" xfId="22498" xr:uid="{00000000-0005-0000-0000-00007D530000}"/>
    <cellStyle name="SAPBEXfilterText 14" xfId="3587" xr:uid="{00000000-0005-0000-0000-00007E530000}"/>
    <cellStyle name="SAPBEXfilterText 14 2" xfId="6125" xr:uid="{00000000-0005-0000-0000-00007F530000}"/>
    <cellStyle name="SAPBEXfilterText 14 3" xfId="9492" xr:uid="{00000000-0005-0000-0000-000080530000}"/>
    <cellStyle name="SAPBEXfilterText 14 4" xfId="9814" xr:uid="{00000000-0005-0000-0000-000081530000}"/>
    <cellStyle name="SAPBEXfilterText 14 5" xfId="14944" xr:uid="{00000000-0005-0000-0000-000082530000}"/>
    <cellStyle name="SAPBEXfilterText 14 6" xfId="16820" xr:uid="{00000000-0005-0000-0000-000083530000}"/>
    <cellStyle name="SAPBEXfilterText 14 7" xfId="19640" xr:uid="{00000000-0005-0000-0000-000084530000}"/>
    <cellStyle name="SAPBEXfilterText 14 8" xfId="21516" xr:uid="{00000000-0005-0000-0000-000085530000}"/>
    <cellStyle name="SAPBEXfilterText 14 9" xfId="24107" xr:uid="{00000000-0005-0000-0000-000086530000}"/>
    <cellStyle name="SAPBEXfilterText 15" xfId="3483" xr:uid="{00000000-0005-0000-0000-000087530000}"/>
    <cellStyle name="SAPBEXfilterText 15 2" xfId="6021" xr:uid="{00000000-0005-0000-0000-000088530000}"/>
    <cellStyle name="SAPBEXfilterText 15 3" xfId="9288" xr:uid="{00000000-0005-0000-0000-000089530000}"/>
    <cellStyle name="SAPBEXfilterText 15 4" xfId="10430" xr:uid="{00000000-0005-0000-0000-00008A530000}"/>
    <cellStyle name="SAPBEXfilterText 15 5" xfId="14506" xr:uid="{00000000-0005-0000-0000-00008B530000}"/>
    <cellStyle name="SAPBEXfilterText 15 6" xfId="16206" xr:uid="{00000000-0005-0000-0000-00008C530000}"/>
    <cellStyle name="SAPBEXfilterText 15 7" xfId="19202" xr:uid="{00000000-0005-0000-0000-00008D530000}"/>
    <cellStyle name="SAPBEXfilterText 15 8" xfId="20902" xr:uid="{00000000-0005-0000-0000-00008E530000}"/>
    <cellStyle name="SAPBEXfilterText 15 9" xfId="23701" xr:uid="{00000000-0005-0000-0000-00008F530000}"/>
    <cellStyle name="SAPBEXfilterText 16" xfId="3478" xr:uid="{00000000-0005-0000-0000-000090530000}"/>
    <cellStyle name="SAPBEXfilterText 16 2" xfId="6016" xr:uid="{00000000-0005-0000-0000-000091530000}"/>
    <cellStyle name="SAPBEXfilterText 16 3" xfId="8344" xr:uid="{00000000-0005-0000-0000-000092530000}"/>
    <cellStyle name="SAPBEXfilterText 16 4" xfId="10619" xr:uid="{00000000-0005-0000-0000-000093530000}"/>
    <cellStyle name="SAPBEXfilterText 16 5" xfId="12967" xr:uid="{00000000-0005-0000-0000-000094530000}"/>
    <cellStyle name="SAPBEXfilterText 16 6" xfId="16456" xr:uid="{00000000-0005-0000-0000-000095530000}"/>
    <cellStyle name="SAPBEXfilterText 16 7" xfId="17663" xr:uid="{00000000-0005-0000-0000-000096530000}"/>
    <cellStyle name="SAPBEXfilterText 16 8" xfId="21152" xr:uid="{00000000-0005-0000-0000-000097530000}"/>
    <cellStyle name="SAPBEXfilterText 16 9" xfId="22292" xr:uid="{00000000-0005-0000-0000-000098530000}"/>
    <cellStyle name="SAPBEXfilterText 17" xfId="3538" xr:uid="{00000000-0005-0000-0000-000099530000}"/>
    <cellStyle name="SAPBEXfilterText 17 2" xfId="6076" xr:uid="{00000000-0005-0000-0000-00009A530000}"/>
    <cellStyle name="SAPBEXfilterText 17 3" xfId="9804" xr:uid="{00000000-0005-0000-0000-00009B530000}"/>
    <cellStyle name="SAPBEXfilterText 17 4" xfId="10879" xr:uid="{00000000-0005-0000-0000-00009C530000}"/>
    <cellStyle name="SAPBEXfilterText 17 5" xfId="13246" xr:uid="{00000000-0005-0000-0000-00009D530000}"/>
    <cellStyle name="SAPBEXfilterText 17 6" xfId="14321" xr:uid="{00000000-0005-0000-0000-00009E530000}"/>
    <cellStyle name="SAPBEXfilterText 17 7" xfId="17942" xr:uid="{00000000-0005-0000-0000-00009F530000}"/>
    <cellStyle name="SAPBEXfilterText 17 8" xfId="19017" xr:uid="{00000000-0005-0000-0000-0000A0530000}"/>
    <cellStyle name="SAPBEXfilterText 17 9" xfId="22550" xr:uid="{00000000-0005-0000-0000-0000A1530000}"/>
    <cellStyle name="SAPBEXfilterText 18" xfId="3699" xr:uid="{00000000-0005-0000-0000-0000A2530000}"/>
    <cellStyle name="SAPBEXfilterText 18 2" xfId="6237" xr:uid="{00000000-0005-0000-0000-0000A3530000}"/>
    <cellStyle name="SAPBEXfilterText 18 3" xfId="9989" xr:uid="{00000000-0005-0000-0000-0000A4530000}"/>
    <cellStyle name="SAPBEXfilterText 18 4" xfId="11523" xr:uid="{00000000-0005-0000-0000-0000A5530000}"/>
    <cellStyle name="SAPBEXfilterText 18 5" xfId="13952" xr:uid="{00000000-0005-0000-0000-0000A6530000}"/>
    <cellStyle name="SAPBEXfilterText 18 6" xfId="16350" xr:uid="{00000000-0005-0000-0000-0000A7530000}"/>
    <cellStyle name="SAPBEXfilterText 18 7" xfId="18648" xr:uid="{00000000-0005-0000-0000-0000A8530000}"/>
    <cellStyle name="SAPBEXfilterText 18 8" xfId="21046" xr:uid="{00000000-0005-0000-0000-0000A9530000}"/>
    <cellStyle name="SAPBEXfilterText 18 9" xfId="23197" xr:uid="{00000000-0005-0000-0000-0000AA530000}"/>
    <cellStyle name="SAPBEXfilterText 19" xfId="3662" xr:uid="{00000000-0005-0000-0000-0000AB530000}"/>
    <cellStyle name="SAPBEXfilterText 19 2" xfId="6200" xr:uid="{00000000-0005-0000-0000-0000AC530000}"/>
    <cellStyle name="SAPBEXfilterText 19 3" xfId="8952" xr:uid="{00000000-0005-0000-0000-0000AD530000}"/>
    <cellStyle name="SAPBEXfilterText 19 4" xfId="11585" xr:uid="{00000000-0005-0000-0000-0000AE530000}"/>
    <cellStyle name="SAPBEXfilterText 19 5" xfId="14022" xr:uid="{00000000-0005-0000-0000-0000AF530000}"/>
    <cellStyle name="SAPBEXfilterText 19 6" xfId="15921" xr:uid="{00000000-0005-0000-0000-0000B0530000}"/>
    <cellStyle name="SAPBEXfilterText 19 7" xfId="18718" xr:uid="{00000000-0005-0000-0000-0000B1530000}"/>
    <cellStyle name="SAPBEXfilterText 19 8" xfId="20617" xr:uid="{00000000-0005-0000-0000-0000B2530000}"/>
    <cellStyle name="SAPBEXfilterText 19 9" xfId="23259" xr:uid="{00000000-0005-0000-0000-0000B3530000}"/>
    <cellStyle name="SAPBEXfilterText 2" xfId="3076" xr:uid="{00000000-0005-0000-0000-0000B4530000}"/>
    <cellStyle name="SAPBEXfilterText 2 2" xfId="5614" xr:uid="{00000000-0005-0000-0000-0000B5530000}"/>
    <cellStyle name="SAPBEXfilterText 2 3" xfId="8164" xr:uid="{00000000-0005-0000-0000-0000B6530000}"/>
    <cellStyle name="SAPBEXfilterText 2 4" xfId="10523" xr:uid="{00000000-0005-0000-0000-0000B7530000}"/>
    <cellStyle name="SAPBEXfilterText 2 5" xfId="12864" xr:uid="{00000000-0005-0000-0000-0000B8530000}"/>
    <cellStyle name="SAPBEXfilterText 2 6" xfId="15375" xr:uid="{00000000-0005-0000-0000-0000B9530000}"/>
    <cellStyle name="SAPBEXfilterText 2 7" xfId="17560" xr:uid="{00000000-0005-0000-0000-0000BA530000}"/>
    <cellStyle name="SAPBEXfilterText 2 8" xfId="20071" xr:uid="{00000000-0005-0000-0000-0000BB530000}"/>
    <cellStyle name="SAPBEXfilterText 2 9" xfId="22194" xr:uid="{00000000-0005-0000-0000-0000BC530000}"/>
    <cellStyle name="SAPBEXfilterText 20" xfId="3761" xr:uid="{00000000-0005-0000-0000-0000BD530000}"/>
    <cellStyle name="SAPBEXfilterText 20 2" xfId="6299" xr:uid="{00000000-0005-0000-0000-0000BE530000}"/>
    <cellStyle name="SAPBEXfilterText 20 3" xfId="9274" xr:uid="{00000000-0005-0000-0000-0000BF530000}"/>
    <cellStyle name="SAPBEXfilterText 20 4" xfId="11680" xr:uid="{00000000-0005-0000-0000-0000C0530000}"/>
    <cellStyle name="SAPBEXfilterText 20 5" xfId="14127" xr:uid="{00000000-0005-0000-0000-0000C1530000}"/>
    <cellStyle name="SAPBEXfilterText 20 6" xfId="15901" xr:uid="{00000000-0005-0000-0000-0000C2530000}"/>
    <cellStyle name="SAPBEXfilterText 20 7" xfId="18823" xr:uid="{00000000-0005-0000-0000-0000C3530000}"/>
    <cellStyle name="SAPBEXfilterText 20 8" xfId="20597" xr:uid="{00000000-0005-0000-0000-0000C4530000}"/>
    <cellStyle name="SAPBEXfilterText 20 9" xfId="23354" xr:uid="{00000000-0005-0000-0000-0000C5530000}"/>
    <cellStyle name="SAPBEXfilterText 21" xfId="3724" xr:uid="{00000000-0005-0000-0000-0000C6530000}"/>
    <cellStyle name="SAPBEXfilterText 21 2" xfId="6262" xr:uid="{00000000-0005-0000-0000-0000C7530000}"/>
    <cellStyle name="SAPBEXfilterText 21 3" xfId="5476" xr:uid="{00000000-0005-0000-0000-0000C8530000}"/>
    <cellStyle name="SAPBEXfilterText 21 4" xfId="10571" xr:uid="{00000000-0005-0000-0000-0000C9530000}"/>
    <cellStyle name="SAPBEXfilterText 21 5" xfId="12916" xr:uid="{00000000-0005-0000-0000-0000CA530000}"/>
    <cellStyle name="SAPBEXfilterText 21 6" xfId="15567" xr:uid="{00000000-0005-0000-0000-0000CB530000}"/>
    <cellStyle name="SAPBEXfilterText 21 7" xfId="17612" xr:uid="{00000000-0005-0000-0000-0000CC530000}"/>
    <cellStyle name="SAPBEXfilterText 21 8" xfId="20263" xr:uid="{00000000-0005-0000-0000-0000CD530000}"/>
    <cellStyle name="SAPBEXfilterText 21 9" xfId="22243" xr:uid="{00000000-0005-0000-0000-0000CE530000}"/>
    <cellStyle name="SAPBEXfilterText 22" xfId="3532" xr:uid="{00000000-0005-0000-0000-0000CF530000}"/>
    <cellStyle name="SAPBEXfilterText 22 2" xfId="6070" xr:uid="{00000000-0005-0000-0000-0000D0530000}"/>
    <cellStyle name="SAPBEXfilterText 22 3" xfId="8697" xr:uid="{00000000-0005-0000-0000-0000D1530000}"/>
    <cellStyle name="SAPBEXfilterText 22 4" xfId="10823" xr:uid="{00000000-0005-0000-0000-0000D2530000}"/>
    <cellStyle name="SAPBEXfilterText 22 5" xfId="13186" xr:uid="{00000000-0005-0000-0000-0000D3530000}"/>
    <cellStyle name="SAPBEXfilterText 22 6" xfId="16330" xr:uid="{00000000-0005-0000-0000-0000D4530000}"/>
    <cellStyle name="SAPBEXfilterText 22 7" xfId="17882" xr:uid="{00000000-0005-0000-0000-0000D5530000}"/>
    <cellStyle name="SAPBEXfilterText 22 8" xfId="21026" xr:uid="{00000000-0005-0000-0000-0000D6530000}"/>
    <cellStyle name="SAPBEXfilterText 22 9" xfId="22494" xr:uid="{00000000-0005-0000-0000-0000D7530000}"/>
    <cellStyle name="SAPBEXfilterText 23" xfId="3725" xr:uid="{00000000-0005-0000-0000-0000D8530000}"/>
    <cellStyle name="SAPBEXfilterText 23 2" xfId="6263" xr:uid="{00000000-0005-0000-0000-0000D9530000}"/>
    <cellStyle name="SAPBEXfilterText 23 3" xfId="5461" xr:uid="{00000000-0005-0000-0000-0000DA530000}"/>
    <cellStyle name="SAPBEXfilterText 23 4" xfId="10784" xr:uid="{00000000-0005-0000-0000-0000DB530000}"/>
    <cellStyle name="SAPBEXfilterText 23 5" xfId="13140" xr:uid="{00000000-0005-0000-0000-0000DC530000}"/>
    <cellStyle name="SAPBEXfilterText 23 6" xfId="15896" xr:uid="{00000000-0005-0000-0000-0000DD530000}"/>
    <cellStyle name="SAPBEXfilterText 23 7" xfId="17836" xr:uid="{00000000-0005-0000-0000-0000DE530000}"/>
    <cellStyle name="SAPBEXfilterText 23 8" xfId="20592" xr:uid="{00000000-0005-0000-0000-0000DF530000}"/>
    <cellStyle name="SAPBEXfilterText 23 9" xfId="22455" xr:uid="{00000000-0005-0000-0000-0000E0530000}"/>
    <cellStyle name="SAPBEXfilterText 24" xfId="3873" xr:uid="{00000000-0005-0000-0000-0000E1530000}"/>
    <cellStyle name="SAPBEXfilterText 24 2" xfId="6411" xr:uid="{00000000-0005-0000-0000-0000E2530000}"/>
    <cellStyle name="SAPBEXfilterText 24 3" xfId="8219" xr:uid="{00000000-0005-0000-0000-0000E3530000}"/>
    <cellStyle name="SAPBEXfilterText 24 4" xfId="10176" xr:uid="{00000000-0005-0000-0000-0000E4530000}"/>
    <cellStyle name="SAPBEXfilterText 24 5" xfId="14951" xr:uid="{00000000-0005-0000-0000-0000E5530000}"/>
    <cellStyle name="SAPBEXfilterText 24 6" xfId="15156" xr:uid="{00000000-0005-0000-0000-0000E6530000}"/>
    <cellStyle name="SAPBEXfilterText 24 7" xfId="19647" xr:uid="{00000000-0005-0000-0000-0000E7530000}"/>
    <cellStyle name="SAPBEXfilterText 24 8" xfId="19852" xr:uid="{00000000-0005-0000-0000-0000E8530000}"/>
    <cellStyle name="SAPBEXfilterText 24 9" xfId="24113" xr:uid="{00000000-0005-0000-0000-0000E9530000}"/>
    <cellStyle name="SAPBEXfilterText 25" xfId="3753" xr:uid="{00000000-0005-0000-0000-0000EA530000}"/>
    <cellStyle name="SAPBEXfilterText 25 2" xfId="6291" xr:uid="{00000000-0005-0000-0000-0000EB530000}"/>
    <cellStyle name="SAPBEXfilterText 25 3" xfId="8922" xr:uid="{00000000-0005-0000-0000-0000EC530000}"/>
    <cellStyle name="SAPBEXfilterText 25 4" xfId="11504" xr:uid="{00000000-0005-0000-0000-0000ED530000}"/>
    <cellStyle name="SAPBEXfilterText 25 5" xfId="13931" xr:uid="{00000000-0005-0000-0000-0000EE530000}"/>
    <cellStyle name="SAPBEXfilterText 25 6" xfId="16384" xr:uid="{00000000-0005-0000-0000-0000EF530000}"/>
    <cellStyle name="SAPBEXfilterText 25 7" xfId="18627" xr:uid="{00000000-0005-0000-0000-0000F0530000}"/>
    <cellStyle name="SAPBEXfilterText 25 8" xfId="21080" xr:uid="{00000000-0005-0000-0000-0000F1530000}"/>
    <cellStyle name="SAPBEXfilterText 25 9" xfId="23178" xr:uid="{00000000-0005-0000-0000-0000F2530000}"/>
    <cellStyle name="SAPBEXfilterText 26" xfId="3687" xr:uid="{00000000-0005-0000-0000-0000F3530000}"/>
    <cellStyle name="SAPBEXfilterText 26 2" xfId="6225" xr:uid="{00000000-0005-0000-0000-0000F4530000}"/>
    <cellStyle name="SAPBEXfilterText 26 3" xfId="9617" xr:uid="{00000000-0005-0000-0000-0000F5530000}"/>
    <cellStyle name="SAPBEXfilterText 26 4" xfId="8998" xr:uid="{00000000-0005-0000-0000-0000F6530000}"/>
    <cellStyle name="SAPBEXfilterText 26 5" xfId="12511" xr:uid="{00000000-0005-0000-0000-0000F7530000}"/>
    <cellStyle name="SAPBEXfilterText 26 6" xfId="15601" xr:uid="{00000000-0005-0000-0000-0000F8530000}"/>
    <cellStyle name="SAPBEXfilterText 26 7" xfId="17207" xr:uid="{00000000-0005-0000-0000-0000F9530000}"/>
    <cellStyle name="SAPBEXfilterText 26 8" xfId="20297" xr:uid="{00000000-0005-0000-0000-0000FA530000}"/>
    <cellStyle name="SAPBEXfilterText 26 9" xfId="21878" xr:uid="{00000000-0005-0000-0000-0000FB530000}"/>
    <cellStyle name="SAPBEXfilterText 27" xfId="3896" xr:uid="{00000000-0005-0000-0000-0000FC530000}"/>
    <cellStyle name="SAPBEXfilterText 27 2" xfId="6434" xr:uid="{00000000-0005-0000-0000-0000FD530000}"/>
    <cellStyle name="SAPBEXfilterText 27 3" xfId="9750" xr:uid="{00000000-0005-0000-0000-0000FE530000}"/>
    <cellStyle name="SAPBEXfilterText 27 4" xfId="11824" xr:uid="{00000000-0005-0000-0000-0000FF530000}"/>
    <cellStyle name="SAPBEXfilterText 27 5" xfId="14281" xr:uid="{00000000-0005-0000-0000-000000540000}"/>
    <cellStyle name="SAPBEXfilterText 27 6" xfId="16975" xr:uid="{00000000-0005-0000-0000-000001540000}"/>
    <cellStyle name="SAPBEXfilterText 27 7" xfId="18977" xr:uid="{00000000-0005-0000-0000-000002540000}"/>
    <cellStyle name="SAPBEXfilterText 27 8" xfId="21671" xr:uid="{00000000-0005-0000-0000-000003540000}"/>
    <cellStyle name="SAPBEXfilterText 27 9" xfId="23499" xr:uid="{00000000-0005-0000-0000-000004540000}"/>
    <cellStyle name="SAPBEXfilterText 28" xfId="4021" xr:uid="{00000000-0005-0000-0000-000005540000}"/>
    <cellStyle name="SAPBEXfilterText 28 2" xfId="6559" xr:uid="{00000000-0005-0000-0000-000006540000}"/>
    <cellStyle name="SAPBEXfilterText 28 3" xfId="8075" xr:uid="{00000000-0005-0000-0000-000007540000}"/>
    <cellStyle name="SAPBEXfilterText 28 4" xfId="11601" xr:uid="{00000000-0005-0000-0000-000008540000}"/>
    <cellStyle name="SAPBEXfilterText 28 5" xfId="14039" xr:uid="{00000000-0005-0000-0000-000009540000}"/>
    <cellStyle name="SAPBEXfilterText 28 6" xfId="15892" xr:uid="{00000000-0005-0000-0000-00000A540000}"/>
    <cellStyle name="SAPBEXfilterText 28 7" xfId="18735" xr:uid="{00000000-0005-0000-0000-00000B540000}"/>
    <cellStyle name="SAPBEXfilterText 28 8" xfId="20588" xr:uid="{00000000-0005-0000-0000-00000C540000}"/>
    <cellStyle name="SAPBEXfilterText 28 9" xfId="23275" xr:uid="{00000000-0005-0000-0000-00000D540000}"/>
    <cellStyle name="SAPBEXfilterText 29" xfId="4097" xr:uid="{00000000-0005-0000-0000-00000E540000}"/>
    <cellStyle name="SAPBEXfilterText 29 2" xfId="6635" xr:uid="{00000000-0005-0000-0000-00000F540000}"/>
    <cellStyle name="SAPBEXfilterText 29 3" xfId="9616" xr:uid="{00000000-0005-0000-0000-000010540000}"/>
    <cellStyle name="SAPBEXfilterText 29 4" xfId="10897" xr:uid="{00000000-0005-0000-0000-000011540000}"/>
    <cellStyle name="SAPBEXfilterText 29 5" xfId="13266" xr:uid="{00000000-0005-0000-0000-000012540000}"/>
    <cellStyle name="SAPBEXfilterText 29 6" xfId="16730" xr:uid="{00000000-0005-0000-0000-000013540000}"/>
    <cellStyle name="SAPBEXfilterText 29 7" xfId="17962" xr:uid="{00000000-0005-0000-0000-000014540000}"/>
    <cellStyle name="SAPBEXfilterText 29 8" xfId="21426" xr:uid="{00000000-0005-0000-0000-000015540000}"/>
    <cellStyle name="SAPBEXfilterText 29 9" xfId="22568" xr:uid="{00000000-0005-0000-0000-000016540000}"/>
    <cellStyle name="SAPBEXfilterText 3" xfId="3119" xr:uid="{00000000-0005-0000-0000-000017540000}"/>
    <cellStyle name="SAPBEXfilterText 3 2" xfId="5657" xr:uid="{00000000-0005-0000-0000-000018540000}"/>
    <cellStyle name="SAPBEXfilterText 3 3" xfId="10071" xr:uid="{00000000-0005-0000-0000-000019540000}"/>
    <cellStyle name="SAPBEXfilterText 3 4" xfId="11011" xr:uid="{00000000-0005-0000-0000-00001A540000}"/>
    <cellStyle name="SAPBEXfilterText 3 5" xfId="13388" xr:uid="{00000000-0005-0000-0000-00001B540000}"/>
    <cellStyle name="SAPBEXfilterText 3 6" xfId="16961" xr:uid="{00000000-0005-0000-0000-00001C540000}"/>
    <cellStyle name="SAPBEXfilterText 3 7" xfId="18084" xr:uid="{00000000-0005-0000-0000-00001D540000}"/>
    <cellStyle name="SAPBEXfilterText 3 8" xfId="21657" xr:uid="{00000000-0005-0000-0000-00001E540000}"/>
    <cellStyle name="SAPBEXfilterText 3 9" xfId="22684" xr:uid="{00000000-0005-0000-0000-00001F540000}"/>
    <cellStyle name="SAPBEXfilterText 30" xfId="3830" xr:uid="{00000000-0005-0000-0000-000020540000}"/>
    <cellStyle name="SAPBEXfilterText 30 2" xfId="6368" xr:uid="{00000000-0005-0000-0000-000021540000}"/>
    <cellStyle name="SAPBEXfilterText 30 3" xfId="7973" xr:uid="{00000000-0005-0000-0000-000022540000}"/>
    <cellStyle name="SAPBEXfilterText 30 4" xfId="8123" xr:uid="{00000000-0005-0000-0000-000023540000}"/>
    <cellStyle name="SAPBEXfilterText 30 5" xfId="12543" xr:uid="{00000000-0005-0000-0000-000024540000}"/>
    <cellStyle name="SAPBEXfilterText 30 6" xfId="16648" xr:uid="{00000000-0005-0000-0000-000025540000}"/>
    <cellStyle name="SAPBEXfilterText 30 7" xfId="17239" xr:uid="{00000000-0005-0000-0000-000026540000}"/>
    <cellStyle name="SAPBEXfilterText 30 8" xfId="21344" xr:uid="{00000000-0005-0000-0000-000027540000}"/>
    <cellStyle name="SAPBEXfilterText 30 9" xfId="21906" xr:uid="{00000000-0005-0000-0000-000028540000}"/>
    <cellStyle name="SAPBEXfilterText 31" xfId="4004" xr:uid="{00000000-0005-0000-0000-000029540000}"/>
    <cellStyle name="SAPBEXfilterText 31 2" xfId="6542" xr:uid="{00000000-0005-0000-0000-00002A540000}"/>
    <cellStyle name="SAPBEXfilterText 31 3" xfId="9049" xr:uid="{00000000-0005-0000-0000-00002B540000}"/>
    <cellStyle name="SAPBEXfilterText 31 4" xfId="11206" xr:uid="{00000000-0005-0000-0000-00002C540000}"/>
    <cellStyle name="SAPBEXfilterText 31 5" xfId="13608" xr:uid="{00000000-0005-0000-0000-00002D540000}"/>
    <cellStyle name="SAPBEXfilterText 31 6" xfId="16477" xr:uid="{00000000-0005-0000-0000-00002E540000}"/>
    <cellStyle name="SAPBEXfilterText 31 7" xfId="18304" xr:uid="{00000000-0005-0000-0000-00002F540000}"/>
    <cellStyle name="SAPBEXfilterText 31 8" xfId="21173" xr:uid="{00000000-0005-0000-0000-000030540000}"/>
    <cellStyle name="SAPBEXfilterText 31 9" xfId="22881" xr:uid="{00000000-0005-0000-0000-000031540000}"/>
    <cellStyle name="SAPBEXfilterText 32" xfId="4090" xr:uid="{00000000-0005-0000-0000-000032540000}"/>
    <cellStyle name="SAPBEXfilterText 32 2" xfId="6628" xr:uid="{00000000-0005-0000-0000-000033540000}"/>
    <cellStyle name="SAPBEXfilterText 32 3" xfId="8508" xr:uid="{00000000-0005-0000-0000-000034540000}"/>
    <cellStyle name="SAPBEXfilterText 32 4" xfId="11764" xr:uid="{00000000-0005-0000-0000-000035540000}"/>
    <cellStyle name="SAPBEXfilterText 32 5" xfId="14216" xr:uid="{00000000-0005-0000-0000-000036540000}"/>
    <cellStyle name="SAPBEXfilterText 32 6" xfId="15697" xr:uid="{00000000-0005-0000-0000-000037540000}"/>
    <cellStyle name="SAPBEXfilterText 32 7" xfId="18912" xr:uid="{00000000-0005-0000-0000-000038540000}"/>
    <cellStyle name="SAPBEXfilterText 32 8" xfId="20393" xr:uid="{00000000-0005-0000-0000-000039540000}"/>
    <cellStyle name="SAPBEXfilterText 32 9" xfId="23438" xr:uid="{00000000-0005-0000-0000-00003A540000}"/>
    <cellStyle name="SAPBEXfilterText 33" xfId="4125" xr:uid="{00000000-0005-0000-0000-00003B540000}"/>
    <cellStyle name="SAPBEXfilterText 33 2" xfId="6663" xr:uid="{00000000-0005-0000-0000-00003C540000}"/>
    <cellStyle name="SAPBEXfilterText 33 3" xfId="10170" xr:uid="{00000000-0005-0000-0000-00003D540000}"/>
    <cellStyle name="SAPBEXfilterText 33 4" xfId="12296" xr:uid="{00000000-0005-0000-0000-00003E540000}"/>
    <cellStyle name="SAPBEXfilterText 33 5" xfId="14312" xr:uid="{00000000-0005-0000-0000-00003F540000}"/>
    <cellStyle name="SAPBEXfilterText 33 6" xfId="16425" xr:uid="{00000000-0005-0000-0000-000040540000}"/>
    <cellStyle name="SAPBEXfilterText 33 7" xfId="19008" xr:uid="{00000000-0005-0000-0000-000041540000}"/>
    <cellStyle name="SAPBEXfilterText 33 8" xfId="21121" xr:uid="{00000000-0005-0000-0000-000042540000}"/>
    <cellStyle name="SAPBEXfilterText 33 9" xfId="23526" xr:uid="{00000000-0005-0000-0000-000043540000}"/>
    <cellStyle name="SAPBEXfilterText 34" xfId="4169" xr:uid="{00000000-0005-0000-0000-000044540000}"/>
    <cellStyle name="SAPBEXfilterText 34 2" xfId="6707" xr:uid="{00000000-0005-0000-0000-000045540000}"/>
    <cellStyle name="SAPBEXfilterText 34 3" xfId="8350" xr:uid="{00000000-0005-0000-0000-000046540000}"/>
    <cellStyle name="SAPBEXfilterText 34 4" xfId="11970" xr:uid="{00000000-0005-0000-0000-000047540000}"/>
    <cellStyle name="SAPBEXfilterText 34 5" xfId="14447" xr:uid="{00000000-0005-0000-0000-000048540000}"/>
    <cellStyle name="SAPBEXfilterText 34 6" xfId="16978" xr:uid="{00000000-0005-0000-0000-000049540000}"/>
    <cellStyle name="SAPBEXfilterText 34 7" xfId="19143" xr:uid="{00000000-0005-0000-0000-00004A540000}"/>
    <cellStyle name="SAPBEXfilterText 34 8" xfId="21674" xr:uid="{00000000-0005-0000-0000-00004B540000}"/>
    <cellStyle name="SAPBEXfilterText 34 9" xfId="23645" xr:uid="{00000000-0005-0000-0000-00004C540000}"/>
    <cellStyle name="SAPBEXfilterText 35" xfId="4211" xr:uid="{00000000-0005-0000-0000-00004D540000}"/>
    <cellStyle name="SAPBEXfilterText 35 2" xfId="6749" xr:uid="{00000000-0005-0000-0000-00004E540000}"/>
    <cellStyle name="SAPBEXfilterText 35 3" xfId="5438" xr:uid="{00000000-0005-0000-0000-00004F540000}"/>
    <cellStyle name="SAPBEXfilterText 35 4" xfId="12080" xr:uid="{00000000-0005-0000-0000-000050540000}"/>
    <cellStyle name="SAPBEXfilterText 35 5" xfId="14560" xr:uid="{00000000-0005-0000-0000-000051540000}"/>
    <cellStyle name="SAPBEXfilterText 35 6" xfId="15467" xr:uid="{00000000-0005-0000-0000-000052540000}"/>
    <cellStyle name="SAPBEXfilterText 35 7" xfId="19256" xr:uid="{00000000-0005-0000-0000-000053540000}"/>
    <cellStyle name="SAPBEXfilterText 35 8" xfId="20163" xr:uid="{00000000-0005-0000-0000-000054540000}"/>
    <cellStyle name="SAPBEXfilterText 35 9" xfId="23752" xr:uid="{00000000-0005-0000-0000-000055540000}"/>
    <cellStyle name="SAPBEXfilterText 36" xfId="4258" xr:uid="{00000000-0005-0000-0000-000056540000}"/>
    <cellStyle name="SAPBEXfilterText 36 2" xfId="6796" xr:uid="{00000000-0005-0000-0000-000057540000}"/>
    <cellStyle name="SAPBEXfilterText 36 3" xfId="9649" xr:uid="{00000000-0005-0000-0000-000058540000}"/>
    <cellStyle name="SAPBEXfilterText 36 4" xfId="11606" xr:uid="{00000000-0005-0000-0000-000059540000}"/>
    <cellStyle name="SAPBEXfilterText 36 5" xfId="14044" xr:uid="{00000000-0005-0000-0000-00005A540000}"/>
    <cellStyle name="SAPBEXfilterText 36 6" xfId="15975" xr:uid="{00000000-0005-0000-0000-00005B540000}"/>
    <cellStyle name="SAPBEXfilterText 36 7" xfId="18740" xr:uid="{00000000-0005-0000-0000-00005C540000}"/>
    <cellStyle name="SAPBEXfilterText 36 8" xfId="20671" xr:uid="{00000000-0005-0000-0000-00005D540000}"/>
    <cellStyle name="SAPBEXfilterText 36 9" xfId="23280" xr:uid="{00000000-0005-0000-0000-00005E540000}"/>
    <cellStyle name="SAPBEXfilterText 37" xfId="4301" xr:uid="{00000000-0005-0000-0000-00005F540000}"/>
    <cellStyle name="SAPBEXfilterText 37 2" xfId="6839" xr:uid="{00000000-0005-0000-0000-000060540000}"/>
    <cellStyle name="SAPBEXfilterText 37 3" xfId="9422" xr:uid="{00000000-0005-0000-0000-000061540000}"/>
    <cellStyle name="SAPBEXfilterText 37 4" xfId="10415" xr:uid="{00000000-0005-0000-0000-000062540000}"/>
    <cellStyle name="SAPBEXfilterText 37 5" xfId="12740" xr:uid="{00000000-0005-0000-0000-000063540000}"/>
    <cellStyle name="SAPBEXfilterText 37 6" xfId="15805" xr:uid="{00000000-0005-0000-0000-000064540000}"/>
    <cellStyle name="SAPBEXfilterText 37 7" xfId="17436" xr:uid="{00000000-0005-0000-0000-000065540000}"/>
    <cellStyle name="SAPBEXfilterText 37 8" xfId="20501" xr:uid="{00000000-0005-0000-0000-000066540000}"/>
    <cellStyle name="SAPBEXfilterText 37 9" xfId="22086" xr:uid="{00000000-0005-0000-0000-000067540000}"/>
    <cellStyle name="SAPBEXfilterText 38" xfId="4344" xr:uid="{00000000-0005-0000-0000-000068540000}"/>
    <cellStyle name="SAPBEXfilterText 38 2" xfId="6882" xr:uid="{00000000-0005-0000-0000-000069540000}"/>
    <cellStyle name="SAPBEXfilterText 38 3" xfId="7794" xr:uid="{00000000-0005-0000-0000-00006A540000}"/>
    <cellStyle name="SAPBEXfilterText 38 4" xfId="10488" xr:uid="{00000000-0005-0000-0000-00006B540000}"/>
    <cellStyle name="SAPBEXfilterText 38 5" xfId="12823" xr:uid="{00000000-0005-0000-0000-00006C540000}"/>
    <cellStyle name="SAPBEXfilterText 38 6" xfId="16035" xr:uid="{00000000-0005-0000-0000-00006D540000}"/>
    <cellStyle name="SAPBEXfilterText 38 7" xfId="17519" xr:uid="{00000000-0005-0000-0000-00006E540000}"/>
    <cellStyle name="SAPBEXfilterText 38 8" xfId="20731" xr:uid="{00000000-0005-0000-0000-00006F540000}"/>
    <cellStyle name="SAPBEXfilterText 38 9" xfId="22158" xr:uid="{00000000-0005-0000-0000-000070540000}"/>
    <cellStyle name="SAPBEXfilterText 39" xfId="4526" xr:uid="{00000000-0005-0000-0000-000071540000}"/>
    <cellStyle name="SAPBEXfilterText 39 2" xfId="7064" xr:uid="{00000000-0005-0000-0000-000072540000}"/>
    <cellStyle name="SAPBEXfilterText 39 3" xfId="9072" xr:uid="{00000000-0005-0000-0000-000073540000}"/>
    <cellStyle name="SAPBEXfilterText 39 4" xfId="10349" xr:uid="{00000000-0005-0000-0000-000074540000}"/>
    <cellStyle name="SAPBEXfilterText 39 5" xfId="12671" xr:uid="{00000000-0005-0000-0000-000075540000}"/>
    <cellStyle name="SAPBEXfilterText 39 6" xfId="16538" xr:uid="{00000000-0005-0000-0000-000076540000}"/>
    <cellStyle name="SAPBEXfilterText 39 7" xfId="17367" xr:uid="{00000000-0005-0000-0000-000077540000}"/>
    <cellStyle name="SAPBEXfilterText 39 8" xfId="21234" xr:uid="{00000000-0005-0000-0000-000078540000}"/>
    <cellStyle name="SAPBEXfilterText 39 9" xfId="22020" xr:uid="{00000000-0005-0000-0000-000079540000}"/>
    <cellStyle name="SAPBEXfilterText 4" xfId="3051" xr:uid="{00000000-0005-0000-0000-00007A540000}"/>
    <cellStyle name="SAPBEXfilterText 4 2" xfId="5590" xr:uid="{00000000-0005-0000-0000-00007B540000}"/>
    <cellStyle name="SAPBEXfilterText 4 3" xfId="9795" xr:uid="{00000000-0005-0000-0000-00007C540000}"/>
    <cellStyle name="SAPBEXfilterText 4 4" xfId="10665" xr:uid="{00000000-0005-0000-0000-00007D540000}"/>
    <cellStyle name="SAPBEXfilterText 4 5" xfId="13014" xr:uid="{00000000-0005-0000-0000-00007E540000}"/>
    <cellStyle name="SAPBEXfilterText 4 6" xfId="16747" xr:uid="{00000000-0005-0000-0000-00007F540000}"/>
    <cellStyle name="SAPBEXfilterText 4 7" xfId="17710" xr:uid="{00000000-0005-0000-0000-000080540000}"/>
    <cellStyle name="SAPBEXfilterText 4 8" xfId="21443" xr:uid="{00000000-0005-0000-0000-000081540000}"/>
    <cellStyle name="SAPBEXfilterText 4 9" xfId="22338" xr:uid="{00000000-0005-0000-0000-000082540000}"/>
    <cellStyle name="SAPBEXfilterText 40" xfId="4106" xr:uid="{00000000-0005-0000-0000-000083540000}"/>
    <cellStyle name="SAPBEXfilterText 40 2" xfId="6644" xr:uid="{00000000-0005-0000-0000-000084540000}"/>
    <cellStyle name="SAPBEXfilterText 40 3" xfId="8106" xr:uid="{00000000-0005-0000-0000-000085540000}"/>
    <cellStyle name="SAPBEXfilterText 40 4" xfId="10487" xr:uid="{00000000-0005-0000-0000-000086540000}"/>
    <cellStyle name="SAPBEXfilterText 40 5" xfId="12822" xr:uid="{00000000-0005-0000-0000-000087540000}"/>
    <cellStyle name="SAPBEXfilterText 40 6" xfId="14865" xr:uid="{00000000-0005-0000-0000-000088540000}"/>
    <cellStyle name="SAPBEXfilterText 40 7" xfId="17518" xr:uid="{00000000-0005-0000-0000-000089540000}"/>
    <cellStyle name="SAPBEXfilterText 40 8" xfId="19561" xr:uid="{00000000-0005-0000-0000-00008A540000}"/>
    <cellStyle name="SAPBEXfilterText 40 9" xfId="22157" xr:uid="{00000000-0005-0000-0000-00008B540000}"/>
    <cellStyle name="SAPBEXfilterText 41" xfId="4563" xr:uid="{00000000-0005-0000-0000-00008C540000}"/>
    <cellStyle name="SAPBEXfilterText 41 2" xfId="7101" xr:uid="{00000000-0005-0000-0000-00008D540000}"/>
    <cellStyle name="SAPBEXfilterText 41 3" xfId="9611" xr:uid="{00000000-0005-0000-0000-00008E540000}"/>
    <cellStyle name="SAPBEXfilterText 41 4" xfId="10337" xr:uid="{00000000-0005-0000-0000-00008F540000}"/>
    <cellStyle name="SAPBEXfilterText 41 5" xfId="12656" xr:uid="{00000000-0005-0000-0000-000090540000}"/>
    <cellStyle name="SAPBEXfilterText 41 6" xfId="15882" xr:uid="{00000000-0005-0000-0000-000091540000}"/>
    <cellStyle name="SAPBEXfilterText 41 7" xfId="17352" xr:uid="{00000000-0005-0000-0000-000092540000}"/>
    <cellStyle name="SAPBEXfilterText 41 8" xfId="20578" xr:uid="{00000000-0005-0000-0000-000093540000}"/>
    <cellStyle name="SAPBEXfilterText 41 9" xfId="22008" xr:uid="{00000000-0005-0000-0000-000094540000}"/>
    <cellStyle name="SAPBEXfilterText 42" xfId="4202" xr:uid="{00000000-0005-0000-0000-000095540000}"/>
    <cellStyle name="SAPBEXfilterText 42 2" xfId="6740" xr:uid="{00000000-0005-0000-0000-000096540000}"/>
    <cellStyle name="SAPBEXfilterText 42 3" xfId="9606" xr:uid="{00000000-0005-0000-0000-000097540000}"/>
    <cellStyle name="SAPBEXfilterText 42 4" xfId="11701" xr:uid="{00000000-0005-0000-0000-000098540000}"/>
    <cellStyle name="SAPBEXfilterText 42 5" xfId="14150" xr:uid="{00000000-0005-0000-0000-000099540000}"/>
    <cellStyle name="SAPBEXfilterText 42 6" xfId="15751" xr:uid="{00000000-0005-0000-0000-00009A540000}"/>
    <cellStyle name="SAPBEXfilterText 42 7" xfId="18846" xr:uid="{00000000-0005-0000-0000-00009B540000}"/>
    <cellStyle name="SAPBEXfilterText 42 8" xfId="20447" xr:uid="{00000000-0005-0000-0000-00009C540000}"/>
    <cellStyle name="SAPBEXfilterText 42 9" xfId="23375" xr:uid="{00000000-0005-0000-0000-00009D540000}"/>
    <cellStyle name="SAPBEXfilterText 43" xfId="4493" xr:uid="{00000000-0005-0000-0000-00009E540000}"/>
    <cellStyle name="SAPBEXfilterText 43 2" xfId="7031" xr:uid="{00000000-0005-0000-0000-00009F540000}"/>
    <cellStyle name="SAPBEXfilterText 43 3" xfId="9271" xr:uid="{00000000-0005-0000-0000-0000A0540000}"/>
    <cellStyle name="SAPBEXfilterText 43 4" xfId="11044" xr:uid="{00000000-0005-0000-0000-0000A1540000}"/>
    <cellStyle name="SAPBEXfilterText 43 5" xfId="13428" xr:uid="{00000000-0005-0000-0000-0000A2540000}"/>
    <cellStyle name="SAPBEXfilterText 43 6" xfId="16116" xr:uid="{00000000-0005-0000-0000-0000A3540000}"/>
    <cellStyle name="SAPBEXfilterText 43 7" xfId="18124" xr:uid="{00000000-0005-0000-0000-0000A4540000}"/>
    <cellStyle name="SAPBEXfilterText 43 8" xfId="20812" xr:uid="{00000000-0005-0000-0000-0000A5540000}"/>
    <cellStyle name="SAPBEXfilterText 43 9" xfId="22717" xr:uid="{00000000-0005-0000-0000-0000A6540000}"/>
    <cellStyle name="SAPBEXfilterText 44" xfId="4602" xr:uid="{00000000-0005-0000-0000-0000A7540000}"/>
    <cellStyle name="SAPBEXfilterText 44 2" xfId="7140" xr:uid="{00000000-0005-0000-0000-0000A8540000}"/>
    <cellStyle name="SAPBEXfilterText 44 3" xfId="9575" xr:uid="{00000000-0005-0000-0000-0000A9540000}"/>
    <cellStyle name="SAPBEXfilterText 44 4" xfId="10316" xr:uid="{00000000-0005-0000-0000-0000AA540000}"/>
    <cellStyle name="SAPBEXfilterText 44 5" xfId="13672" xr:uid="{00000000-0005-0000-0000-0000AB540000}"/>
    <cellStyle name="SAPBEXfilterText 44 6" xfId="16920" xr:uid="{00000000-0005-0000-0000-0000AC540000}"/>
    <cellStyle name="SAPBEXfilterText 44 7" xfId="18368" xr:uid="{00000000-0005-0000-0000-0000AD540000}"/>
    <cellStyle name="SAPBEXfilterText 44 8" xfId="21616" xr:uid="{00000000-0005-0000-0000-0000AE540000}"/>
    <cellStyle name="SAPBEXfilterText 44 9" xfId="22940" xr:uid="{00000000-0005-0000-0000-0000AF540000}"/>
    <cellStyle name="SAPBEXfilterText 45" xfId="4645" xr:uid="{00000000-0005-0000-0000-0000B0540000}"/>
    <cellStyle name="SAPBEXfilterText 45 2" xfId="7183" xr:uid="{00000000-0005-0000-0000-0000B1540000}"/>
    <cellStyle name="SAPBEXfilterText 45 3" xfId="10197" xr:uid="{00000000-0005-0000-0000-0000B2540000}"/>
    <cellStyle name="SAPBEXfilterText 45 4" xfId="11059" xr:uid="{00000000-0005-0000-0000-0000B3540000}"/>
    <cellStyle name="SAPBEXfilterText 45 5" xfId="13446" xr:uid="{00000000-0005-0000-0000-0000B4540000}"/>
    <cellStyle name="SAPBEXfilterText 45 6" xfId="16372" xr:uid="{00000000-0005-0000-0000-0000B5540000}"/>
    <cellStyle name="SAPBEXfilterText 45 7" xfId="18142" xr:uid="{00000000-0005-0000-0000-0000B6540000}"/>
    <cellStyle name="SAPBEXfilterText 45 8" xfId="21068" xr:uid="{00000000-0005-0000-0000-0000B7540000}"/>
    <cellStyle name="SAPBEXfilterText 45 9" xfId="22732" xr:uid="{00000000-0005-0000-0000-0000B8540000}"/>
    <cellStyle name="SAPBEXfilterText 46" xfId="4769" xr:uid="{00000000-0005-0000-0000-0000B9540000}"/>
    <cellStyle name="SAPBEXfilterText 46 2" xfId="7307" xr:uid="{00000000-0005-0000-0000-0000BA540000}"/>
    <cellStyle name="SAPBEXfilterText 46 3" xfId="8107" xr:uid="{00000000-0005-0000-0000-0000BB540000}"/>
    <cellStyle name="SAPBEXfilterText 46 4" xfId="10694" xr:uid="{00000000-0005-0000-0000-0000BC540000}"/>
    <cellStyle name="SAPBEXfilterText 46 5" xfId="13046" xr:uid="{00000000-0005-0000-0000-0000BD540000}"/>
    <cellStyle name="SAPBEXfilterText 46 6" xfId="15450" xr:uid="{00000000-0005-0000-0000-0000BE540000}"/>
    <cellStyle name="SAPBEXfilterText 46 7" xfId="17742" xr:uid="{00000000-0005-0000-0000-0000BF540000}"/>
    <cellStyle name="SAPBEXfilterText 46 8" xfId="20146" xr:uid="{00000000-0005-0000-0000-0000C0540000}"/>
    <cellStyle name="SAPBEXfilterText 46 9" xfId="22367" xr:uid="{00000000-0005-0000-0000-0000C1540000}"/>
    <cellStyle name="SAPBEXfilterText 47" xfId="4732" xr:uid="{00000000-0005-0000-0000-0000C2540000}"/>
    <cellStyle name="SAPBEXfilterText 47 2" xfId="7270" xr:uid="{00000000-0005-0000-0000-0000C3540000}"/>
    <cellStyle name="SAPBEXfilterText 47 3" xfId="8284" xr:uid="{00000000-0005-0000-0000-0000C4540000}"/>
    <cellStyle name="SAPBEXfilterText 47 4" xfId="9868" xr:uid="{00000000-0005-0000-0000-0000C5540000}"/>
    <cellStyle name="SAPBEXfilterText 47 5" xfId="12486" xr:uid="{00000000-0005-0000-0000-0000C6540000}"/>
    <cellStyle name="SAPBEXfilterText 47 6" xfId="15988" xr:uid="{00000000-0005-0000-0000-0000C7540000}"/>
    <cellStyle name="SAPBEXfilterText 47 7" xfId="17182" xr:uid="{00000000-0005-0000-0000-0000C8540000}"/>
    <cellStyle name="SAPBEXfilterText 47 8" xfId="20684" xr:uid="{00000000-0005-0000-0000-0000C9540000}"/>
    <cellStyle name="SAPBEXfilterText 47 9" xfId="21859" xr:uid="{00000000-0005-0000-0000-0000CA540000}"/>
    <cellStyle name="SAPBEXfilterText 48" xfId="4535" xr:uid="{00000000-0005-0000-0000-0000CB540000}"/>
    <cellStyle name="SAPBEXfilterText 48 2" xfId="7073" xr:uid="{00000000-0005-0000-0000-0000CC540000}"/>
    <cellStyle name="SAPBEXfilterText 48 3" xfId="8458" xr:uid="{00000000-0005-0000-0000-0000CD540000}"/>
    <cellStyle name="SAPBEXfilterText 48 4" xfId="11126" xr:uid="{00000000-0005-0000-0000-0000CE540000}"/>
    <cellStyle name="SAPBEXfilterText 48 5" xfId="13521" xr:uid="{00000000-0005-0000-0000-0000CF540000}"/>
    <cellStyle name="SAPBEXfilterText 48 6" xfId="15368" xr:uid="{00000000-0005-0000-0000-0000D0540000}"/>
    <cellStyle name="SAPBEXfilterText 48 7" xfId="18217" xr:uid="{00000000-0005-0000-0000-0000D1540000}"/>
    <cellStyle name="SAPBEXfilterText 48 8" xfId="20064" xr:uid="{00000000-0005-0000-0000-0000D2540000}"/>
    <cellStyle name="SAPBEXfilterText 48 9" xfId="22799" xr:uid="{00000000-0005-0000-0000-0000D3540000}"/>
    <cellStyle name="SAPBEXfilterText 49" xfId="4926" xr:uid="{00000000-0005-0000-0000-0000D4540000}"/>
    <cellStyle name="SAPBEXfilterText 49 2" xfId="7464" xr:uid="{00000000-0005-0000-0000-0000D5540000}"/>
    <cellStyle name="SAPBEXfilterText 49 3" xfId="9092" xr:uid="{00000000-0005-0000-0000-0000D6540000}"/>
    <cellStyle name="SAPBEXfilterText 49 4" xfId="11578" xr:uid="{00000000-0005-0000-0000-0000D7540000}"/>
    <cellStyle name="SAPBEXfilterText 49 5" xfId="14015" xr:uid="{00000000-0005-0000-0000-0000D8540000}"/>
    <cellStyle name="SAPBEXfilterText 49 6" xfId="15668" xr:uid="{00000000-0005-0000-0000-0000D9540000}"/>
    <cellStyle name="SAPBEXfilterText 49 7" xfId="18711" xr:uid="{00000000-0005-0000-0000-0000DA540000}"/>
    <cellStyle name="SAPBEXfilterText 49 8" xfId="20364" xr:uid="{00000000-0005-0000-0000-0000DB540000}"/>
    <cellStyle name="SAPBEXfilterText 49 9" xfId="23252" xr:uid="{00000000-0005-0000-0000-0000DC540000}"/>
    <cellStyle name="SAPBEXfilterText 5" xfId="3039" xr:uid="{00000000-0005-0000-0000-0000DD540000}"/>
    <cellStyle name="SAPBEXfilterText 5 2" xfId="5578" xr:uid="{00000000-0005-0000-0000-0000DE540000}"/>
    <cellStyle name="SAPBEXfilterText 5 3" xfId="9290" xr:uid="{00000000-0005-0000-0000-0000DF540000}"/>
    <cellStyle name="SAPBEXfilterText 5 4" xfId="10900" xr:uid="{00000000-0005-0000-0000-0000E0540000}"/>
    <cellStyle name="SAPBEXfilterText 5 5" xfId="13269" xr:uid="{00000000-0005-0000-0000-0000E1540000}"/>
    <cellStyle name="SAPBEXfilterText 5 6" xfId="16682" xr:uid="{00000000-0005-0000-0000-0000E2540000}"/>
    <cellStyle name="SAPBEXfilterText 5 7" xfId="17965" xr:uid="{00000000-0005-0000-0000-0000E3540000}"/>
    <cellStyle name="SAPBEXfilterText 5 8" xfId="21378" xr:uid="{00000000-0005-0000-0000-0000E4540000}"/>
    <cellStyle name="SAPBEXfilterText 5 9" xfId="22571" xr:uid="{00000000-0005-0000-0000-0000E5540000}"/>
    <cellStyle name="SAPBEXfilterText 50" xfId="4706" xr:uid="{00000000-0005-0000-0000-0000E6540000}"/>
    <cellStyle name="SAPBEXfilterText 50 2" xfId="7244" xr:uid="{00000000-0005-0000-0000-0000E7540000}"/>
    <cellStyle name="SAPBEXfilterText 50 3" xfId="10001" xr:uid="{00000000-0005-0000-0000-0000E8540000}"/>
    <cellStyle name="SAPBEXfilterText 50 4" xfId="11580" xr:uid="{00000000-0005-0000-0000-0000E9540000}"/>
    <cellStyle name="SAPBEXfilterText 50 5" xfId="13761" xr:uid="{00000000-0005-0000-0000-0000EA540000}"/>
    <cellStyle name="SAPBEXfilterText 50 6" xfId="15638" xr:uid="{00000000-0005-0000-0000-0000EB540000}"/>
    <cellStyle name="SAPBEXfilterText 50 7" xfId="18457" xr:uid="{00000000-0005-0000-0000-0000EC540000}"/>
    <cellStyle name="SAPBEXfilterText 50 8" xfId="20334" xr:uid="{00000000-0005-0000-0000-0000ED540000}"/>
    <cellStyle name="SAPBEXfilterText 50 9" xfId="23023" xr:uid="{00000000-0005-0000-0000-0000EE540000}"/>
    <cellStyle name="SAPBEXfilterText 51" xfId="4521" xr:uid="{00000000-0005-0000-0000-0000EF540000}"/>
    <cellStyle name="SAPBEXfilterText 51 2" xfId="7059" xr:uid="{00000000-0005-0000-0000-0000F0540000}"/>
    <cellStyle name="SAPBEXfilterText 51 3" xfId="9346" xr:uid="{00000000-0005-0000-0000-0000F1540000}"/>
    <cellStyle name="SAPBEXfilterText 51 4" xfId="11916" xr:uid="{00000000-0005-0000-0000-0000F2540000}"/>
    <cellStyle name="SAPBEXfilterText 51 5" xfId="14388" xr:uid="{00000000-0005-0000-0000-0000F3540000}"/>
    <cellStyle name="SAPBEXfilterText 51 6" xfId="15839" xr:uid="{00000000-0005-0000-0000-0000F4540000}"/>
    <cellStyle name="SAPBEXfilterText 51 7" xfId="19084" xr:uid="{00000000-0005-0000-0000-0000F5540000}"/>
    <cellStyle name="SAPBEXfilterText 51 8" xfId="20535" xr:uid="{00000000-0005-0000-0000-0000F6540000}"/>
    <cellStyle name="SAPBEXfilterText 51 9" xfId="23591" xr:uid="{00000000-0005-0000-0000-0000F7540000}"/>
    <cellStyle name="SAPBEXfilterText 52" xfId="4492" xr:uid="{00000000-0005-0000-0000-0000F8540000}"/>
    <cellStyle name="SAPBEXfilterText 52 2" xfId="7030" xr:uid="{00000000-0005-0000-0000-0000F9540000}"/>
    <cellStyle name="SAPBEXfilterText 52 3" xfId="8890" xr:uid="{00000000-0005-0000-0000-0000FA540000}"/>
    <cellStyle name="SAPBEXfilterText 52 4" xfId="11446" xr:uid="{00000000-0005-0000-0000-0000FB540000}"/>
    <cellStyle name="SAPBEXfilterText 52 5" xfId="13626" xr:uid="{00000000-0005-0000-0000-0000FC540000}"/>
    <cellStyle name="SAPBEXfilterText 52 6" xfId="15126" xr:uid="{00000000-0005-0000-0000-0000FD540000}"/>
    <cellStyle name="SAPBEXfilterText 52 7" xfId="18322" xr:uid="{00000000-0005-0000-0000-0000FE540000}"/>
    <cellStyle name="SAPBEXfilterText 52 8" xfId="19822" xr:uid="{00000000-0005-0000-0000-0000FF540000}"/>
    <cellStyle name="SAPBEXfilterText 52 9" xfId="22898" xr:uid="{00000000-0005-0000-0000-000000550000}"/>
    <cellStyle name="SAPBEXfilterText 53" xfId="4952" xr:uid="{00000000-0005-0000-0000-000001550000}"/>
    <cellStyle name="SAPBEXfilterText 53 2" xfId="7490" xr:uid="{00000000-0005-0000-0000-000002550000}"/>
    <cellStyle name="SAPBEXfilterText 53 3" xfId="9109" xr:uid="{00000000-0005-0000-0000-000003550000}"/>
    <cellStyle name="SAPBEXfilterText 53 4" xfId="11248" xr:uid="{00000000-0005-0000-0000-000004550000}"/>
    <cellStyle name="SAPBEXfilterText 53 5" xfId="13653" xr:uid="{00000000-0005-0000-0000-000005550000}"/>
    <cellStyle name="SAPBEXfilterText 53 6" xfId="15040" xr:uid="{00000000-0005-0000-0000-000006550000}"/>
    <cellStyle name="SAPBEXfilterText 53 7" xfId="18349" xr:uid="{00000000-0005-0000-0000-000007550000}"/>
    <cellStyle name="SAPBEXfilterText 53 8" xfId="19736" xr:uid="{00000000-0005-0000-0000-000008550000}"/>
    <cellStyle name="SAPBEXfilterText 53 9" xfId="22922" xr:uid="{00000000-0005-0000-0000-000009550000}"/>
    <cellStyle name="SAPBEXfilterText 54" xfId="4994" xr:uid="{00000000-0005-0000-0000-00000A550000}"/>
    <cellStyle name="SAPBEXfilterText 54 2" xfId="7532" xr:uid="{00000000-0005-0000-0000-00000B550000}"/>
    <cellStyle name="SAPBEXfilterText 54 3" xfId="8655" xr:uid="{00000000-0005-0000-0000-00000C550000}"/>
    <cellStyle name="SAPBEXfilterText 54 4" xfId="11389" xr:uid="{00000000-0005-0000-0000-00000D550000}"/>
    <cellStyle name="SAPBEXfilterText 54 5" xfId="13548" xr:uid="{00000000-0005-0000-0000-00000E550000}"/>
    <cellStyle name="SAPBEXfilterText 54 6" xfId="15234" xr:uid="{00000000-0005-0000-0000-00000F550000}"/>
    <cellStyle name="SAPBEXfilterText 54 7" xfId="18244" xr:uid="{00000000-0005-0000-0000-000010550000}"/>
    <cellStyle name="SAPBEXfilterText 54 8" xfId="19930" xr:uid="{00000000-0005-0000-0000-000011550000}"/>
    <cellStyle name="SAPBEXfilterText 54 9" xfId="22825" xr:uid="{00000000-0005-0000-0000-000012550000}"/>
    <cellStyle name="SAPBEXfilterText 55" xfId="5031" xr:uid="{00000000-0005-0000-0000-000013550000}"/>
    <cellStyle name="SAPBEXfilterText 55 2" xfId="7569" xr:uid="{00000000-0005-0000-0000-000014550000}"/>
    <cellStyle name="SAPBEXfilterText 55 3" xfId="8140" xr:uid="{00000000-0005-0000-0000-000015550000}"/>
    <cellStyle name="SAPBEXfilterText 55 4" xfId="11897" xr:uid="{00000000-0005-0000-0000-000016550000}"/>
    <cellStyle name="SAPBEXfilterText 55 5" xfId="14366" xr:uid="{00000000-0005-0000-0000-000017550000}"/>
    <cellStyle name="SAPBEXfilterText 55 6" xfId="13035" xr:uid="{00000000-0005-0000-0000-000018550000}"/>
    <cellStyle name="SAPBEXfilterText 55 7" xfId="19062" xr:uid="{00000000-0005-0000-0000-000019550000}"/>
    <cellStyle name="SAPBEXfilterText 55 8" xfId="17731" xr:uid="{00000000-0005-0000-0000-00001A550000}"/>
    <cellStyle name="SAPBEXfilterText 55 9" xfId="23572" xr:uid="{00000000-0005-0000-0000-00001B550000}"/>
    <cellStyle name="SAPBEXfilterText 56" xfId="5138" xr:uid="{00000000-0005-0000-0000-00001C550000}"/>
    <cellStyle name="SAPBEXfilterText 56 2" xfId="7676" xr:uid="{00000000-0005-0000-0000-00001D550000}"/>
    <cellStyle name="SAPBEXfilterText 56 3" xfId="7996" xr:uid="{00000000-0005-0000-0000-00001E550000}"/>
    <cellStyle name="SAPBEXfilterText 56 4" xfId="11317" xr:uid="{00000000-0005-0000-0000-00001F550000}"/>
    <cellStyle name="SAPBEXfilterText 56 5" xfId="13726" xr:uid="{00000000-0005-0000-0000-000020550000}"/>
    <cellStyle name="SAPBEXfilterText 56 6" xfId="16329" xr:uid="{00000000-0005-0000-0000-000021550000}"/>
    <cellStyle name="SAPBEXfilterText 56 7" xfId="18422" xr:uid="{00000000-0005-0000-0000-000022550000}"/>
    <cellStyle name="SAPBEXfilterText 56 8" xfId="21025" xr:uid="{00000000-0005-0000-0000-000023550000}"/>
    <cellStyle name="SAPBEXfilterText 56 9" xfId="22991" xr:uid="{00000000-0005-0000-0000-000024550000}"/>
    <cellStyle name="SAPBEXfilterText 57" xfId="5207" xr:uid="{00000000-0005-0000-0000-000025550000}"/>
    <cellStyle name="SAPBEXfilterText 57 2" xfId="7746" xr:uid="{00000000-0005-0000-0000-000026550000}"/>
    <cellStyle name="SAPBEXfilterText 57 3" xfId="8190" xr:uid="{00000000-0005-0000-0000-000027550000}"/>
    <cellStyle name="SAPBEXfilterText 57 4" xfId="12252" xr:uid="{00000000-0005-0000-0000-000028550000}"/>
    <cellStyle name="SAPBEXfilterText 57 5" xfId="12423" xr:uid="{00000000-0005-0000-0000-000029550000}"/>
    <cellStyle name="SAPBEXfilterText 57 6" xfId="15135" xr:uid="{00000000-0005-0000-0000-00002A550000}"/>
    <cellStyle name="SAPBEXfilterText 57 7" xfId="17119" xr:uid="{00000000-0005-0000-0000-00002B550000}"/>
    <cellStyle name="SAPBEXfilterText 57 8" xfId="19831" xr:uid="{00000000-0005-0000-0000-00002C550000}"/>
    <cellStyle name="SAPBEXfilterText 57 9" xfId="21803" xr:uid="{00000000-0005-0000-0000-00002D550000}"/>
    <cellStyle name="SAPBEXfilterText 58" xfId="5230" xr:uid="{00000000-0005-0000-0000-00002E550000}"/>
    <cellStyle name="SAPBEXfilterText 58 2" xfId="9190" xr:uid="{00000000-0005-0000-0000-00002F550000}"/>
    <cellStyle name="SAPBEXfilterText 58 3" xfId="10629" xr:uid="{00000000-0005-0000-0000-000030550000}"/>
    <cellStyle name="SAPBEXfilterText 58 4" xfId="12978" xr:uid="{00000000-0005-0000-0000-000031550000}"/>
    <cellStyle name="SAPBEXfilterText 58 5" xfId="16634" xr:uid="{00000000-0005-0000-0000-000032550000}"/>
    <cellStyle name="SAPBEXfilterText 58 6" xfId="17674" xr:uid="{00000000-0005-0000-0000-000033550000}"/>
    <cellStyle name="SAPBEXfilterText 58 7" xfId="21330" xr:uid="{00000000-0005-0000-0000-000034550000}"/>
    <cellStyle name="SAPBEXfilterText 58 8" xfId="22302" xr:uid="{00000000-0005-0000-0000-000035550000}"/>
    <cellStyle name="SAPBEXfilterText 59" xfId="8375" xr:uid="{00000000-0005-0000-0000-000036550000}"/>
    <cellStyle name="SAPBEXfilterText 6" xfId="3161" xr:uid="{00000000-0005-0000-0000-000037550000}"/>
    <cellStyle name="SAPBEXfilterText 6 2" xfId="5699" xr:uid="{00000000-0005-0000-0000-000038550000}"/>
    <cellStyle name="SAPBEXfilterText 6 3" xfId="9315" xr:uid="{00000000-0005-0000-0000-000039550000}"/>
    <cellStyle name="SAPBEXfilterText 6 4" xfId="11566" xr:uid="{00000000-0005-0000-0000-00003A550000}"/>
    <cellStyle name="SAPBEXfilterText 6 5" xfId="14002" xr:uid="{00000000-0005-0000-0000-00003B550000}"/>
    <cellStyle name="SAPBEXfilterText 6 6" xfId="16189" xr:uid="{00000000-0005-0000-0000-00003C550000}"/>
    <cellStyle name="SAPBEXfilterText 6 7" xfId="18698" xr:uid="{00000000-0005-0000-0000-00003D550000}"/>
    <cellStyle name="SAPBEXfilterText 6 8" xfId="20885" xr:uid="{00000000-0005-0000-0000-00003E550000}"/>
    <cellStyle name="SAPBEXfilterText 6 9" xfId="23240" xr:uid="{00000000-0005-0000-0000-00003F550000}"/>
    <cellStyle name="SAPBEXfilterText 60" xfId="10464" xr:uid="{00000000-0005-0000-0000-000040550000}"/>
    <cellStyle name="SAPBEXfilterText 61" xfId="12796" xr:uid="{00000000-0005-0000-0000-000041550000}"/>
    <cellStyle name="SAPBEXfilterText 62" xfId="16744" xr:uid="{00000000-0005-0000-0000-000042550000}"/>
    <cellStyle name="SAPBEXfilterText 63" xfId="17492" xr:uid="{00000000-0005-0000-0000-000043550000}"/>
    <cellStyle name="SAPBEXfilterText 64" xfId="21440" xr:uid="{00000000-0005-0000-0000-000044550000}"/>
    <cellStyle name="SAPBEXfilterText 65" xfId="22135" xr:uid="{00000000-0005-0000-0000-000045550000}"/>
    <cellStyle name="SAPBEXfilterText 66" xfId="42184" xr:uid="{2B99018F-29ED-4C0D-9AE5-138A678C6879}"/>
    <cellStyle name="SAPBEXfilterText 7" xfId="3204" xr:uid="{00000000-0005-0000-0000-000046550000}"/>
    <cellStyle name="SAPBEXfilterText 7 2" xfId="5742" xr:uid="{00000000-0005-0000-0000-000047550000}"/>
    <cellStyle name="SAPBEXfilterText 7 3" xfId="8280" xr:uid="{00000000-0005-0000-0000-000048550000}"/>
    <cellStyle name="SAPBEXfilterText 7 4" xfId="11211" xr:uid="{00000000-0005-0000-0000-000049550000}"/>
    <cellStyle name="SAPBEXfilterText 7 5" xfId="13613" xr:uid="{00000000-0005-0000-0000-00004A550000}"/>
    <cellStyle name="SAPBEXfilterText 7 6" xfId="15952" xr:uid="{00000000-0005-0000-0000-00004B550000}"/>
    <cellStyle name="SAPBEXfilterText 7 7" xfId="18309" xr:uid="{00000000-0005-0000-0000-00004C550000}"/>
    <cellStyle name="SAPBEXfilterText 7 8" xfId="20648" xr:uid="{00000000-0005-0000-0000-00004D550000}"/>
    <cellStyle name="SAPBEXfilterText 7 9" xfId="22886" xr:uid="{00000000-0005-0000-0000-00004E550000}"/>
    <cellStyle name="SAPBEXfilterText 8" xfId="3247" xr:uid="{00000000-0005-0000-0000-00004F550000}"/>
    <cellStyle name="SAPBEXfilterText 8 2" xfId="5785" xr:uid="{00000000-0005-0000-0000-000050550000}"/>
    <cellStyle name="SAPBEXfilterText 8 3" xfId="9025" xr:uid="{00000000-0005-0000-0000-000051550000}"/>
    <cellStyle name="SAPBEXfilterText 8 4" xfId="11178" xr:uid="{00000000-0005-0000-0000-000052550000}"/>
    <cellStyle name="SAPBEXfilterText 8 5" xfId="13576" xr:uid="{00000000-0005-0000-0000-000053550000}"/>
    <cellStyle name="SAPBEXfilterText 8 6" xfId="16827" xr:uid="{00000000-0005-0000-0000-000054550000}"/>
    <cellStyle name="SAPBEXfilterText 8 7" xfId="18272" xr:uid="{00000000-0005-0000-0000-000055550000}"/>
    <cellStyle name="SAPBEXfilterText 8 8" xfId="21523" xr:uid="{00000000-0005-0000-0000-000056550000}"/>
    <cellStyle name="SAPBEXfilterText 8 9" xfId="22851" xr:uid="{00000000-0005-0000-0000-000057550000}"/>
    <cellStyle name="SAPBEXfilterText 9" xfId="3290" xr:uid="{00000000-0005-0000-0000-000058550000}"/>
    <cellStyle name="SAPBEXfilterText 9 2" xfId="5828" xr:uid="{00000000-0005-0000-0000-000059550000}"/>
    <cellStyle name="SAPBEXfilterText 9 3" xfId="8028" xr:uid="{00000000-0005-0000-0000-00005A550000}"/>
    <cellStyle name="SAPBEXfilterText 9 4" xfId="11458" xr:uid="{00000000-0005-0000-0000-00005B550000}"/>
    <cellStyle name="SAPBEXfilterText 9 5" xfId="13880" xr:uid="{00000000-0005-0000-0000-00005C550000}"/>
    <cellStyle name="SAPBEXfilterText 9 6" xfId="15230" xr:uid="{00000000-0005-0000-0000-00005D550000}"/>
    <cellStyle name="SAPBEXfilterText 9 7" xfId="18576" xr:uid="{00000000-0005-0000-0000-00005E550000}"/>
    <cellStyle name="SAPBEXfilterText 9 8" xfId="19926" xr:uid="{00000000-0005-0000-0000-00005F550000}"/>
    <cellStyle name="SAPBEXfilterText 9 9" xfId="23133" xr:uid="{00000000-0005-0000-0000-000060550000}"/>
    <cellStyle name="SAPBEXformats" xfId="2958" xr:uid="{00000000-0005-0000-0000-000061550000}"/>
    <cellStyle name="SAPBEXformats 10" xfId="3329" xr:uid="{00000000-0005-0000-0000-000062550000}"/>
    <cellStyle name="SAPBEXformats 10 2" xfId="5867" xr:uid="{00000000-0005-0000-0000-000063550000}"/>
    <cellStyle name="SAPBEXformats 10 3" xfId="8699" xr:uid="{00000000-0005-0000-0000-000064550000}"/>
    <cellStyle name="SAPBEXformats 10 4" xfId="11200" xr:uid="{00000000-0005-0000-0000-000065550000}"/>
    <cellStyle name="SAPBEXformats 10 5" xfId="13601" xr:uid="{00000000-0005-0000-0000-000066550000}"/>
    <cellStyle name="SAPBEXformats 10 6" xfId="15310" xr:uid="{00000000-0005-0000-0000-000067550000}"/>
    <cellStyle name="SAPBEXformats 10 7" xfId="18297" xr:uid="{00000000-0005-0000-0000-000068550000}"/>
    <cellStyle name="SAPBEXformats 10 8" xfId="20006" xr:uid="{00000000-0005-0000-0000-000069550000}"/>
    <cellStyle name="SAPBEXformats 10 9" xfId="22875" xr:uid="{00000000-0005-0000-0000-00006A550000}"/>
    <cellStyle name="SAPBEXformats 11" xfId="3392" xr:uid="{00000000-0005-0000-0000-00006B550000}"/>
    <cellStyle name="SAPBEXformats 11 2" xfId="5930" xr:uid="{00000000-0005-0000-0000-00006C550000}"/>
    <cellStyle name="SAPBEXformats 11 3" xfId="8980" xr:uid="{00000000-0005-0000-0000-00006D550000}"/>
    <cellStyle name="SAPBEXformats 11 4" xfId="10958" xr:uid="{00000000-0005-0000-0000-00006E550000}"/>
    <cellStyle name="SAPBEXformats 11 5" xfId="12481" xr:uid="{00000000-0005-0000-0000-00006F550000}"/>
    <cellStyle name="SAPBEXformats 11 6" xfId="16286" xr:uid="{00000000-0005-0000-0000-000070550000}"/>
    <cellStyle name="SAPBEXformats 11 7" xfId="17177" xr:uid="{00000000-0005-0000-0000-000071550000}"/>
    <cellStyle name="SAPBEXformats 11 8" xfId="20982" xr:uid="{00000000-0005-0000-0000-000072550000}"/>
    <cellStyle name="SAPBEXformats 11 9" xfId="21855" xr:uid="{00000000-0005-0000-0000-000073550000}"/>
    <cellStyle name="SAPBEXformats 12" xfId="3091" xr:uid="{00000000-0005-0000-0000-000074550000}"/>
    <cellStyle name="SAPBEXformats 12 2" xfId="5629" xr:uid="{00000000-0005-0000-0000-000075550000}"/>
    <cellStyle name="SAPBEXformats 12 3" xfId="9943" xr:uid="{00000000-0005-0000-0000-000076550000}"/>
    <cellStyle name="SAPBEXformats 12 4" xfId="11313" xr:uid="{00000000-0005-0000-0000-000077550000}"/>
    <cellStyle name="SAPBEXformats 12 5" xfId="13722" xr:uid="{00000000-0005-0000-0000-000078550000}"/>
    <cellStyle name="SAPBEXformats 12 6" xfId="13721" xr:uid="{00000000-0005-0000-0000-000079550000}"/>
    <cellStyle name="SAPBEXformats 12 7" xfId="18418" xr:uid="{00000000-0005-0000-0000-00007A550000}"/>
    <cellStyle name="SAPBEXformats 12 8" xfId="18417" xr:uid="{00000000-0005-0000-0000-00007B550000}"/>
    <cellStyle name="SAPBEXformats 12 9" xfId="22987" xr:uid="{00000000-0005-0000-0000-00007C550000}"/>
    <cellStyle name="SAPBEXformats 13" xfId="3479" xr:uid="{00000000-0005-0000-0000-00007D550000}"/>
    <cellStyle name="SAPBEXformats 13 2" xfId="6017" xr:uid="{00000000-0005-0000-0000-00007E550000}"/>
    <cellStyle name="SAPBEXformats 13 3" xfId="8412" xr:uid="{00000000-0005-0000-0000-00007F550000}"/>
    <cellStyle name="SAPBEXformats 13 4" xfId="11480" xr:uid="{00000000-0005-0000-0000-000080550000}"/>
    <cellStyle name="SAPBEXformats 13 5" xfId="13905" xr:uid="{00000000-0005-0000-0000-000081550000}"/>
    <cellStyle name="SAPBEXformats 13 6" xfId="16536" xr:uid="{00000000-0005-0000-0000-000082550000}"/>
    <cellStyle name="SAPBEXformats 13 7" xfId="18601" xr:uid="{00000000-0005-0000-0000-000083550000}"/>
    <cellStyle name="SAPBEXformats 13 8" xfId="21232" xr:uid="{00000000-0005-0000-0000-000084550000}"/>
    <cellStyle name="SAPBEXformats 13 9" xfId="23155" xr:uid="{00000000-0005-0000-0000-000085550000}"/>
    <cellStyle name="SAPBEXformats 14" xfId="3584" xr:uid="{00000000-0005-0000-0000-000086550000}"/>
    <cellStyle name="SAPBEXformats 14 2" xfId="6122" xr:uid="{00000000-0005-0000-0000-000087550000}"/>
    <cellStyle name="SAPBEXformats 14 3" xfId="9731" xr:uid="{00000000-0005-0000-0000-000088550000}"/>
    <cellStyle name="SAPBEXformats 14 4" xfId="11633" xr:uid="{00000000-0005-0000-0000-000089550000}"/>
    <cellStyle name="SAPBEXformats 14 5" xfId="14076" xr:uid="{00000000-0005-0000-0000-00008A550000}"/>
    <cellStyle name="SAPBEXformats 14 6" xfId="16972" xr:uid="{00000000-0005-0000-0000-00008B550000}"/>
    <cellStyle name="SAPBEXformats 14 7" xfId="18772" xr:uid="{00000000-0005-0000-0000-00008C550000}"/>
    <cellStyle name="SAPBEXformats 14 8" xfId="21668" xr:uid="{00000000-0005-0000-0000-00008D550000}"/>
    <cellStyle name="SAPBEXformats 14 9" xfId="23308" xr:uid="{00000000-0005-0000-0000-00008E550000}"/>
    <cellStyle name="SAPBEXformats 15" xfId="3581" xr:uid="{00000000-0005-0000-0000-00008F550000}"/>
    <cellStyle name="SAPBEXformats 15 2" xfId="6119" xr:uid="{00000000-0005-0000-0000-000090550000}"/>
    <cellStyle name="SAPBEXformats 15 3" xfId="9621" xr:uid="{00000000-0005-0000-0000-000091550000}"/>
    <cellStyle name="SAPBEXformats 15 4" xfId="12183" xr:uid="{00000000-0005-0000-0000-000092550000}"/>
    <cellStyle name="SAPBEXformats 15 5" xfId="14667" xr:uid="{00000000-0005-0000-0000-000093550000}"/>
    <cellStyle name="SAPBEXformats 15 6" xfId="12630" xr:uid="{00000000-0005-0000-0000-000094550000}"/>
    <cellStyle name="SAPBEXformats 15 7" xfId="19363" xr:uid="{00000000-0005-0000-0000-000095550000}"/>
    <cellStyle name="SAPBEXformats 15 8" xfId="17326" xr:uid="{00000000-0005-0000-0000-000096550000}"/>
    <cellStyle name="SAPBEXformats 15 9" xfId="23857" xr:uid="{00000000-0005-0000-0000-000097550000}"/>
    <cellStyle name="SAPBEXformats 16" xfId="3600" xr:uid="{00000000-0005-0000-0000-000098550000}"/>
    <cellStyle name="SAPBEXformats 16 2" xfId="6138" xr:uid="{00000000-0005-0000-0000-000099550000}"/>
    <cellStyle name="SAPBEXformats 16 3" xfId="9909" xr:uid="{00000000-0005-0000-0000-00009A550000}"/>
    <cellStyle name="SAPBEXformats 16 4" xfId="11887" xr:uid="{00000000-0005-0000-0000-00009B550000}"/>
    <cellStyle name="SAPBEXformats 16 5" xfId="14354" xr:uid="{00000000-0005-0000-0000-00009C550000}"/>
    <cellStyle name="SAPBEXformats 16 6" xfId="16047" xr:uid="{00000000-0005-0000-0000-00009D550000}"/>
    <cellStyle name="SAPBEXformats 16 7" xfId="19050" xr:uid="{00000000-0005-0000-0000-00009E550000}"/>
    <cellStyle name="SAPBEXformats 16 8" xfId="20743" xr:uid="{00000000-0005-0000-0000-00009F550000}"/>
    <cellStyle name="SAPBEXformats 16 9" xfId="23563" xr:uid="{00000000-0005-0000-0000-0000A0550000}"/>
    <cellStyle name="SAPBEXformats 17" xfId="3781" xr:uid="{00000000-0005-0000-0000-0000A1550000}"/>
    <cellStyle name="SAPBEXformats 17 2" xfId="6319" xr:uid="{00000000-0005-0000-0000-0000A2550000}"/>
    <cellStyle name="SAPBEXformats 17 3" xfId="8022" xr:uid="{00000000-0005-0000-0000-0000A3550000}"/>
    <cellStyle name="SAPBEXformats 17 4" xfId="12305" xr:uid="{00000000-0005-0000-0000-0000A4550000}"/>
    <cellStyle name="SAPBEXformats 17 5" xfId="14528" xr:uid="{00000000-0005-0000-0000-0000A5550000}"/>
    <cellStyle name="SAPBEXformats 17 6" xfId="16520" xr:uid="{00000000-0005-0000-0000-0000A6550000}"/>
    <cellStyle name="SAPBEXformats 17 7" xfId="19224" xr:uid="{00000000-0005-0000-0000-0000A7550000}"/>
    <cellStyle name="SAPBEXformats 17 8" xfId="21216" xr:uid="{00000000-0005-0000-0000-0000A8550000}"/>
    <cellStyle name="SAPBEXformats 17 9" xfId="23721" xr:uid="{00000000-0005-0000-0000-0000A9550000}"/>
    <cellStyle name="SAPBEXformats 18" xfId="3803" xr:uid="{00000000-0005-0000-0000-0000AA550000}"/>
    <cellStyle name="SAPBEXformats 18 2" xfId="6341" xr:uid="{00000000-0005-0000-0000-0000AB550000}"/>
    <cellStyle name="SAPBEXformats 18 3" xfId="9208" xr:uid="{00000000-0005-0000-0000-0000AC550000}"/>
    <cellStyle name="SAPBEXformats 18 4" xfId="11025" xr:uid="{00000000-0005-0000-0000-0000AD550000}"/>
    <cellStyle name="SAPBEXformats 18 5" xfId="13406" xr:uid="{00000000-0005-0000-0000-0000AE550000}"/>
    <cellStyle name="SAPBEXformats 18 6" xfId="16688" xr:uid="{00000000-0005-0000-0000-0000AF550000}"/>
    <cellStyle name="SAPBEXformats 18 7" xfId="18102" xr:uid="{00000000-0005-0000-0000-0000B0550000}"/>
    <cellStyle name="SAPBEXformats 18 8" xfId="21384" xr:uid="{00000000-0005-0000-0000-0000B1550000}"/>
    <cellStyle name="SAPBEXformats 18 9" xfId="22698" xr:uid="{00000000-0005-0000-0000-0000B2550000}"/>
    <cellStyle name="SAPBEXformats 19" xfId="3832" xr:uid="{00000000-0005-0000-0000-0000B3550000}"/>
    <cellStyle name="SAPBEXformats 19 2" xfId="6370" xr:uid="{00000000-0005-0000-0000-0000B4550000}"/>
    <cellStyle name="SAPBEXformats 19 3" xfId="8521" xr:uid="{00000000-0005-0000-0000-0000B5550000}"/>
    <cellStyle name="SAPBEXformats 19 4" xfId="12116" xr:uid="{00000000-0005-0000-0000-0000B6550000}"/>
    <cellStyle name="SAPBEXformats 19 5" xfId="14402" xr:uid="{00000000-0005-0000-0000-0000B7550000}"/>
    <cellStyle name="SAPBEXformats 19 6" xfId="16814" xr:uid="{00000000-0005-0000-0000-0000B8550000}"/>
    <cellStyle name="SAPBEXformats 19 7" xfId="19098" xr:uid="{00000000-0005-0000-0000-0000B9550000}"/>
    <cellStyle name="SAPBEXformats 19 8" xfId="21510" xr:uid="{00000000-0005-0000-0000-0000BA550000}"/>
    <cellStyle name="SAPBEXformats 19 9" xfId="23604" xr:uid="{00000000-0005-0000-0000-0000BB550000}"/>
    <cellStyle name="SAPBEXformats 2" xfId="3077" xr:uid="{00000000-0005-0000-0000-0000BC550000}"/>
    <cellStyle name="SAPBEXformats 2 10" xfId="32764" xr:uid="{014D7129-99F2-4F73-B607-EB05C191C732}"/>
    <cellStyle name="SAPBEXformats 2 2" xfId="5615" xr:uid="{00000000-0005-0000-0000-0000BD550000}"/>
    <cellStyle name="SAPBEXformats 2 2 2" xfId="42062" xr:uid="{6443F6F9-7224-4E12-8334-0F93BA02120D}"/>
    <cellStyle name="SAPBEXformats 2 3" xfId="9624" xr:uid="{00000000-0005-0000-0000-0000BE550000}"/>
    <cellStyle name="SAPBEXformats 2 4" xfId="11821" xr:uid="{00000000-0005-0000-0000-0000BF550000}"/>
    <cellStyle name="SAPBEXformats 2 5" xfId="14278" xr:uid="{00000000-0005-0000-0000-0000C0550000}"/>
    <cellStyle name="SAPBEXformats 2 6" xfId="15275" xr:uid="{00000000-0005-0000-0000-0000C1550000}"/>
    <cellStyle name="SAPBEXformats 2 7" xfId="18974" xr:uid="{00000000-0005-0000-0000-0000C2550000}"/>
    <cellStyle name="SAPBEXformats 2 8" xfId="19971" xr:uid="{00000000-0005-0000-0000-0000C3550000}"/>
    <cellStyle name="SAPBEXformats 2 9" xfId="23496" xr:uid="{00000000-0005-0000-0000-0000C4550000}"/>
    <cellStyle name="SAPBEXformats 20" xfId="3836" xr:uid="{00000000-0005-0000-0000-0000C5550000}"/>
    <cellStyle name="SAPBEXformats 20 2" xfId="6374" xr:uid="{00000000-0005-0000-0000-0000C6550000}"/>
    <cellStyle name="SAPBEXformats 20 3" xfId="8917" xr:uid="{00000000-0005-0000-0000-0000C7550000}"/>
    <cellStyle name="SAPBEXformats 20 4" xfId="10886" xr:uid="{00000000-0005-0000-0000-0000C8550000}"/>
    <cellStyle name="SAPBEXformats 20 5" xfId="13253" xr:uid="{00000000-0005-0000-0000-0000C9550000}"/>
    <cellStyle name="SAPBEXformats 20 6" xfId="15597" xr:uid="{00000000-0005-0000-0000-0000CA550000}"/>
    <cellStyle name="SAPBEXformats 20 7" xfId="17949" xr:uid="{00000000-0005-0000-0000-0000CB550000}"/>
    <cellStyle name="SAPBEXformats 20 8" xfId="20293" xr:uid="{00000000-0005-0000-0000-0000CC550000}"/>
    <cellStyle name="SAPBEXformats 20 9" xfId="22557" xr:uid="{00000000-0005-0000-0000-0000CD550000}"/>
    <cellStyle name="SAPBEXformats 21" xfId="3868" xr:uid="{00000000-0005-0000-0000-0000CE550000}"/>
    <cellStyle name="SAPBEXformats 21 2" xfId="6406" xr:uid="{00000000-0005-0000-0000-0000CF550000}"/>
    <cellStyle name="SAPBEXformats 21 3" xfId="8392" xr:uid="{00000000-0005-0000-0000-0000D0550000}"/>
    <cellStyle name="SAPBEXformats 21 4" xfId="11374" xr:uid="{00000000-0005-0000-0000-0000D1550000}"/>
    <cellStyle name="SAPBEXformats 21 5" xfId="13788" xr:uid="{00000000-0005-0000-0000-0000D2550000}"/>
    <cellStyle name="SAPBEXformats 21 6" xfId="14850" xr:uid="{00000000-0005-0000-0000-0000D3550000}"/>
    <cellStyle name="SAPBEXformats 21 7" xfId="18484" xr:uid="{00000000-0005-0000-0000-0000D4550000}"/>
    <cellStyle name="SAPBEXformats 21 8" xfId="19546" xr:uid="{00000000-0005-0000-0000-0000D5550000}"/>
    <cellStyle name="SAPBEXformats 21 9" xfId="23048" xr:uid="{00000000-0005-0000-0000-0000D6550000}"/>
    <cellStyle name="SAPBEXformats 22" xfId="4095" xr:uid="{00000000-0005-0000-0000-0000D7550000}"/>
    <cellStyle name="SAPBEXformats 22 2" xfId="6633" xr:uid="{00000000-0005-0000-0000-0000D8550000}"/>
    <cellStyle name="SAPBEXformats 22 3" xfId="8734" xr:uid="{00000000-0005-0000-0000-0000D9550000}"/>
    <cellStyle name="SAPBEXformats 22 4" xfId="9174" xr:uid="{00000000-0005-0000-0000-0000DA550000}"/>
    <cellStyle name="SAPBEXformats 22 5" xfId="14598" xr:uid="{00000000-0005-0000-0000-0000DB550000}"/>
    <cellStyle name="SAPBEXformats 22 6" xfId="14968" xr:uid="{00000000-0005-0000-0000-0000DC550000}"/>
    <cellStyle name="SAPBEXformats 22 7" xfId="19294" xr:uid="{00000000-0005-0000-0000-0000DD550000}"/>
    <cellStyle name="SAPBEXformats 22 8" xfId="19664" xr:uid="{00000000-0005-0000-0000-0000DE550000}"/>
    <cellStyle name="SAPBEXformats 22 9" xfId="23790" xr:uid="{00000000-0005-0000-0000-0000DF550000}"/>
    <cellStyle name="SAPBEXformats 23" xfId="3722" xr:uid="{00000000-0005-0000-0000-0000E0550000}"/>
    <cellStyle name="SAPBEXformats 23 2" xfId="6260" xr:uid="{00000000-0005-0000-0000-0000E1550000}"/>
    <cellStyle name="SAPBEXformats 23 3" xfId="9532" xr:uid="{00000000-0005-0000-0000-0000E2550000}"/>
    <cellStyle name="SAPBEXformats 23 4" xfId="10840" xr:uid="{00000000-0005-0000-0000-0000E3550000}"/>
    <cellStyle name="SAPBEXformats 23 5" xfId="13205" xr:uid="{00000000-0005-0000-0000-0000E4550000}"/>
    <cellStyle name="SAPBEXformats 23 6" xfId="15366" xr:uid="{00000000-0005-0000-0000-0000E5550000}"/>
    <cellStyle name="SAPBEXformats 23 7" xfId="17901" xr:uid="{00000000-0005-0000-0000-0000E6550000}"/>
    <cellStyle name="SAPBEXformats 23 8" xfId="20062" xr:uid="{00000000-0005-0000-0000-0000E7550000}"/>
    <cellStyle name="SAPBEXformats 23 9" xfId="22511" xr:uid="{00000000-0005-0000-0000-0000E8550000}"/>
    <cellStyle name="SAPBEXformats 24" xfId="3971" xr:uid="{00000000-0005-0000-0000-0000E9550000}"/>
    <cellStyle name="SAPBEXformats 24 2" xfId="6509" xr:uid="{00000000-0005-0000-0000-0000EA550000}"/>
    <cellStyle name="SAPBEXformats 24 3" xfId="8620" xr:uid="{00000000-0005-0000-0000-0000EB550000}"/>
    <cellStyle name="SAPBEXformats 24 4" xfId="10503" xr:uid="{00000000-0005-0000-0000-0000EC550000}"/>
    <cellStyle name="SAPBEXformats 24 5" xfId="12841" xr:uid="{00000000-0005-0000-0000-0000ED550000}"/>
    <cellStyle name="SAPBEXformats 24 6" xfId="14961" xr:uid="{00000000-0005-0000-0000-0000EE550000}"/>
    <cellStyle name="SAPBEXformats 24 7" xfId="17537" xr:uid="{00000000-0005-0000-0000-0000EF550000}"/>
    <cellStyle name="SAPBEXformats 24 8" xfId="19657" xr:uid="{00000000-0005-0000-0000-0000F0550000}"/>
    <cellStyle name="SAPBEXformats 24 9" xfId="22174" xr:uid="{00000000-0005-0000-0000-0000F1550000}"/>
    <cellStyle name="SAPBEXformats 25" xfId="4010" xr:uid="{00000000-0005-0000-0000-0000F2550000}"/>
    <cellStyle name="SAPBEXformats 25 2" xfId="6548" xr:uid="{00000000-0005-0000-0000-0000F3550000}"/>
    <cellStyle name="SAPBEXformats 25 3" xfId="9676" xr:uid="{00000000-0005-0000-0000-0000F4550000}"/>
    <cellStyle name="SAPBEXformats 25 4" xfId="10849" xr:uid="{00000000-0005-0000-0000-0000F5550000}"/>
    <cellStyle name="SAPBEXformats 25 5" xfId="13214" xr:uid="{00000000-0005-0000-0000-0000F6550000}"/>
    <cellStyle name="SAPBEXformats 25 6" xfId="12496" xr:uid="{00000000-0005-0000-0000-0000F7550000}"/>
    <cellStyle name="SAPBEXformats 25 7" xfId="17910" xr:uid="{00000000-0005-0000-0000-0000F8550000}"/>
    <cellStyle name="SAPBEXformats 25 8" xfId="17192" xr:uid="{00000000-0005-0000-0000-0000F9550000}"/>
    <cellStyle name="SAPBEXformats 25 9" xfId="22520" xr:uid="{00000000-0005-0000-0000-0000FA550000}"/>
    <cellStyle name="SAPBEXformats 26" xfId="4130" xr:uid="{00000000-0005-0000-0000-0000FB550000}"/>
    <cellStyle name="SAPBEXformats 26 2" xfId="6668" xr:uid="{00000000-0005-0000-0000-0000FC550000}"/>
    <cellStyle name="SAPBEXformats 26 3" xfId="9293" xr:uid="{00000000-0005-0000-0000-0000FD550000}"/>
    <cellStyle name="SAPBEXformats 26 4" xfId="11712" xr:uid="{00000000-0005-0000-0000-0000FE550000}"/>
    <cellStyle name="SAPBEXformats 26 5" xfId="14161" xr:uid="{00000000-0005-0000-0000-0000FF550000}"/>
    <cellStyle name="SAPBEXformats 26 6" xfId="16876" xr:uid="{00000000-0005-0000-0000-000000560000}"/>
    <cellStyle name="SAPBEXformats 26 7" xfId="18857" xr:uid="{00000000-0005-0000-0000-000001560000}"/>
    <cellStyle name="SAPBEXformats 26 8" xfId="21572" xr:uid="{00000000-0005-0000-0000-000002560000}"/>
    <cellStyle name="SAPBEXformats 26 9" xfId="23386" xr:uid="{00000000-0005-0000-0000-000003560000}"/>
    <cellStyle name="SAPBEXformats 27" xfId="4071" xr:uid="{00000000-0005-0000-0000-000004560000}"/>
    <cellStyle name="SAPBEXformats 27 2" xfId="6609" xr:uid="{00000000-0005-0000-0000-000005560000}"/>
    <cellStyle name="SAPBEXformats 27 3" xfId="9441" xr:uid="{00000000-0005-0000-0000-000006560000}"/>
    <cellStyle name="SAPBEXformats 27 4" xfId="11700" xr:uid="{00000000-0005-0000-0000-000007560000}"/>
    <cellStyle name="SAPBEXformats 27 5" xfId="14149" xr:uid="{00000000-0005-0000-0000-000008560000}"/>
    <cellStyle name="SAPBEXformats 27 6" xfId="15122" xr:uid="{00000000-0005-0000-0000-000009560000}"/>
    <cellStyle name="SAPBEXformats 27 7" xfId="18845" xr:uid="{00000000-0005-0000-0000-00000A560000}"/>
    <cellStyle name="SAPBEXformats 27 8" xfId="19818" xr:uid="{00000000-0005-0000-0000-00000B560000}"/>
    <cellStyle name="SAPBEXformats 27 9" xfId="23374" xr:uid="{00000000-0005-0000-0000-00000C560000}"/>
    <cellStyle name="SAPBEXformats 28" xfId="4216" xr:uid="{00000000-0005-0000-0000-00000D560000}"/>
    <cellStyle name="SAPBEXformats 28 2" xfId="6754" xr:uid="{00000000-0005-0000-0000-00000E560000}"/>
    <cellStyle name="SAPBEXformats 28 3" xfId="8851" xr:uid="{00000000-0005-0000-0000-00000F560000}"/>
    <cellStyle name="SAPBEXformats 28 4" xfId="8373" xr:uid="{00000000-0005-0000-0000-000010560000}"/>
    <cellStyle name="SAPBEXformats 28 5" xfId="14929" xr:uid="{00000000-0005-0000-0000-000011560000}"/>
    <cellStyle name="SAPBEXformats 28 6" xfId="15386" xr:uid="{00000000-0005-0000-0000-000012560000}"/>
    <cellStyle name="SAPBEXformats 28 7" xfId="19625" xr:uid="{00000000-0005-0000-0000-000013560000}"/>
    <cellStyle name="SAPBEXformats 28 8" xfId="20082" xr:uid="{00000000-0005-0000-0000-000014560000}"/>
    <cellStyle name="SAPBEXformats 28 9" xfId="24092" xr:uid="{00000000-0005-0000-0000-000015560000}"/>
    <cellStyle name="SAPBEXformats 29" xfId="4254" xr:uid="{00000000-0005-0000-0000-000016560000}"/>
    <cellStyle name="SAPBEXformats 29 2" xfId="6792" xr:uid="{00000000-0005-0000-0000-000017560000}"/>
    <cellStyle name="SAPBEXformats 29 3" xfId="8825" xr:uid="{00000000-0005-0000-0000-000018560000}"/>
    <cellStyle name="SAPBEXformats 29 4" xfId="11628" xr:uid="{00000000-0005-0000-0000-000019560000}"/>
    <cellStyle name="SAPBEXformats 29 5" xfId="14071" xr:uid="{00000000-0005-0000-0000-00001A560000}"/>
    <cellStyle name="SAPBEXformats 29 6" xfId="15838" xr:uid="{00000000-0005-0000-0000-00001B560000}"/>
    <cellStyle name="SAPBEXformats 29 7" xfId="18767" xr:uid="{00000000-0005-0000-0000-00001C560000}"/>
    <cellStyle name="SAPBEXformats 29 8" xfId="20534" xr:uid="{00000000-0005-0000-0000-00001D560000}"/>
    <cellStyle name="SAPBEXformats 29 9" xfId="23303" xr:uid="{00000000-0005-0000-0000-00001E560000}"/>
    <cellStyle name="SAPBEXformats 3" xfId="3104" xr:uid="{00000000-0005-0000-0000-00001F560000}"/>
    <cellStyle name="SAPBEXformats 3 10" xfId="42134" xr:uid="{A495ECAE-62B8-407D-9E39-C1A9F17454B8}"/>
    <cellStyle name="SAPBEXformats 3 2" xfId="5642" xr:uid="{00000000-0005-0000-0000-000020560000}"/>
    <cellStyle name="SAPBEXformats 3 3" xfId="8882" xr:uid="{00000000-0005-0000-0000-000021560000}"/>
    <cellStyle name="SAPBEXformats 3 4" xfId="11052" xr:uid="{00000000-0005-0000-0000-000022560000}"/>
    <cellStyle name="SAPBEXformats 3 5" xfId="13437" xr:uid="{00000000-0005-0000-0000-000023560000}"/>
    <cellStyle name="SAPBEXformats 3 6" xfId="16031" xr:uid="{00000000-0005-0000-0000-000024560000}"/>
    <cellStyle name="SAPBEXformats 3 7" xfId="18133" xr:uid="{00000000-0005-0000-0000-000025560000}"/>
    <cellStyle name="SAPBEXformats 3 8" xfId="20727" xr:uid="{00000000-0005-0000-0000-000026560000}"/>
    <cellStyle name="SAPBEXformats 3 9" xfId="22725" xr:uid="{00000000-0005-0000-0000-000027560000}"/>
    <cellStyle name="SAPBEXformats 30" xfId="4297" xr:uid="{00000000-0005-0000-0000-000028560000}"/>
    <cellStyle name="SAPBEXformats 30 2" xfId="6835" xr:uid="{00000000-0005-0000-0000-000029560000}"/>
    <cellStyle name="SAPBEXformats 30 3" xfId="9805" xr:uid="{00000000-0005-0000-0000-00002A560000}"/>
    <cellStyle name="SAPBEXformats 30 4" xfId="8818" xr:uid="{00000000-0005-0000-0000-00002B560000}"/>
    <cellStyle name="SAPBEXformats 30 5" xfId="12382" xr:uid="{00000000-0005-0000-0000-00002C560000}"/>
    <cellStyle name="SAPBEXformats 30 6" xfId="15902" xr:uid="{00000000-0005-0000-0000-00002D560000}"/>
    <cellStyle name="SAPBEXformats 30 7" xfId="17078" xr:uid="{00000000-0005-0000-0000-00002E560000}"/>
    <cellStyle name="SAPBEXformats 30 8" xfId="20598" xr:uid="{00000000-0005-0000-0000-00002F560000}"/>
    <cellStyle name="SAPBEXformats 30 9" xfId="21767" xr:uid="{00000000-0005-0000-0000-000030560000}"/>
    <cellStyle name="SAPBEXformats 31" xfId="4340" xr:uid="{00000000-0005-0000-0000-000031560000}"/>
    <cellStyle name="SAPBEXformats 31 2" xfId="6878" xr:uid="{00000000-0005-0000-0000-000032560000}"/>
    <cellStyle name="SAPBEXformats 31 3" xfId="9107" xr:uid="{00000000-0005-0000-0000-000033560000}"/>
    <cellStyle name="SAPBEXformats 31 4" xfId="11008" xr:uid="{00000000-0005-0000-0000-000034560000}"/>
    <cellStyle name="SAPBEXformats 31 5" xfId="13384" xr:uid="{00000000-0005-0000-0000-000035560000}"/>
    <cellStyle name="SAPBEXformats 31 6" xfId="15705" xr:uid="{00000000-0005-0000-0000-000036560000}"/>
    <cellStyle name="SAPBEXformats 31 7" xfId="18080" xr:uid="{00000000-0005-0000-0000-000037560000}"/>
    <cellStyle name="SAPBEXformats 31 8" xfId="20401" xr:uid="{00000000-0005-0000-0000-000038560000}"/>
    <cellStyle name="SAPBEXformats 31 9" xfId="22681" xr:uid="{00000000-0005-0000-0000-000039560000}"/>
    <cellStyle name="SAPBEXformats 32" xfId="4524" xr:uid="{00000000-0005-0000-0000-00003A560000}"/>
    <cellStyle name="SAPBEXformats 32 2" xfId="7062" xr:uid="{00000000-0005-0000-0000-00003B560000}"/>
    <cellStyle name="SAPBEXformats 32 3" xfId="10002" xr:uid="{00000000-0005-0000-0000-00003C560000}"/>
    <cellStyle name="SAPBEXformats 32 4" xfId="11322" xr:uid="{00000000-0005-0000-0000-00003D560000}"/>
    <cellStyle name="SAPBEXformats 32 5" xfId="13731" xr:uid="{00000000-0005-0000-0000-00003E560000}"/>
    <cellStyle name="SAPBEXformats 32 6" xfId="15932" xr:uid="{00000000-0005-0000-0000-00003F560000}"/>
    <cellStyle name="SAPBEXformats 32 7" xfId="18427" xr:uid="{00000000-0005-0000-0000-000040560000}"/>
    <cellStyle name="SAPBEXformats 32 8" xfId="20628" xr:uid="{00000000-0005-0000-0000-000041560000}"/>
    <cellStyle name="SAPBEXformats 32 9" xfId="22996" xr:uid="{00000000-0005-0000-0000-000042560000}"/>
    <cellStyle name="SAPBEXformats 33" xfId="4223" xr:uid="{00000000-0005-0000-0000-000043560000}"/>
    <cellStyle name="SAPBEXformats 33 2" xfId="6761" xr:uid="{00000000-0005-0000-0000-000044560000}"/>
    <cellStyle name="SAPBEXformats 33 3" xfId="9303" xr:uid="{00000000-0005-0000-0000-000045560000}"/>
    <cellStyle name="SAPBEXformats 33 4" xfId="10652" xr:uid="{00000000-0005-0000-0000-000046560000}"/>
    <cellStyle name="SAPBEXformats 33 5" xfId="13001" xr:uid="{00000000-0005-0000-0000-000047560000}"/>
    <cellStyle name="SAPBEXformats 33 6" xfId="15608" xr:uid="{00000000-0005-0000-0000-000048560000}"/>
    <cellStyle name="SAPBEXformats 33 7" xfId="17697" xr:uid="{00000000-0005-0000-0000-000049560000}"/>
    <cellStyle name="SAPBEXformats 33 8" xfId="20304" xr:uid="{00000000-0005-0000-0000-00004A560000}"/>
    <cellStyle name="SAPBEXformats 33 9" xfId="22325" xr:uid="{00000000-0005-0000-0000-00004B560000}"/>
    <cellStyle name="SAPBEXformats 34" xfId="4561" xr:uid="{00000000-0005-0000-0000-00004C560000}"/>
    <cellStyle name="SAPBEXformats 34 2" xfId="7099" xr:uid="{00000000-0005-0000-0000-00004D560000}"/>
    <cellStyle name="SAPBEXformats 34 3" xfId="5504" xr:uid="{00000000-0005-0000-0000-00004E560000}"/>
    <cellStyle name="SAPBEXformats 34 4" xfId="11733" xr:uid="{00000000-0005-0000-0000-00004F560000}"/>
    <cellStyle name="SAPBEXformats 34 5" xfId="14184" xr:uid="{00000000-0005-0000-0000-000050560000}"/>
    <cellStyle name="SAPBEXformats 34 6" xfId="15933" xr:uid="{00000000-0005-0000-0000-000051560000}"/>
    <cellStyle name="SAPBEXformats 34 7" xfId="18880" xr:uid="{00000000-0005-0000-0000-000052560000}"/>
    <cellStyle name="SAPBEXformats 34 8" xfId="20629" xr:uid="{00000000-0005-0000-0000-000053560000}"/>
    <cellStyle name="SAPBEXformats 34 9" xfId="23407" xr:uid="{00000000-0005-0000-0000-000054560000}"/>
    <cellStyle name="SAPBEXformats 35" xfId="4244" xr:uid="{00000000-0005-0000-0000-000055560000}"/>
    <cellStyle name="SAPBEXformats 35 2" xfId="6782" xr:uid="{00000000-0005-0000-0000-000056560000}"/>
    <cellStyle name="SAPBEXformats 35 3" xfId="9875" xr:uid="{00000000-0005-0000-0000-000057560000}"/>
    <cellStyle name="SAPBEXformats 35 4" xfId="11645" xr:uid="{00000000-0005-0000-0000-000058560000}"/>
    <cellStyle name="SAPBEXformats 35 5" xfId="14089" xr:uid="{00000000-0005-0000-0000-000059560000}"/>
    <cellStyle name="SAPBEXformats 35 6" xfId="15490" xr:uid="{00000000-0005-0000-0000-00005A560000}"/>
    <cellStyle name="SAPBEXformats 35 7" xfId="18785" xr:uid="{00000000-0005-0000-0000-00005B560000}"/>
    <cellStyle name="SAPBEXformats 35 8" xfId="20186" xr:uid="{00000000-0005-0000-0000-00005C560000}"/>
    <cellStyle name="SAPBEXformats 35 9" xfId="23320" xr:uid="{00000000-0005-0000-0000-00005D560000}"/>
    <cellStyle name="SAPBEXformats 36" xfId="4497" xr:uid="{00000000-0005-0000-0000-00005E560000}"/>
    <cellStyle name="SAPBEXformats 36 2" xfId="7035" xr:uid="{00000000-0005-0000-0000-00005F560000}"/>
    <cellStyle name="SAPBEXformats 36 3" xfId="7716" xr:uid="{00000000-0005-0000-0000-000060560000}"/>
    <cellStyle name="SAPBEXformats 36 4" xfId="11668" xr:uid="{00000000-0005-0000-0000-000061560000}"/>
    <cellStyle name="SAPBEXformats 36 5" xfId="14115" xr:uid="{00000000-0005-0000-0000-000062560000}"/>
    <cellStyle name="SAPBEXformats 36 6" xfId="15417" xr:uid="{00000000-0005-0000-0000-000063560000}"/>
    <cellStyle name="SAPBEXformats 36 7" xfId="18811" xr:uid="{00000000-0005-0000-0000-000064560000}"/>
    <cellStyle name="SAPBEXformats 36 8" xfId="20113" xr:uid="{00000000-0005-0000-0000-000065560000}"/>
    <cellStyle name="SAPBEXformats 36 9" xfId="23343" xr:uid="{00000000-0005-0000-0000-000066560000}"/>
    <cellStyle name="SAPBEXformats 37" xfId="4598" xr:uid="{00000000-0005-0000-0000-000067560000}"/>
    <cellStyle name="SAPBEXformats 37 2" xfId="7136" xr:uid="{00000000-0005-0000-0000-000068560000}"/>
    <cellStyle name="SAPBEXformats 37 3" xfId="8812" xr:uid="{00000000-0005-0000-0000-000069560000}"/>
    <cellStyle name="SAPBEXformats 37 4" xfId="11168" xr:uid="{00000000-0005-0000-0000-00006A560000}"/>
    <cellStyle name="SAPBEXformats 37 5" xfId="13564" xr:uid="{00000000-0005-0000-0000-00006B560000}"/>
    <cellStyle name="SAPBEXformats 37 6" xfId="14979" xr:uid="{00000000-0005-0000-0000-00006C560000}"/>
    <cellStyle name="SAPBEXformats 37 7" xfId="18260" xr:uid="{00000000-0005-0000-0000-00006D560000}"/>
    <cellStyle name="SAPBEXformats 37 8" xfId="19675" xr:uid="{00000000-0005-0000-0000-00006E560000}"/>
    <cellStyle name="SAPBEXformats 37 9" xfId="22841" xr:uid="{00000000-0005-0000-0000-00006F560000}"/>
    <cellStyle name="SAPBEXformats 38" xfId="4618" xr:uid="{00000000-0005-0000-0000-000070560000}"/>
    <cellStyle name="SAPBEXformats 38 2" xfId="7156" xr:uid="{00000000-0005-0000-0000-000071560000}"/>
    <cellStyle name="SAPBEXformats 38 3" xfId="8234" xr:uid="{00000000-0005-0000-0000-000072560000}"/>
    <cellStyle name="SAPBEXformats 38 4" xfId="11820" xr:uid="{00000000-0005-0000-0000-000073560000}"/>
    <cellStyle name="SAPBEXformats 38 5" xfId="14277" xr:uid="{00000000-0005-0000-0000-000074560000}"/>
    <cellStyle name="SAPBEXformats 38 6" xfId="15046" xr:uid="{00000000-0005-0000-0000-000075560000}"/>
    <cellStyle name="SAPBEXformats 38 7" xfId="18973" xr:uid="{00000000-0005-0000-0000-000076560000}"/>
    <cellStyle name="SAPBEXformats 38 8" xfId="19742" xr:uid="{00000000-0005-0000-0000-000077560000}"/>
    <cellStyle name="SAPBEXformats 38 9" xfId="23495" xr:uid="{00000000-0005-0000-0000-000078560000}"/>
    <cellStyle name="SAPBEXformats 39" xfId="4722" xr:uid="{00000000-0005-0000-0000-000079560000}"/>
    <cellStyle name="SAPBEXformats 39 2" xfId="7260" xr:uid="{00000000-0005-0000-0000-00007A560000}"/>
    <cellStyle name="SAPBEXformats 39 3" xfId="8244" xr:uid="{00000000-0005-0000-0000-00007B560000}"/>
    <cellStyle name="SAPBEXformats 39 4" xfId="12204" xr:uid="{00000000-0005-0000-0000-00007C560000}"/>
    <cellStyle name="SAPBEXformats 39 5" xfId="12422" xr:uid="{00000000-0005-0000-0000-00007D560000}"/>
    <cellStyle name="SAPBEXformats 39 6" xfId="14708" xr:uid="{00000000-0005-0000-0000-00007E560000}"/>
    <cellStyle name="SAPBEXformats 39 7" xfId="17118" xr:uid="{00000000-0005-0000-0000-00007F560000}"/>
    <cellStyle name="SAPBEXformats 39 8" xfId="19404" xr:uid="{00000000-0005-0000-0000-000080560000}"/>
    <cellStyle name="SAPBEXformats 39 9" xfId="21802" xr:uid="{00000000-0005-0000-0000-000081560000}"/>
    <cellStyle name="SAPBEXformats 4" xfId="3052" xr:uid="{00000000-0005-0000-0000-000082560000}"/>
    <cellStyle name="SAPBEXformats 4 2" xfId="5591" xr:uid="{00000000-0005-0000-0000-000083560000}"/>
    <cellStyle name="SAPBEXformats 4 3" xfId="9391" xr:uid="{00000000-0005-0000-0000-000084560000}"/>
    <cellStyle name="SAPBEXformats 4 4" xfId="10476" xr:uid="{00000000-0005-0000-0000-000085560000}"/>
    <cellStyle name="SAPBEXformats 4 5" xfId="12810" xr:uid="{00000000-0005-0000-0000-000086560000}"/>
    <cellStyle name="SAPBEXformats 4 6" xfId="16727" xr:uid="{00000000-0005-0000-0000-000087560000}"/>
    <cellStyle name="SAPBEXformats 4 7" xfId="17506" xr:uid="{00000000-0005-0000-0000-000088560000}"/>
    <cellStyle name="SAPBEXformats 4 8" xfId="21423" xr:uid="{00000000-0005-0000-0000-000089560000}"/>
    <cellStyle name="SAPBEXformats 4 9" xfId="22146" xr:uid="{00000000-0005-0000-0000-00008A560000}"/>
    <cellStyle name="SAPBEXformats 40" xfId="4644" xr:uid="{00000000-0005-0000-0000-00008B560000}"/>
    <cellStyle name="SAPBEXformats 40 2" xfId="7182" xr:uid="{00000000-0005-0000-0000-00008C560000}"/>
    <cellStyle name="SAPBEXformats 40 3" xfId="5434" xr:uid="{00000000-0005-0000-0000-00008D560000}"/>
    <cellStyle name="SAPBEXformats 40 4" xfId="10418" xr:uid="{00000000-0005-0000-0000-00008E560000}"/>
    <cellStyle name="SAPBEXformats 40 5" xfId="12743" xr:uid="{00000000-0005-0000-0000-00008F560000}"/>
    <cellStyle name="SAPBEXformats 40 6" xfId="16746" xr:uid="{00000000-0005-0000-0000-000090560000}"/>
    <cellStyle name="SAPBEXformats 40 7" xfId="17439" xr:uid="{00000000-0005-0000-0000-000091560000}"/>
    <cellStyle name="SAPBEXformats 40 8" xfId="21442" xr:uid="{00000000-0005-0000-0000-000092560000}"/>
    <cellStyle name="SAPBEXformats 40 9" xfId="22089" xr:uid="{00000000-0005-0000-0000-000093560000}"/>
    <cellStyle name="SAPBEXformats 41" xfId="4924" xr:uid="{00000000-0005-0000-0000-000094560000}"/>
    <cellStyle name="SAPBEXformats 41 2" xfId="7462" xr:uid="{00000000-0005-0000-0000-000095560000}"/>
    <cellStyle name="SAPBEXformats 41 3" xfId="7954" xr:uid="{00000000-0005-0000-0000-000096560000}"/>
    <cellStyle name="SAPBEXformats 41 4" xfId="12262" xr:uid="{00000000-0005-0000-0000-000097560000}"/>
    <cellStyle name="SAPBEXformats 41 5" xfId="12356" xr:uid="{00000000-0005-0000-0000-000098560000}"/>
    <cellStyle name="SAPBEXformats 41 6" xfId="15836" xr:uid="{00000000-0005-0000-0000-000099560000}"/>
    <cellStyle name="SAPBEXformats 41 7" xfId="17052" xr:uid="{00000000-0005-0000-0000-00009A560000}"/>
    <cellStyle name="SAPBEXformats 41 8" xfId="20532" xr:uid="{00000000-0005-0000-0000-00009B560000}"/>
    <cellStyle name="SAPBEXformats 41 9" xfId="21743" xr:uid="{00000000-0005-0000-0000-00009C560000}"/>
    <cellStyle name="SAPBEXformats 42" xfId="4739" xr:uid="{00000000-0005-0000-0000-00009D560000}"/>
    <cellStyle name="SAPBEXformats 42 2" xfId="7277" xr:uid="{00000000-0005-0000-0000-00009E560000}"/>
    <cellStyle name="SAPBEXformats 42 3" xfId="8728" xr:uid="{00000000-0005-0000-0000-00009F560000}"/>
    <cellStyle name="SAPBEXformats 42 4" xfId="10599" xr:uid="{00000000-0005-0000-0000-0000A0560000}"/>
    <cellStyle name="SAPBEXformats 42 5" xfId="12947" xr:uid="{00000000-0005-0000-0000-0000A1560000}"/>
    <cellStyle name="SAPBEXformats 42 6" xfId="15562" xr:uid="{00000000-0005-0000-0000-0000A2560000}"/>
    <cellStyle name="SAPBEXformats 42 7" xfId="17643" xr:uid="{00000000-0005-0000-0000-0000A3560000}"/>
    <cellStyle name="SAPBEXformats 42 8" xfId="20258" xr:uid="{00000000-0005-0000-0000-0000A4560000}"/>
    <cellStyle name="SAPBEXformats 42 9" xfId="22272" xr:uid="{00000000-0005-0000-0000-0000A5560000}"/>
    <cellStyle name="SAPBEXformats 43" xfId="4962" xr:uid="{00000000-0005-0000-0000-0000A6560000}"/>
    <cellStyle name="SAPBEXformats 43 2" xfId="7500" xr:uid="{00000000-0005-0000-0000-0000A7560000}"/>
    <cellStyle name="SAPBEXformats 43 3" xfId="9927" xr:uid="{00000000-0005-0000-0000-0000A8560000}"/>
    <cellStyle name="SAPBEXformats 43 4" xfId="11750" xr:uid="{00000000-0005-0000-0000-0000A9560000}"/>
    <cellStyle name="SAPBEXformats 43 5" xfId="14201" xr:uid="{00000000-0005-0000-0000-0000AA560000}"/>
    <cellStyle name="SAPBEXformats 43 6" xfId="15202" xr:uid="{00000000-0005-0000-0000-0000AB560000}"/>
    <cellStyle name="SAPBEXformats 43 7" xfId="18897" xr:uid="{00000000-0005-0000-0000-0000AC560000}"/>
    <cellStyle name="SAPBEXformats 43 8" xfId="19898" xr:uid="{00000000-0005-0000-0000-0000AD560000}"/>
    <cellStyle name="SAPBEXformats 43 9" xfId="23424" xr:uid="{00000000-0005-0000-0000-0000AE560000}"/>
    <cellStyle name="SAPBEXformats 44" xfId="4919" xr:uid="{00000000-0005-0000-0000-0000AF560000}"/>
    <cellStyle name="SAPBEXformats 44 2" xfId="7457" xr:uid="{00000000-0005-0000-0000-0000B0560000}"/>
    <cellStyle name="SAPBEXformats 44 3" xfId="8776" xr:uid="{00000000-0005-0000-0000-0000B1560000}"/>
    <cellStyle name="SAPBEXformats 44 4" xfId="11715" xr:uid="{00000000-0005-0000-0000-0000B2560000}"/>
    <cellStyle name="SAPBEXformats 44 5" xfId="14165" xr:uid="{00000000-0005-0000-0000-0000B3560000}"/>
    <cellStyle name="SAPBEXformats 44 6" xfId="16224" xr:uid="{00000000-0005-0000-0000-0000B4560000}"/>
    <cellStyle name="SAPBEXformats 44 7" xfId="18861" xr:uid="{00000000-0005-0000-0000-0000B5560000}"/>
    <cellStyle name="SAPBEXformats 44 8" xfId="20920" xr:uid="{00000000-0005-0000-0000-0000B6560000}"/>
    <cellStyle name="SAPBEXformats 44 9" xfId="23389" xr:uid="{00000000-0005-0000-0000-0000B7560000}"/>
    <cellStyle name="SAPBEXformats 45" xfId="4897" xr:uid="{00000000-0005-0000-0000-0000B8560000}"/>
    <cellStyle name="SAPBEXformats 45 2" xfId="7435" xr:uid="{00000000-0005-0000-0000-0000B9560000}"/>
    <cellStyle name="SAPBEXformats 45 3" xfId="8026" xr:uid="{00000000-0005-0000-0000-0000BA560000}"/>
    <cellStyle name="SAPBEXformats 45 4" xfId="10416" xr:uid="{00000000-0005-0000-0000-0000BB560000}"/>
    <cellStyle name="SAPBEXformats 45 5" xfId="12741" xr:uid="{00000000-0005-0000-0000-0000BC560000}"/>
    <cellStyle name="SAPBEXformats 45 6" xfId="16949" xr:uid="{00000000-0005-0000-0000-0000BD560000}"/>
    <cellStyle name="SAPBEXformats 45 7" xfId="17437" xr:uid="{00000000-0005-0000-0000-0000BE560000}"/>
    <cellStyle name="SAPBEXformats 45 8" xfId="21645" xr:uid="{00000000-0005-0000-0000-0000BF560000}"/>
    <cellStyle name="SAPBEXformats 45 9" xfId="22087" xr:uid="{00000000-0005-0000-0000-0000C0560000}"/>
    <cellStyle name="SAPBEXformats 46" xfId="4991" xr:uid="{00000000-0005-0000-0000-0000C1560000}"/>
    <cellStyle name="SAPBEXformats 46 2" xfId="7529" xr:uid="{00000000-0005-0000-0000-0000C2560000}"/>
    <cellStyle name="SAPBEXformats 46 3" xfId="8809" xr:uid="{00000000-0005-0000-0000-0000C3560000}"/>
    <cellStyle name="SAPBEXformats 46 4" xfId="11109" xr:uid="{00000000-0005-0000-0000-0000C4560000}"/>
    <cellStyle name="SAPBEXformats 46 5" xfId="13503" xr:uid="{00000000-0005-0000-0000-0000C5560000}"/>
    <cellStyle name="SAPBEXformats 46 6" xfId="12403" xr:uid="{00000000-0005-0000-0000-0000C6560000}"/>
    <cellStyle name="SAPBEXformats 46 7" xfId="18199" xr:uid="{00000000-0005-0000-0000-0000C7560000}"/>
    <cellStyle name="SAPBEXformats 46 8" xfId="17099" xr:uid="{00000000-0005-0000-0000-0000C8560000}"/>
    <cellStyle name="SAPBEXformats 46 9" xfId="22782" xr:uid="{00000000-0005-0000-0000-0000C9560000}"/>
    <cellStyle name="SAPBEXformats 47" xfId="5029" xr:uid="{00000000-0005-0000-0000-0000CA560000}"/>
    <cellStyle name="SAPBEXformats 47 2" xfId="7567" xr:uid="{00000000-0005-0000-0000-0000CB560000}"/>
    <cellStyle name="SAPBEXformats 47 3" xfId="10208" xr:uid="{00000000-0005-0000-0000-0000CC560000}"/>
    <cellStyle name="SAPBEXformats 47 4" xfId="7960" xr:uid="{00000000-0005-0000-0000-0000CD560000}"/>
    <cellStyle name="SAPBEXformats 47 5" xfId="12441" xr:uid="{00000000-0005-0000-0000-0000CE560000}"/>
    <cellStyle name="SAPBEXformats 47 6" xfId="16606" xr:uid="{00000000-0005-0000-0000-0000CF560000}"/>
    <cellStyle name="SAPBEXformats 47 7" xfId="17137" xr:uid="{00000000-0005-0000-0000-0000D0560000}"/>
    <cellStyle name="SAPBEXformats 47 8" xfId="21302" xr:uid="{00000000-0005-0000-0000-0000D1560000}"/>
    <cellStyle name="SAPBEXformats 47 9" xfId="21820" xr:uid="{00000000-0005-0000-0000-0000D2560000}"/>
    <cellStyle name="SAPBEXformats 48" xfId="5139" xr:uid="{00000000-0005-0000-0000-0000D3560000}"/>
    <cellStyle name="SAPBEXformats 48 2" xfId="7677" xr:uid="{00000000-0005-0000-0000-0000D4560000}"/>
    <cellStyle name="SAPBEXformats 48 3" xfId="10165" xr:uid="{00000000-0005-0000-0000-0000D5560000}"/>
    <cellStyle name="SAPBEXformats 48 4" xfId="10810" xr:uid="{00000000-0005-0000-0000-0000D6560000}"/>
    <cellStyle name="SAPBEXformats 48 5" xfId="13172" xr:uid="{00000000-0005-0000-0000-0000D7560000}"/>
    <cellStyle name="SAPBEXformats 48 6" xfId="16899" xr:uid="{00000000-0005-0000-0000-0000D8560000}"/>
    <cellStyle name="SAPBEXformats 48 7" xfId="17868" xr:uid="{00000000-0005-0000-0000-0000D9560000}"/>
    <cellStyle name="SAPBEXformats 48 8" xfId="21595" xr:uid="{00000000-0005-0000-0000-0000DA560000}"/>
    <cellStyle name="SAPBEXformats 48 9" xfId="22481" xr:uid="{00000000-0005-0000-0000-0000DB560000}"/>
    <cellStyle name="SAPBEXformats 49" xfId="5208" xr:uid="{00000000-0005-0000-0000-0000DC560000}"/>
    <cellStyle name="SAPBEXformats 49 2" xfId="7747" xr:uid="{00000000-0005-0000-0000-0000DD560000}"/>
    <cellStyle name="SAPBEXformats 49 3" xfId="9305" xr:uid="{00000000-0005-0000-0000-0000DE560000}"/>
    <cellStyle name="SAPBEXformats 49 4" xfId="10785" xr:uid="{00000000-0005-0000-0000-0000DF560000}"/>
    <cellStyle name="SAPBEXformats 49 5" xfId="13141" xr:uid="{00000000-0005-0000-0000-0000E0560000}"/>
    <cellStyle name="SAPBEXformats 49 6" xfId="16766" xr:uid="{00000000-0005-0000-0000-0000E1560000}"/>
    <cellStyle name="SAPBEXformats 49 7" xfId="17837" xr:uid="{00000000-0005-0000-0000-0000E2560000}"/>
    <cellStyle name="SAPBEXformats 49 8" xfId="21462" xr:uid="{00000000-0005-0000-0000-0000E3560000}"/>
    <cellStyle name="SAPBEXformats 49 9" xfId="22456" xr:uid="{00000000-0005-0000-0000-0000E4560000}"/>
    <cellStyle name="SAPBEXformats 5" xfId="3038" xr:uid="{00000000-0005-0000-0000-0000E5560000}"/>
    <cellStyle name="SAPBEXformats 5 2" xfId="5577" xr:uid="{00000000-0005-0000-0000-0000E6560000}"/>
    <cellStyle name="SAPBEXformats 5 3" xfId="8352" xr:uid="{00000000-0005-0000-0000-0000E7560000}"/>
    <cellStyle name="SAPBEXformats 5 4" xfId="10630" xr:uid="{00000000-0005-0000-0000-0000E8560000}"/>
    <cellStyle name="SAPBEXformats 5 5" xfId="12979" xr:uid="{00000000-0005-0000-0000-0000E9560000}"/>
    <cellStyle name="SAPBEXformats 5 6" xfId="15799" xr:uid="{00000000-0005-0000-0000-0000EA560000}"/>
    <cellStyle name="SAPBEXformats 5 7" xfId="17675" xr:uid="{00000000-0005-0000-0000-0000EB560000}"/>
    <cellStyle name="SAPBEXformats 5 8" xfId="20495" xr:uid="{00000000-0005-0000-0000-0000EC560000}"/>
    <cellStyle name="SAPBEXformats 5 9" xfId="22303" xr:uid="{00000000-0005-0000-0000-0000ED560000}"/>
    <cellStyle name="SAPBEXformats 50" xfId="5172" xr:uid="{00000000-0005-0000-0000-0000EE560000}"/>
    <cellStyle name="SAPBEXformats 50 2" xfId="8912" xr:uid="{00000000-0005-0000-0000-0000EF560000}"/>
    <cellStyle name="SAPBEXformats 50 3" xfId="11924" xr:uid="{00000000-0005-0000-0000-0000F0560000}"/>
    <cellStyle name="SAPBEXformats 50 4" xfId="14397" xr:uid="{00000000-0005-0000-0000-0000F1560000}"/>
    <cellStyle name="SAPBEXformats 50 5" xfId="16298" xr:uid="{00000000-0005-0000-0000-0000F2560000}"/>
    <cellStyle name="SAPBEXformats 50 6" xfId="19093" xr:uid="{00000000-0005-0000-0000-0000F3560000}"/>
    <cellStyle name="SAPBEXformats 50 7" xfId="20994" xr:uid="{00000000-0005-0000-0000-0000F4560000}"/>
    <cellStyle name="SAPBEXformats 50 8" xfId="23599" xr:uid="{00000000-0005-0000-0000-0000F5560000}"/>
    <cellStyle name="SAPBEXformats 51" xfId="9544" xr:uid="{00000000-0005-0000-0000-0000F6560000}"/>
    <cellStyle name="SAPBEXformats 52" xfId="10420" xr:uid="{00000000-0005-0000-0000-0000F7560000}"/>
    <cellStyle name="SAPBEXformats 53" xfId="12745" xr:uid="{00000000-0005-0000-0000-0000F8560000}"/>
    <cellStyle name="SAPBEXformats 54" xfId="15647" xr:uid="{00000000-0005-0000-0000-0000F9560000}"/>
    <cellStyle name="SAPBEXformats 55" xfId="17441" xr:uid="{00000000-0005-0000-0000-0000FA560000}"/>
    <cellStyle name="SAPBEXformats 56" xfId="20343" xr:uid="{00000000-0005-0000-0000-0000FB560000}"/>
    <cellStyle name="SAPBEXformats 57" xfId="22091" xr:uid="{00000000-0005-0000-0000-0000FC560000}"/>
    <cellStyle name="SAPBEXformats 58" xfId="42183" xr:uid="{EF309938-7960-4DEC-A71C-EC0B56A80B7E}"/>
    <cellStyle name="SAPBEXformats 6" xfId="3157" xr:uid="{00000000-0005-0000-0000-0000FD560000}"/>
    <cellStyle name="SAPBEXformats 6 2" xfId="5695" xr:uid="{00000000-0005-0000-0000-0000FE560000}"/>
    <cellStyle name="SAPBEXformats 6 3" xfId="8156" xr:uid="{00000000-0005-0000-0000-0000FF560000}"/>
    <cellStyle name="SAPBEXformats 6 4" xfId="10613" xr:uid="{00000000-0005-0000-0000-000000570000}"/>
    <cellStyle name="SAPBEXformats 6 5" xfId="12961" xr:uid="{00000000-0005-0000-0000-000001570000}"/>
    <cellStyle name="SAPBEXformats 6 6" xfId="16748" xr:uid="{00000000-0005-0000-0000-000002570000}"/>
    <cellStyle name="SAPBEXformats 6 7" xfId="17657" xr:uid="{00000000-0005-0000-0000-000003570000}"/>
    <cellStyle name="SAPBEXformats 6 8" xfId="21444" xr:uid="{00000000-0005-0000-0000-000004570000}"/>
    <cellStyle name="SAPBEXformats 6 9" xfId="22286" xr:uid="{00000000-0005-0000-0000-000005570000}"/>
    <cellStyle name="SAPBEXformats 7" xfId="3200" xr:uid="{00000000-0005-0000-0000-000006570000}"/>
    <cellStyle name="SAPBEXformats 7 2" xfId="5738" xr:uid="{00000000-0005-0000-0000-000007570000}"/>
    <cellStyle name="SAPBEXformats 7 3" xfId="8208" xr:uid="{00000000-0005-0000-0000-000008570000}"/>
    <cellStyle name="SAPBEXformats 7 4" xfId="10369" xr:uid="{00000000-0005-0000-0000-000009570000}"/>
    <cellStyle name="SAPBEXformats 7 5" xfId="12691" xr:uid="{00000000-0005-0000-0000-00000A570000}"/>
    <cellStyle name="SAPBEXformats 7 6" xfId="15099" xr:uid="{00000000-0005-0000-0000-00000B570000}"/>
    <cellStyle name="SAPBEXformats 7 7" xfId="17387" xr:uid="{00000000-0005-0000-0000-00000C570000}"/>
    <cellStyle name="SAPBEXformats 7 8" xfId="19795" xr:uid="{00000000-0005-0000-0000-00000D570000}"/>
    <cellStyle name="SAPBEXformats 7 9" xfId="22040" xr:uid="{00000000-0005-0000-0000-00000E570000}"/>
    <cellStyle name="SAPBEXformats 8" xfId="3243" xr:uid="{00000000-0005-0000-0000-00000F570000}"/>
    <cellStyle name="SAPBEXformats 8 2" xfId="5781" xr:uid="{00000000-0005-0000-0000-000010570000}"/>
    <cellStyle name="SAPBEXformats 8 3" xfId="9337" xr:uid="{00000000-0005-0000-0000-000011570000}"/>
    <cellStyle name="SAPBEXformats 8 4" xfId="11228" xr:uid="{00000000-0005-0000-0000-000012570000}"/>
    <cellStyle name="SAPBEXformats 8 5" xfId="14893" xr:uid="{00000000-0005-0000-0000-000013570000}"/>
    <cellStyle name="SAPBEXformats 8 6" xfId="14963" xr:uid="{00000000-0005-0000-0000-000014570000}"/>
    <cellStyle name="SAPBEXformats 8 7" xfId="19589" xr:uid="{00000000-0005-0000-0000-000015570000}"/>
    <cellStyle name="SAPBEXformats 8 8" xfId="19659" xr:uid="{00000000-0005-0000-0000-000016570000}"/>
    <cellStyle name="SAPBEXformats 8 9" xfId="24060" xr:uid="{00000000-0005-0000-0000-000017570000}"/>
    <cellStyle name="SAPBEXformats 9" xfId="3286" xr:uid="{00000000-0005-0000-0000-000018570000}"/>
    <cellStyle name="SAPBEXformats 9 2" xfId="5824" xr:uid="{00000000-0005-0000-0000-000019570000}"/>
    <cellStyle name="SAPBEXformats 9 3" xfId="9144" xr:uid="{00000000-0005-0000-0000-00001A570000}"/>
    <cellStyle name="SAPBEXformats 9 4" xfId="10941" xr:uid="{00000000-0005-0000-0000-00001B570000}"/>
    <cellStyle name="SAPBEXformats 9 5" xfId="13312" xr:uid="{00000000-0005-0000-0000-00001C570000}"/>
    <cellStyle name="SAPBEXformats 9 6" xfId="16036" xr:uid="{00000000-0005-0000-0000-00001D570000}"/>
    <cellStyle name="SAPBEXformats 9 7" xfId="18008" xr:uid="{00000000-0005-0000-0000-00001E570000}"/>
    <cellStyle name="SAPBEXformats 9 8" xfId="20732" xr:uid="{00000000-0005-0000-0000-00001F570000}"/>
    <cellStyle name="SAPBEXformats 9 9" xfId="22612" xr:uid="{00000000-0005-0000-0000-000020570000}"/>
    <cellStyle name="SAPBEXheaderItem" xfId="2959" xr:uid="{00000000-0005-0000-0000-000021570000}"/>
    <cellStyle name="SAPBEXheaderItem 10" xfId="3425" xr:uid="{00000000-0005-0000-0000-000022570000}"/>
    <cellStyle name="SAPBEXheaderItem 10 2" xfId="5963" xr:uid="{00000000-0005-0000-0000-000023570000}"/>
    <cellStyle name="SAPBEXheaderItem 10 3" xfId="8221" xr:uid="{00000000-0005-0000-0000-000024570000}"/>
    <cellStyle name="SAPBEXheaderItem 10 4" xfId="11611" xr:uid="{00000000-0005-0000-0000-000025570000}"/>
    <cellStyle name="SAPBEXheaderItem 10 5" xfId="14051" xr:uid="{00000000-0005-0000-0000-000026570000}"/>
    <cellStyle name="SAPBEXheaderItem 10 6" xfId="15728" xr:uid="{00000000-0005-0000-0000-000027570000}"/>
    <cellStyle name="SAPBEXheaderItem 10 7" xfId="18747" xr:uid="{00000000-0005-0000-0000-000028570000}"/>
    <cellStyle name="SAPBEXheaderItem 10 8" xfId="20424" xr:uid="{00000000-0005-0000-0000-000029570000}"/>
    <cellStyle name="SAPBEXheaderItem 10 9" xfId="23285" xr:uid="{00000000-0005-0000-0000-00002A570000}"/>
    <cellStyle name="SAPBEXheaderItem 11" xfId="3342" xr:uid="{00000000-0005-0000-0000-00002B570000}"/>
    <cellStyle name="SAPBEXheaderItem 11 2" xfId="5880" xr:uid="{00000000-0005-0000-0000-00002C570000}"/>
    <cellStyle name="SAPBEXheaderItem 11 3" xfId="8136" xr:uid="{00000000-0005-0000-0000-00002D570000}"/>
    <cellStyle name="SAPBEXheaderItem 11 4" xfId="11625" xr:uid="{00000000-0005-0000-0000-00002E570000}"/>
    <cellStyle name="SAPBEXheaderItem 11 5" xfId="14067" xr:uid="{00000000-0005-0000-0000-00002F570000}"/>
    <cellStyle name="SAPBEXheaderItem 11 6" xfId="15627" xr:uid="{00000000-0005-0000-0000-000030570000}"/>
    <cellStyle name="SAPBEXheaderItem 11 7" xfId="18763" xr:uid="{00000000-0005-0000-0000-000031570000}"/>
    <cellStyle name="SAPBEXheaderItem 11 8" xfId="20323" xr:uid="{00000000-0005-0000-0000-000032570000}"/>
    <cellStyle name="SAPBEXheaderItem 11 9" xfId="23300" xr:uid="{00000000-0005-0000-0000-000033570000}"/>
    <cellStyle name="SAPBEXheaderItem 12" xfId="3508" xr:uid="{00000000-0005-0000-0000-000034570000}"/>
    <cellStyle name="SAPBEXheaderItem 12 2" xfId="6046" xr:uid="{00000000-0005-0000-0000-000035570000}"/>
    <cellStyle name="SAPBEXheaderItem 12 3" xfId="9650" xr:uid="{00000000-0005-0000-0000-000036570000}"/>
    <cellStyle name="SAPBEXheaderItem 12 4" xfId="10120" xr:uid="{00000000-0005-0000-0000-000037570000}"/>
    <cellStyle name="SAPBEXheaderItem 12 5" xfId="12524" xr:uid="{00000000-0005-0000-0000-000038570000}"/>
    <cellStyle name="SAPBEXheaderItem 12 6" xfId="15833" xr:uid="{00000000-0005-0000-0000-000039570000}"/>
    <cellStyle name="SAPBEXheaderItem 12 7" xfId="17220" xr:uid="{00000000-0005-0000-0000-00003A570000}"/>
    <cellStyle name="SAPBEXheaderItem 12 8" xfId="20529" xr:uid="{00000000-0005-0000-0000-00003B570000}"/>
    <cellStyle name="SAPBEXheaderItem 12 9" xfId="21891" xr:uid="{00000000-0005-0000-0000-00003C570000}"/>
    <cellStyle name="SAPBEXheaderItem 13" xfId="3554" xr:uid="{00000000-0005-0000-0000-00003D570000}"/>
    <cellStyle name="SAPBEXheaderItem 13 2" xfId="6092" xr:uid="{00000000-0005-0000-0000-00003E570000}"/>
    <cellStyle name="SAPBEXheaderItem 13 3" xfId="8871" xr:uid="{00000000-0005-0000-0000-00003F570000}"/>
    <cellStyle name="SAPBEXheaderItem 13 4" xfId="11097" xr:uid="{00000000-0005-0000-0000-000040570000}"/>
    <cellStyle name="SAPBEXheaderItem 13 5" xfId="13490" xr:uid="{00000000-0005-0000-0000-000041570000}"/>
    <cellStyle name="SAPBEXheaderItem 13 6" xfId="14967" xr:uid="{00000000-0005-0000-0000-000042570000}"/>
    <cellStyle name="SAPBEXheaderItem 13 7" xfId="18186" xr:uid="{00000000-0005-0000-0000-000043570000}"/>
    <cellStyle name="SAPBEXheaderItem 13 8" xfId="19663" xr:uid="{00000000-0005-0000-0000-000044570000}"/>
    <cellStyle name="SAPBEXheaderItem 13 9" xfId="22770" xr:uid="{00000000-0005-0000-0000-000045570000}"/>
    <cellStyle name="SAPBEXheaderItem 14" xfId="3484" xr:uid="{00000000-0005-0000-0000-000046570000}"/>
    <cellStyle name="SAPBEXheaderItem 14 2" xfId="6022" xr:uid="{00000000-0005-0000-0000-000047570000}"/>
    <cellStyle name="SAPBEXheaderItem 14 3" xfId="9535" xr:uid="{00000000-0005-0000-0000-000048570000}"/>
    <cellStyle name="SAPBEXheaderItem 14 4" xfId="11136" xr:uid="{00000000-0005-0000-0000-000049570000}"/>
    <cellStyle name="SAPBEXheaderItem 14 5" xfId="13532" xr:uid="{00000000-0005-0000-0000-00004A570000}"/>
    <cellStyle name="SAPBEXheaderItem 14 6" xfId="15893" xr:uid="{00000000-0005-0000-0000-00004B570000}"/>
    <cellStyle name="SAPBEXheaderItem 14 7" xfId="18228" xr:uid="{00000000-0005-0000-0000-00004C570000}"/>
    <cellStyle name="SAPBEXheaderItem 14 8" xfId="20589" xr:uid="{00000000-0005-0000-0000-00004D570000}"/>
    <cellStyle name="SAPBEXheaderItem 14 9" xfId="22809" xr:uid="{00000000-0005-0000-0000-00004E570000}"/>
    <cellStyle name="SAPBEXheaderItem 15" xfId="3607" xr:uid="{00000000-0005-0000-0000-00004F570000}"/>
    <cellStyle name="SAPBEXheaderItem 15 2" xfId="6145" xr:uid="{00000000-0005-0000-0000-000050570000}"/>
    <cellStyle name="SAPBEXheaderItem 15 3" xfId="9334" xr:uid="{00000000-0005-0000-0000-000051570000}"/>
    <cellStyle name="SAPBEXheaderItem 15 4" xfId="10521" xr:uid="{00000000-0005-0000-0000-000052570000}"/>
    <cellStyle name="SAPBEXheaderItem 15 5" xfId="12861" xr:uid="{00000000-0005-0000-0000-000053570000}"/>
    <cellStyle name="SAPBEXheaderItem 15 6" xfId="15544" xr:uid="{00000000-0005-0000-0000-000054570000}"/>
    <cellStyle name="SAPBEXheaderItem 15 7" xfId="17557" xr:uid="{00000000-0005-0000-0000-000055570000}"/>
    <cellStyle name="SAPBEXheaderItem 15 8" xfId="20240" xr:uid="{00000000-0005-0000-0000-000056570000}"/>
    <cellStyle name="SAPBEXheaderItem 15 9" xfId="22192" xr:uid="{00000000-0005-0000-0000-000057570000}"/>
    <cellStyle name="SAPBEXheaderItem 16" xfId="3623" xr:uid="{00000000-0005-0000-0000-000058570000}"/>
    <cellStyle name="SAPBEXheaderItem 16 2" xfId="6161" xr:uid="{00000000-0005-0000-0000-000059570000}"/>
    <cellStyle name="SAPBEXheaderItem 16 3" xfId="8482" xr:uid="{00000000-0005-0000-0000-00005A570000}"/>
    <cellStyle name="SAPBEXheaderItem 16 4" xfId="10827" xr:uid="{00000000-0005-0000-0000-00005B570000}"/>
    <cellStyle name="SAPBEXheaderItem 16 5" xfId="12359" xr:uid="{00000000-0005-0000-0000-00005C570000}"/>
    <cellStyle name="SAPBEXheaderItem 16 6" xfId="13575" xr:uid="{00000000-0005-0000-0000-00005D570000}"/>
    <cellStyle name="SAPBEXheaderItem 16 7" xfId="17055" xr:uid="{00000000-0005-0000-0000-00005E570000}"/>
    <cellStyle name="SAPBEXheaderItem 16 8" xfId="18271" xr:uid="{00000000-0005-0000-0000-00005F570000}"/>
    <cellStyle name="SAPBEXheaderItem 16 9" xfId="21746" xr:uid="{00000000-0005-0000-0000-000060570000}"/>
    <cellStyle name="SAPBEXheaderItem 17" xfId="3666" xr:uid="{00000000-0005-0000-0000-000061570000}"/>
    <cellStyle name="SAPBEXheaderItem 17 2" xfId="6204" xr:uid="{00000000-0005-0000-0000-000062570000}"/>
    <cellStyle name="SAPBEXheaderItem 17 3" xfId="8157" xr:uid="{00000000-0005-0000-0000-000063570000}"/>
    <cellStyle name="SAPBEXheaderItem 17 4" xfId="10273" xr:uid="{00000000-0005-0000-0000-000064570000}"/>
    <cellStyle name="SAPBEXheaderItem 17 5" xfId="12583" xr:uid="{00000000-0005-0000-0000-000065570000}"/>
    <cellStyle name="SAPBEXheaderItem 17 6" xfId="12830" xr:uid="{00000000-0005-0000-0000-000066570000}"/>
    <cellStyle name="SAPBEXheaderItem 17 7" xfId="17279" xr:uid="{00000000-0005-0000-0000-000067570000}"/>
    <cellStyle name="SAPBEXheaderItem 17 8" xfId="17526" xr:uid="{00000000-0005-0000-0000-000068570000}"/>
    <cellStyle name="SAPBEXheaderItem 17 9" xfId="21942" xr:uid="{00000000-0005-0000-0000-000069570000}"/>
    <cellStyle name="SAPBEXheaderItem 18" xfId="3453" xr:uid="{00000000-0005-0000-0000-00006A570000}"/>
    <cellStyle name="SAPBEXheaderItem 18 2" xfId="5991" xr:uid="{00000000-0005-0000-0000-00006B570000}"/>
    <cellStyle name="SAPBEXheaderItem 18 3" xfId="8937" xr:uid="{00000000-0005-0000-0000-00006C570000}"/>
    <cellStyle name="SAPBEXheaderItem 18 4" xfId="9321" xr:uid="{00000000-0005-0000-0000-00006D570000}"/>
    <cellStyle name="SAPBEXheaderItem 18 5" xfId="12458" xr:uid="{00000000-0005-0000-0000-00006E570000}"/>
    <cellStyle name="SAPBEXheaderItem 18 6" xfId="15476" xr:uid="{00000000-0005-0000-0000-00006F570000}"/>
    <cellStyle name="SAPBEXheaderItem 18 7" xfId="17154" xr:uid="{00000000-0005-0000-0000-000070570000}"/>
    <cellStyle name="SAPBEXheaderItem 18 8" xfId="20172" xr:uid="{00000000-0005-0000-0000-000071570000}"/>
    <cellStyle name="SAPBEXheaderItem 18 9" xfId="21835" xr:uid="{00000000-0005-0000-0000-000072570000}"/>
    <cellStyle name="SAPBEXheaderItem 19" xfId="3728" xr:uid="{00000000-0005-0000-0000-000073570000}"/>
    <cellStyle name="SAPBEXheaderItem 19 2" xfId="6266" xr:uid="{00000000-0005-0000-0000-000074570000}"/>
    <cellStyle name="SAPBEXheaderItem 19 3" xfId="9269" xr:uid="{00000000-0005-0000-0000-000075570000}"/>
    <cellStyle name="SAPBEXheaderItem 19 4" xfId="12010" xr:uid="{00000000-0005-0000-0000-000076570000}"/>
    <cellStyle name="SAPBEXheaderItem 19 5" xfId="14490" xr:uid="{00000000-0005-0000-0000-000077570000}"/>
    <cellStyle name="SAPBEXheaderItem 19 6" xfId="16884" xr:uid="{00000000-0005-0000-0000-000078570000}"/>
    <cellStyle name="SAPBEXheaderItem 19 7" xfId="19186" xr:uid="{00000000-0005-0000-0000-000079570000}"/>
    <cellStyle name="SAPBEXheaderItem 19 8" xfId="21580" xr:uid="{00000000-0005-0000-0000-00007A570000}"/>
    <cellStyle name="SAPBEXheaderItem 19 9" xfId="23685" xr:uid="{00000000-0005-0000-0000-00007B570000}"/>
    <cellStyle name="SAPBEXheaderItem 2" xfId="3078" xr:uid="{00000000-0005-0000-0000-00007C570000}"/>
    <cellStyle name="SAPBEXheaderItem 2 10" xfId="42318" xr:uid="{C8B3ACA5-0D4E-4C77-B198-F55E2958C22E}"/>
    <cellStyle name="SAPBEXheaderItem 2 2" xfId="5616" xr:uid="{00000000-0005-0000-0000-00007D570000}"/>
    <cellStyle name="SAPBEXheaderItem 2 3" xfId="9666" xr:uid="{00000000-0005-0000-0000-00007E570000}"/>
    <cellStyle name="SAPBEXheaderItem 2 4" xfId="12118" xr:uid="{00000000-0005-0000-0000-00007F570000}"/>
    <cellStyle name="SAPBEXheaderItem 2 5" xfId="14866" xr:uid="{00000000-0005-0000-0000-000080570000}"/>
    <cellStyle name="SAPBEXheaderItem 2 6" xfId="16691" xr:uid="{00000000-0005-0000-0000-000081570000}"/>
    <cellStyle name="SAPBEXheaderItem 2 7" xfId="19562" xr:uid="{00000000-0005-0000-0000-000082570000}"/>
    <cellStyle name="SAPBEXheaderItem 2 8" xfId="21387" xr:uid="{00000000-0005-0000-0000-000083570000}"/>
    <cellStyle name="SAPBEXheaderItem 2 9" xfId="24036" xr:uid="{00000000-0005-0000-0000-000084570000}"/>
    <cellStyle name="SAPBEXheaderItem 20" xfId="3679" xr:uid="{00000000-0005-0000-0000-000085570000}"/>
    <cellStyle name="SAPBEXheaderItem 20 2" xfId="6217" xr:uid="{00000000-0005-0000-0000-000086570000}"/>
    <cellStyle name="SAPBEXheaderItem 20 3" xfId="9472" xr:uid="{00000000-0005-0000-0000-000087570000}"/>
    <cellStyle name="SAPBEXheaderItem 20 4" xfId="10459" xr:uid="{00000000-0005-0000-0000-000088570000}"/>
    <cellStyle name="SAPBEXheaderItem 20 5" xfId="12791" xr:uid="{00000000-0005-0000-0000-000089570000}"/>
    <cellStyle name="SAPBEXheaderItem 20 6" xfId="16079" xr:uid="{00000000-0005-0000-0000-00008A570000}"/>
    <cellStyle name="SAPBEXheaderItem 20 7" xfId="17487" xr:uid="{00000000-0005-0000-0000-00008B570000}"/>
    <cellStyle name="SAPBEXheaderItem 20 8" xfId="20775" xr:uid="{00000000-0005-0000-0000-00008C570000}"/>
    <cellStyle name="SAPBEXheaderItem 20 9" xfId="22130" xr:uid="{00000000-0005-0000-0000-00008D570000}"/>
    <cellStyle name="SAPBEXheaderItem 21" xfId="3790" xr:uid="{00000000-0005-0000-0000-00008E570000}"/>
    <cellStyle name="SAPBEXheaderItem 21 2" xfId="6328" xr:uid="{00000000-0005-0000-0000-00008F570000}"/>
    <cellStyle name="SAPBEXheaderItem 21 3" xfId="9170" xr:uid="{00000000-0005-0000-0000-000090570000}"/>
    <cellStyle name="SAPBEXheaderItem 21 4" xfId="12135" xr:uid="{00000000-0005-0000-0000-000091570000}"/>
    <cellStyle name="SAPBEXheaderItem 21 5" xfId="14618" xr:uid="{00000000-0005-0000-0000-000092570000}"/>
    <cellStyle name="SAPBEXheaderItem 21 6" xfId="16560" xr:uid="{00000000-0005-0000-0000-000093570000}"/>
    <cellStyle name="SAPBEXheaderItem 21 7" xfId="19314" xr:uid="{00000000-0005-0000-0000-000094570000}"/>
    <cellStyle name="SAPBEXheaderItem 21 8" xfId="21256" xr:uid="{00000000-0005-0000-0000-000095570000}"/>
    <cellStyle name="SAPBEXheaderItem 21 9" xfId="23809" xr:uid="{00000000-0005-0000-0000-000096570000}"/>
    <cellStyle name="SAPBEXheaderItem 22" xfId="3783" xr:uid="{00000000-0005-0000-0000-000097570000}"/>
    <cellStyle name="SAPBEXheaderItem 22 2" xfId="6321" xr:uid="{00000000-0005-0000-0000-000098570000}"/>
    <cellStyle name="SAPBEXheaderItem 22 3" xfId="8382" xr:uid="{00000000-0005-0000-0000-000099570000}"/>
    <cellStyle name="SAPBEXheaderItem 22 4" xfId="10423" xr:uid="{00000000-0005-0000-0000-00009A570000}"/>
    <cellStyle name="SAPBEXheaderItem 22 5" xfId="12748" xr:uid="{00000000-0005-0000-0000-00009B570000}"/>
    <cellStyle name="SAPBEXheaderItem 22 6" xfId="16138" xr:uid="{00000000-0005-0000-0000-00009C570000}"/>
    <cellStyle name="SAPBEXheaderItem 22 7" xfId="17444" xr:uid="{00000000-0005-0000-0000-00009D570000}"/>
    <cellStyle name="SAPBEXheaderItem 22 8" xfId="20834" xr:uid="{00000000-0005-0000-0000-00009E570000}"/>
    <cellStyle name="SAPBEXheaderItem 22 9" xfId="22094" xr:uid="{00000000-0005-0000-0000-00009F570000}"/>
    <cellStyle name="SAPBEXheaderItem 23" xfId="3840" xr:uid="{00000000-0005-0000-0000-0000A0570000}"/>
    <cellStyle name="SAPBEXheaderItem 23 2" xfId="6378" xr:uid="{00000000-0005-0000-0000-0000A1570000}"/>
    <cellStyle name="SAPBEXheaderItem 23 3" xfId="9827" xr:uid="{00000000-0005-0000-0000-0000A2570000}"/>
    <cellStyle name="SAPBEXheaderItem 23 4" xfId="11904" xr:uid="{00000000-0005-0000-0000-0000A3570000}"/>
    <cellStyle name="SAPBEXheaderItem 23 5" xfId="14376" xr:uid="{00000000-0005-0000-0000-0000A4570000}"/>
    <cellStyle name="SAPBEXheaderItem 23 6" xfId="16918" xr:uid="{00000000-0005-0000-0000-0000A5570000}"/>
    <cellStyle name="SAPBEXheaderItem 23 7" xfId="19072" xr:uid="{00000000-0005-0000-0000-0000A6570000}"/>
    <cellStyle name="SAPBEXheaderItem 23 8" xfId="21614" xr:uid="{00000000-0005-0000-0000-0000A7570000}"/>
    <cellStyle name="SAPBEXheaderItem 23 9" xfId="23579" xr:uid="{00000000-0005-0000-0000-0000A8570000}"/>
    <cellStyle name="SAPBEXheaderItem 24" xfId="3807" xr:uid="{00000000-0005-0000-0000-0000A9570000}"/>
    <cellStyle name="SAPBEXheaderItem 24 2" xfId="6345" xr:uid="{00000000-0005-0000-0000-0000AA570000}"/>
    <cellStyle name="SAPBEXheaderItem 24 3" xfId="8946" xr:uid="{00000000-0005-0000-0000-0000AB570000}"/>
    <cellStyle name="SAPBEXheaderItem 24 4" xfId="10710" xr:uid="{00000000-0005-0000-0000-0000AC570000}"/>
    <cellStyle name="SAPBEXheaderItem 24 5" xfId="13064" xr:uid="{00000000-0005-0000-0000-0000AD570000}"/>
    <cellStyle name="SAPBEXheaderItem 24 6" xfId="15880" xr:uid="{00000000-0005-0000-0000-0000AE570000}"/>
    <cellStyle name="SAPBEXheaderItem 24 7" xfId="17760" xr:uid="{00000000-0005-0000-0000-0000AF570000}"/>
    <cellStyle name="SAPBEXheaderItem 24 8" xfId="20576" xr:uid="{00000000-0005-0000-0000-0000B0570000}"/>
    <cellStyle name="SAPBEXheaderItem 24 9" xfId="22383" xr:uid="{00000000-0005-0000-0000-0000B1570000}"/>
    <cellStyle name="SAPBEXheaderItem 25" xfId="3902" xr:uid="{00000000-0005-0000-0000-0000B2570000}"/>
    <cellStyle name="SAPBEXheaderItem 25 2" xfId="6440" xr:uid="{00000000-0005-0000-0000-0000B3570000}"/>
    <cellStyle name="SAPBEXheaderItem 25 3" xfId="10099" xr:uid="{00000000-0005-0000-0000-0000B4570000}"/>
    <cellStyle name="SAPBEXheaderItem 25 4" xfId="12263" xr:uid="{00000000-0005-0000-0000-0000B5570000}"/>
    <cellStyle name="SAPBEXheaderItem 25 5" xfId="12762" xr:uid="{00000000-0005-0000-0000-0000B6570000}"/>
    <cellStyle name="SAPBEXheaderItem 25 6" xfId="16376" xr:uid="{00000000-0005-0000-0000-0000B7570000}"/>
    <cellStyle name="SAPBEXheaderItem 25 7" xfId="17458" xr:uid="{00000000-0005-0000-0000-0000B8570000}"/>
    <cellStyle name="SAPBEXheaderItem 25 8" xfId="21072" xr:uid="{00000000-0005-0000-0000-0000B9570000}"/>
    <cellStyle name="SAPBEXheaderItem 25 9" xfId="22107" xr:uid="{00000000-0005-0000-0000-0000BA570000}"/>
    <cellStyle name="SAPBEXheaderItem 26" xfId="3945" xr:uid="{00000000-0005-0000-0000-0000BB570000}"/>
    <cellStyle name="SAPBEXheaderItem 26 2" xfId="6483" xr:uid="{00000000-0005-0000-0000-0000BC570000}"/>
    <cellStyle name="SAPBEXheaderItem 26 3" xfId="9983" xr:uid="{00000000-0005-0000-0000-0000BD570000}"/>
    <cellStyle name="SAPBEXheaderItem 26 4" xfId="8834" xr:uid="{00000000-0005-0000-0000-0000BE570000}"/>
    <cellStyle name="SAPBEXheaderItem 26 5" xfId="12431" xr:uid="{00000000-0005-0000-0000-0000BF570000}"/>
    <cellStyle name="SAPBEXheaderItem 26 6" xfId="16755" xr:uid="{00000000-0005-0000-0000-0000C0570000}"/>
    <cellStyle name="SAPBEXheaderItem 26 7" xfId="17127" xr:uid="{00000000-0005-0000-0000-0000C1570000}"/>
    <cellStyle name="SAPBEXheaderItem 26 8" xfId="21451" xr:uid="{00000000-0005-0000-0000-0000C2570000}"/>
    <cellStyle name="SAPBEXheaderItem 26 9" xfId="21811" xr:uid="{00000000-0005-0000-0000-0000C3570000}"/>
    <cellStyle name="SAPBEXheaderItem 27" xfId="3988" xr:uid="{00000000-0005-0000-0000-0000C4570000}"/>
    <cellStyle name="SAPBEXheaderItem 27 2" xfId="6526" xr:uid="{00000000-0005-0000-0000-0000C5570000}"/>
    <cellStyle name="SAPBEXheaderItem 27 3" xfId="9375" xr:uid="{00000000-0005-0000-0000-0000C6570000}"/>
    <cellStyle name="SAPBEXheaderItem 27 4" xfId="12088" xr:uid="{00000000-0005-0000-0000-0000C7570000}"/>
    <cellStyle name="SAPBEXheaderItem 27 5" xfId="14568" xr:uid="{00000000-0005-0000-0000-0000C8570000}"/>
    <cellStyle name="SAPBEXheaderItem 27 6" xfId="15857" xr:uid="{00000000-0005-0000-0000-0000C9570000}"/>
    <cellStyle name="SAPBEXheaderItem 27 7" xfId="19264" xr:uid="{00000000-0005-0000-0000-0000CA570000}"/>
    <cellStyle name="SAPBEXheaderItem 27 8" xfId="20553" xr:uid="{00000000-0005-0000-0000-0000CB570000}"/>
    <cellStyle name="SAPBEXheaderItem 27 9" xfId="23760" xr:uid="{00000000-0005-0000-0000-0000CC570000}"/>
    <cellStyle name="SAPBEXheaderItem 28" xfId="3856" xr:uid="{00000000-0005-0000-0000-0000CD570000}"/>
    <cellStyle name="SAPBEXheaderItem 28 2" xfId="6394" xr:uid="{00000000-0005-0000-0000-0000CE570000}"/>
    <cellStyle name="SAPBEXheaderItem 28 3" xfId="8042" xr:uid="{00000000-0005-0000-0000-0000CF570000}"/>
    <cellStyle name="SAPBEXheaderItem 28 4" xfId="10354" xr:uid="{00000000-0005-0000-0000-0000D0570000}"/>
    <cellStyle name="SAPBEXheaderItem 28 5" xfId="13714" xr:uid="{00000000-0005-0000-0000-0000D1570000}"/>
    <cellStyle name="SAPBEXheaderItem 28 6" xfId="16406" xr:uid="{00000000-0005-0000-0000-0000D2570000}"/>
    <cellStyle name="SAPBEXheaderItem 28 7" xfId="18410" xr:uid="{00000000-0005-0000-0000-0000D3570000}"/>
    <cellStyle name="SAPBEXheaderItem 28 8" xfId="21102" xr:uid="{00000000-0005-0000-0000-0000D4570000}"/>
    <cellStyle name="SAPBEXheaderItem 28 9" xfId="22980" xr:uid="{00000000-0005-0000-0000-0000D5570000}"/>
    <cellStyle name="SAPBEXheaderItem 29" xfId="4006" xr:uid="{00000000-0005-0000-0000-0000D6570000}"/>
    <cellStyle name="SAPBEXheaderItem 29 2" xfId="6544" xr:uid="{00000000-0005-0000-0000-0000D7570000}"/>
    <cellStyle name="SAPBEXheaderItem 29 3" xfId="8961" xr:uid="{00000000-0005-0000-0000-0000D8570000}"/>
    <cellStyle name="SAPBEXheaderItem 29 4" xfId="11763" xr:uid="{00000000-0005-0000-0000-0000D9570000}"/>
    <cellStyle name="SAPBEXheaderItem 29 5" xfId="14215" xr:uid="{00000000-0005-0000-0000-0000DA570000}"/>
    <cellStyle name="SAPBEXheaderItem 29 6" xfId="15059" xr:uid="{00000000-0005-0000-0000-0000DB570000}"/>
    <cellStyle name="SAPBEXheaderItem 29 7" xfId="18911" xr:uid="{00000000-0005-0000-0000-0000DC570000}"/>
    <cellStyle name="SAPBEXheaderItem 29 8" xfId="19755" xr:uid="{00000000-0005-0000-0000-0000DD570000}"/>
    <cellStyle name="SAPBEXheaderItem 29 9" xfId="23437" xr:uid="{00000000-0005-0000-0000-0000DE570000}"/>
    <cellStyle name="SAPBEXheaderItem 3" xfId="3020" xr:uid="{00000000-0005-0000-0000-0000DF570000}"/>
    <cellStyle name="SAPBEXheaderItem 3 2" xfId="5559" xr:uid="{00000000-0005-0000-0000-0000E0570000}"/>
    <cellStyle name="SAPBEXheaderItem 3 3" xfId="8187" xr:uid="{00000000-0005-0000-0000-0000E1570000}"/>
    <cellStyle name="SAPBEXheaderItem 3 4" xfId="10649" xr:uid="{00000000-0005-0000-0000-0000E2570000}"/>
    <cellStyle name="SAPBEXheaderItem 3 5" xfId="12998" xr:uid="{00000000-0005-0000-0000-0000E3570000}"/>
    <cellStyle name="SAPBEXheaderItem 3 6" xfId="16171" xr:uid="{00000000-0005-0000-0000-0000E4570000}"/>
    <cellStyle name="SAPBEXheaderItem 3 7" xfId="17694" xr:uid="{00000000-0005-0000-0000-0000E5570000}"/>
    <cellStyle name="SAPBEXheaderItem 3 8" xfId="20867" xr:uid="{00000000-0005-0000-0000-0000E6570000}"/>
    <cellStyle name="SAPBEXheaderItem 3 9" xfId="22322" xr:uid="{00000000-0005-0000-0000-0000E7570000}"/>
    <cellStyle name="SAPBEXheaderItem 30" xfId="4093" xr:uid="{00000000-0005-0000-0000-0000E8570000}"/>
    <cellStyle name="SAPBEXheaderItem 30 2" xfId="6631" xr:uid="{00000000-0005-0000-0000-0000E9570000}"/>
    <cellStyle name="SAPBEXheaderItem 30 3" xfId="9125" xr:uid="{00000000-0005-0000-0000-0000EA570000}"/>
    <cellStyle name="SAPBEXheaderItem 30 4" xfId="10537" xr:uid="{00000000-0005-0000-0000-0000EB570000}"/>
    <cellStyle name="SAPBEXheaderItem 30 5" xfId="12880" xr:uid="{00000000-0005-0000-0000-0000EC570000}"/>
    <cellStyle name="SAPBEXheaderItem 30 6" xfId="14508" xr:uid="{00000000-0005-0000-0000-0000ED570000}"/>
    <cellStyle name="SAPBEXheaderItem 30 7" xfId="17576" xr:uid="{00000000-0005-0000-0000-0000EE570000}"/>
    <cellStyle name="SAPBEXheaderItem 30 8" xfId="19204" xr:uid="{00000000-0005-0000-0000-0000EF570000}"/>
    <cellStyle name="SAPBEXheaderItem 30 9" xfId="22208" xr:uid="{00000000-0005-0000-0000-0000F0570000}"/>
    <cellStyle name="SAPBEXheaderItem 31" xfId="4136" xr:uid="{00000000-0005-0000-0000-0000F1570000}"/>
    <cellStyle name="SAPBEXheaderItem 31 2" xfId="6674" xr:uid="{00000000-0005-0000-0000-0000F2570000}"/>
    <cellStyle name="SAPBEXheaderItem 31 3" xfId="9506" xr:uid="{00000000-0005-0000-0000-0000F3570000}"/>
    <cellStyle name="SAPBEXheaderItem 31 4" xfId="10320" xr:uid="{00000000-0005-0000-0000-0000F4570000}"/>
    <cellStyle name="SAPBEXheaderItem 31 5" xfId="12637" xr:uid="{00000000-0005-0000-0000-0000F5570000}"/>
    <cellStyle name="SAPBEXheaderItem 31 6" xfId="16743" xr:uid="{00000000-0005-0000-0000-0000F6570000}"/>
    <cellStyle name="SAPBEXheaderItem 31 7" xfId="17333" xr:uid="{00000000-0005-0000-0000-0000F7570000}"/>
    <cellStyle name="SAPBEXheaderItem 31 8" xfId="21439" xr:uid="{00000000-0005-0000-0000-0000F8570000}"/>
    <cellStyle name="SAPBEXheaderItem 31 9" xfId="21991" xr:uid="{00000000-0005-0000-0000-0000F9570000}"/>
    <cellStyle name="SAPBEXheaderItem 32" xfId="4179" xr:uid="{00000000-0005-0000-0000-0000FA570000}"/>
    <cellStyle name="SAPBEXheaderItem 32 2" xfId="6717" xr:uid="{00000000-0005-0000-0000-0000FB570000}"/>
    <cellStyle name="SAPBEXheaderItem 32 3" xfId="9248" xr:uid="{00000000-0005-0000-0000-0000FC570000}"/>
    <cellStyle name="SAPBEXheaderItem 32 4" xfId="10851" xr:uid="{00000000-0005-0000-0000-0000FD570000}"/>
    <cellStyle name="SAPBEXheaderItem 32 5" xfId="13216" xr:uid="{00000000-0005-0000-0000-0000FE570000}"/>
    <cellStyle name="SAPBEXheaderItem 32 6" xfId="16516" xr:uid="{00000000-0005-0000-0000-0000FF570000}"/>
    <cellStyle name="SAPBEXheaderItem 32 7" xfId="17912" xr:uid="{00000000-0005-0000-0000-000000580000}"/>
    <cellStyle name="SAPBEXheaderItem 32 8" xfId="21212" xr:uid="{00000000-0005-0000-0000-000001580000}"/>
    <cellStyle name="SAPBEXheaderItem 32 9" xfId="22522" xr:uid="{00000000-0005-0000-0000-000002580000}"/>
    <cellStyle name="SAPBEXheaderItem 33" xfId="4126" xr:uid="{00000000-0005-0000-0000-000003580000}"/>
    <cellStyle name="SAPBEXheaderItem 33 2" xfId="6664" xr:uid="{00000000-0005-0000-0000-000004580000}"/>
    <cellStyle name="SAPBEXheaderItem 33 3" xfId="8770" xr:uid="{00000000-0005-0000-0000-000005580000}"/>
    <cellStyle name="SAPBEXheaderItem 33 4" xfId="11997" xr:uid="{00000000-0005-0000-0000-000006580000}"/>
    <cellStyle name="SAPBEXheaderItem 33 5" xfId="14871" xr:uid="{00000000-0005-0000-0000-000007580000}"/>
    <cellStyle name="SAPBEXheaderItem 33 6" xfId="16871" xr:uid="{00000000-0005-0000-0000-000008580000}"/>
    <cellStyle name="SAPBEXheaderItem 33 7" xfId="19567" xr:uid="{00000000-0005-0000-0000-000009580000}"/>
    <cellStyle name="SAPBEXheaderItem 33 8" xfId="21567" xr:uid="{00000000-0005-0000-0000-00000A580000}"/>
    <cellStyle name="SAPBEXheaderItem 33 9" xfId="24041" xr:uid="{00000000-0005-0000-0000-00000B580000}"/>
    <cellStyle name="SAPBEXheaderItem 34" xfId="4264" xr:uid="{00000000-0005-0000-0000-00000C580000}"/>
    <cellStyle name="SAPBEXheaderItem 34 2" xfId="6802" xr:uid="{00000000-0005-0000-0000-00000D580000}"/>
    <cellStyle name="SAPBEXheaderItem 34 3" xfId="10089" xr:uid="{00000000-0005-0000-0000-00000E580000}"/>
    <cellStyle name="SAPBEXheaderItem 34 4" xfId="10150" xr:uid="{00000000-0005-0000-0000-00000F580000}"/>
    <cellStyle name="SAPBEXheaderItem 34 5" xfId="12373" xr:uid="{00000000-0005-0000-0000-000010580000}"/>
    <cellStyle name="SAPBEXheaderItem 34 6" xfId="16891" xr:uid="{00000000-0005-0000-0000-000011580000}"/>
    <cellStyle name="SAPBEXheaderItem 34 7" xfId="17069" xr:uid="{00000000-0005-0000-0000-000012580000}"/>
    <cellStyle name="SAPBEXheaderItem 34 8" xfId="21587" xr:uid="{00000000-0005-0000-0000-000013580000}"/>
    <cellStyle name="SAPBEXheaderItem 34 9" xfId="21758" xr:uid="{00000000-0005-0000-0000-000014580000}"/>
    <cellStyle name="SAPBEXheaderItem 35" xfId="4307" xr:uid="{00000000-0005-0000-0000-000015580000}"/>
    <cellStyle name="SAPBEXheaderItem 35 2" xfId="6845" xr:uid="{00000000-0005-0000-0000-000016580000}"/>
    <cellStyle name="SAPBEXheaderItem 35 3" xfId="8396" xr:uid="{00000000-0005-0000-0000-000017580000}"/>
    <cellStyle name="SAPBEXheaderItem 35 4" xfId="11952" xr:uid="{00000000-0005-0000-0000-000018580000}"/>
    <cellStyle name="SAPBEXheaderItem 35 5" xfId="14426" xr:uid="{00000000-0005-0000-0000-000019580000}"/>
    <cellStyle name="SAPBEXheaderItem 35 6" xfId="16398" xr:uid="{00000000-0005-0000-0000-00001A580000}"/>
    <cellStyle name="SAPBEXheaderItem 35 7" xfId="19122" xr:uid="{00000000-0005-0000-0000-00001B580000}"/>
    <cellStyle name="SAPBEXheaderItem 35 8" xfId="21094" xr:uid="{00000000-0005-0000-0000-00001C580000}"/>
    <cellStyle name="SAPBEXheaderItem 35 9" xfId="23627" xr:uid="{00000000-0005-0000-0000-00001D580000}"/>
    <cellStyle name="SAPBEXheaderItem 36" xfId="4350" xr:uid="{00000000-0005-0000-0000-00001E580000}"/>
    <cellStyle name="SAPBEXheaderItem 36 2" xfId="6888" xr:uid="{00000000-0005-0000-0000-00001F580000}"/>
    <cellStyle name="SAPBEXheaderItem 36 3" xfId="9479" xr:uid="{00000000-0005-0000-0000-000020580000}"/>
    <cellStyle name="SAPBEXheaderItem 36 4" xfId="10266" xr:uid="{00000000-0005-0000-0000-000021580000}"/>
    <cellStyle name="SAPBEXheaderItem 36 5" xfId="12576" xr:uid="{00000000-0005-0000-0000-000022580000}"/>
    <cellStyle name="SAPBEXheaderItem 36 6" xfId="15006" xr:uid="{00000000-0005-0000-0000-000023580000}"/>
    <cellStyle name="SAPBEXheaderItem 36 7" xfId="17272" xr:uid="{00000000-0005-0000-0000-000024580000}"/>
    <cellStyle name="SAPBEXheaderItem 36 8" xfId="19702" xr:uid="{00000000-0005-0000-0000-000025580000}"/>
    <cellStyle name="SAPBEXheaderItem 36 9" xfId="21935" xr:uid="{00000000-0005-0000-0000-000026580000}"/>
    <cellStyle name="SAPBEXheaderItem 37" xfId="4393" xr:uid="{00000000-0005-0000-0000-000027580000}"/>
    <cellStyle name="SAPBEXheaderItem 37 2" xfId="6931" xr:uid="{00000000-0005-0000-0000-000028580000}"/>
    <cellStyle name="SAPBEXheaderItem 37 3" xfId="10230" xr:uid="{00000000-0005-0000-0000-000029580000}"/>
    <cellStyle name="SAPBEXheaderItem 37 4" xfId="10330" xr:uid="{00000000-0005-0000-0000-00002A580000}"/>
    <cellStyle name="SAPBEXheaderItem 37 5" xfId="12649" xr:uid="{00000000-0005-0000-0000-00002B580000}"/>
    <cellStyle name="SAPBEXheaderItem 37 6" xfId="16600" xr:uid="{00000000-0005-0000-0000-00002C580000}"/>
    <cellStyle name="SAPBEXheaderItem 37 7" xfId="17345" xr:uid="{00000000-0005-0000-0000-00002D580000}"/>
    <cellStyle name="SAPBEXheaderItem 37 8" xfId="21296" xr:uid="{00000000-0005-0000-0000-00002E580000}"/>
    <cellStyle name="SAPBEXheaderItem 37 9" xfId="22001" xr:uid="{00000000-0005-0000-0000-00002F580000}"/>
    <cellStyle name="SAPBEXheaderItem 38" xfId="4436" xr:uid="{00000000-0005-0000-0000-000030580000}"/>
    <cellStyle name="SAPBEXheaderItem 38 2" xfId="6974" xr:uid="{00000000-0005-0000-0000-000031580000}"/>
    <cellStyle name="SAPBEXheaderItem 38 3" xfId="8708" xr:uid="{00000000-0005-0000-0000-000032580000}"/>
    <cellStyle name="SAPBEXheaderItem 38 4" xfId="11923" xr:uid="{00000000-0005-0000-0000-000033580000}"/>
    <cellStyle name="SAPBEXheaderItem 38 5" xfId="14396" xr:uid="{00000000-0005-0000-0000-000034580000}"/>
    <cellStyle name="SAPBEXheaderItem 38 6" xfId="16335" xr:uid="{00000000-0005-0000-0000-000035580000}"/>
    <cellStyle name="SAPBEXheaderItem 38 7" xfId="19092" xr:uid="{00000000-0005-0000-0000-000036580000}"/>
    <cellStyle name="SAPBEXheaderItem 38 8" xfId="21031" xr:uid="{00000000-0005-0000-0000-000037580000}"/>
    <cellStyle name="SAPBEXheaderItem 38 9" xfId="23598" xr:uid="{00000000-0005-0000-0000-000038580000}"/>
    <cellStyle name="SAPBEXheaderItem 39" xfId="4403" xr:uid="{00000000-0005-0000-0000-000039580000}"/>
    <cellStyle name="SAPBEXheaderItem 39 2" xfId="6941" xr:uid="{00000000-0005-0000-0000-00003A580000}"/>
    <cellStyle name="SAPBEXheaderItem 39 3" xfId="9647" xr:uid="{00000000-0005-0000-0000-00003B580000}"/>
    <cellStyle name="SAPBEXheaderItem 39 4" xfId="8297" xr:uid="{00000000-0005-0000-0000-00003C580000}"/>
    <cellStyle name="SAPBEXheaderItem 39 5" xfId="12460" xr:uid="{00000000-0005-0000-0000-00003D580000}"/>
    <cellStyle name="SAPBEXheaderItem 39 6" xfId="16141" xr:uid="{00000000-0005-0000-0000-00003E580000}"/>
    <cellStyle name="SAPBEXheaderItem 39 7" xfId="17156" xr:uid="{00000000-0005-0000-0000-00003F580000}"/>
    <cellStyle name="SAPBEXheaderItem 39 8" xfId="20837" xr:uid="{00000000-0005-0000-0000-000040580000}"/>
    <cellStyle name="SAPBEXheaderItem 39 9" xfId="21837" xr:uid="{00000000-0005-0000-0000-000041580000}"/>
    <cellStyle name="SAPBEXheaderItem 4" xfId="3167" xr:uid="{00000000-0005-0000-0000-000042580000}"/>
    <cellStyle name="SAPBEXheaderItem 4 2" xfId="5705" xr:uid="{00000000-0005-0000-0000-000043580000}"/>
    <cellStyle name="SAPBEXheaderItem 4 3" xfId="8262" xr:uid="{00000000-0005-0000-0000-000044580000}"/>
    <cellStyle name="SAPBEXheaderItem 4 4" xfId="12254" xr:uid="{00000000-0005-0000-0000-000045580000}"/>
    <cellStyle name="SAPBEXheaderItem 4 5" xfId="12308" xr:uid="{00000000-0005-0000-0000-000046580000}"/>
    <cellStyle name="SAPBEXheaderItem 4 6" xfId="15264" xr:uid="{00000000-0005-0000-0000-000047580000}"/>
    <cellStyle name="SAPBEXheaderItem 4 7" xfId="17004" xr:uid="{00000000-0005-0000-0000-000048580000}"/>
    <cellStyle name="SAPBEXheaderItem 4 8" xfId="19960" xr:uid="{00000000-0005-0000-0000-000049580000}"/>
    <cellStyle name="SAPBEXheaderItem 4 9" xfId="21700" xr:uid="{00000000-0005-0000-0000-00004A580000}"/>
    <cellStyle name="SAPBEXheaderItem 40" xfId="4522" xr:uid="{00000000-0005-0000-0000-00004B580000}"/>
    <cellStyle name="SAPBEXheaderItem 40 2" xfId="7060" xr:uid="{00000000-0005-0000-0000-00004C580000}"/>
    <cellStyle name="SAPBEXheaderItem 40 3" xfId="7987" xr:uid="{00000000-0005-0000-0000-00004D580000}"/>
    <cellStyle name="SAPBEXheaderItem 40 4" xfId="12251" xr:uid="{00000000-0005-0000-0000-00004E580000}"/>
    <cellStyle name="SAPBEXheaderItem 40 5" xfId="14709" xr:uid="{00000000-0005-0000-0000-00004F580000}"/>
    <cellStyle name="SAPBEXheaderItem 40 6" xfId="15172" xr:uid="{00000000-0005-0000-0000-000050580000}"/>
    <cellStyle name="SAPBEXheaderItem 40 7" xfId="19405" xr:uid="{00000000-0005-0000-0000-000051580000}"/>
    <cellStyle name="SAPBEXheaderItem 40 8" xfId="19868" xr:uid="{00000000-0005-0000-0000-000052580000}"/>
    <cellStyle name="SAPBEXheaderItem 40 9" xfId="23895" xr:uid="{00000000-0005-0000-0000-000053580000}"/>
    <cellStyle name="SAPBEXheaderItem 41" xfId="4546" xr:uid="{00000000-0005-0000-0000-000054580000}"/>
    <cellStyle name="SAPBEXheaderItem 41 2" xfId="7084" xr:uid="{00000000-0005-0000-0000-000055580000}"/>
    <cellStyle name="SAPBEXheaderItem 41 3" xfId="8138" xr:uid="{00000000-0005-0000-0000-000056580000}"/>
    <cellStyle name="SAPBEXheaderItem 41 4" xfId="10895" xr:uid="{00000000-0005-0000-0000-000057580000}"/>
    <cellStyle name="SAPBEXheaderItem 41 5" xfId="13264" xr:uid="{00000000-0005-0000-0000-000058580000}"/>
    <cellStyle name="SAPBEXheaderItem 41 6" xfId="16407" xr:uid="{00000000-0005-0000-0000-000059580000}"/>
    <cellStyle name="SAPBEXheaderItem 41 7" xfId="17960" xr:uid="{00000000-0005-0000-0000-00005A580000}"/>
    <cellStyle name="SAPBEXheaderItem 41 8" xfId="21103" xr:uid="{00000000-0005-0000-0000-00005B580000}"/>
    <cellStyle name="SAPBEXheaderItem 41 9" xfId="22566" xr:uid="{00000000-0005-0000-0000-00005C580000}"/>
    <cellStyle name="SAPBEXheaderItem 42" xfId="4608" xr:uid="{00000000-0005-0000-0000-00005D580000}"/>
    <cellStyle name="SAPBEXheaderItem 42 2" xfId="7146" xr:uid="{00000000-0005-0000-0000-00005E580000}"/>
    <cellStyle name="SAPBEXheaderItem 42 3" xfId="7869" xr:uid="{00000000-0005-0000-0000-00005F580000}"/>
    <cellStyle name="SAPBEXheaderItem 42 4" xfId="12057" xr:uid="{00000000-0005-0000-0000-000060580000}"/>
    <cellStyle name="SAPBEXheaderItem 42 5" xfId="14537" xr:uid="{00000000-0005-0000-0000-000061580000}"/>
    <cellStyle name="SAPBEXheaderItem 42 6" xfId="14351" xr:uid="{00000000-0005-0000-0000-000062580000}"/>
    <cellStyle name="SAPBEXheaderItem 42 7" xfId="19233" xr:uid="{00000000-0005-0000-0000-000063580000}"/>
    <cellStyle name="SAPBEXheaderItem 42 8" xfId="19047" xr:uid="{00000000-0005-0000-0000-000064580000}"/>
    <cellStyle name="SAPBEXheaderItem 42 9" xfId="23729" xr:uid="{00000000-0005-0000-0000-000065580000}"/>
    <cellStyle name="SAPBEXheaderItem 43" xfId="4651" xr:uid="{00000000-0005-0000-0000-000066580000}"/>
    <cellStyle name="SAPBEXheaderItem 43 2" xfId="7189" xr:uid="{00000000-0005-0000-0000-000067580000}"/>
    <cellStyle name="SAPBEXheaderItem 43 3" xfId="8181" xr:uid="{00000000-0005-0000-0000-000068580000}"/>
    <cellStyle name="SAPBEXheaderItem 43 4" xfId="11800" xr:uid="{00000000-0005-0000-0000-000069580000}"/>
    <cellStyle name="SAPBEXheaderItem 43 5" xfId="14257" xr:uid="{00000000-0005-0000-0000-00006A580000}"/>
    <cellStyle name="SAPBEXheaderItem 43 6" xfId="15150" xr:uid="{00000000-0005-0000-0000-00006B580000}"/>
    <cellStyle name="SAPBEXheaderItem 43 7" xfId="18953" xr:uid="{00000000-0005-0000-0000-00006C580000}"/>
    <cellStyle name="SAPBEXheaderItem 43 8" xfId="19846" xr:uid="{00000000-0005-0000-0000-00006D580000}"/>
    <cellStyle name="SAPBEXheaderItem 43 9" xfId="23475" xr:uid="{00000000-0005-0000-0000-00006E580000}"/>
    <cellStyle name="SAPBEXheaderItem 44" xfId="4693" xr:uid="{00000000-0005-0000-0000-00006F580000}"/>
    <cellStyle name="SAPBEXheaderItem 44 2" xfId="7231" xr:uid="{00000000-0005-0000-0000-000070580000}"/>
    <cellStyle name="SAPBEXheaderItem 44 3" xfId="8625" xr:uid="{00000000-0005-0000-0000-000071580000}"/>
    <cellStyle name="SAPBEXheaderItem 44 4" xfId="9908" xr:uid="{00000000-0005-0000-0000-000072580000}"/>
    <cellStyle name="SAPBEXheaderItem 44 5" xfId="12448" xr:uid="{00000000-0005-0000-0000-000073580000}"/>
    <cellStyle name="SAPBEXheaderItem 44 6" xfId="16214" xr:uid="{00000000-0005-0000-0000-000074580000}"/>
    <cellStyle name="SAPBEXheaderItem 44 7" xfId="17144" xr:uid="{00000000-0005-0000-0000-000075580000}"/>
    <cellStyle name="SAPBEXheaderItem 44 8" xfId="20910" xr:uid="{00000000-0005-0000-0000-000076580000}"/>
    <cellStyle name="SAPBEXheaderItem 44 9" xfId="21827" xr:uid="{00000000-0005-0000-0000-000077580000}"/>
    <cellStyle name="SAPBEXheaderItem 45" xfId="4736" xr:uid="{00000000-0005-0000-0000-000078580000}"/>
    <cellStyle name="SAPBEXheaderItem 45 2" xfId="7274" xr:uid="{00000000-0005-0000-0000-000079580000}"/>
    <cellStyle name="SAPBEXheaderItem 45 3" xfId="9183" xr:uid="{00000000-0005-0000-0000-00007A580000}"/>
    <cellStyle name="SAPBEXheaderItem 45 4" xfId="11946" xr:uid="{00000000-0005-0000-0000-00007B580000}"/>
    <cellStyle name="SAPBEXheaderItem 45 5" xfId="14419" xr:uid="{00000000-0005-0000-0000-00007C580000}"/>
    <cellStyle name="SAPBEXheaderItem 45 6" xfId="16767" xr:uid="{00000000-0005-0000-0000-00007D580000}"/>
    <cellStyle name="SAPBEXheaderItem 45 7" xfId="19115" xr:uid="{00000000-0005-0000-0000-00007E580000}"/>
    <cellStyle name="SAPBEXheaderItem 45 8" xfId="21463" xr:uid="{00000000-0005-0000-0000-00007F580000}"/>
    <cellStyle name="SAPBEXheaderItem 45 9" xfId="23621" xr:uid="{00000000-0005-0000-0000-000080580000}"/>
    <cellStyle name="SAPBEXheaderItem 46" xfId="4499" xr:uid="{00000000-0005-0000-0000-000081580000}"/>
    <cellStyle name="SAPBEXheaderItem 46 2" xfId="7037" xr:uid="{00000000-0005-0000-0000-000082580000}"/>
    <cellStyle name="SAPBEXheaderItem 46 3" xfId="8685" xr:uid="{00000000-0005-0000-0000-000083580000}"/>
    <cellStyle name="SAPBEXheaderItem 46 4" xfId="10751" xr:uid="{00000000-0005-0000-0000-000084580000}"/>
    <cellStyle name="SAPBEXheaderItem 46 5" xfId="13106" xr:uid="{00000000-0005-0000-0000-000085580000}"/>
    <cellStyle name="SAPBEXheaderItem 46 6" xfId="14959" xr:uid="{00000000-0005-0000-0000-000086580000}"/>
    <cellStyle name="SAPBEXheaderItem 46 7" xfId="17802" xr:uid="{00000000-0005-0000-0000-000087580000}"/>
    <cellStyle name="SAPBEXheaderItem 46 8" xfId="19655" xr:uid="{00000000-0005-0000-0000-000088580000}"/>
    <cellStyle name="SAPBEXheaderItem 46 9" xfId="22423" xr:uid="{00000000-0005-0000-0000-000089580000}"/>
    <cellStyle name="SAPBEXheaderItem 47" xfId="4798" xr:uid="{00000000-0005-0000-0000-00008A580000}"/>
    <cellStyle name="SAPBEXheaderItem 47 2" xfId="7336" xr:uid="{00000000-0005-0000-0000-00008B580000}"/>
    <cellStyle name="SAPBEXheaderItem 47 3" xfId="5533" xr:uid="{00000000-0005-0000-0000-00008C580000}"/>
    <cellStyle name="SAPBEXheaderItem 47 4" xfId="10561" xr:uid="{00000000-0005-0000-0000-00008D580000}"/>
    <cellStyle name="SAPBEXheaderItem 47 5" xfId="12905" xr:uid="{00000000-0005-0000-0000-00008E580000}"/>
    <cellStyle name="SAPBEXheaderItem 47 6" xfId="16921" xr:uid="{00000000-0005-0000-0000-00008F580000}"/>
    <cellStyle name="SAPBEXheaderItem 47 7" xfId="17601" xr:uid="{00000000-0005-0000-0000-000090580000}"/>
    <cellStyle name="SAPBEXheaderItem 47 8" xfId="21617" xr:uid="{00000000-0005-0000-0000-000091580000}"/>
    <cellStyle name="SAPBEXheaderItem 47 9" xfId="22232" xr:uid="{00000000-0005-0000-0000-000092580000}"/>
    <cellStyle name="SAPBEXheaderItem 48" xfId="4841" xr:uid="{00000000-0005-0000-0000-000093580000}"/>
    <cellStyle name="SAPBEXheaderItem 48 2" xfId="7379" xr:uid="{00000000-0005-0000-0000-000094580000}"/>
    <cellStyle name="SAPBEXheaderItem 48 3" xfId="9114" xr:uid="{00000000-0005-0000-0000-000095580000}"/>
    <cellStyle name="SAPBEXheaderItem 48 4" xfId="10783" xr:uid="{00000000-0005-0000-0000-000096580000}"/>
    <cellStyle name="SAPBEXheaderItem 48 5" xfId="13139" xr:uid="{00000000-0005-0000-0000-000097580000}"/>
    <cellStyle name="SAPBEXheaderItem 48 6" xfId="16316" xr:uid="{00000000-0005-0000-0000-000098580000}"/>
    <cellStyle name="SAPBEXheaderItem 48 7" xfId="17835" xr:uid="{00000000-0005-0000-0000-000099580000}"/>
    <cellStyle name="SAPBEXheaderItem 48 8" xfId="21012" xr:uid="{00000000-0005-0000-0000-00009A580000}"/>
    <cellStyle name="SAPBEXheaderItem 48 9" xfId="22454" xr:uid="{00000000-0005-0000-0000-00009B580000}"/>
    <cellStyle name="SAPBEXheaderItem 49" xfId="4808" xr:uid="{00000000-0005-0000-0000-00009C580000}"/>
    <cellStyle name="SAPBEXheaderItem 49 2" xfId="7346" xr:uid="{00000000-0005-0000-0000-00009D580000}"/>
    <cellStyle name="SAPBEXheaderItem 49 3" xfId="9486" xr:uid="{00000000-0005-0000-0000-00009E580000}"/>
    <cellStyle name="SAPBEXheaderItem 49 4" xfId="12167" xr:uid="{00000000-0005-0000-0000-00009F580000}"/>
    <cellStyle name="SAPBEXheaderItem 49 5" xfId="14650" xr:uid="{00000000-0005-0000-0000-0000A0580000}"/>
    <cellStyle name="SAPBEXheaderItem 49 6" xfId="16415" xr:uid="{00000000-0005-0000-0000-0000A1580000}"/>
    <cellStyle name="SAPBEXheaderItem 49 7" xfId="19346" xr:uid="{00000000-0005-0000-0000-0000A2580000}"/>
    <cellStyle name="SAPBEXheaderItem 49 8" xfId="21111" xr:uid="{00000000-0005-0000-0000-0000A3580000}"/>
    <cellStyle name="SAPBEXheaderItem 49 9" xfId="23841" xr:uid="{00000000-0005-0000-0000-0000A4580000}"/>
    <cellStyle name="SAPBEXheaderItem 5" xfId="3210" xr:uid="{00000000-0005-0000-0000-0000A5580000}"/>
    <cellStyle name="SAPBEXheaderItem 5 2" xfId="5748" xr:uid="{00000000-0005-0000-0000-0000A6580000}"/>
    <cellStyle name="SAPBEXheaderItem 5 3" xfId="9728" xr:uid="{00000000-0005-0000-0000-0000A7580000}"/>
    <cellStyle name="SAPBEXheaderItem 5 4" xfId="10615" xr:uid="{00000000-0005-0000-0000-0000A8580000}"/>
    <cellStyle name="SAPBEXheaderItem 5 5" xfId="12963" xr:uid="{00000000-0005-0000-0000-0000A9580000}"/>
    <cellStyle name="SAPBEXheaderItem 5 6" xfId="16019" xr:uid="{00000000-0005-0000-0000-0000AA580000}"/>
    <cellStyle name="SAPBEXheaderItem 5 7" xfId="17659" xr:uid="{00000000-0005-0000-0000-0000AB580000}"/>
    <cellStyle name="SAPBEXheaderItem 5 8" xfId="20715" xr:uid="{00000000-0005-0000-0000-0000AC580000}"/>
    <cellStyle name="SAPBEXheaderItem 5 9" xfId="22288" xr:uid="{00000000-0005-0000-0000-0000AD580000}"/>
    <cellStyle name="SAPBEXheaderItem 50" xfId="4922" xr:uid="{00000000-0005-0000-0000-0000AE580000}"/>
    <cellStyle name="SAPBEXheaderItem 50 2" xfId="7460" xr:uid="{00000000-0005-0000-0000-0000AF580000}"/>
    <cellStyle name="SAPBEXheaderItem 50 3" xfId="8819" xr:uid="{00000000-0005-0000-0000-0000B0580000}"/>
    <cellStyle name="SAPBEXheaderItem 50 4" xfId="9517" xr:uid="{00000000-0005-0000-0000-0000B1580000}"/>
    <cellStyle name="SAPBEXheaderItem 50 5" xfId="12536" xr:uid="{00000000-0005-0000-0000-0000B2580000}"/>
    <cellStyle name="SAPBEXheaderItem 50 6" xfId="16945" xr:uid="{00000000-0005-0000-0000-0000B3580000}"/>
    <cellStyle name="SAPBEXheaderItem 50 7" xfId="17232" xr:uid="{00000000-0005-0000-0000-0000B4580000}"/>
    <cellStyle name="SAPBEXheaderItem 50 8" xfId="21641" xr:uid="{00000000-0005-0000-0000-0000B5580000}"/>
    <cellStyle name="SAPBEXheaderItem 50 9" xfId="21900" xr:uid="{00000000-0005-0000-0000-0000B6580000}"/>
    <cellStyle name="SAPBEXheaderItem 51" xfId="4960" xr:uid="{00000000-0005-0000-0000-0000B7580000}"/>
    <cellStyle name="SAPBEXheaderItem 51 2" xfId="7498" xr:uid="{00000000-0005-0000-0000-0000B8580000}"/>
    <cellStyle name="SAPBEXheaderItem 51 3" xfId="8199" xr:uid="{00000000-0005-0000-0000-0000B9580000}"/>
    <cellStyle name="SAPBEXheaderItem 51 4" xfId="10647" xr:uid="{00000000-0005-0000-0000-0000BA580000}"/>
    <cellStyle name="SAPBEXheaderItem 51 5" xfId="12996" xr:uid="{00000000-0005-0000-0000-0000BB580000}"/>
    <cellStyle name="SAPBEXheaderItem 51 6" xfId="15068" xr:uid="{00000000-0005-0000-0000-0000BC580000}"/>
    <cellStyle name="SAPBEXheaderItem 51 7" xfId="17692" xr:uid="{00000000-0005-0000-0000-0000BD580000}"/>
    <cellStyle name="SAPBEXheaderItem 51 8" xfId="19764" xr:uid="{00000000-0005-0000-0000-0000BE580000}"/>
    <cellStyle name="SAPBEXheaderItem 51 9" xfId="22320" xr:uid="{00000000-0005-0000-0000-0000BF580000}"/>
    <cellStyle name="SAPBEXheaderItem 52" xfId="5000" xr:uid="{00000000-0005-0000-0000-0000C0580000}"/>
    <cellStyle name="SAPBEXheaderItem 52 2" xfId="7538" xr:uid="{00000000-0005-0000-0000-0000C1580000}"/>
    <cellStyle name="SAPBEXheaderItem 52 3" xfId="9985" xr:uid="{00000000-0005-0000-0000-0000C2580000}"/>
    <cellStyle name="SAPBEXheaderItem 52 4" xfId="10244" xr:uid="{00000000-0005-0000-0000-0000C3580000}"/>
    <cellStyle name="SAPBEXheaderItem 52 5" xfId="12551" xr:uid="{00000000-0005-0000-0000-0000C4580000}"/>
    <cellStyle name="SAPBEXheaderItem 52 6" xfId="15778" xr:uid="{00000000-0005-0000-0000-0000C5580000}"/>
    <cellStyle name="SAPBEXheaderItem 52 7" xfId="17247" xr:uid="{00000000-0005-0000-0000-0000C6580000}"/>
    <cellStyle name="SAPBEXheaderItem 52 8" xfId="20474" xr:uid="{00000000-0005-0000-0000-0000C7580000}"/>
    <cellStyle name="SAPBEXheaderItem 52 9" xfId="21913" xr:uid="{00000000-0005-0000-0000-0000C8580000}"/>
    <cellStyle name="SAPBEXheaderItem 53" xfId="5037" xr:uid="{00000000-0005-0000-0000-0000C9580000}"/>
    <cellStyle name="SAPBEXheaderItem 53 2" xfId="7575" xr:uid="{00000000-0005-0000-0000-0000CA580000}"/>
    <cellStyle name="SAPBEXheaderItem 53 3" xfId="8253" xr:uid="{00000000-0005-0000-0000-0000CB580000}"/>
    <cellStyle name="SAPBEXheaderItem 53 4" xfId="11639" xr:uid="{00000000-0005-0000-0000-0000CC580000}"/>
    <cellStyle name="SAPBEXheaderItem 53 5" xfId="14083" xr:uid="{00000000-0005-0000-0000-0000CD580000}"/>
    <cellStyle name="SAPBEXheaderItem 53 6" xfId="15479" xr:uid="{00000000-0005-0000-0000-0000CE580000}"/>
    <cellStyle name="SAPBEXheaderItem 53 7" xfId="18779" xr:uid="{00000000-0005-0000-0000-0000CF580000}"/>
    <cellStyle name="SAPBEXheaderItem 53 8" xfId="20175" xr:uid="{00000000-0005-0000-0000-0000D0580000}"/>
    <cellStyle name="SAPBEXheaderItem 53 9" xfId="23314" xr:uid="{00000000-0005-0000-0000-0000D1580000}"/>
    <cellStyle name="SAPBEXheaderItem 54" xfId="5068" xr:uid="{00000000-0005-0000-0000-0000D2580000}"/>
    <cellStyle name="SAPBEXheaderItem 54 2" xfId="7606" xr:uid="{00000000-0005-0000-0000-0000D3580000}"/>
    <cellStyle name="SAPBEXheaderItem 54 3" xfId="9869" xr:uid="{00000000-0005-0000-0000-0000D4580000}"/>
    <cellStyle name="SAPBEXheaderItem 54 4" xfId="10808" xr:uid="{00000000-0005-0000-0000-0000D5580000}"/>
    <cellStyle name="SAPBEXheaderItem 54 5" xfId="13169" xr:uid="{00000000-0005-0000-0000-0000D6580000}"/>
    <cellStyle name="SAPBEXheaderItem 54 6" xfId="16421" xr:uid="{00000000-0005-0000-0000-0000D7580000}"/>
    <cellStyle name="SAPBEXheaderItem 54 7" xfId="17865" xr:uid="{00000000-0005-0000-0000-0000D8580000}"/>
    <cellStyle name="SAPBEXheaderItem 54 8" xfId="21117" xr:uid="{00000000-0005-0000-0000-0000D9580000}"/>
    <cellStyle name="SAPBEXheaderItem 54 9" xfId="22479" xr:uid="{00000000-0005-0000-0000-0000DA580000}"/>
    <cellStyle name="SAPBEXheaderItem 55" xfId="5098" xr:uid="{00000000-0005-0000-0000-0000DB580000}"/>
    <cellStyle name="SAPBEXheaderItem 55 2" xfId="7636" xr:uid="{00000000-0005-0000-0000-0000DC580000}"/>
    <cellStyle name="SAPBEXheaderItem 55 3" xfId="9187" xr:uid="{00000000-0005-0000-0000-0000DD580000}"/>
    <cellStyle name="SAPBEXheaderItem 55 4" xfId="12159" xr:uid="{00000000-0005-0000-0000-0000DE580000}"/>
    <cellStyle name="SAPBEXheaderItem 55 5" xfId="14642" xr:uid="{00000000-0005-0000-0000-0000DF580000}"/>
    <cellStyle name="SAPBEXheaderItem 55 6" xfId="16881" xr:uid="{00000000-0005-0000-0000-0000E0580000}"/>
    <cellStyle name="SAPBEXheaderItem 55 7" xfId="19338" xr:uid="{00000000-0005-0000-0000-0000E1580000}"/>
    <cellStyle name="SAPBEXheaderItem 55 8" xfId="21577" xr:uid="{00000000-0005-0000-0000-0000E2580000}"/>
    <cellStyle name="SAPBEXheaderItem 55 9" xfId="23833" xr:uid="{00000000-0005-0000-0000-0000E3580000}"/>
    <cellStyle name="SAPBEXheaderItem 56" xfId="5140" xr:uid="{00000000-0005-0000-0000-0000E4580000}"/>
    <cellStyle name="SAPBEXheaderItem 56 2" xfId="7678" xr:uid="{00000000-0005-0000-0000-0000E5580000}"/>
    <cellStyle name="SAPBEXheaderItem 56 3" xfId="9744" xr:uid="{00000000-0005-0000-0000-0000E6580000}"/>
    <cellStyle name="SAPBEXheaderItem 56 4" xfId="10635" xr:uid="{00000000-0005-0000-0000-0000E7580000}"/>
    <cellStyle name="SAPBEXheaderItem 56 5" xfId="12984" xr:uid="{00000000-0005-0000-0000-0000E8580000}"/>
    <cellStyle name="SAPBEXheaderItem 56 6" xfId="16150" xr:uid="{00000000-0005-0000-0000-0000E9580000}"/>
    <cellStyle name="SAPBEXheaderItem 56 7" xfId="17680" xr:uid="{00000000-0005-0000-0000-0000EA580000}"/>
    <cellStyle name="SAPBEXheaderItem 56 8" xfId="20846" xr:uid="{00000000-0005-0000-0000-0000EB580000}"/>
    <cellStyle name="SAPBEXheaderItem 56 9" xfId="22308" xr:uid="{00000000-0005-0000-0000-0000EC580000}"/>
    <cellStyle name="SAPBEXheaderItem 57" xfId="5209" xr:uid="{00000000-0005-0000-0000-0000ED580000}"/>
    <cellStyle name="SAPBEXheaderItem 57 2" xfId="7748" xr:uid="{00000000-0005-0000-0000-0000EE580000}"/>
    <cellStyle name="SAPBEXheaderItem 57 3" xfId="9665" xr:uid="{00000000-0005-0000-0000-0000EF580000}"/>
    <cellStyle name="SAPBEXheaderItem 57 4" xfId="10520" xr:uid="{00000000-0005-0000-0000-0000F0580000}"/>
    <cellStyle name="SAPBEXheaderItem 57 5" xfId="12860" xr:uid="{00000000-0005-0000-0000-0000F1580000}"/>
    <cellStyle name="SAPBEXheaderItem 57 6" xfId="16647" xr:uid="{00000000-0005-0000-0000-0000F2580000}"/>
    <cellStyle name="SAPBEXheaderItem 57 7" xfId="17556" xr:uid="{00000000-0005-0000-0000-0000F3580000}"/>
    <cellStyle name="SAPBEXheaderItem 57 8" xfId="21343" xr:uid="{00000000-0005-0000-0000-0000F4580000}"/>
    <cellStyle name="SAPBEXheaderItem 57 9" xfId="22191" xr:uid="{00000000-0005-0000-0000-0000F5580000}"/>
    <cellStyle name="SAPBEXheaderItem 58" xfId="5175" xr:uid="{00000000-0005-0000-0000-0000F6580000}"/>
    <cellStyle name="SAPBEXheaderItem 58 2" xfId="7963" xr:uid="{00000000-0005-0000-0000-0000F7580000}"/>
    <cellStyle name="SAPBEXheaderItem 58 3" xfId="9200" xr:uid="{00000000-0005-0000-0000-0000F8580000}"/>
    <cellStyle name="SAPBEXheaderItem 58 4" xfId="14857" xr:uid="{00000000-0005-0000-0000-0000F9580000}"/>
    <cellStyle name="SAPBEXheaderItem 58 5" xfId="15021" xr:uid="{00000000-0005-0000-0000-0000FA580000}"/>
    <cellStyle name="SAPBEXheaderItem 58 6" xfId="19553" xr:uid="{00000000-0005-0000-0000-0000FB580000}"/>
    <cellStyle name="SAPBEXheaderItem 58 7" xfId="19717" xr:uid="{00000000-0005-0000-0000-0000FC580000}"/>
    <cellStyle name="SAPBEXheaderItem 58 8" xfId="24029" xr:uid="{00000000-0005-0000-0000-0000FD580000}"/>
    <cellStyle name="SAPBEXheaderItem 59" xfId="8640" xr:uid="{00000000-0005-0000-0000-0000FE580000}"/>
    <cellStyle name="SAPBEXheaderItem 6" xfId="3253" xr:uid="{00000000-0005-0000-0000-0000FF580000}"/>
    <cellStyle name="SAPBEXheaderItem 6 2" xfId="5791" xr:uid="{00000000-0005-0000-0000-000000590000}"/>
    <cellStyle name="SAPBEXheaderItem 6 3" xfId="8668" xr:uid="{00000000-0005-0000-0000-000001590000}"/>
    <cellStyle name="SAPBEXheaderItem 6 4" xfId="11113" xr:uid="{00000000-0005-0000-0000-000002590000}"/>
    <cellStyle name="SAPBEXheaderItem 6 5" xfId="13507" xr:uid="{00000000-0005-0000-0000-000003590000}"/>
    <cellStyle name="SAPBEXheaderItem 6 6" xfId="16387" xr:uid="{00000000-0005-0000-0000-000004590000}"/>
    <cellStyle name="SAPBEXheaderItem 6 7" xfId="18203" xr:uid="{00000000-0005-0000-0000-000005590000}"/>
    <cellStyle name="SAPBEXheaderItem 6 8" xfId="21083" xr:uid="{00000000-0005-0000-0000-000006590000}"/>
    <cellStyle name="SAPBEXheaderItem 6 9" xfId="22786" xr:uid="{00000000-0005-0000-0000-000007590000}"/>
    <cellStyle name="SAPBEXheaderItem 60" xfId="10581" xr:uid="{00000000-0005-0000-0000-000008590000}"/>
    <cellStyle name="SAPBEXheaderItem 61" xfId="12928" xr:uid="{00000000-0005-0000-0000-000009590000}"/>
    <cellStyle name="SAPBEXheaderItem 62" xfId="13819" xr:uid="{00000000-0005-0000-0000-00000A590000}"/>
    <cellStyle name="SAPBEXheaderItem 63" xfId="17624" xr:uid="{00000000-0005-0000-0000-00000B590000}"/>
    <cellStyle name="SAPBEXheaderItem 64" xfId="18515" xr:uid="{00000000-0005-0000-0000-00000C590000}"/>
    <cellStyle name="SAPBEXheaderItem 65" xfId="22254" xr:uid="{00000000-0005-0000-0000-00000D590000}"/>
    <cellStyle name="SAPBEXheaderItem 66" xfId="42182" xr:uid="{4CF8CDDD-65EE-4E5C-A0A2-6962B0D61B59}"/>
    <cellStyle name="SAPBEXheaderItem 7" xfId="3296" xr:uid="{00000000-0005-0000-0000-00000E590000}"/>
    <cellStyle name="SAPBEXheaderItem 7 2" xfId="5834" xr:uid="{00000000-0005-0000-0000-00000F590000}"/>
    <cellStyle name="SAPBEXheaderItem 7 3" xfId="8159" xr:uid="{00000000-0005-0000-0000-000010590000}"/>
    <cellStyle name="SAPBEXheaderItem 7 4" xfId="10087" xr:uid="{00000000-0005-0000-0000-000011590000}"/>
    <cellStyle name="SAPBEXheaderItem 7 5" xfId="12464" xr:uid="{00000000-0005-0000-0000-000012590000}"/>
    <cellStyle name="SAPBEXheaderItem 7 6" xfId="16844" xr:uid="{00000000-0005-0000-0000-000013590000}"/>
    <cellStyle name="SAPBEXheaderItem 7 7" xfId="17160" xr:uid="{00000000-0005-0000-0000-000014590000}"/>
    <cellStyle name="SAPBEXheaderItem 7 8" xfId="21540" xr:uid="{00000000-0005-0000-0000-000015590000}"/>
    <cellStyle name="SAPBEXheaderItem 7 9" xfId="21841" xr:uid="{00000000-0005-0000-0000-000016590000}"/>
    <cellStyle name="SAPBEXheaderItem 8" xfId="3339" xr:uid="{00000000-0005-0000-0000-000017590000}"/>
    <cellStyle name="SAPBEXheaderItem 8 2" xfId="5877" xr:uid="{00000000-0005-0000-0000-000018590000}"/>
    <cellStyle name="SAPBEXheaderItem 8 3" xfId="8002" xr:uid="{00000000-0005-0000-0000-000019590000}"/>
    <cellStyle name="SAPBEXheaderItem 8 4" xfId="11833" xr:uid="{00000000-0005-0000-0000-00001A590000}"/>
    <cellStyle name="SAPBEXheaderItem 8 5" xfId="14291" xr:uid="{00000000-0005-0000-0000-00001B590000}"/>
    <cellStyle name="SAPBEXheaderItem 8 6" xfId="16085" xr:uid="{00000000-0005-0000-0000-00001C590000}"/>
    <cellStyle name="SAPBEXheaderItem 8 7" xfId="18987" xr:uid="{00000000-0005-0000-0000-00001D590000}"/>
    <cellStyle name="SAPBEXheaderItem 8 8" xfId="20781" xr:uid="{00000000-0005-0000-0000-00001E590000}"/>
    <cellStyle name="SAPBEXheaderItem 8 9" xfId="23508" xr:uid="{00000000-0005-0000-0000-00001F590000}"/>
    <cellStyle name="SAPBEXheaderItem 9" xfId="3382" xr:uid="{00000000-0005-0000-0000-000020590000}"/>
    <cellStyle name="SAPBEXheaderItem 9 2" xfId="5920" xr:uid="{00000000-0005-0000-0000-000021590000}"/>
    <cellStyle name="SAPBEXheaderItem 9 3" xfId="8722" xr:uid="{00000000-0005-0000-0000-000022590000}"/>
    <cellStyle name="SAPBEXheaderItem 9 4" xfId="9384" xr:uid="{00000000-0005-0000-0000-000023590000}"/>
    <cellStyle name="SAPBEXheaderItem 9 5" xfId="14911" xr:uid="{00000000-0005-0000-0000-000024590000}"/>
    <cellStyle name="SAPBEXheaderItem 9 6" xfId="16802" xr:uid="{00000000-0005-0000-0000-000025590000}"/>
    <cellStyle name="SAPBEXheaderItem 9 7" xfId="19607" xr:uid="{00000000-0005-0000-0000-000026590000}"/>
    <cellStyle name="SAPBEXheaderItem 9 8" xfId="21498" xr:uid="{00000000-0005-0000-0000-000027590000}"/>
    <cellStyle name="SAPBEXheaderItem 9 9" xfId="24075" xr:uid="{00000000-0005-0000-0000-000028590000}"/>
    <cellStyle name="SAPBEXheaderText" xfId="2960" xr:uid="{00000000-0005-0000-0000-000029590000}"/>
    <cellStyle name="SAPBEXheaderText 10" xfId="3423" xr:uid="{00000000-0005-0000-0000-00002A590000}"/>
    <cellStyle name="SAPBEXheaderText 10 2" xfId="5961" xr:uid="{00000000-0005-0000-0000-00002B590000}"/>
    <cellStyle name="SAPBEXheaderText 10 3" xfId="9592" xr:uid="{00000000-0005-0000-0000-00002C590000}"/>
    <cellStyle name="SAPBEXheaderText 10 4" xfId="11054" xr:uid="{00000000-0005-0000-0000-00002D590000}"/>
    <cellStyle name="SAPBEXheaderText 10 5" xfId="13439" xr:uid="{00000000-0005-0000-0000-00002E590000}"/>
    <cellStyle name="SAPBEXheaderText 10 6" xfId="16518" xr:uid="{00000000-0005-0000-0000-00002F590000}"/>
    <cellStyle name="SAPBEXheaderText 10 7" xfId="18135" xr:uid="{00000000-0005-0000-0000-000030590000}"/>
    <cellStyle name="SAPBEXheaderText 10 8" xfId="21214" xr:uid="{00000000-0005-0000-0000-000031590000}"/>
    <cellStyle name="SAPBEXheaderText 10 9" xfId="22727" xr:uid="{00000000-0005-0000-0000-000032590000}"/>
    <cellStyle name="SAPBEXheaderText 11" xfId="3469" xr:uid="{00000000-0005-0000-0000-000033590000}"/>
    <cellStyle name="SAPBEXheaderText 11 2" xfId="6007" xr:uid="{00000000-0005-0000-0000-000034590000}"/>
    <cellStyle name="SAPBEXheaderText 11 3" xfId="9475" xr:uid="{00000000-0005-0000-0000-000035590000}"/>
    <cellStyle name="SAPBEXheaderText 11 4" xfId="12180" xr:uid="{00000000-0005-0000-0000-000036590000}"/>
    <cellStyle name="SAPBEXheaderText 11 5" xfId="14663" xr:uid="{00000000-0005-0000-0000-000037590000}"/>
    <cellStyle name="SAPBEXheaderText 11 6" xfId="15171" xr:uid="{00000000-0005-0000-0000-000038590000}"/>
    <cellStyle name="SAPBEXheaderText 11 7" xfId="19359" xr:uid="{00000000-0005-0000-0000-000039590000}"/>
    <cellStyle name="SAPBEXheaderText 11 8" xfId="19867" xr:uid="{00000000-0005-0000-0000-00003A590000}"/>
    <cellStyle name="SAPBEXheaderText 11 9" xfId="23854" xr:uid="{00000000-0005-0000-0000-00003B590000}"/>
    <cellStyle name="SAPBEXheaderText 12" xfId="3415" xr:uid="{00000000-0005-0000-0000-00003C590000}"/>
    <cellStyle name="SAPBEXheaderText 12 2" xfId="5953" xr:uid="{00000000-0005-0000-0000-00003D590000}"/>
    <cellStyle name="SAPBEXheaderText 12 3" xfId="10003" xr:uid="{00000000-0005-0000-0000-00003E590000}"/>
    <cellStyle name="SAPBEXheaderText 12 4" xfId="10079" xr:uid="{00000000-0005-0000-0000-00003F590000}"/>
    <cellStyle name="SAPBEXheaderText 12 5" xfId="14603" xr:uid="{00000000-0005-0000-0000-000040590000}"/>
    <cellStyle name="SAPBEXheaderText 12 6" xfId="15452" xr:uid="{00000000-0005-0000-0000-000041590000}"/>
    <cellStyle name="SAPBEXheaderText 12 7" xfId="19299" xr:uid="{00000000-0005-0000-0000-000042590000}"/>
    <cellStyle name="SAPBEXheaderText 12 8" xfId="20148" xr:uid="{00000000-0005-0000-0000-000043590000}"/>
    <cellStyle name="SAPBEXheaderText 12 9" xfId="23795" xr:uid="{00000000-0005-0000-0000-000044590000}"/>
    <cellStyle name="SAPBEXheaderText 13" xfId="3552" xr:uid="{00000000-0005-0000-0000-000045590000}"/>
    <cellStyle name="SAPBEXheaderText 13 2" xfId="6090" xr:uid="{00000000-0005-0000-0000-000046590000}"/>
    <cellStyle name="SAPBEXheaderText 13 3" xfId="7986" xr:uid="{00000000-0005-0000-0000-000047590000}"/>
    <cellStyle name="SAPBEXheaderText 13 4" xfId="12153" xr:uid="{00000000-0005-0000-0000-000048590000}"/>
    <cellStyle name="SAPBEXheaderText 13 5" xfId="14636" xr:uid="{00000000-0005-0000-0000-000049590000}"/>
    <cellStyle name="SAPBEXheaderText 13 6" xfId="16321" xr:uid="{00000000-0005-0000-0000-00004A590000}"/>
    <cellStyle name="SAPBEXheaderText 13 7" xfId="19332" xr:uid="{00000000-0005-0000-0000-00004B590000}"/>
    <cellStyle name="SAPBEXheaderText 13 8" xfId="21017" xr:uid="{00000000-0005-0000-0000-00004C590000}"/>
    <cellStyle name="SAPBEXheaderText 13 9" xfId="23827" xr:uid="{00000000-0005-0000-0000-00004D590000}"/>
    <cellStyle name="SAPBEXheaderText 14" xfId="3493" xr:uid="{00000000-0005-0000-0000-00004E590000}"/>
    <cellStyle name="SAPBEXheaderText 14 2" xfId="6031" xr:uid="{00000000-0005-0000-0000-00004F590000}"/>
    <cellStyle name="SAPBEXheaderText 14 3" xfId="10029" xr:uid="{00000000-0005-0000-0000-000050590000}"/>
    <cellStyle name="SAPBEXheaderText 14 4" xfId="12097" xr:uid="{00000000-0005-0000-0000-000051590000}"/>
    <cellStyle name="SAPBEXheaderText 14 5" xfId="12324" xr:uid="{00000000-0005-0000-0000-000052590000}"/>
    <cellStyle name="SAPBEXheaderText 14 6" xfId="16091" xr:uid="{00000000-0005-0000-0000-000053590000}"/>
    <cellStyle name="SAPBEXheaderText 14 7" xfId="17020" xr:uid="{00000000-0005-0000-0000-000054590000}"/>
    <cellStyle name="SAPBEXheaderText 14 8" xfId="20787" xr:uid="{00000000-0005-0000-0000-000055590000}"/>
    <cellStyle name="SAPBEXheaderText 14 9" xfId="21714" xr:uid="{00000000-0005-0000-0000-000056590000}"/>
    <cellStyle name="SAPBEXheaderText 15" xfId="3608" xr:uid="{00000000-0005-0000-0000-000057590000}"/>
    <cellStyle name="SAPBEXheaderText 15 2" xfId="6146" xr:uid="{00000000-0005-0000-0000-000058590000}"/>
    <cellStyle name="SAPBEXheaderText 15 3" xfId="9220" xr:uid="{00000000-0005-0000-0000-000059590000}"/>
    <cellStyle name="SAPBEXheaderText 15 4" xfId="12257" xr:uid="{00000000-0005-0000-0000-00005A590000}"/>
    <cellStyle name="SAPBEXheaderText 15 5" xfId="12350" xr:uid="{00000000-0005-0000-0000-00005B590000}"/>
    <cellStyle name="SAPBEXheaderText 15 6" xfId="15563" xr:uid="{00000000-0005-0000-0000-00005C590000}"/>
    <cellStyle name="SAPBEXheaderText 15 7" xfId="17046" xr:uid="{00000000-0005-0000-0000-00005D590000}"/>
    <cellStyle name="SAPBEXheaderText 15 8" xfId="20259" xr:uid="{00000000-0005-0000-0000-00005E590000}"/>
    <cellStyle name="SAPBEXheaderText 15 9" xfId="21738" xr:uid="{00000000-0005-0000-0000-00005F590000}"/>
    <cellStyle name="SAPBEXheaderText 16" xfId="3553" xr:uid="{00000000-0005-0000-0000-000060590000}"/>
    <cellStyle name="SAPBEXheaderText 16 2" xfId="6091" xr:uid="{00000000-0005-0000-0000-000061590000}"/>
    <cellStyle name="SAPBEXheaderText 16 3" xfId="8144" xr:uid="{00000000-0005-0000-0000-000062590000}"/>
    <cellStyle name="SAPBEXheaderText 16 4" xfId="12103" xr:uid="{00000000-0005-0000-0000-000063590000}"/>
    <cellStyle name="SAPBEXheaderText 16 5" xfId="12749" xr:uid="{00000000-0005-0000-0000-000064590000}"/>
    <cellStyle name="SAPBEXheaderText 16 6" xfId="16326" xr:uid="{00000000-0005-0000-0000-000065590000}"/>
    <cellStyle name="SAPBEXheaderText 16 7" xfId="17445" xr:uid="{00000000-0005-0000-0000-000066590000}"/>
    <cellStyle name="SAPBEXheaderText 16 8" xfId="21022" xr:uid="{00000000-0005-0000-0000-000067590000}"/>
    <cellStyle name="SAPBEXheaderText 16 9" xfId="22095" xr:uid="{00000000-0005-0000-0000-000068590000}"/>
    <cellStyle name="SAPBEXheaderText 17" xfId="3664" xr:uid="{00000000-0005-0000-0000-000069590000}"/>
    <cellStyle name="SAPBEXheaderText 17 2" xfId="6202" xr:uid="{00000000-0005-0000-0000-00006A590000}"/>
    <cellStyle name="SAPBEXheaderText 17 3" xfId="8361" xr:uid="{00000000-0005-0000-0000-00006B590000}"/>
    <cellStyle name="SAPBEXheaderText 17 4" xfId="10139" xr:uid="{00000000-0005-0000-0000-00006C590000}"/>
    <cellStyle name="SAPBEXheaderText 17 5" xfId="12491" xr:uid="{00000000-0005-0000-0000-00006D590000}"/>
    <cellStyle name="SAPBEXheaderText 17 6" xfId="15155" xr:uid="{00000000-0005-0000-0000-00006E590000}"/>
    <cellStyle name="SAPBEXheaderText 17 7" xfId="17187" xr:uid="{00000000-0005-0000-0000-00006F590000}"/>
    <cellStyle name="SAPBEXheaderText 17 8" xfId="19851" xr:uid="{00000000-0005-0000-0000-000070590000}"/>
    <cellStyle name="SAPBEXheaderText 17 9" xfId="21864" xr:uid="{00000000-0005-0000-0000-000071590000}"/>
    <cellStyle name="SAPBEXheaderText 18" xfId="3624" xr:uid="{00000000-0005-0000-0000-000072590000}"/>
    <cellStyle name="SAPBEXheaderText 18 2" xfId="6162" xr:uid="{00000000-0005-0000-0000-000073590000}"/>
    <cellStyle name="SAPBEXheaderText 18 3" xfId="9752" xr:uid="{00000000-0005-0000-0000-000074590000}"/>
    <cellStyle name="SAPBEXheaderText 18 4" xfId="11670" xr:uid="{00000000-0005-0000-0000-000075590000}"/>
    <cellStyle name="SAPBEXheaderText 18 5" xfId="14117" xr:uid="{00000000-0005-0000-0000-000076590000}"/>
    <cellStyle name="SAPBEXheaderText 18 6" xfId="15131" xr:uid="{00000000-0005-0000-0000-000077590000}"/>
    <cellStyle name="SAPBEXheaderText 18 7" xfId="18813" xr:uid="{00000000-0005-0000-0000-000078590000}"/>
    <cellStyle name="SAPBEXheaderText 18 8" xfId="19827" xr:uid="{00000000-0005-0000-0000-000079590000}"/>
    <cellStyle name="SAPBEXheaderText 18 9" xfId="23344" xr:uid="{00000000-0005-0000-0000-00007A590000}"/>
    <cellStyle name="SAPBEXheaderText 19" xfId="3726" xr:uid="{00000000-0005-0000-0000-00007B590000}"/>
    <cellStyle name="SAPBEXheaderText 19 2" xfId="6264" xr:uid="{00000000-0005-0000-0000-00007C590000}"/>
    <cellStyle name="SAPBEXheaderText 19 3" xfId="9570" xr:uid="{00000000-0005-0000-0000-00007D590000}"/>
    <cellStyle name="SAPBEXheaderText 19 4" xfId="10993" xr:uid="{00000000-0005-0000-0000-00007E590000}"/>
    <cellStyle name="SAPBEXheaderText 19 5" xfId="13367" xr:uid="{00000000-0005-0000-0000-00007F590000}"/>
    <cellStyle name="SAPBEXheaderText 19 6" xfId="16180" xr:uid="{00000000-0005-0000-0000-000080590000}"/>
    <cellStyle name="SAPBEXheaderText 19 7" xfId="18063" xr:uid="{00000000-0005-0000-0000-000081590000}"/>
    <cellStyle name="SAPBEXheaderText 19 8" xfId="20876" xr:uid="{00000000-0005-0000-0000-000082590000}"/>
    <cellStyle name="SAPBEXheaderText 19 9" xfId="22666" xr:uid="{00000000-0005-0000-0000-000083590000}"/>
    <cellStyle name="SAPBEXheaderText 2" xfId="3079" xr:uid="{00000000-0005-0000-0000-000084590000}"/>
    <cellStyle name="SAPBEXheaderText 2 10" xfId="42390" xr:uid="{44728FFB-73E1-4772-9749-F17DED06CD0D}"/>
    <cellStyle name="SAPBEXheaderText 2 2" xfId="5617" xr:uid="{00000000-0005-0000-0000-000085590000}"/>
    <cellStyle name="SAPBEXheaderText 2 3" xfId="9996" xr:uid="{00000000-0005-0000-0000-000086590000}"/>
    <cellStyle name="SAPBEXheaderText 2 4" xfId="10702" xr:uid="{00000000-0005-0000-0000-000087590000}"/>
    <cellStyle name="SAPBEXheaderText 2 5" xfId="13055" xr:uid="{00000000-0005-0000-0000-000088590000}"/>
    <cellStyle name="SAPBEXheaderText 2 6" xfId="15969" xr:uid="{00000000-0005-0000-0000-000089590000}"/>
    <cellStyle name="SAPBEXheaderText 2 7" xfId="17751" xr:uid="{00000000-0005-0000-0000-00008A590000}"/>
    <cellStyle name="SAPBEXheaderText 2 8" xfId="20665" xr:uid="{00000000-0005-0000-0000-00008B590000}"/>
    <cellStyle name="SAPBEXheaderText 2 9" xfId="22375" xr:uid="{00000000-0005-0000-0000-00008C590000}"/>
    <cellStyle name="SAPBEXheaderText 20" xfId="3674" xr:uid="{00000000-0005-0000-0000-00008D590000}"/>
    <cellStyle name="SAPBEXheaderText 20 2" xfId="6212" xr:uid="{00000000-0005-0000-0000-00008E590000}"/>
    <cellStyle name="SAPBEXheaderText 20 3" xfId="9357" xr:uid="{00000000-0005-0000-0000-00008F590000}"/>
    <cellStyle name="SAPBEXheaderText 20 4" xfId="10874" xr:uid="{00000000-0005-0000-0000-000090590000}"/>
    <cellStyle name="SAPBEXheaderText 20 5" xfId="12410" xr:uid="{00000000-0005-0000-0000-000091590000}"/>
    <cellStyle name="SAPBEXheaderText 20 6" xfId="16593" xr:uid="{00000000-0005-0000-0000-000092590000}"/>
    <cellStyle name="SAPBEXheaderText 20 7" xfId="17106" xr:uid="{00000000-0005-0000-0000-000093590000}"/>
    <cellStyle name="SAPBEXheaderText 20 8" xfId="21289" xr:uid="{00000000-0005-0000-0000-000094590000}"/>
    <cellStyle name="SAPBEXheaderText 20 9" xfId="21792" xr:uid="{00000000-0005-0000-0000-000095590000}"/>
    <cellStyle name="SAPBEXheaderText 21" xfId="3788" xr:uid="{00000000-0005-0000-0000-000096590000}"/>
    <cellStyle name="SAPBEXheaderText 21 2" xfId="6326" xr:uid="{00000000-0005-0000-0000-000097590000}"/>
    <cellStyle name="SAPBEXheaderText 21 3" xfId="5529" xr:uid="{00000000-0005-0000-0000-000098590000}"/>
    <cellStyle name="SAPBEXheaderText 21 4" xfId="11437" xr:uid="{00000000-0005-0000-0000-000099590000}"/>
    <cellStyle name="SAPBEXheaderText 21 5" xfId="13855" xr:uid="{00000000-0005-0000-0000-00009A590000}"/>
    <cellStyle name="SAPBEXheaderText 21 6" xfId="15338" xr:uid="{00000000-0005-0000-0000-00009B590000}"/>
    <cellStyle name="SAPBEXheaderText 21 7" xfId="18551" xr:uid="{00000000-0005-0000-0000-00009C590000}"/>
    <cellStyle name="SAPBEXheaderText 21 8" xfId="20034" xr:uid="{00000000-0005-0000-0000-00009D590000}"/>
    <cellStyle name="SAPBEXheaderText 21 9" xfId="23112" xr:uid="{00000000-0005-0000-0000-00009E590000}"/>
    <cellStyle name="SAPBEXheaderText 22" xfId="3825" xr:uid="{00000000-0005-0000-0000-00009F590000}"/>
    <cellStyle name="SAPBEXheaderText 22 2" xfId="6363" xr:uid="{00000000-0005-0000-0000-0000A0590000}"/>
    <cellStyle name="SAPBEXheaderText 22 3" xfId="8063" xr:uid="{00000000-0005-0000-0000-0000A1590000}"/>
    <cellStyle name="SAPBEXheaderText 22 4" xfId="11427" xr:uid="{00000000-0005-0000-0000-0000A2590000}"/>
    <cellStyle name="SAPBEXheaderText 22 5" xfId="13845" xr:uid="{00000000-0005-0000-0000-0000A3590000}"/>
    <cellStyle name="SAPBEXheaderText 22 6" xfId="15664" xr:uid="{00000000-0005-0000-0000-0000A4590000}"/>
    <cellStyle name="SAPBEXheaderText 22 7" xfId="18541" xr:uid="{00000000-0005-0000-0000-0000A5590000}"/>
    <cellStyle name="SAPBEXheaderText 22 8" xfId="20360" xr:uid="{00000000-0005-0000-0000-0000A6590000}"/>
    <cellStyle name="SAPBEXheaderText 22 9" xfId="23102" xr:uid="{00000000-0005-0000-0000-0000A7590000}"/>
    <cellStyle name="SAPBEXheaderText 23" xfId="3776" xr:uid="{00000000-0005-0000-0000-0000A8590000}"/>
    <cellStyle name="SAPBEXheaderText 23 2" xfId="6314" xr:uid="{00000000-0005-0000-0000-0000A9590000}"/>
    <cellStyle name="SAPBEXheaderText 23 3" xfId="9802" xr:uid="{00000000-0005-0000-0000-0000AA590000}"/>
    <cellStyle name="SAPBEXheaderText 23 4" xfId="11434" xr:uid="{00000000-0005-0000-0000-0000AB590000}"/>
    <cellStyle name="SAPBEXheaderText 23 5" xfId="13852" xr:uid="{00000000-0005-0000-0000-0000AC590000}"/>
    <cellStyle name="SAPBEXheaderText 23 6" xfId="16187" xr:uid="{00000000-0005-0000-0000-0000AD590000}"/>
    <cellStyle name="SAPBEXheaderText 23 7" xfId="18548" xr:uid="{00000000-0005-0000-0000-0000AE590000}"/>
    <cellStyle name="SAPBEXheaderText 23 8" xfId="20883" xr:uid="{00000000-0005-0000-0000-0000AF590000}"/>
    <cellStyle name="SAPBEXheaderText 23 9" xfId="23109" xr:uid="{00000000-0005-0000-0000-0000B0590000}"/>
    <cellStyle name="SAPBEXheaderText 24" xfId="3805" xr:uid="{00000000-0005-0000-0000-0000B1590000}"/>
    <cellStyle name="SAPBEXheaderText 24 2" xfId="6343" xr:uid="{00000000-0005-0000-0000-0000B2590000}"/>
    <cellStyle name="SAPBEXheaderText 24 3" xfId="9779" xr:uid="{00000000-0005-0000-0000-0000B3590000}"/>
    <cellStyle name="SAPBEXheaderText 24 4" xfId="11368" xr:uid="{00000000-0005-0000-0000-0000B4590000}"/>
    <cellStyle name="SAPBEXheaderText 24 5" xfId="13781" xr:uid="{00000000-0005-0000-0000-0000B5590000}"/>
    <cellStyle name="SAPBEXheaderText 24 6" xfId="16176" xr:uid="{00000000-0005-0000-0000-0000B6590000}"/>
    <cellStyle name="SAPBEXheaderText 24 7" xfId="18477" xr:uid="{00000000-0005-0000-0000-0000B7590000}"/>
    <cellStyle name="SAPBEXheaderText 24 8" xfId="20872" xr:uid="{00000000-0005-0000-0000-0000B8590000}"/>
    <cellStyle name="SAPBEXheaderText 24 9" xfId="23042" xr:uid="{00000000-0005-0000-0000-0000B9590000}"/>
    <cellStyle name="SAPBEXheaderText 25" xfId="3900" xr:uid="{00000000-0005-0000-0000-0000BA590000}"/>
    <cellStyle name="SAPBEXheaderText 25 2" xfId="6438" xr:uid="{00000000-0005-0000-0000-0000BB590000}"/>
    <cellStyle name="SAPBEXheaderText 25 3" xfId="9939" xr:uid="{00000000-0005-0000-0000-0000BC590000}"/>
    <cellStyle name="SAPBEXheaderText 25 4" xfId="11010" xr:uid="{00000000-0005-0000-0000-0000BD590000}"/>
    <cellStyle name="SAPBEXheaderText 25 5" xfId="13387" xr:uid="{00000000-0005-0000-0000-0000BE590000}"/>
    <cellStyle name="SAPBEXheaderText 25 6" xfId="16448" xr:uid="{00000000-0005-0000-0000-0000BF590000}"/>
    <cellStyle name="SAPBEXheaderText 25 7" xfId="18083" xr:uid="{00000000-0005-0000-0000-0000C0590000}"/>
    <cellStyle name="SAPBEXheaderText 25 8" xfId="21144" xr:uid="{00000000-0005-0000-0000-0000C1590000}"/>
    <cellStyle name="SAPBEXheaderText 25 9" xfId="22683" xr:uid="{00000000-0005-0000-0000-0000C2590000}"/>
    <cellStyle name="SAPBEXheaderText 26" xfId="3943" xr:uid="{00000000-0005-0000-0000-0000C3590000}"/>
    <cellStyle name="SAPBEXheaderText 26 2" xfId="6481" xr:uid="{00000000-0005-0000-0000-0000C4590000}"/>
    <cellStyle name="SAPBEXheaderText 26 3" xfId="8680" xr:uid="{00000000-0005-0000-0000-0000C5590000}"/>
    <cellStyle name="SAPBEXheaderText 26 4" xfId="11912" xr:uid="{00000000-0005-0000-0000-0000C6590000}"/>
    <cellStyle name="SAPBEXheaderText 26 5" xfId="14384" xr:uid="{00000000-0005-0000-0000-0000C7590000}"/>
    <cellStyle name="SAPBEXheaderText 26 6" xfId="16849" xr:uid="{00000000-0005-0000-0000-0000C8590000}"/>
    <cellStyle name="SAPBEXheaderText 26 7" xfId="19080" xr:uid="{00000000-0005-0000-0000-0000C9590000}"/>
    <cellStyle name="SAPBEXheaderText 26 8" xfId="21545" xr:uid="{00000000-0005-0000-0000-0000CA590000}"/>
    <cellStyle name="SAPBEXheaderText 26 9" xfId="23587" xr:uid="{00000000-0005-0000-0000-0000CB590000}"/>
    <cellStyle name="SAPBEXheaderText 27" xfId="3986" xr:uid="{00000000-0005-0000-0000-0000CC590000}"/>
    <cellStyle name="SAPBEXheaderText 27 2" xfId="6524" xr:uid="{00000000-0005-0000-0000-0000CD590000}"/>
    <cellStyle name="SAPBEXheaderText 27 3" xfId="10201" xr:uid="{00000000-0005-0000-0000-0000CE590000}"/>
    <cellStyle name="SAPBEXheaderText 27 4" xfId="11777" xr:uid="{00000000-0005-0000-0000-0000CF590000}"/>
    <cellStyle name="SAPBEXheaderText 27 5" xfId="14231" xr:uid="{00000000-0005-0000-0000-0000D0590000}"/>
    <cellStyle name="SAPBEXheaderText 27 6" xfId="16974" xr:uid="{00000000-0005-0000-0000-0000D1590000}"/>
    <cellStyle name="SAPBEXheaderText 27 7" xfId="18927" xr:uid="{00000000-0005-0000-0000-0000D2590000}"/>
    <cellStyle name="SAPBEXheaderText 27 8" xfId="21670" xr:uid="{00000000-0005-0000-0000-0000D3590000}"/>
    <cellStyle name="SAPBEXheaderText 27 9" xfId="23451" xr:uid="{00000000-0005-0000-0000-0000D4590000}"/>
    <cellStyle name="SAPBEXheaderText 28" xfId="3946" xr:uid="{00000000-0005-0000-0000-0000D5590000}"/>
    <cellStyle name="SAPBEXheaderText 28 2" xfId="6484" xr:uid="{00000000-0005-0000-0000-0000D6590000}"/>
    <cellStyle name="SAPBEXheaderText 28 3" xfId="5498" xr:uid="{00000000-0005-0000-0000-0000D7590000}"/>
    <cellStyle name="SAPBEXheaderText 28 4" xfId="10518" xr:uid="{00000000-0005-0000-0000-0000D8590000}"/>
    <cellStyle name="SAPBEXheaderText 28 5" xfId="12858" xr:uid="{00000000-0005-0000-0000-0000D9590000}"/>
    <cellStyle name="SAPBEXheaderText 28 6" xfId="12529" xr:uid="{00000000-0005-0000-0000-0000DA590000}"/>
    <cellStyle name="SAPBEXheaderText 28 7" xfId="17554" xr:uid="{00000000-0005-0000-0000-0000DB590000}"/>
    <cellStyle name="SAPBEXheaderText 28 8" xfId="17225" xr:uid="{00000000-0005-0000-0000-0000DC590000}"/>
    <cellStyle name="SAPBEXheaderText 28 9" xfId="22189" xr:uid="{00000000-0005-0000-0000-0000DD590000}"/>
    <cellStyle name="SAPBEXheaderText 29" xfId="3972" xr:uid="{00000000-0005-0000-0000-0000DE590000}"/>
    <cellStyle name="SAPBEXheaderText 29 2" xfId="6510" xr:uid="{00000000-0005-0000-0000-0000DF590000}"/>
    <cellStyle name="SAPBEXheaderText 29 3" xfId="9483" xr:uid="{00000000-0005-0000-0000-0000E0590000}"/>
    <cellStyle name="SAPBEXheaderText 29 4" xfId="9960" xr:uid="{00000000-0005-0000-0000-0000E1590000}"/>
    <cellStyle name="SAPBEXheaderText 29 5" xfId="14534" xr:uid="{00000000-0005-0000-0000-0000E2590000}"/>
    <cellStyle name="SAPBEXheaderText 29 6" xfId="13143" xr:uid="{00000000-0005-0000-0000-0000E3590000}"/>
    <cellStyle name="SAPBEXheaderText 29 7" xfId="19230" xr:uid="{00000000-0005-0000-0000-0000E4590000}"/>
    <cellStyle name="SAPBEXheaderText 29 8" xfId="17839" xr:uid="{00000000-0005-0000-0000-0000E5590000}"/>
    <cellStyle name="SAPBEXheaderText 29 9" xfId="23726" xr:uid="{00000000-0005-0000-0000-0000E6590000}"/>
    <cellStyle name="SAPBEXheaderText 3" xfId="3023" xr:uid="{00000000-0005-0000-0000-0000E7590000}"/>
    <cellStyle name="SAPBEXheaderText 3 2" xfId="5562" xr:uid="{00000000-0005-0000-0000-0000E8590000}"/>
    <cellStyle name="SAPBEXheaderText 3 3" xfId="10207" xr:uid="{00000000-0005-0000-0000-0000E9590000}"/>
    <cellStyle name="SAPBEXheaderText 3 4" xfId="10303" xr:uid="{00000000-0005-0000-0000-0000EA590000}"/>
    <cellStyle name="SAPBEXheaderText 3 5" xfId="12617" xr:uid="{00000000-0005-0000-0000-0000EB590000}"/>
    <cellStyle name="SAPBEXheaderText 3 6" xfId="13397" xr:uid="{00000000-0005-0000-0000-0000EC590000}"/>
    <cellStyle name="SAPBEXheaderText 3 7" xfId="17313" xr:uid="{00000000-0005-0000-0000-0000ED590000}"/>
    <cellStyle name="SAPBEXheaderText 3 8" xfId="18093" xr:uid="{00000000-0005-0000-0000-0000EE590000}"/>
    <cellStyle name="SAPBEXheaderText 3 9" xfId="21973" xr:uid="{00000000-0005-0000-0000-0000EF590000}"/>
    <cellStyle name="SAPBEXheaderText 30" xfId="3804" xr:uid="{00000000-0005-0000-0000-0000F0590000}"/>
    <cellStyle name="SAPBEXheaderText 30 2" xfId="6342" xr:uid="{00000000-0005-0000-0000-0000F1590000}"/>
    <cellStyle name="SAPBEXheaderText 30 3" xfId="9322" xr:uid="{00000000-0005-0000-0000-0000F2590000}"/>
    <cellStyle name="SAPBEXheaderText 30 4" xfId="11099" xr:uid="{00000000-0005-0000-0000-0000F3590000}"/>
    <cellStyle name="SAPBEXheaderText 30 5" xfId="13492" xr:uid="{00000000-0005-0000-0000-0000F4590000}"/>
    <cellStyle name="SAPBEXheaderText 30 6" xfId="15159" xr:uid="{00000000-0005-0000-0000-0000F5590000}"/>
    <cellStyle name="SAPBEXheaderText 30 7" xfId="18188" xr:uid="{00000000-0005-0000-0000-0000F6590000}"/>
    <cellStyle name="SAPBEXheaderText 30 8" xfId="19855" xr:uid="{00000000-0005-0000-0000-0000F7590000}"/>
    <cellStyle name="SAPBEXheaderText 30 9" xfId="22772" xr:uid="{00000000-0005-0000-0000-0000F8590000}"/>
    <cellStyle name="SAPBEXheaderText 31" xfId="4134" xr:uid="{00000000-0005-0000-0000-0000F9590000}"/>
    <cellStyle name="SAPBEXheaderText 31 2" xfId="6672" xr:uid="{00000000-0005-0000-0000-0000FA590000}"/>
    <cellStyle name="SAPBEXheaderText 31 3" xfId="5486" xr:uid="{00000000-0005-0000-0000-0000FB590000}"/>
    <cellStyle name="SAPBEXheaderText 31 4" xfId="10957" xr:uid="{00000000-0005-0000-0000-0000FC590000}"/>
    <cellStyle name="SAPBEXheaderText 31 5" xfId="13328" xr:uid="{00000000-0005-0000-0000-0000FD590000}"/>
    <cellStyle name="SAPBEXheaderText 31 6" xfId="16896" xr:uid="{00000000-0005-0000-0000-0000FE590000}"/>
    <cellStyle name="SAPBEXheaderText 31 7" xfId="18024" xr:uid="{00000000-0005-0000-0000-0000FF590000}"/>
    <cellStyle name="SAPBEXheaderText 31 8" xfId="21592" xr:uid="{00000000-0005-0000-0000-0000005A0000}"/>
    <cellStyle name="SAPBEXheaderText 31 9" xfId="22628" xr:uid="{00000000-0005-0000-0000-0000015A0000}"/>
    <cellStyle name="SAPBEXheaderText 32" xfId="4177" xr:uid="{00000000-0005-0000-0000-0000025A0000}"/>
    <cellStyle name="SAPBEXheaderText 32 2" xfId="6715" xr:uid="{00000000-0005-0000-0000-0000035A0000}"/>
    <cellStyle name="SAPBEXheaderText 32 3" xfId="8663" xr:uid="{00000000-0005-0000-0000-0000045A0000}"/>
    <cellStyle name="SAPBEXheaderText 32 4" xfId="10856" xr:uid="{00000000-0005-0000-0000-0000055A0000}"/>
    <cellStyle name="SAPBEXheaderText 32 5" xfId="13221" xr:uid="{00000000-0005-0000-0000-0000065A0000}"/>
    <cellStyle name="SAPBEXheaderText 32 6" xfId="15534" xr:uid="{00000000-0005-0000-0000-0000075A0000}"/>
    <cellStyle name="SAPBEXheaderText 32 7" xfId="17917" xr:uid="{00000000-0005-0000-0000-0000085A0000}"/>
    <cellStyle name="SAPBEXheaderText 32 8" xfId="20230" xr:uid="{00000000-0005-0000-0000-0000095A0000}"/>
    <cellStyle name="SAPBEXheaderText 32 9" xfId="22527" xr:uid="{00000000-0005-0000-0000-00000A5A0000}"/>
    <cellStyle name="SAPBEXheaderText 33" xfId="4222" xr:uid="{00000000-0005-0000-0000-00000B5A0000}"/>
    <cellStyle name="SAPBEXheaderText 33 2" xfId="6760" xr:uid="{00000000-0005-0000-0000-00000C5A0000}"/>
    <cellStyle name="SAPBEXheaderText 33 3" xfId="8274" xr:uid="{00000000-0005-0000-0000-00000D5A0000}"/>
    <cellStyle name="SAPBEXheaderText 33 4" xfId="10398" xr:uid="{00000000-0005-0000-0000-00000E5A0000}"/>
    <cellStyle name="SAPBEXheaderText 33 5" xfId="12721" xr:uid="{00000000-0005-0000-0000-00000F5A0000}"/>
    <cellStyle name="SAPBEXheaderText 33 6" xfId="15134" xr:uid="{00000000-0005-0000-0000-0000105A0000}"/>
    <cellStyle name="SAPBEXheaderText 33 7" xfId="17417" xr:uid="{00000000-0005-0000-0000-0000115A0000}"/>
    <cellStyle name="SAPBEXheaderText 33 8" xfId="19830" xr:uid="{00000000-0005-0000-0000-0000125A0000}"/>
    <cellStyle name="SAPBEXheaderText 33 9" xfId="22069" xr:uid="{00000000-0005-0000-0000-0000135A0000}"/>
    <cellStyle name="SAPBEXheaderText 34" xfId="4262" xr:uid="{00000000-0005-0000-0000-0000145A0000}"/>
    <cellStyle name="SAPBEXheaderText 34 2" xfId="6800" xr:uid="{00000000-0005-0000-0000-0000155A0000}"/>
    <cellStyle name="SAPBEXheaderText 34 3" xfId="8061" xr:uid="{00000000-0005-0000-0000-0000165A0000}"/>
    <cellStyle name="SAPBEXheaderText 34 4" xfId="10018" xr:uid="{00000000-0005-0000-0000-0000175A0000}"/>
    <cellStyle name="SAPBEXheaderText 34 5" xfId="12534" xr:uid="{00000000-0005-0000-0000-0000185A0000}"/>
    <cellStyle name="SAPBEXheaderText 34 6" xfId="16301" xr:uid="{00000000-0005-0000-0000-0000195A0000}"/>
    <cellStyle name="SAPBEXheaderText 34 7" xfId="17230" xr:uid="{00000000-0005-0000-0000-00001A5A0000}"/>
    <cellStyle name="SAPBEXheaderText 34 8" xfId="20997" xr:uid="{00000000-0005-0000-0000-00001B5A0000}"/>
    <cellStyle name="SAPBEXheaderText 34 9" xfId="21898" xr:uid="{00000000-0005-0000-0000-00001C5A0000}"/>
    <cellStyle name="SAPBEXheaderText 35" xfId="4305" xr:uid="{00000000-0005-0000-0000-00001D5A0000}"/>
    <cellStyle name="SAPBEXheaderText 35 2" xfId="6843" xr:uid="{00000000-0005-0000-0000-00001E5A0000}"/>
    <cellStyle name="SAPBEXheaderText 35 3" xfId="8894" xr:uid="{00000000-0005-0000-0000-00001F5A0000}"/>
    <cellStyle name="SAPBEXheaderText 35 4" xfId="10597" xr:uid="{00000000-0005-0000-0000-0000205A0000}"/>
    <cellStyle name="SAPBEXheaderText 35 5" xfId="12945" xr:uid="{00000000-0005-0000-0000-0000215A0000}"/>
    <cellStyle name="SAPBEXheaderText 35 6" xfId="15743" xr:uid="{00000000-0005-0000-0000-0000225A0000}"/>
    <cellStyle name="SAPBEXheaderText 35 7" xfId="17641" xr:uid="{00000000-0005-0000-0000-0000235A0000}"/>
    <cellStyle name="SAPBEXheaderText 35 8" xfId="20439" xr:uid="{00000000-0005-0000-0000-0000245A0000}"/>
    <cellStyle name="SAPBEXheaderText 35 9" xfId="22270" xr:uid="{00000000-0005-0000-0000-0000255A0000}"/>
    <cellStyle name="SAPBEXheaderText 36" xfId="4348" xr:uid="{00000000-0005-0000-0000-0000265A0000}"/>
    <cellStyle name="SAPBEXheaderText 36 2" xfId="6886" xr:uid="{00000000-0005-0000-0000-0000275A0000}"/>
    <cellStyle name="SAPBEXheaderText 36 3" xfId="8631" xr:uid="{00000000-0005-0000-0000-0000285A0000}"/>
    <cellStyle name="SAPBEXheaderText 36 4" xfId="11166" xr:uid="{00000000-0005-0000-0000-0000295A0000}"/>
    <cellStyle name="SAPBEXheaderText 36 5" xfId="13562" xr:uid="{00000000-0005-0000-0000-00002A5A0000}"/>
    <cellStyle name="SAPBEXheaderText 36 6" xfId="12593" xr:uid="{00000000-0005-0000-0000-00002B5A0000}"/>
    <cellStyle name="SAPBEXheaderText 36 7" xfId="18258" xr:uid="{00000000-0005-0000-0000-00002C5A0000}"/>
    <cellStyle name="SAPBEXheaderText 36 8" xfId="17289" xr:uid="{00000000-0005-0000-0000-00002D5A0000}"/>
    <cellStyle name="SAPBEXheaderText 36 9" xfId="22839" xr:uid="{00000000-0005-0000-0000-00002E5A0000}"/>
    <cellStyle name="SAPBEXheaderText 37" xfId="4391" xr:uid="{00000000-0005-0000-0000-00002F5A0000}"/>
    <cellStyle name="SAPBEXheaderText 37 2" xfId="6929" xr:uid="{00000000-0005-0000-0000-0000305A0000}"/>
    <cellStyle name="SAPBEXheaderText 37 3" xfId="9463" xr:uid="{00000000-0005-0000-0000-0000315A0000}"/>
    <cellStyle name="SAPBEXheaderText 37 4" xfId="11595" xr:uid="{00000000-0005-0000-0000-0000325A0000}"/>
    <cellStyle name="SAPBEXheaderText 37 5" xfId="14033" xr:uid="{00000000-0005-0000-0000-0000335A0000}"/>
    <cellStyle name="SAPBEXheaderText 37 6" xfId="12835" xr:uid="{00000000-0005-0000-0000-0000345A0000}"/>
    <cellStyle name="SAPBEXheaderText 37 7" xfId="18729" xr:uid="{00000000-0005-0000-0000-0000355A0000}"/>
    <cellStyle name="SAPBEXheaderText 37 8" xfId="17531" xr:uid="{00000000-0005-0000-0000-0000365A0000}"/>
    <cellStyle name="SAPBEXheaderText 37 9" xfId="23269" xr:uid="{00000000-0005-0000-0000-0000375A0000}"/>
    <cellStyle name="SAPBEXheaderText 38" xfId="4434" xr:uid="{00000000-0005-0000-0000-0000385A0000}"/>
    <cellStyle name="SAPBEXheaderText 38 2" xfId="6972" xr:uid="{00000000-0005-0000-0000-0000395A0000}"/>
    <cellStyle name="SAPBEXheaderText 38 3" xfId="9055" xr:uid="{00000000-0005-0000-0000-00003A5A0000}"/>
    <cellStyle name="SAPBEXheaderText 38 4" xfId="11719" xr:uid="{00000000-0005-0000-0000-00003B5A0000}"/>
    <cellStyle name="SAPBEXheaderText 38 5" xfId="14170" xr:uid="{00000000-0005-0000-0000-00003C5A0000}"/>
    <cellStyle name="SAPBEXheaderText 38 6" xfId="15162" xr:uid="{00000000-0005-0000-0000-00003D5A0000}"/>
    <cellStyle name="SAPBEXheaderText 38 7" xfId="18866" xr:uid="{00000000-0005-0000-0000-00003E5A0000}"/>
    <cellStyle name="SAPBEXheaderText 38 8" xfId="19858" xr:uid="{00000000-0005-0000-0000-00003F5A0000}"/>
    <cellStyle name="SAPBEXheaderText 38 9" xfId="23393" xr:uid="{00000000-0005-0000-0000-0000405A0000}"/>
    <cellStyle name="SAPBEXheaderText 39" xfId="4353" xr:uid="{00000000-0005-0000-0000-0000415A0000}"/>
    <cellStyle name="SAPBEXheaderText 39 2" xfId="6891" xr:uid="{00000000-0005-0000-0000-0000425A0000}"/>
    <cellStyle name="SAPBEXheaderText 39 3" xfId="8545" xr:uid="{00000000-0005-0000-0000-0000435A0000}"/>
    <cellStyle name="SAPBEXheaderText 39 4" xfId="7942" xr:uid="{00000000-0005-0000-0000-0000445A0000}"/>
    <cellStyle name="SAPBEXheaderText 39 5" xfId="12384" xr:uid="{00000000-0005-0000-0000-0000455A0000}"/>
    <cellStyle name="SAPBEXheaderText 39 6" xfId="16393" xr:uid="{00000000-0005-0000-0000-0000465A0000}"/>
    <cellStyle name="SAPBEXheaderText 39 7" xfId="17080" xr:uid="{00000000-0005-0000-0000-0000475A0000}"/>
    <cellStyle name="SAPBEXheaderText 39 8" xfId="21089" xr:uid="{00000000-0005-0000-0000-0000485A0000}"/>
    <cellStyle name="SAPBEXheaderText 39 9" xfId="21769" xr:uid="{00000000-0005-0000-0000-0000495A0000}"/>
    <cellStyle name="SAPBEXheaderText 4" xfId="3165" xr:uid="{00000000-0005-0000-0000-00004A5A0000}"/>
    <cellStyle name="SAPBEXheaderText 4 2" xfId="5703" xr:uid="{00000000-0005-0000-0000-00004B5A0000}"/>
    <cellStyle name="SAPBEXheaderText 4 3" xfId="10042" xr:uid="{00000000-0005-0000-0000-00004C5A0000}"/>
    <cellStyle name="SAPBEXheaderText 4 4" xfId="11661" xr:uid="{00000000-0005-0000-0000-00004D5A0000}"/>
    <cellStyle name="SAPBEXheaderText 4 5" xfId="14108" xr:uid="{00000000-0005-0000-0000-00004E5A0000}"/>
    <cellStyle name="SAPBEXheaderText 4 6" xfId="15733" xr:uid="{00000000-0005-0000-0000-00004F5A0000}"/>
    <cellStyle name="SAPBEXheaderText 4 7" xfId="18804" xr:uid="{00000000-0005-0000-0000-0000505A0000}"/>
    <cellStyle name="SAPBEXheaderText 4 8" xfId="20429" xr:uid="{00000000-0005-0000-0000-0000515A0000}"/>
    <cellStyle name="SAPBEXheaderText 4 9" xfId="23336" xr:uid="{00000000-0005-0000-0000-0000525A0000}"/>
    <cellStyle name="SAPBEXheaderText 40" xfId="4430" xr:uid="{00000000-0005-0000-0000-0000535A0000}"/>
    <cellStyle name="SAPBEXheaderText 40 2" xfId="6968" xr:uid="{00000000-0005-0000-0000-0000545A0000}"/>
    <cellStyle name="SAPBEXheaderText 40 3" xfId="8145" xr:uid="{00000000-0005-0000-0000-0000555A0000}"/>
    <cellStyle name="SAPBEXheaderText 40 4" xfId="10758" xr:uid="{00000000-0005-0000-0000-0000565A0000}"/>
    <cellStyle name="SAPBEXheaderText 40 5" xfId="13113" xr:uid="{00000000-0005-0000-0000-0000575A0000}"/>
    <cellStyle name="SAPBEXheaderText 40 6" xfId="16192" xr:uid="{00000000-0005-0000-0000-0000585A0000}"/>
    <cellStyle name="SAPBEXheaderText 40 7" xfId="17809" xr:uid="{00000000-0005-0000-0000-0000595A0000}"/>
    <cellStyle name="SAPBEXheaderText 40 8" xfId="20888" xr:uid="{00000000-0005-0000-0000-00005A5A0000}"/>
    <cellStyle name="SAPBEXheaderText 40 9" xfId="22430" xr:uid="{00000000-0005-0000-0000-00005B5A0000}"/>
    <cellStyle name="SAPBEXheaderText 41" xfId="4504" xr:uid="{00000000-0005-0000-0000-00005C5A0000}"/>
    <cellStyle name="SAPBEXheaderText 41 2" xfId="7042" xr:uid="{00000000-0005-0000-0000-00005D5A0000}"/>
    <cellStyle name="SAPBEXheaderText 41 3" xfId="8043" xr:uid="{00000000-0005-0000-0000-00005E5A0000}"/>
    <cellStyle name="SAPBEXheaderText 41 4" xfId="10804" xr:uid="{00000000-0005-0000-0000-00005F5A0000}"/>
    <cellStyle name="SAPBEXheaderText 41 5" xfId="13164" xr:uid="{00000000-0005-0000-0000-0000605A0000}"/>
    <cellStyle name="SAPBEXheaderText 41 6" xfId="15413" xr:uid="{00000000-0005-0000-0000-0000615A0000}"/>
    <cellStyle name="SAPBEXheaderText 41 7" xfId="17860" xr:uid="{00000000-0005-0000-0000-0000625A0000}"/>
    <cellStyle name="SAPBEXheaderText 41 8" xfId="20109" xr:uid="{00000000-0005-0000-0000-0000635A0000}"/>
    <cellStyle name="SAPBEXheaderText 41 9" xfId="22475" xr:uid="{00000000-0005-0000-0000-0000645A0000}"/>
    <cellStyle name="SAPBEXheaderText 42" xfId="4606" xr:uid="{00000000-0005-0000-0000-0000655A0000}"/>
    <cellStyle name="SAPBEXheaderText 42 2" xfId="7144" xr:uid="{00000000-0005-0000-0000-0000665A0000}"/>
    <cellStyle name="SAPBEXheaderText 42 3" xfId="10028" xr:uid="{00000000-0005-0000-0000-0000675A0000}"/>
    <cellStyle name="SAPBEXheaderText 42 4" xfId="11298" xr:uid="{00000000-0005-0000-0000-0000685A0000}"/>
    <cellStyle name="SAPBEXheaderText 42 5" xfId="13705" xr:uid="{00000000-0005-0000-0000-0000695A0000}"/>
    <cellStyle name="SAPBEXheaderText 42 6" xfId="15741" xr:uid="{00000000-0005-0000-0000-00006A5A0000}"/>
    <cellStyle name="SAPBEXheaderText 42 7" xfId="18401" xr:uid="{00000000-0005-0000-0000-00006B5A0000}"/>
    <cellStyle name="SAPBEXheaderText 42 8" xfId="20437" xr:uid="{00000000-0005-0000-0000-00006C5A0000}"/>
    <cellStyle name="SAPBEXheaderText 42 9" xfId="22972" xr:uid="{00000000-0005-0000-0000-00006D5A0000}"/>
    <cellStyle name="SAPBEXheaderText 43" xfId="4649" xr:uid="{00000000-0005-0000-0000-00006E5A0000}"/>
    <cellStyle name="SAPBEXheaderText 43 2" xfId="7187" xr:uid="{00000000-0005-0000-0000-00006F5A0000}"/>
    <cellStyle name="SAPBEXheaderText 43 3" xfId="9579" xr:uid="{00000000-0005-0000-0000-0000705A0000}"/>
    <cellStyle name="SAPBEXheaderText 43 4" xfId="11602" xr:uid="{00000000-0005-0000-0000-0000715A0000}"/>
    <cellStyle name="SAPBEXheaderText 43 5" xfId="14040" xr:uid="{00000000-0005-0000-0000-0000725A0000}"/>
    <cellStyle name="SAPBEXheaderText 43 6" xfId="15406" xr:uid="{00000000-0005-0000-0000-0000735A0000}"/>
    <cellStyle name="SAPBEXheaderText 43 7" xfId="18736" xr:uid="{00000000-0005-0000-0000-0000745A0000}"/>
    <cellStyle name="SAPBEXheaderText 43 8" xfId="20102" xr:uid="{00000000-0005-0000-0000-0000755A0000}"/>
    <cellStyle name="SAPBEXheaderText 43 9" xfId="23276" xr:uid="{00000000-0005-0000-0000-0000765A0000}"/>
    <cellStyle name="SAPBEXheaderText 44" xfId="4691" xr:uid="{00000000-0005-0000-0000-0000775A0000}"/>
    <cellStyle name="SAPBEXheaderText 44 2" xfId="7229" xr:uid="{00000000-0005-0000-0000-0000785A0000}"/>
    <cellStyle name="SAPBEXheaderText 44 3" xfId="9000" xr:uid="{00000000-0005-0000-0000-0000795A0000}"/>
    <cellStyle name="SAPBEXheaderText 44 4" xfId="11382" xr:uid="{00000000-0005-0000-0000-00007A5A0000}"/>
    <cellStyle name="SAPBEXheaderText 44 5" xfId="13796" xr:uid="{00000000-0005-0000-0000-00007B5A0000}"/>
    <cellStyle name="SAPBEXheaderText 44 6" xfId="16856" xr:uid="{00000000-0005-0000-0000-00007C5A0000}"/>
    <cellStyle name="SAPBEXheaderText 44 7" xfId="18492" xr:uid="{00000000-0005-0000-0000-00007D5A0000}"/>
    <cellStyle name="SAPBEXheaderText 44 8" xfId="21552" xr:uid="{00000000-0005-0000-0000-00007E5A0000}"/>
    <cellStyle name="SAPBEXheaderText 44 9" xfId="23056" xr:uid="{00000000-0005-0000-0000-00007F5A0000}"/>
    <cellStyle name="SAPBEXheaderText 45" xfId="4734" xr:uid="{00000000-0005-0000-0000-0000805A0000}"/>
    <cellStyle name="SAPBEXheaderText 45 2" xfId="7272" xr:uid="{00000000-0005-0000-0000-0000815A0000}"/>
    <cellStyle name="SAPBEXheaderText 45 3" xfId="9232" xr:uid="{00000000-0005-0000-0000-0000825A0000}"/>
    <cellStyle name="SAPBEXheaderText 45 4" xfId="12067" xr:uid="{00000000-0005-0000-0000-0000835A0000}"/>
    <cellStyle name="SAPBEXheaderText 45 5" xfId="14547" xr:uid="{00000000-0005-0000-0000-0000845A0000}"/>
    <cellStyle name="SAPBEXheaderText 45 6" xfId="14678" xr:uid="{00000000-0005-0000-0000-0000855A0000}"/>
    <cellStyle name="SAPBEXheaderText 45 7" xfId="19243" xr:uid="{00000000-0005-0000-0000-0000865A0000}"/>
    <cellStyle name="SAPBEXheaderText 45 8" xfId="19374" xr:uid="{00000000-0005-0000-0000-0000875A0000}"/>
    <cellStyle name="SAPBEXheaderText 45 9" xfId="23739" xr:uid="{00000000-0005-0000-0000-0000885A0000}"/>
    <cellStyle name="SAPBEXheaderText 46" xfId="4694" xr:uid="{00000000-0005-0000-0000-0000895A0000}"/>
    <cellStyle name="SAPBEXheaderText 46 2" xfId="7232" xr:uid="{00000000-0005-0000-0000-00008A5A0000}"/>
    <cellStyle name="SAPBEXheaderText 46 3" xfId="8189" xr:uid="{00000000-0005-0000-0000-00008B5A0000}"/>
    <cellStyle name="SAPBEXheaderText 46 4" xfId="11246" xr:uid="{00000000-0005-0000-0000-00008C5A0000}"/>
    <cellStyle name="SAPBEXheaderText 46 5" xfId="13651" xr:uid="{00000000-0005-0000-0000-00008D5A0000}"/>
    <cellStyle name="SAPBEXheaderText 46 6" xfId="16570" xr:uid="{00000000-0005-0000-0000-00008E5A0000}"/>
    <cellStyle name="SAPBEXheaderText 46 7" xfId="18347" xr:uid="{00000000-0005-0000-0000-00008F5A0000}"/>
    <cellStyle name="SAPBEXheaderText 46 8" xfId="21266" xr:uid="{00000000-0005-0000-0000-0000905A0000}"/>
    <cellStyle name="SAPBEXheaderText 46 9" xfId="22920" xr:uid="{00000000-0005-0000-0000-0000915A0000}"/>
    <cellStyle name="SAPBEXheaderText 47" xfId="4796" xr:uid="{00000000-0005-0000-0000-0000925A0000}"/>
    <cellStyle name="SAPBEXheaderText 47 2" xfId="7334" xr:uid="{00000000-0005-0000-0000-0000935A0000}"/>
    <cellStyle name="SAPBEXheaderText 47 3" xfId="8516" xr:uid="{00000000-0005-0000-0000-0000945A0000}"/>
    <cellStyle name="SAPBEXheaderText 47 4" xfId="10402" xr:uid="{00000000-0005-0000-0000-0000955A0000}"/>
    <cellStyle name="SAPBEXheaderText 47 5" xfId="12725" xr:uid="{00000000-0005-0000-0000-0000965A0000}"/>
    <cellStyle name="SAPBEXheaderText 47 6" xfId="15383" xr:uid="{00000000-0005-0000-0000-0000975A0000}"/>
    <cellStyle name="SAPBEXheaderText 47 7" xfId="17421" xr:uid="{00000000-0005-0000-0000-0000985A0000}"/>
    <cellStyle name="SAPBEXheaderText 47 8" xfId="20079" xr:uid="{00000000-0005-0000-0000-0000995A0000}"/>
    <cellStyle name="SAPBEXheaderText 47 9" xfId="22073" xr:uid="{00000000-0005-0000-0000-00009A5A0000}"/>
    <cellStyle name="SAPBEXheaderText 48" xfId="4839" xr:uid="{00000000-0005-0000-0000-00009B5A0000}"/>
    <cellStyle name="SAPBEXheaderText 48 2" xfId="7377" xr:uid="{00000000-0005-0000-0000-00009C5A0000}"/>
    <cellStyle name="SAPBEXheaderText 48 3" xfId="10073" xr:uid="{00000000-0005-0000-0000-00009D5A0000}"/>
    <cellStyle name="SAPBEXheaderText 48 4" xfId="12114" xr:uid="{00000000-0005-0000-0000-00009E5A0000}"/>
    <cellStyle name="SAPBEXheaderText 48 5" xfId="14596" xr:uid="{00000000-0005-0000-0000-00009F5A0000}"/>
    <cellStyle name="SAPBEXheaderText 48 6" xfId="16725" xr:uid="{00000000-0005-0000-0000-0000A05A0000}"/>
    <cellStyle name="SAPBEXheaderText 48 7" xfId="19292" xr:uid="{00000000-0005-0000-0000-0000A15A0000}"/>
    <cellStyle name="SAPBEXheaderText 48 8" xfId="21421" xr:uid="{00000000-0005-0000-0000-0000A25A0000}"/>
    <cellStyle name="SAPBEXheaderText 48 9" xfId="23788" xr:uid="{00000000-0005-0000-0000-0000A35A0000}"/>
    <cellStyle name="SAPBEXheaderText 49" xfId="4753" xr:uid="{00000000-0005-0000-0000-0000A45A0000}"/>
    <cellStyle name="SAPBEXheaderText 49 2" xfId="7291" xr:uid="{00000000-0005-0000-0000-0000A55A0000}"/>
    <cellStyle name="SAPBEXheaderText 49 3" xfId="5499" xr:uid="{00000000-0005-0000-0000-0000A65A0000}"/>
    <cellStyle name="SAPBEXheaderText 49 4" xfId="9394" xr:uid="{00000000-0005-0000-0000-0000A75A0000}"/>
    <cellStyle name="SAPBEXheaderText 49 5" xfId="12927" xr:uid="{00000000-0005-0000-0000-0000A85A0000}"/>
    <cellStyle name="SAPBEXheaderText 49 6" xfId="16991" xr:uid="{00000000-0005-0000-0000-0000A95A0000}"/>
    <cellStyle name="SAPBEXheaderText 49 7" xfId="17623" xr:uid="{00000000-0005-0000-0000-0000AA5A0000}"/>
    <cellStyle name="SAPBEXheaderText 49 8" xfId="21687" xr:uid="{00000000-0005-0000-0000-0000AB5A0000}"/>
    <cellStyle name="SAPBEXheaderText 49 9" xfId="22253" xr:uid="{00000000-0005-0000-0000-0000AC5A0000}"/>
    <cellStyle name="SAPBEXheaderText 5" xfId="3208" xr:uid="{00000000-0005-0000-0000-0000AD5A0000}"/>
    <cellStyle name="SAPBEXheaderText 5 2" xfId="5746" xr:uid="{00000000-0005-0000-0000-0000AE5A0000}"/>
    <cellStyle name="SAPBEXheaderText 5 3" xfId="9476" xr:uid="{00000000-0005-0000-0000-0000AF5A0000}"/>
    <cellStyle name="SAPBEXheaderText 5 4" xfId="10578" xr:uid="{00000000-0005-0000-0000-0000B05A0000}"/>
    <cellStyle name="SAPBEXheaderText 5 5" xfId="12924" xr:uid="{00000000-0005-0000-0000-0000B15A0000}"/>
    <cellStyle name="SAPBEXheaderText 5 6" xfId="15936" xr:uid="{00000000-0005-0000-0000-0000B25A0000}"/>
    <cellStyle name="SAPBEXheaderText 5 7" xfId="17620" xr:uid="{00000000-0005-0000-0000-0000B35A0000}"/>
    <cellStyle name="SAPBEXheaderText 5 8" xfId="20632" xr:uid="{00000000-0005-0000-0000-0000B45A0000}"/>
    <cellStyle name="SAPBEXheaderText 5 9" xfId="22250" xr:uid="{00000000-0005-0000-0000-0000B55A0000}"/>
    <cellStyle name="SAPBEXheaderText 50" xfId="4835" xr:uid="{00000000-0005-0000-0000-0000B65A0000}"/>
    <cellStyle name="SAPBEXheaderText 50 2" xfId="7373" xr:uid="{00000000-0005-0000-0000-0000B75A0000}"/>
    <cellStyle name="SAPBEXheaderText 50 3" xfId="8767" xr:uid="{00000000-0005-0000-0000-0000B85A0000}"/>
    <cellStyle name="SAPBEXheaderText 50 4" xfId="10422" xr:uid="{00000000-0005-0000-0000-0000B95A0000}"/>
    <cellStyle name="SAPBEXheaderText 50 5" xfId="12747" xr:uid="{00000000-0005-0000-0000-0000BA5A0000}"/>
    <cellStyle name="SAPBEXheaderText 50 6" xfId="15140" xr:uid="{00000000-0005-0000-0000-0000BB5A0000}"/>
    <cellStyle name="SAPBEXheaderText 50 7" xfId="17443" xr:uid="{00000000-0005-0000-0000-0000BC5A0000}"/>
    <cellStyle name="SAPBEXheaderText 50 8" xfId="19836" xr:uid="{00000000-0005-0000-0000-0000BD5A0000}"/>
    <cellStyle name="SAPBEXheaderText 50 9" xfId="22093" xr:uid="{00000000-0005-0000-0000-0000BE5A0000}"/>
    <cellStyle name="SAPBEXheaderText 51" xfId="4945" xr:uid="{00000000-0005-0000-0000-0000BF5A0000}"/>
    <cellStyle name="SAPBEXheaderText 51 2" xfId="7483" xr:uid="{00000000-0005-0000-0000-0000C05A0000}"/>
    <cellStyle name="SAPBEXheaderText 51 3" xfId="8047" xr:uid="{00000000-0005-0000-0000-0000C15A0000}"/>
    <cellStyle name="SAPBEXheaderText 51 4" xfId="11647" xr:uid="{00000000-0005-0000-0000-0000C25A0000}"/>
    <cellStyle name="SAPBEXheaderText 51 5" xfId="14092" xr:uid="{00000000-0005-0000-0000-0000C35A0000}"/>
    <cellStyle name="SAPBEXheaderText 51 6" xfId="13900" xr:uid="{00000000-0005-0000-0000-0000C45A0000}"/>
    <cellStyle name="SAPBEXheaderText 51 7" xfId="18788" xr:uid="{00000000-0005-0000-0000-0000C55A0000}"/>
    <cellStyle name="SAPBEXheaderText 51 8" xfId="18596" xr:uid="{00000000-0005-0000-0000-0000C65A0000}"/>
    <cellStyle name="SAPBEXheaderText 51 9" xfId="23322" xr:uid="{00000000-0005-0000-0000-0000C75A0000}"/>
    <cellStyle name="SAPBEXheaderText 52" xfId="4998" xr:uid="{00000000-0005-0000-0000-0000C85A0000}"/>
    <cellStyle name="SAPBEXheaderText 52 2" xfId="7536" xr:uid="{00000000-0005-0000-0000-0000C95A0000}"/>
    <cellStyle name="SAPBEXheaderText 52 3" xfId="8457" xr:uid="{00000000-0005-0000-0000-0000CA5A0000}"/>
    <cellStyle name="SAPBEXheaderText 52 4" xfId="11932" xr:uid="{00000000-0005-0000-0000-0000CB5A0000}"/>
    <cellStyle name="SAPBEXheaderText 52 5" xfId="14873" xr:uid="{00000000-0005-0000-0000-0000CC5A0000}"/>
    <cellStyle name="SAPBEXheaderText 52 6" xfId="15812" xr:uid="{00000000-0005-0000-0000-0000CD5A0000}"/>
    <cellStyle name="SAPBEXheaderText 52 7" xfId="19569" xr:uid="{00000000-0005-0000-0000-0000CE5A0000}"/>
    <cellStyle name="SAPBEXheaderText 52 8" xfId="20508" xr:uid="{00000000-0005-0000-0000-0000CF5A0000}"/>
    <cellStyle name="SAPBEXheaderText 52 9" xfId="24043" xr:uid="{00000000-0005-0000-0000-0000D05A0000}"/>
    <cellStyle name="SAPBEXheaderText 53" xfId="5035" xr:uid="{00000000-0005-0000-0000-0000D15A0000}"/>
    <cellStyle name="SAPBEXheaderText 53 2" xfId="7573" xr:uid="{00000000-0005-0000-0000-0000D25A0000}"/>
    <cellStyle name="SAPBEXheaderText 53 3" xfId="8211" xr:uid="{00000000-0005-0000-0000-0000D35A0000}"/>
    <cellStyle name="SAPBEXheaderText 53 4" xfId="11801" xr:uid="{00000000-0005-0000-0000-0000D45A0000}"/>
    <cellStyle name="SAPBEXheaderText 53 5" xfId="14258" xr:uid="{00000000-0005-0000-0000-0000D55A0000}"/>
    <cellStyle name="SAPBEXheaderText 53 6" xfId="13271" xr:uid="{00000000-0005-0000-0000-0000D65A0000}"/>
    <cellStyle name="SAPBEXheaderText 53 7" xfId="18954" xr:uid="{00000000-0005-0000-0000-0000D75A0000}"/>
    <cellStyle name="SAPBEXheaderText 53 8" xfId="17967" xr:uid="{00000000-0005-0000-0000-0000D85A0000}"/>
    <cellStyle name="SAPBEXheaderText 53 9" xfId="23476" xr:uid="{00000000-0005-0000-0000-0000D95A0000}"/>
    <cellStyle name="SAPBEXheaderText 54" xfId="5066" xr:uid="{00000000-0005-0000-0000-0000DA5A0000}"/>
    <cellStyle name="SAPBEXheaderText 54 2" xfId="7604" xr:uid="{00000000-0005-0000-0000-0000DB5A0000}"/>
    <cellStyle name="SAPBEXheaderText 54 3" xfId="9578" xr:uid="{00000000-0005-0000-0000-0000DC5A0000}"/>
    <cellStyle name="SAPBEXheaderText 54 4" xfId="11490" xr:uid="{00000000-0005-0000-0000-0000DD5A0000}"/>
    <cellStyle name="SAPBEXheaderText 54 5" xfId="13917" xr:uid="{00000000-0005-0000-0000-0000DE5A0000}"/>
    <cellStyle name="SAPBEXheaderText 54 6" xfId="15382" xr:uid="{00000000-0005-0000-0000-0000DF5A0000}"/>
    <cellStyle name="SAPBEXheaderText 54 7" xfId="18613" xr:uid="{00000000-0005-0000-0000-0000E05A0000}"/>
    <cellStyle name="SAPBEXheaderText 54 8" xfId="20078" xr:uid="{00000000-0005-0000-0000-0000E15A0000}"/>
    <cellStyle name="SAPBEXheaderText 54 9" xfId="23165" xr:uid="{00000000-0005-0000-0000-0000E25A0000}"/>
    <cellStyle name="SAPBEXheaderText 55" xfId="5096" xr:uid="{00000000-0005-0000-0000-0000E35A0000}"/>
    <cellStyle name="SAPBEXheaderText 55 2" xfId="7634" xr:uid="{00000000-0005-0000-0000-0000E45A0000}"/>
    <cellStyle name="SAPBEXheaderText 55 3" xfId="9158" xr:uid="{00000000-0005-0000-0000-0000E55A0000}"/>
    <cellStyle name="SAPBEXheaderText 55 4" xfId="8872" xr:uid="{00000000-0005-0000-0000-0000E65A0000}"/>
    <cellStyle name="SAPBEXheaderText 55 5" xfId="14942" xr:uid="{00000000-0005-0000-0000-0000E75A0000}"/>
    <cellStyle name="SAPBEXheaderText 55 6" xfId="14955" xr:uid="{00000000-0005-0000-0000-0000E85A0000}"/>
    <cellStyle name="SAPBEXheaderText 55 7" xfId="19638" xr:uid="{00000000-0005-0000-0000-0000E95A0000}"/>
    <cellStyle name="SAPBEXheaderText 55 8" xfId="19651" xr:uid="{00000000-0005-0000-0000-0000EA5A0000}"/>
    <cellStyle name="SAPBEXheaderText 55 9" xfId="24105" xr:uid="{00000000-0005-0000-0000-0000EB5A0000}"/>
    <cellStyle name="SAPBEXheaderText 56" xfId="5141" xr:uid="{00000000-0005-0000-0000-0000EC5A0000}"/>
    <cellStyle name="SAPBEXheaderText 56 2" xfId="7679" xr:uid="{00000000-0005-0000-0000-0000ED5A0000}"/>
    <cellStyle name="SAPBEXheaderText 56 3" xfId="10091" xr:uid="{00000000-0005-0000-0000-0000EE5A0000}"/>
    <cellStyle name="SAPBEXheaderText 56 4" xfId="12081" xr:uid="{00000000-0005-0000-0000-0000EF5A0000}"/>
    <cellStyle name="SAPBEXheaderText 56 5" xfId="14561" xr:uid="{00000000-0005-0000-0000-0000F05A0000}"/>
    <cellStyle name="SAPBEXheaderText 56 6" xfId="15457" xr:uid="{00000000-0005-0000-0000-0000F15A0000}"/>
    <cellStyle name="SAPBEXheaderText 56 7" xfId="19257" xr:uid="{00000000-0005-0000-0000-0000F25A0000}"/>
    <cellStyle name="SAPBEXheaderText 56 8" xfId="20153" xr:uid="{00000000-0005-0000-0000-0000F35A0000}"/>
    <cellStyle name="SAPBEXheaderText 56 9" xfId="23753" xr:uid="{00000000-0005-0000-0000-0000F45A0000}"/>
    <cellStyle name="SAPBEXheaderText 57" xfId="5210" xr:uid="{00000000-0005-0000-0000-0000F55A0000}"/>
    <cellStyle name="SAPBEXheaderText 57 2" xfId="7749" xr:uid="{00000000-0005-0000-0000-0000F65A0000}"/>
    <cellStyle name="SAPBEXheaderText 57 3" xfId="8511" xr:uid="{00000000-0005-0000-0000-0000F75A0000}"/>
    <cellStyle name="SAPBEXheaderText 57 4" xfId="10234" xr:uid="{00000000-0005-0000-0000-0000F85A0000}"/>
    <cellStyle name="SAPBEXheaderText 57 5" xfId="12493" xr:uid="{00000000-0005-0000-0000-0000F95A0000}"/>
    <cellStyle name="SAPBEXheaderText 57 6" xfId="16495" xr:uid="{00000000-0005-0000-0000-0000FA5A0000}"/>
    <cellStyle name="SAPBEXheaderText 57 7" xfId="17189" xr:uid="{00000000-0005-0000-0000-0000FB5A0000}"/>
    <cellStyle name="SAPBEXheaderText 57 8" xfId="21191" xr:uid="{00000000-0005-0000-0000-0000FC5A0000}"/>
    <cellStyle name="SAPBEXheaderText 57 9" xfId="21866" xr:uid="{00000000-0005-0000-0000-0000FD5A0000}"/>
    <cellStyle name="SAPBEXheaderText 58" xfId="5174" xr:uid="{00000000-0005-0000-0000-0000FE5A0000}"/>
    <cellStyle name="SAPBEXheaderText 58 2" xfId="8899" xr:uid="{00000000-0005-0000-0000-0000FF5A0000}"/>
    <cellStyle name="SAPBEXheaderText 58 3" xfId="10592" xr:uid="{00000000-0005-0000-0000-0000005B0000}"/>
    <cellStyle name="SAPBEXheaderText 58 4" xfId="12940" xr:uid="{00000000-0005-0000-0000-0000015B0000}"/>
    <cellStyle name="SAPBEXheaderText 58 5" xfId="15495" xr:uid="{00000000-0005-0000-0000-0000025B0000}"/>
    <cellStyle name="SAPBEXheaderText 58 6" xfId="17636" xr:uid="{00000000-0005-0000-0000-0000035B0000}"/>
    <cellStyle name="SAPBEXheaderText 58 7" xfId="20191" xr:uid="{00000000-0005-0000-0000-0000045B0000}"/>
    <cellStyle name="SAPBEXheaderText 58 8" xfId="22265" xr:uid="{00000000-0005-0000-0000-0000055B0000}"/>
    <cellStyle name="SAPBEXheaderText 59" xfId="8487" xr:uid="{00000000-0005-0000-0000-0000065B0000}"/>
    <cellStyle name="SAPBEXheaderText 6" xfId="3251" xr:uid="{00000000-0005-0000-0000-0000075B0000}"/>
    <cellStyle name="SAPBEXheaderText 6 2" xfId="5789" xr:uid="{00000000-0005-0000-0000-0000085B0000}"/>
    <cellStyle name="SAPBEXheaderText 6 3" xfId="7722" xr:uid="{00000000-0005-0000-0000-0000095B0000}"/>
    <cellStyle name="SAPBEXheaderText 6 4" xfId="10998" xr:uid="{00000000-0005-0000-0000-00000A5B0000}"/>
    <cellStyle name="SAPBEXheaderText 6 5" xfId="13373" xr:uid="{00000000-0005-0000-0000-00000B5B0000}"/>
    <cellStyle name="SAPBEXheaderText 6 6" xfId="16274" xr:uid="{00000000-0005-0000-0000-00000C5B0000}"/>
    <cellStyle name="SAPBEXheaderText 6 7" xfId="18069" xr:uid="{00000000-0005-0000-0000-00000D5B0000}"/>
    <cellStyle name="SAPBEXheaderText 6 8" xfId="20970" xr:uid="{00000000-0005-0000-0000-00000E5B0000}"/>
    <cellStyle name="SAPBEXheaderText 6 9" xfId="22671" xr:uid="{00000000-0005-0000-0000-00000F5B0000}"/>
    <cellStyle name="SAPBEXheaderText 60" xfId="5511" xr:uid="{00000000-0005-0000-0000-0000105B0000}"/>
    <cellStyle name="SAPBEXheaderText 61" xfId="12488" xr:uid="{00000000-0005-0000-0000-0000115B0000}"/>
    <cellStyle name="SAPBEXheaderText 62" xfId="13879" xr:uid="{00000000-0005-0000-0000-0000125B0000}"/>
    <cellStyle name="SAPBEXheaderText 63" xfId="17184" xr:uid="{00000000-0005-0000-0000-0000135B0000}"/>
    <cellStyle name="SAPBEXheaderText 64" xfId="18575" xr:uid="{00000000-0005-0000-0000-0000145B0000}"/>
    <cellStyle name="SAPBEXheaderText 65" xfId="21861" xr:uid="{00000000-0005-0000-0000-0000155B0000}"/>
    <cellStyle name="SAPBEXheaderText 66" xfId="42181" xr:uid="{51993F0A-9FCC-43ED-94C8-802A4B04E390}"/>
    <cellStyle name="SAPBEXheaderText 7" xfId="3294" xr:uid="{00000000-0005-0000-0000-0000165B0000}"/>
    <cellStyle name="SAPBEXheaderText 7 2" xfId="5832" xr:uid="{00000000-0005-0000-0000-0000175B0000}"/>
    <cellStyle name="SAPBEXheaderText 7 3" xfId="9821" xr:uid="{00000000-0005-0000-0000-0000185B0000}"/>
    <cellStyle name="SAPBEXheaderText 7 4" xfId="11966" xr:uid="{00000000-0005-0000-0000-0000195B0000}"/>
    <cellStyle name="SAPBEXheaderText 7 5" xfId="14872" xr:uid="{00000000-0005-0000-0000-00001A5B0000}"/>
    <cellStyle name="SAPBEXheaderText 7 6" xfId="15590" xr:uid="{00000000-0005-0000-0000-00001B5B0000}"/>
    <cellStyle name="SAPBEXheaderText 7 7" xfId="19568" xr:uid="{00000000-0005-0000-0000-00001C5B0000}"/>
    <cellStyle name="SAPBEXheaderText 7 8" xfId="20286" xr:uid="{00000000-0005-0000-0000-00001D5B0000}"/>
    <cellStyle name="SAPBEXheaderText 7 9" xfId="24042" xr:uid="{00000000-0005-0000-0000-00001E5B0000}"/>
    <cellStyle name="SAPBEXheaderText 8" xfId="3337" xr:uid="{00000000-0005-0000-0000-00001F5B0000}"/>
    <cellStyle name="SAPBEXheaderText 8 2" xfId="5875" xr:uid="{00000000-0005-0000-0000-0000205B0000}"/>
    <cellStyle name="SAPBEXheaderText 8 3" xfId="5479" xr:uid="{00000000-0005-0000-0000-0000215B0000}"/>
    <cellStyle name="SAPBEXheaderText 8 4" xfId="5497" xr:uid="{00000000-0005-0000-0000-0000225B0000}"/>
    <cellStyle name="SAPBEXheaderText 8 5" xfId="12388" xr:uid="{00000000-0005-0000-0000-0000235B0000}"/>
    <cellStyle name="SAPBEXheaderText 8 6" xfId="16499" xr:uid="{00000000-0005-0000-0000-0000245B0000}"/>
    <cellStyle name="SAPBEXheaderText 8 7" xfId="17084" xr:uid="{00000000-0005-0000-0000-0000255B0000}"/>
    <cellStyle name="SAPBEXheaderText 8 8" xfId="21195" xr:uid="{00000000-0005-0000-0000-0000265B0000}"/>
    <cellStyle name="SAPBEXheaderText 8 9" xfId="21773" xr:uid="{00000000-0005-0000-0000-0000275B0000}"/>
    <cellStyle name="SAPBEXheaderText 9" xfId="3380" xr:uid="{00000000-0005-0000-0000-0000285B0000}"/>
    <cellStyle name="SAPBEXheaderText 9 2" xfId="5918" xr:uid="{00000000-0005-0000-0000-0000295B0000}"/>
    <cellStyle name="SAPBEXheaderText 9 3" xfId="5448" xr:uid="{00000000-0005-0000-0000-00002A5B0000}"/>
    <cellStyle name="SAPBEXheaderText 9 4" xfId="10862" xr:uid="{00000000-0005-0000-0000-00002B5B0000}"/>
    <cellStyle name="SAPBEXheaderText 9 5" xfId="13227" xr:uid="{00000000-0005-0000-0000-00002C5B0000}"/>
    <cellStyle name="SAPBEXheaderText 9 6" xfId="15871" xr:uid="{00000000-0005-0000-0000-00002D5B0000}"/>
    <cellStyle name="SAPBEXheaderText 9 7" xfId="17923" xr:uid="{00000000-0005-0000-0000-00002E5B0000}"/>
    <cellStyle name="SAPBEXheaderText 9 8" xfId="20567" xr:uid="{00000000-0005-0000-0000-00002F5B0000}"/>
    <cellStyle name="SAPBEXheaderText 9 9" xfId="22533" xr:uid="{00000000-0005-0000-0000-0000305B0000}"/>
    <cellStyle name="SAPBEXHLevel0" xfId="2961" xr:uid="{00000000-0005-0000-0000-0000315B0000}"/>
    <cellStyle name="SAPBEXHLevel0 10" xfId="3408" xr:uid="{00000000-0005-0000-0000-0000325B0000}"/>
    <cellStyle name="SAPBEXHLevel0 10 2" xfId="5946" xr:uid="{00000000-0005-0000-0000-0000335B0000}"/>
    <cellStyle name="SAPBEXHLevel0 10 3" xfId="8166" xr:uid="{00000000-0005-0000-0000-0000345B0000}"/>
    <cellStyle name="SAPBEXHLevel0 10 4" xfId="12288" xr:uid="{00000000-0005-0000-0000-0000355B0000}"/>
    <cellStyle name="SAPBEXHLevel0 10 5" xfId="13933" xr:uid="{00000000-0005-0000-0000-0000365B0000}"/>
    <cellStyle name="SAPBEXHLevel0 10 6" xfId="15361" xr:uid="{00000000-0005-0000-0000-0000375B0000}"/>
    <cellStyle name="SAPBEXHLevel0 10 7" xfId="18629" xr:uid="{00000000-0005-0000-0000-0000385B0000}"/>
    <cellStyle name="SAPBEXHLevel0 10 8" xfId="20057" xr:uid="{00000000-0005-0000-0000-0000395B0000}"/>
    <cellStyle name="SAPBEXHLevel0 10 9" xfId="23180" xr:uid="{00000000-0005-0000-0000-00003A5B0000}"/>
    <cellStyle name="SAPBEXHLevel0 11" xfId="3266" xr:uid="{00000000-0005-0000-0000-00003B5B0000}"/>
    <cellStyle name="SAPBEXHLevel0 11 2" xfId="5804" xr:uid="{00000000-0005-0000-0000-00003C5B0000}"/>
    <cellStyle name="SAPBEXHLevel0 11 3" xfId="8654" xr:uid="{00000000-0005-0000-0000-00003D5B0000}"/>
    <cellStyle name="SAPBEXHLevel0 11 4" xfId="10639" xr:uid="{00000000-0005-0000-0000-00003E5B0000}"/>
    <cellStyle name="SAPBEXHLevel0 11 5" xfId="12988" xr:uid="{00000000-0005-0000-0000-00003F5B0000}"/>
    <cellStyle name="SAPBEXHLevel0 11 6" xfId="15554" xr:uid="{00000000-0005-0000-0000-0000405B0000}"/>
    <cellStyle name="SAPBEXHLevel0 11 7" xfId="17684" xr:uid="{00000000-0005-0000-0000-0000415B0000}"/>
    <cellStyle name="SAPBEXHLevel0 11 8" xfId="20250" xr:uid="{00000000-0005-0000-0000-0000425B0000}"/>
    <cellStyle name="SAPBEXHLevel0 11 9" xfId="22312" xr:uid="{00000000-0005-0000-0000-0000435B0000}"/>
    <cellStyle name="SAPBEXHLevel0 12" xfId="3472" xr:uid="{00000000-0005-0000-0000-0000445B0000}"/>
    <cellStyle name="SAPBEXHLevel0 12 2" xfId="6010" xr:uid="{00000000-0005-0000-0000-0000455B0000}"/>
    <cellStyle name="SAPBEXHLevel0 12 3" xfId="8677" xr:uid="{00000000-0005-0000-0000-0000465B0000}"/>
    <cellStyle name="SAPBEXHLevel0 12 4" xfId="10261" xr:uid="{00000000-0005-0000-0000-0000475B0000}"/>
    <cellStyle name="SAPBEXHLevel0 12 5" xfId="12570" xr:uid="{00000000-0005-0000-0000-0000485B0000}"/>
    <cellStyle name="SAPBEXHLevel0 12 6" xfId="15323" xr:uid="{00000000-0005-0000-0000-0000495B0000}"/>
    <cellStyle name="SAPBEXHLevel0 12 7" xfId="17266" xr:uid="{00000000-0005-0000-0000-00004A5B0000}"/>
    <cellStyle name="SAPBEXHLevel0 12 8" xfId="20019" xr:uid="{00000000-0005-0000-0000-00004B5B0000}"/>
    <cellStyle name="SAPBEXHLevel0 12 9" xfId="21930" xr:uid="{00000000-0005-0000-0000-00004C5B0000}"/>
    <cellStyle name="SAPBEXHLevel0 13" xfId="3606" xr:uid="{00000000-0005-0000-0000-00004D5B0000}"/>
    <cellStyle name="SAPBEXHLevel0 13 2" xfId="6144" xr:uid="{00000000-0005-0000-0000-00004E5B0000}"/>
    <cellStyle name="SAPBEXHLevel0 13 3" xfId="10094" xr:uid="{00000000-0005-0000-0000-00004F5B0000}"/>
    <cellStyle name="SAPBEXHLevel0 13 4" xfId="10428" xr:uid="{00000000-0005-0000-0000-0000505B0000}"/>
    <cellStyle name="SAPBEXHLevel0 13 5" xfId="14908" xr:uid="{00000000-0005-0000-0000-0000515B0000}"/>
    <cellStyle name="SAPBEXHLevel0 13 6" xfId="15096" xr:uid="{00000000-0005-0000-0000-0000525B0000}"/>
    <cellStyle name="SAPBEXHLevel0 13 7" xfId="19604" xr:uid="{00000000-0005-0000-0000-0000535B0000}"/>
    <cellStyle name="SAPBEXHLevel0 13 8" xfId="19792" xr:uid="{00000000-0005-0000-0000-0000545B0000}"/>
    <cellStyle name="SAPBEXHLevel0 13 9" xfId="24073" xr:uid="{00000000-0005-0000-0000-0000555B0000}"/>
    <cellStyle name="SAPBEXHLevel0 14" xfId="3517" xr:uid="{00000000-0005-0000-0000-0000565B0000}"/>
    <cellStyle name="SAPBEXHLevel0 14 2" xfId="6055" xr:uid="{00000000-0005-0000-0000-0000575B0000}"/>
    <cellStyle name="SAPBEXHLevel0 14 3" xfId="9218" xr:uid="{00000000-0005-0000-0000-0000585B0000}"/>
    <cellStyle name="SAPBEXHLevel0 14 4" xfId="11242" xr:uid="{00000000-0005-0000-0000-0000595B0000}"/>
    <cellStyle name="SAPBEXHLevel0 14 5" xfId="13647" xr:uid="{00000000-0005-0000-0000-00005A5B0000}"/>
    <cellStyle name="SAPBEXHLevel0 14 6" xfId="16482" xr:uid="{00000000-0005-0000-0000-00005B5B0000}"/>
    <cellStyle name="SAPBEXHLevel0 14 7" xfId="18343" xr:uid="{00000000-0005-0000-0000-00005C5B0000}"/>
    <cellStyle name="SAPBEXHLevel0 14 8" xfId="21178" xr:uid="{00000000-0005-0000-0000-00005D5B0000}"/>
    <cellStyle name="SAPBEXHLevel0 14 9" xfId="22916" xr:uid="{00000000-0005-0000-0000-00005E5B0000}"/>
    <cellStyle name="SAPBEXHLevel0 15" xfId="3559" xr:uid="{00000000-0005-0000-0000-00005F5B0000}"/>
    <cellStyle name="SAPBEXHLevel0 15 2" xfId="6097" xr:uid="{00000000-0005-0000-0000-0000605B0000}"/>
    <cellStyle name="SAPBEXHLevel0 15 3" xfId="10239" xr:uid="{00000000-0005-0000-0000-0000615B0000}"/>
    <cellStyle name="SAPBEXHLevel0 15 4" xfId="12139" xr:uid="{00000000-0005-0000-0000-0000625B0000}"/>
    <cellStyle name="SAPBEXHLevel0 15 5" xfId="14622" xr:uid="{00000000-0005-0000-0000-0000635B0000}"/>
    <cellStyle name="SAPBEXHLevel0 15 6" xfId="15949" xr:uid="{00000000-0005-0000-0000-0000645B0000}"/>
    <cellStyle name="SAPBEXHLevel0 15 7" xfId="19318" xr:uid="{00000000-0005-0000-0000-0000655B0000}"/>
    <cellStyle name="SAPBEXHLevel0 15 8" xfId="20645" xr:uid="{00000000-0005-0000-0000-0000665B0000}"/>
    <cellStyle name="SAPBEXHLevel0 15 9" xfId="23813" xr:uid="{00000000-0005-0000-0000-0000675B0000}"/>
    <cellStyle name="SAPBEXHLevel0 16" xfId="3438" xr:uid="{00000000-0005-0000-0000-0000685B0000}"/>
    <cellStyle name="SAPBEXHLevel0 16 2" xfId="5976" xr:uid="{00000000-0005-0000-0000-0000695B0000}"/>
    <cellStyle name="SAPBEXHLevel0 16 3" xfId="10111" xr:uid="{00000000-0005-0000-0000-00006A5B0000}"/>
    <cellStyle name="SAPBEXHLevel0 16 4" xfId="10989" xr:uid="{00000000-0005-0000-0000-00006B5B0000}"/>
    <cellStyle name="SAPBEXHLevel0 16 5" xfId="13363" xr:uid="{00000000-0005-0000-0000-00006C5B0000}"/>
    <cellStyle name="SAPBEXHLevel0 16 6" xfId="15717" xr:uid="{00000000-0005-0000-0000-00006D5B0000}"/>
    <cellStyle name="SAPBEXHLevel0 16 7" xfId="18059" xr:uid="{00000000-0005-0000-0000-00006E5B0000}"/>
    <cellStyle name="SAPBEXHLevel0 16 8" xfId="20413" xr:uid="{00000000-0005-0000-0000-00006F5B0000}"/>
    <cellStyle name="SAPBEXHLevel0 16 9" xfId="22662" xr:uid="{00000000-0005-0000-0000-0000705B0000}"/>
    <cellStyle name="SAPBEXHLevel0 17" xfId="3826" xr:uid="{00000000-0005-0000-0000-0000715B0000}"/>
    <cellStyle name="SAPBEXHLevel0 17 2" xfId="6364" xr:uid="{00000000-0005-0000-0000-0000725B0000}"/>
    <cellStyle name="SAPBEXHLevel0 17 3" xfId="8749" xr:uid="{00000000-0005-0000-0000-0000735B0000}"/>
    <cellStyle name="SAPBEXHLevel0 17 4" xfId="11867" xr:uid="{00000000-0005-0000-0000-0000745B0000}"/>
    <cellStyle name="SAPBEXHLevel0 17 5" xfId="14330" xr:uid="{00000000-0005-0000-0000-0000755B0000}"/>
    <cellStyle name="SAPBEXHLevel0 17 6" xfId="15111" xr:uid="{00000000-0005-0000-0000-0000765B0000}"/>
    <cellStyle name="SAPBEXHLevel0 17 7" xfId="19026" xr:uid="{00000000-0005-0000-0000-0000775B0000}"/>
    <cellStyle name="SAPBEXHLevel0 17 8" xfId="19807" xr:uid="{00000000-0005-0000-0000-0000785B0000}"/>
    <cellStyle name="SAPBEXHLevel0 17 9" xfId="23543" xr:uid="{00000000-0005-0000-0000-0000795B0000}"/>
    <cellStyle name="SAPBEXHLevel0 18" xfId="3801" xr:uid="{00000000-0005-0000-0000-00007A5B0000}"/>
    <cellStyle name="SAPBEXHLevel0 18 2" xfId="6339" xr:uid="{00000000-0005-0000-0000-00007B5B0000}"/>
    <cellStyle name="SAPBEXHLevel0 18 3" xfId="8283" xr:uid="{00000000-0005-0000-0000-00007C5B0000}"/>
    <cellStyle name="SAPBEXHLevel0 18 4" xfId="10670" xr:uid="{00000000-0005-0000-0000-00007D5B0000}"/>
    <cellStyle name="SAPBEXHLevel0 18 5" xfId="12418" xr:uid="{00000000-0005-0000-0000-00007E5B0000}"/>
    <cellStyle name="SAPBEXHLevel0 18 6" xfId="13875" xr:uid="{00000000-0005-0000-0000-00007F5B0000}"/>
    <cellStyle name="SAPBEXHLevel0 18 7" xfId="17114" xr:uid="{00000000-0005-0000-0000-0000805B0000}"/>
    <cellStyle name="SAPBEXHLevel0 18 8" xfId="18571" xr:uid="{00000000-0005-0000-0000-0000815B0000}"/>
    <cellStyle name="SAPBEXHLevel0 18 9" xfId="21798" xr:uid="{00000000-0005-0000-0000-0000825B0000}"/>
    <cellStyle name="SAPBEXHLevel0 19" xfId="3866" xr:uid="{00000000-0005-0000-0000-0000835B0000}"/>
    <cellStyle name="SAPBEXHLevel0 19 2" xfId="6404" xr:uid="{00000000-0005-0000-0000-0000845B0000}"/>
    <cellStyle name="SAPBEXHLevel0 19 3" xfId="8645" xr:uid="{00000000-0005-0000-0000-0000855B0000}"/>
    <cellStyle name="SAPBEXHLevel0 19 4" xfId="12056" xr:uid="{00000000-0005-0000-0000-0000865B0000}"/>
    <cellStyle name="SAPBEXHLevel0 19 5" xfId="14536" xr:uid="{00000000-0005-0000-0000-0000875B0000}"/>
    <cellStyle name="SAPBEXHLevel0 19 6" xfId="12530" xr:uid="{00000000-0005-0000-0000-0000885B0000}"/>
    <cellStyle name="SAPBEXHLevel0 19 7" xfId="19232" xr:uid="{00000000-0005-0000-0000-0000895B0000}"/>
    <cellStyle name="SAPBEXHLevel0 19 8" xfId="17226" xr:uid="{00000000-0005-0000-0000-00008A5B0000}"/>
    <cellStyle name="SAPBEXHLevel0 19 9" xfId="23728" xr:uid="{00000000-0005-0000-0000-00008B5B0000}"/>
    <cellStyle name="SAPBEXHLevel0 2" xfId="3080" xr:uid="{00000000-0005-0000-0000-00008C5B0000}"/>
    <cellStyle name="SAPBEXHLevel0 2 10" xfId="34292" xr:uid="{E778357F-A9C8-4FF0-BDF5-9E4735913B94}"/>
    <cellStyle name="SAPBEXHLevel0 2 2" xfId="5618" xr:uid="{00000000-0005-0000-0000-00008D5B0000}"/>
    <cellStyle name="SAPBEXHLevel0 2 2 2" xfId="42038" xr:uid="{A4C17738-E3F0-4818-A424-1CF86FE3DE70}"/>
    <cellStyle name="SAPBEXHLevel0 2 3" xfId="7792" xr:uid="{00000000-0005-0000-0000-00008E5B0000}"/>
    <cellStyle name="SAPBEXHLevel0 2 4" xfId="9833" xr:uid="{00000000-0005-0000-0000-00008F5B0000}"/>
    <cellStyle name="SAPBEXHLevel0 2 5" xfId="12443" xr:uid="{00000000-0005-0000-0000-0000905B0000}"/>
    <cellStyle name="SAPBEXHLevel0 2 6" xfId="16126" xr:uid="{00000000-0005-0000-0000-0000915B0000}"/>
    <cellStyle name="SAPBEXHLevel0 2 7" xfId="17139" xr:uid="{00000000-0005-0000-0000-0000925B0000}"/>
    <cellStyle name="SAPBEXHLevel0 2 8" xfId="20822" xr:uid="{00000000-0005-0000-0000-0000935B0000}"/>
    <cellStyle name="SAPBEXHLevel0 2 9" xfId="21822" xr:uid="{00000000-0005-0000-0000-0000945B0000}"/>
    <cellStyle name="SAPBEXHLevel0 20" xfId="3928" xr:uid="{00000000-0005-0000-0000-0000955B0000}"/>
    <cellStyle name="SAPBEXHLevel0 20 2" xfId="6466" xr:uid="{00000000-0005-0000-0000-0000965B0000}"/>
    <cellStyle name="SAPBEXHLevel0 20 3" xfId="9608" xr:uid="{00000000-0005-0000-0000-0000975B0000}"/>
    <cellStyle name="SAPBEXHLevel0 20 4" xfId="10878" xr:uid="{00000000-0005-0000-0000-0000985B0000}"/>
    <cellStyle name="SAPBEXHLevel0 20 5" xfId="13245" xr:uid="{00000000-0005-0000-0000-0000995B0000}"/>
    <cellStyle name="SAPBEXHLevel0 20 6" xfId="15257" xr:uid="{00000000-0005-0000-0000-00009A5B0000}"/>
    <cellStyle name="SAPBEXHLevel0 20 7" xfId="17941" xr:uid="{00000000-0005-0000-0000-00009B5B0000}"/>
    <cellStyle name="SAPBEXHLevel0 20 8" xfId="19953" xr:uid="{00000000-0005-0000-0000-00009C5B0000}"/>
    <cellStyle name="SAPBEXHLevel0 20 9" xfId="22549" xr:uid="{00000000-0005-0000-0000-00009D5B0000}"/>
    <cellStyle name="SAPBEXHLevel0 21" xfId="3798" xr:uid="{00000000-0005-0000-0000-00009E5B0000}"/>
    <cellStyle name="SAPBEXHLevel0 21 2" xfId="6336" xr:uid="{00000000-0005-0000-0000-00009F5B0000}"/>
    <cellStyle name="SAPBEXHLevel0 21 3" xfId="10025" xr:uid="{00000000-0005-0000-0000-0000A05B0000}"/>
    <cellStyle name="SAPBEXHLevel0 21 4" xfId="10684" xr:uid="{00000000-0005-0000-0000-0000A15B0000}"/>
    <cellStyle name="SAPBEXHLevel0 21 5" xfId="12840" xr:uid="{00000000-0005-0000-0000-0000A25B0000}"/>
    <cellStyle name="SAPBEXHLevel0 21 6" xfId="16458" xr:uid="{00000000-0005-0000-0000-0000A35B0000}"/>
    <cellStyle name="SAPBEXHLevel0 21 7" xfId="17536" xr:uid="{00000000-0005-0000-0000-0000A45B0000}"/>
    <cellStyle name="SAPBEXHLevel0 21 8" xfId="21154" xr:uid="{00000000-0005-0000-0000-0000A55B0000}"/>
    <cellStyle name="SAPBEXHLevel0 21 9" xfId="22173" xr:uid="{00000000-0005-0000-0000-0000A65B0000}"/>
    <cellStyle name="SAPBEXHLevel0 22" xfId="4051" xr:uid="{00000000-0005-0000-0000-0000A75B0000}"/>
    <cellStyle name="SAPBEXHLevel0 22 2" xfId="6589" xr:uid="{00000000-0005-0000-0000-0000A85B0000}"/>
    <cellStyle name="SAPBEXHLevel0 22 3" xfId="5428" xr:uid="{00000000-0005-0000-0000-0000A95B0000}"/>
    <cellStyle name="SAPBEXHLevel0 22 4" xfId="11878" xr:uid="{00000000-0005-0000-0000-0000AA5B0000}"/>
    <cellStyle name="SAPBEXHLevel0 22 5" xfId="14343" xr:uid="{00000000-0005-0000-0000-0000AB5B0000}"/>
    <cellStyle name="SAPBEXHLevel0 22 6" xfId="15106" xr:uid="{00000000-0005-0000-0000-0000AC5B0000}"/>
    <cellStyle name="SAPBEXHLevel0 22 7" xfId="19039" xr:uid="{00000000-0005-0000-0000-0000AD5B0000}"/>
    <cellStyle name="SAPBEXHLevel0 22 8" xfId="19802" xr:uid="{00000000-0005-0000-0000-0000AE5B0000}"/>
    <cellStyle name="SAPBEXHLevel0 22 9" xfId="23554" xr:uid="{00000000-0005-0000-0000-0000AF5B0000}"/>
    <cellStyle name="SAPBEXHLevel0 23" xfId="4052" xr:uid="{00000000-0005-0000-0000-0000B05B0000}"/>
    <cellStyle name="SAPBEXHLevel0 23 2" xfId="6590" xr:uid="{00000000-0005-0000-0000-0000B15B0000}"/>
    <cellStyle name="SAPBEXHLevel0 23 3" xfId="8542" xr:uid="{00000000-0005-0000-0000-0000B25B0000}"/>
    <cellStyle name="SAPBEXHLevel0 23 4" xfId="12283" xr:uid="{00000000-0005-0000-0000-0000B35B0000}"/>
    <cellStyle name="SAPBEXHLevel0 23 5" xfId="13724" xr:uid="{00000000-0005-0000-0000-0000B45B0000}"/>
    <cellStyle name="SAPBEXHLevel0 23 6" xfId="15315" xr:uid="{00000000-0005-0000-0000-0000B55B0000}"/>
    <cellStyle name="SAPBEXHLevel0 23 7" xfId="18420" xr:uid="{00000000-0005-0000-0000-0000B65B0000}"/>
    <cellStyle name="SAPBEXHLevel0 23 8" xfId="20011" xr:uid="{00000000-0005-0000-0000-0000B75B0000}"/>
    <cellStyle name="SAPBEXHLevel0 23 9" xfId="22989" xr:uid="{00000000-0005-0000-0000-0000B85B0000}"/>
    <cellStyle name="SAPBEXHLevel0 24" xfId="4119" xr:uid="{00000000-0005-0000-0000-0000B95B0000}"/>
    <cellStyle name="SAPBEXHLevel0 24 2" xfId="6657" xr:uid="{00000000-0005-0000-0000-0000BA5B0000}"/>
    <cellStyle name="SAPBEXHLevel0 24 3" xfId="10039" xr:uid="{00000000-0005-0000-0000-0000BB5B0000}"/>
    <cellStyle name="SAPBEXHLevel0 24 4" xfId="8733" xr:uid="{00000000-0005-0000-0000-0000BC5B0000}"/>
    <cellStyle name="SAPBEXHLevel0 24 5" xfId="12527" xr:uid="{00000000-0005-0000-0000-0000BD5B0000}"/>
    <cellStyle name="SAPBEXHLevel0 24 6" xfId="16412" xr:uid="{00000000-0005-0000-0000-0000BE5B0000}"/>
    <cellStyle name="SAPBEXHLevel0 24 7" xfId="17223" xr:uid="{00000000-0005-0000-0000-0000BF5B0000}"/>
    <cellStyle name="SAPBEXHLevel0 24 8" xfId="21108" xr:uid="{00000000-0005-0000-0000-0000C05B0000}"/>
    <cellStyle name="SAPBEXHLevel0 24 9" xfId="21894" xr:uid="{00000000-0005-0000-0000-0000C15B0000}"/>
    <cellStyle name="SAPBEXHLevel0 25" xfId="4162" xr:uid="{00000000-0005-0000-0000-0000C25B0000}"/>
    <cellStyle name="SAPBEXHLevel0 25 2" xfId="6700" xr:uid="{00000000-0005-0000-0000-0000C35B0000}"/>
    <cellStyle name="SAPBEXHLevel0 25 3" xfId="9306" xr:uid="{00000000-0005-0000-0000-0000C45B0000}"/>
    <cellStyle name="SAPBEXHLevel0 25 4" xfId="11589" xr:uid="{00000000-0005-0000-0000-0000C55B0000}"/>
    <cellStyle name="SAPBEXHLevel0 25 5" xfId="14027" xr:uid="{00000000-0005-0000-0000-0000C65B0000}"/>
    <cellStyle name="SAPBEXHLevel0 25 6" xfId="17001" xr:uid="{00000000-0005-0000-0000-0000C75B0000}"/>
    <cellStyle name="SAPBEXHLevel0 25 7" xfId="18723" xr:uid="{00000000-0005-0000-0000-0000C85B0000}"/>
    <cellStyle name="SAPBEXHLevel0 25 8" xfId="21697" xr:uid="{00000000-0005-0000-0000-0000C95B0000}"/>
    <cellStyle name="SAPBEXHLevel0 25 9" xfId="23263" xr:uid="{00000000-0005-0000-0000-0000CA5B0000}"/>
    <cellStyle name="SAPBEXHLevel0 26" xfId="4220" xr:uid="{00000000-0005-0000-0000-0000CB5B0000}"/>
    <cellStyle name="SAPBEXHLevel0 26 2" xfId="6758" xr:uid="{00000000-0005-0000-0000-0000CC5B0000}"/>
    <cellStyle name="SAPBEXHLevel0 26 3" xfId="9546" xr:uid="{00000000-0005-0000-0000-0000CD5B0000}"/>
    <cellStyle name="SAPBEXHLevel0 26 4" xfId="10912" xr:uid="{00000000-0005-0000-0000-0000CE5B0000}"/>
    <cellStyle name="SAPBEXHLevel0 26 5" xfId="13282" xr:uid="{00000000-0005-0000-0000-0000CF5B0000}"/>
    <cellStyle name="SAPBEXHLevel0 26 6" xfId="16888" xr:uid="{00000000-0005-0000-0000-0000D05B0000}"/>
    <cellStyle name="SAPBEXHLevel0 26 7" xfId="17978" xr:uid="{00000000-0005-0000-0000-0000D15B0000}"/>
    <cellStyle name="SAPBEXHLevel0 26 8" xfId="21584" xr:uid="{00000000-0005-0000-0000-0000D25B0000}"/>
    <cellStyle name="SAPBEXHLevel0 26 9" xfId="22583" xr:uid="{00000000-0005-0000-0000-0000D35B0000}"/>
    <cellStyle name="SAPBEXHLevel0 27" xfId="4247" xr:uid="{00000000-0005-0000-0000-0000D45B0000}"/>
    <cellStyle name="SAPBEXHLevel0 27 2" xfId="6785" xr:uid="{00000000-0005-0000-0000-0000D55B0000}"/>
    <cellStyle name="SAPBEXHLevel0 27 3" xfId="9785" xr:uid="{00000000-0005-0000-0000-0000D65B0000}"/>
    <cellStyle name="SAPBEXHLevel0 27 4" xfId="10981" xr:uid="{00000000-0005-0000-0000-0000D75B0000}"/>
    <cellStyle name="SAPBEXHLevel0 27 5" xfId="13355" xr:uid="{00000000-0005-0000-0000-0000D85B0000}"/>
    <cellStyle name="SAPBEXHLevel0 27 6" xfId="15777" xr:uid="{00000000-0005-0000-0000-0000D95B0000}"/>
    <cellStyle name="SAPBEXHLevel0 27 7" xfId="18051" xr:uid="{00000000-0005-0000-0000-0000DA5B0000}"/>
    <cellStyle name="SAPBEXHLevel0 27 8" xfId="20473" xr:uid="{00000000-0005-0000-0000-0000DB5B0000}"/>
    <cellStyle name="SAPBEXHLevel0 27 9" xfId="22654" xr:uid="{00000000-0005-0000-0000-0000DC5B0000}"/>
    <cellStyle name="SAPBEXHLevel0 28" xfId="4290" xr:uid="{00000000-0005-0000-0000-0000DD5B0000}"/>
    <cellStyle name="SAPBEXHLevel0 28 2" xfId="6828" xr:uid="{00000000-0005-0000-0000-0000DE5B0000}"/>
    <cellStyle name="SAPBEXHLevel0 28 3" xfId="8977" xr:uid="{00000000-0005-0000-0000-0000DF5B0000}"/>
    <cellStyle name="SAPBEXHLevel0 28 4" xfId="11161" xr:uid="{00000000-0005-0000-0000-0000E05B0000}"/>
    <cellStyle name="SAPBEXHLevel0 28 5" xfId="13557" xr:uid="{00000000-0005-0000-0000-0000E15B0000}"/>
    <cellStyle name="SAPBEXHLevel0 28 6" xfId="15226" xr:uid="{00000000-0005-0000-0000-0000E25B0000}"/>
    <cellStyle name="SAPBEXHLevel0 28 7" xfId="18253" xr:uid="{00000000-0005-0000-0000-0000E35B0000}"/>
    <cellStyle name="SAPBEXHLevel0 28 8" xfId="19922" xr:uid="{00000000-0005-0000-0000-0000E45B0000}"/>
    <cellStyle name="SAPBEXHLevel0 28 9" xfId="22834" xr:uid="{00000000-0005-0000-0000-0000E55B0000}"/>
    <cellStyle name="SAPBEXHLevel0 29" xfId="4333" xr:uid="{00000000-0005-0000-0000-0000E65B0000}"/>
    <cellStyle name="SAPBEXHLevel0 29 2" xfId="6871" xr:uid="{00000000-0005-0000-0000-0000E75B0000}"/>
    <cellStyle name="SAPBEXHLevel0 29 3" xfId="8592" xr:uid="{00000000-0005-0000-0000-0000E85B0000}"/>
    <cellStyle name="SAPBEXHLevel0 29 4" xfId="11413" xr:uid="{00000000-0005-0000-0000-0000E95B0000}"/>
    <cellStyle name="SAPBEXHLevel0 29 5" xfId="13829" xr:uid="{00000000-0005-0000-0000-0000EA5B0000}"/>
    <cellStyle name="SAPBEXHLevel0 29 6" xfId="15113" xr:uid="{00000000-0005-0000-0000-0000EB5B0000}"/>
    <cellStyle name="SAPBEXHLevel0 29 7" xfId="18525" xr:uid="{00000000-0005-0000-0000-0000EC5B0000}"/>
    <cellStyle name="SAPBEXHLevel0 29 8" xfId="19809" xr:uid="{00000000-0005-0000-0000-0000ED5B0000}"/>
    <cellStyle name="SAPBEXHLevel0 29 9" xfId="23087" xr:uid="{00000000-0005-0000-0000-0000EE5B0000}"/>
    <cellStyle name="SAPBEXHLevel0 3" xfId="3022" xr:uid="{00000000-0005-0000-0000-0000EF5B0000}"/>
    <cellStyle name="SAPBEXHLevel0 3 10" xfId="42110" xr:uid="{A4632CBE-CEAA-413A-84EB-5D177BA6D708}"/>
    <cellStyle name="SAPBEXHLevel0 3 2" xfId="5561" xr:uid="{00000000-0005-0000-0000-0000F05B0000}"/>
    <cellStyle name="SAPBEXHLevel0 3 3" xfId="8646" xr:uid="{00000000-0005-0000-0000-0000F15B0000}"/>
    <cellStyle name="SAPBEXHLevel0 3 4" xfId="11061" xr:uid="{00000000-0005-0000-0000-0000F25B0000}"/>
    <cellStyle name="SAPBEXHLevel0 3 5" xfId="13449" xr:uid="{00000000-0005-0000-0000-0000F35B0000}"/>
    <cellStyle name="SAPBEXHLevel0 3 6" xfId="16354" xr:uid="{00000000-0005-0000-0000-0000F45B0000}"/>
    <cellStyle name="SAPBEXHLevel0 3 7" xfId="18145" xr:uid="{00000000-0005-0000-0000-0000F55B0000}"/>
    <cellStyle name="SAPBEXHLevel0 3 8" xfId="21050" xr:uid="{00000000-0005-0000-0000-0000F65B0000}"/>
    <cellStyle name="SAPBEXHLevel0 3 9" xfId="22734" xr:uid="{00000000-0005-0000-0000-0000F75B0000}"/>
    <cellStyle name="SAPBEXHLevel0 30" xfId="4376" xr:uid="{00000000-0005-0000-0000-0000F85B0000}"/>
    <cellStyle name="SAPBEXHLevel0 30 2" xfId="6914" xr:uid="{00000000-0005-0000-0000-0000F95B0000}"/>
    <cellStyle name="SAPBEXHLevel0 30 3" xfId="10229" xr:uid="{00000000-0005-0000-0000-0000FA5B0000}"/>
    <cellStyle name="SAPBEXHLevel0 30 4" xfId="12127" xr:uid="{00000000-0005-0000-0000-0000FB5B0000}"/>
    <cellStyle name="SAPBEXHLevel0 30 5" xfId="14609" xr:uid="{00000000-0005-0000-0000-0000FC5B0000}"/>
    <cellStyle name="SAPBEXHLevel0 30 6" xfId="15487" xr:uid="{00000000-0005-0000-0000-0000FD5B0000}"/>
    <cellStyle name="SAPBEXHLevel0 30 7" xfId="19305" xr:uid="{00000000-0005-0000-0000-0000FE5B0000}"/>
    <cellStyle name="SAPBEXHLevel0 30 8" xfId="20183" xr:uid="{00000000-0005-0000-0000-0000FF5B0000}"/>
    <cellStyle name="SAPBEXHLevel0 30 9" xfId="23801" xr:uid="{00000000-0005-0000-0000-0000005C0000}"/>
    <cellStyle name="SAPBEXHLevel0 31" xfId="4419" xr:uid="{00000000-0005-0000-0000-0000015C0000}"/>
    <cellStyle name="SAPBEXHLevel0 31 2" xfId="6957" xr:uid="{00000000-0005-0000-0000-0000025C0000}"/>
    <cellStyle name="SAPBEXHLevel0 31 3" xfId="7711" xr:uid="{00000000-0005-0000-0000-0000035C0000}"/>
    <cellStyle name="SAPBEXHLevel0 31 4" xfId="11392" xr:uid="{00000000-0005-0000-0000-0000045C0000}"/>
    <cellStyle name="SAPBEXHLevel0 31 5" xfId="13807" xr:uid="{00000000-0005-0000-0000-0000055C0000}"/>
    <cellStyle name="SAPBEXHLevel0 31 6" xfId="14960" xr:uid="{00000000-0005-0000-0000-0000065C0000}"/>
    <cellStyle name="SAPBEXHLevel0 31 7" xfId="18503" xr:uid="{00000000-0005-0000-0000-0000075C0000}"/>
    <cellStyle name="SAPBEXHLevel0 31 8" xfId="19656" xr:uid="{00000000-0005-0000-0000-0000085C0000}"/>
    <cellStyle name="SAPBEXHLevel0 31 9" xfId="23066" xr:uid="{00000000-0005-0000-0000-0000095C0000}"/>
    <cellStyle name="SAPBEXHLevel0 32" xfId="4480" xr:uid="{00000000-0005-0000-0000-00000A5C0000}"/>
    <cellStyle name="SAPBEXHLevel0 32 2" xfId="7018" xr:uid="{00000000-0005-0000-0000-00000B5C0000}"/>
    <cellStyle name="SAPBEXHLevel0 32 3" xfId="8389" xr:uid="{00000000-0005-0000-0000-00000C5C0000}"/>
    <cellStyle name="SAPBEXHLevel0 32 4" xfId="11343" xr:uid="{00000000-0005-0000-0000-00000D5C0000}"/>
    <cellStyle name="SAPBEXHLevel0 32 5" xfId="13112" xr:uid="{00000000-0005-0000-0000-00000E5C0000}"/>
    <cellStyle name="SAPBEXHLevel0 32 6" xfId="16650" xr:uid="{00000000-0005-0000-0000-00000F5C0000}"/>
    <cellStyle name="SAPBEXHLevel0 32 7" xfId="17808" xr:uid="{00000000-0005-0000-0000-0000105C0000}"/>
    <cellStyle name="SAPBEXHLevel0 32 8" xfId="21346" xr:uid="{00000000-0005-0000-0000-0000115C0000}"/>
    <cellStyle name="SAPBEXHLevel0 32 9" xfId="22429" xr:uid="{00000000-0005-0000-0000-0000125C0000}"/>
    <cellStyle name="SAPBEXHLevel0 33" xfId="4481" xr:uid="{00000000-0005-0000-0000-0000135C0000}"/>
    <cellStyle name="SAPBEXHLevel0 33 2" xfId="7019" xr:uid="{00000000-0005-0000-0000-0000145C0000}"/>
    <cellStyle name="SAPBEXHLevel0 33 3" xfId="9428" xr:uid="{00000000-0005-0000-0000-0000155C0000}"/>
    <cellStyle name="SAPBEXHLevel0 33 4" xfId="11843" xr:uid="{00000000-0005-0000-0000-0000165C0000}"/>
    <cellStyle name="SAPBEXHLevel0 33 5" xfId="14304" xr:uid="{00000000-0005-0000-0000-0000175C0000}"/>
    <cellStyle name="SAPBEXHLevel0 33 6" xfId="15761" xr:uid="{00000000-0005-0000-0000-0000185C0000}"/>
    <cellStyle name="SAPBEXHLevel0 33 7" xfId="19000" xr:uid="{00000000-0005-0000-0000-0000195C0000}"/>
    <cellStyle name="SAPBEXHLevel0 33 8" xfId="20457" xr:uid="{00000000-0005-0000-0000-00001A5C0000}"/>
    <cellStyle name="SAPBEXHLevel0 33 9" xfId="23518" xr:uid="{00000000-0005-0000-0000-00001B5C0000}"/>
    <cellStyle name="SAPBEXHLevel0 34" xfId="4474" xr:uid="{00000000-0005-0000-0000-00001C5C0000}"/>
    <cellStyle name="SAPBEXHLevel0 34 2" xfId="7012" xr:uid="{00000000-0005-0000-0000-00001D5C0000}"/>
    <cellStyle name="SAPBEXHLevel0 34 3" xfId="10119" xr:uid="{00000000-0005-0000-0000-00001E5C0000}"/>
    <cellStyle name="SAPBEXHLevel0 34 4" xfId="11137" xr:uid="{00000000-0005-0000-0000-00001F5C0000}"/>
    <cellStyle name="SAPBEXHLevel0 34 5" xfId="13533" xr:uid="{00000000-0005-0000-0000-0000205C0000}"/>
    <cellStyle name="SAPBEXHLevel0 34 6" xfId="15411" xr:uid="{00000000-0005-0000-0000-0000215C0000}"/>
    <cellStyle name="SAPBEXHLevel0 34 7" xfId="18229" xr:uid="{00000000-0005-0000-0000-0000225C0000}"/>
    <cellStyle name="SAPBEXHLevel0 34 8" xfId="20107" xr:uid="{00000000-0005-0000-0000-0000235C0000}"/>
    <cellStyle name="SAPBEXHLevel0 34 9" xfId="22810" xr:uid="{00000000-0005-0000-0000-0000245C0000}"/>
    <cellStyle name="SAPBEXHLevel0 35" xfId="4591" xr:uid="{00000000-0005-0000-0000-0000255C0000}"/>
    <cellStyle name="SAPBEXHLevel0 35 2" xfId="7129" xr:uid="{00000000-0005-0000-0000-0000265C0000}"/>
    <cellStyle name="SAPBEXHLevel0 35 3" xfId="8247" xr:uid="{00000000-0005-0000-0000-0000275C0000}"/>
    <cellStyle name="SAPBEXHLevel0 35 4" xfId="10345" xr:uid="{00000000-0005-0000-0000-0000285C0000}"/>
    <cellStyle name="SAPBEXHLevel0 35 5" xfId="12667" xr:uid="{00000000-0005-0000-0000-0000295C0000}"/>
    <cellStyle name="SAPBEXHLevel0 35 6" xfId="15557" xr:uid="{00000000-0005-0000-0000-00002A5C0000}"/>
    <cellStyle name="SAPBEXHLevel0 35 7" xfId="17363" xr:uid="{00000000-0005-0000-0000-00002B5C0000}"/>
    <cellStyle name="SAPBEXHLevel0 35 8" xfId="20253" xr:uid="{00000000-0005-0000-0000-00002C5C0000}"/>
    <cellStyle name="SAPBEXHLevel0 35 9" xfId="22016" xr:uid="{00000000-0005-0000-0000-00002D5C0000}"/>
    <cellStyle name="SAPBEXHLevel0 36" xfId="4634" xr:uid="{00000000-0005-0000-0000-00002E5C0000}"/>
    <cellStyle name="SAPBEXHLevel0 36 2" xfId="7172" xr:uid="{00000000-0005-0000-0000-00002F5C0000}"/>
    <cellStyle name="SAPBEXHLevel0 36 3" xfId="9482" xr:uid="{00000000-0005-0000-0000-0000305C0000}"/>
    <cellStyle name="SAPBEXHLevel0 36 4" xfId="11512" xr:uid="{00000000-0005-0000-0000-0000315C0000}"/>
    <cellStyle name="SAPBEXHLevel0 36 5" xfId="12415" xr:uid="{00000000-0005-0000-0000-0000325C0000}"/>
    <cellStyle name="SAPBEXHLevel0 36 6" xfId="14947" xr:uid="{00000000-0005-0000-0000-0000335C0000}"/>
    <cellStyle name="SAPBEXHLevel0 36 7" xfId="17111" xr:uid="{00000000-0005-0000-0000-0000345C0000}"/>
    <cellStyle name="SAPBEXHLevel0 36 8" xfId="19643" xr:uid="{00000000-0005-0000-0000-0000355C0000}"/>
    <cellStyle name="SAPBEXHLevel0 36 9" xfId="21796" xr:uid="{00000000-0005-0000-0000-0000365C0000}"/>
    <cellStyle name="SAPBEXHLevel0 37" xfId="4677" xr:uid="{00000000-0005-0000-0000-0000375C0000}"/>
    <cellStyle name="SAPBEXHLevel0 37 2" xfId="7215" xr:uid="{00000000-0005-0000-0000-0000385C0000}"/>
    <cellStyle name="SAPBEXHLevel0 37 3" xfId="10020" xr:uid="{00000000-0005-0000-0000-0000395C0000}"/>
    <cellStyle name="SAPBEXHLevel0 37 4" xfId="11082" xr:uid="{00000000-0005-0000-0000-00003A5C0000}"/>
    <cellStyle name="SAPBEXHLevel0 37 5" xfId="13472" xr:uid="{00000000-0005-0000-0000-00003B5C0000}"/>
    <cellStyle name="SAPBEXHLevel0 37 6" xfId="15454" xr:uid="{00000000-0005-0000-0000-00003C5C0000}"/>
    <cellStyle name="SAPBEXHLevel0 37 7" xfId="18168" xr:uid="{00000000-0005-0000-0000-00003D5C0000}"/>
    <cellStyle name="SAPBEXHLevel0 37 8" xfId="20150" xr:uid="{00000000-0005-0000-0000-00003E5C0000}"/>
    <cellStyle name="SAPBEXHLevel0 37 9" xfId="22755" xr:uid="{00000000-0005-0000-0000-00003F5C0000}"/>
    <cellStyle name="SAPBEXHLevel0 38" xfId="4498" xr:uid="{00000000-0005-0000-0000-0000405C0000}"/>
    <cellStyle name="SAPBEXHLevel0 38 2" xfId="7036" xr:uid="{00000000-0005-0000-0000-0000415C0000}"/>
    <cellStyle name="SAPBEXHLevel0 38 3" xfId="8993" xr:uid="{00000000-0005-0000-0000-0000425C0000}"/>
    <cellStyle name="SAPBEXHLevel0 38 4" xfId="9213" xr:uid="{00000000-0005-0000-0000-0000435C0000}"/>
    <cellStyle name="SAPBEXHLevel0 38 5" xfId="12434" xr:uid="{00000000-0005-0000-0000-0000445C0000}"/>
    <cellStyle name="SAPBEXHLevel0 38 6" xfId="16722" xr:uid="{00000000-0005-0000-0000-0000455C0000}"/>
    <cellStyle name="SAPBEXHLevel0 38 7" xfId="17130" xr:uid="{00000000-0005-0000-0000-0000465C0000}"/>
    <cellStyle name="SAPBEXHLevel0 38 8" xfId="21418" xr:uid="{00000000-0005-0000-0000-0000475C0000}"/>
    <cellStyle name="SAPBEXHLevel0 38 9" xfId="21814" xr:uid="{00000000-0005-0000-0000-0000485C0000}"/>
    <cellStyle name="SAPBEXHLevel0 39" xfId="4762" xr:uid="{00000000-0005-0000-0000-0000495C0000}"/>
    <cellStyle name="SAPBEXHLevel0 39 2" xfId="7300" xr:uid="{00000000-0005-0000-0000-00004A5C0000}"/>
    <cellStyle name="SAPBEXHLevel0 39 3" xfId="8101" xr:uid="{00000000-0005-0000-0000-00004B5C0000}"/>
    <cellStyle name="SAPBEXHLevel0 39 4" xfId="10394" xr:uid="{00000000-0005-0000-0000-00004C5C0000}"/>
    <cellStyle name="SAPBEXHLevel0 39 5" xfId="12717" xr:uid="{00000000-0005-0000-0000-00004D5C0000}"/>
    <cellStyle name="SAPBEXHLevel0 39 6" xfId="15731" xr:uid="{00000000-0005-0000-0000-00004E5C0000}"/>
    <cellStyle name="SAPBEXHLevel0 39 7" xfId="17413" xr:uid="{00000000-0005-0000-0000-00004F5C0000}"/>
    <cellStyle name="SAPBEXHLevel0 39 8" xfId="20427" xr:uid="{00000000-0005-0000-0000-0000505C0000}"/>
    <cellStyle name="SAPBEXHLevel0 39 9" xfId="22065" xr:uid="{00000000-0005-0000-0000-0000515C0000}"/>
    <cellStyle name="SAPBEXHLevel0 4" xfId="3150" xr:uid="{00000000-0005-0000-0000-0000525C0000}"/>
    <cellStyle name="SAPBEXHLevel0 4 2" xfId="5688" xr:uid="{00000000-0005-0000-0000-0000535C0000}"/>
    <cellStyle name="SAPBEXHLevel0 4 3" xfId="8774" xr:uid="{00000000-0005-0000-0000-0000545C0000}"/>
    <cellStyle name="SAPBEXHLevel0 4 4" xfId="11861" xr:uid="{00000000-0005-0000-0000-0000555C0000}"/>
    <cellStyle name="SAPBEXHLevel0 4 5" xfId="14324" xr:uid="{00000000-0005-0000-0000-0000565C0000}"/>
    <cellStyle name="SAPBEXHLevel0 4 6" xfId="15919" xr:uid="{00000000-0005-0000-0000-0000575C0000}"/>
    <cellStyle name="SAPBEXHLevel0 4 7" xfId="19020" xr:uid="{00000000-0005-0000-0000-0000585C0000}"/>
    <cellStyle name="SAPBEXHLevel0 4 8" xfId="20615" xr:uid="{00000000-0005-0000-0000-0000595C0000}"/>
    <cellStyle name="SAPBEXHLevel0 4 9" xfId="23537" xr:uid="{00000000-0005-0000-0000-00005A5C0000}"/>
    <cellStyle name="SAPBEXHLevel0 40" xfId="4824" xr:uid="{00000000-0005-0000-0000-00005B5C0000}"/>
    <cellStyle name="SAPBEXHLevel0 40 2" xfId="7362" xr:uid="{00000000-0005-0000-0000-00005C5C0000}"/>
    <cellStyle name="SAPBEXHLevel0 40 3" xfId="8104" xr:uid="{00000000-0005-0000-0000-00005D5C0000}"/>
    <cellStyle name="SAPBEXHLevel0 40 4" xfId="11260" xr:uid="{00000000-0005-0000-0000-00005E5C0000}"/>
    <cellStyle name="SAPBEXHLevel0 40 5" xfId="13666" xr:uid="{00000000-0005-0000-0000-00005F5C0000}"/>
    <cellStyle name="SAPBEXHLevel0 40 6" xfId="16259" xr:uid="{00000000-0005-0000-0000-0000605C0000}"/>
    <cellStyle name="SAPBEXHLevel0 40 7" xfId="18362" xr:uid="{00000000-0005-0000-0000-0000615C0000}"/>
    <cellStyle name="SAPBEXHLevel0 40 8" xfId="20955" xr:uid="{00000000-0005-0000-0000-0000625C0000}"/>
    <cellStyle name="SAPBEXHLevel0 40 9" xfId="22934" xr:uid="{00000000-0005-0000-0000-0000635C0000}"/>
    <cellStyle name="SAPBEXHLevel0 41" xfId="4885" xr:uid="{00000000-0005-0000-0000-0000645C0000}"/>
    <cellStyle name="SAPBEXHLevel0 41 2" xfId="7423" xr:uid="{00000000-0005-0000-0000-0000655C0000}"/>
    <cellStyle name="SAPBEXHLevel0 41 3" xfId="9323" xr:uid="{00000000-0005-0000-0000-0000665C0000}"/>
    <cellStyle name="SAPBEXHLevel0 41 4" xfId="10833" xr:uid="{00000000-0005-0000-0000-0000675C0000}"/>
    <cellStyle name="SAPBEXHLevel0 41 5" xfId="13197" xr:uid="{00000000-0005-0000-0000-0000685C0000}"/>
    <cellStyle name="SAPBEXHLevel0 41 6" xfId="16209" xr:uid="{00000000-0005-0000-0000-0000695C0000}"/>
    <cellStyle name="SAPBEXHLevel0 41 7" xfId="17893" xr:uid="{00000000-0005-0000-0000-00006A5C0000}"/>
    <cellStyle name="SAPBEXHLevel0 41 8" xfId="20905" xr:uid="{00000000-0005-0000-0000-00006B5C0000}"/>
    <cellStyle name="SAPBEXHLevel0 41 9" xfId="22504" xr:uid="{00000000-0005-0000-0000-00006C5C0000}"/>
    <cellStyle name="SAPBEXHLevel0 42" xfId="4886" xr:uid="{00000000-0005-0000-0000-00006D5C0000}"/>
    <cellStyle name="SAPBEXHLevel0 42 2" xfId="7424" xr:uid="{00000000-0005-0000-0000-00006E5C0000}"/>
    <cellStyle name="SAPBEXHLevel0 42 3" xfId="9764" xr:uid="{00000000-0005-0000-0000-00006F5C0000}"/>
    <cellStyle name="SAPBEXHLevel0 42 4" xfId="10942" xr:uid="{00000000-0005-0000-0000-0000705C0000}"/>
    <cellStyle name="SAPBEXHLevel0 42 5" xfId="13313" xr:uid="{00000000-0005-0000-0000-0000715C0000}"/>
    <cellStyle name="SAPBEXHLevel0 42 6" xfId="16692" xr:uid="{00000000-0005-0000-0000-0000725C0000}"/>
    <cellStyle name="SAPBEXHLevel0 42 7" xfId="18009" xr:uid="{00000000-0005-0000-0000-0000735C0000}"/>
    <cellStyle name="SAPBEXHLevel0 42 8" xfId="21388" xr:uid="{00000000-0005-0000-0000-0000745C0000}"/>
    <cellStyle name="SAPBEXHLevel0 42 9" xfId="22613" xr:uid="{00000000-0005-0000-0000-0000755C0000}"/>
    <cellStyle name="SAPBEXHLevel0 43" xfId="4905" xr:uid="{00000000-0005-0000-0000-0000765C0000}"/>
    <cellStyle name="SAPBEXHLevel0 43 2" xfId="7443" xr:uid="{00000000-0005-0000-0000-0000775C0000}"/>
    <cellStyle name="SAPBEXHLevel0 43 3" xfId="9247" xr:uid="{00000000-0005-0000-0000-0000785C0000}"/>
    <cellStyle name="SAPBEXHLevel0 43 4" xfId="11567" xr:uid="{00000000-0005-0000-0000-0000795C0000}"/>
    <cellStyle name="SAPBEXHLevel0 43 5" xfId="14003" xr:uid="{00000000-0005-0000-0000-00007A5C0000}"/>
    <cellStyle name="SAPBEXHLevel0 43 6" xfId="15345" xr:uid="{00000000-0005-0000-0000-00007B5C0000}"/>
    <cellStyle name="SAPBEXHLevel0 43 7" xfId="18699" xr:uid="{00000000-0005-0000-0000-00007C5C0000}"/>
    <cellStyle name="SAPBEXHLevel0 43 8" xfId="20041" xr:uid="{00000000-0005-0000-0000-00007D5C0000}"/>
    <cellStyle name="SAPBEXHLevel0 43 9" xfId="23241" xr:uid="{00000000-0005-0000-0000-00007E5C0000}"/>
    <cellStyle name="SAPBEXHLevel0 44" xfId="4984" xr:uid="{00000000-0005-0000-0000-00007F5C0000}"/>
    <cellStyle name="SAPBEXHLevel0 44 2" xfId="7522" xr:uid="{00000000-0005-0000-0000-0000805C0000}"/>
    <cellStyle name="SAPBEXHLevel0 44 3" xfId="8598" xr:uid="{00000000-0005-0000-0000-0000815C0000}"/>
    <cellStyle name="SAPBEXHLevel0 44 4" xfId="11433" xr:uid="{00000000-0005-0000-0000-0000825C0000}"/>
    <cellStyle name="SAPBEXHLevel0 44 5" xfId="13851" xr:uid="{00000000-0005-0000-0000-0000835C0000}"/>
    <cellStyle name="SAPBEXHLevel0 44 6" xfId="16380" xr:uid="{00000000-0005-0000-0000-0000845C0000}"/>
    <cellStyle name="SAPBEXHLevel0 44 7" xfId="18547" xr:uid="{00000000-0005-0000-0000-0000855C0000}"/>
    <cellStyle name="SAPBEXHLevel0 44 8" xfId="21076" xr:uid="{00000000-0005-0000-0000-0000865C0000}"/>
    <cellStyle name="SAPBEXHLevel0 44 9" xfId="23108" xr:uid="{00000000-0005-0000-0000-0000875C0000}"/>
    <cellStyle name="SAPBEXHLevel0 45" xfId="5022" xr:uid="{00000000-0005-0000-0000-0000885C0000}"/>
    <cellStyle name="SAPBEXHLevel0 45 2" xfId="7560" xr:uid="{00000000-0005-0000-0000-0000895C0000}"/>
    <cellStyle name="SAPBEXHLevel0 45 3" xfId="10177" xr:uid="{00000000-0005-0000-0000-00008A5C0000}"/>
    <cellStyle name="SAPBEXHLevel0 45 4" xfId="11472" xr:uid="{00000000-0005-0000-0000-00008B5C0000}"/>
    <cellStyle name="SAPBEXHLevel0 45 5" xfId="13895" xr:uid="{00000000-0005-0000-0000-00008C5C0000}"/>
    <cellStyle name="SAPBEXHLevel0 45 6" xfId="15945" xr:uid="{00000000-0005-0000-0000-00008D5C0000}"/>
    <cellStyle name="SAPBEXHLevel0 45 7" xfId="18591" xr:uid="{00000000-0005-0000-0000-00008E5C0000}"/>
    <cellStyle name="SAPBEXHLevel0 45 8" xfId="20641" xr:uid="{00000000-0005-0000-0000-00008F5C0000}"/>
    <cellStyle name="SAPBEXHLevel0 45 9" xfId="23147" xr:uid="{00000000-0005-0000-0000-0000905C0000}"/>
    <cellStyle name="SAPBEXHLevel0 46" xfId="5057" xr:uid="{00000000-0005-0000-0000-0000915C0000}"/>
    <cellStyle name="SAPBEXHLevel0 46 2" xfId="7595" xr:uid="{00000000-0005-0000-0000-0000925C0000}"/>
    <cellStyle name="SAPBEXHLevel0 46 3" xfId="8902" xr:uid="{00000000-0005-0000-0000-0000935C0000}"/>
    <cellStyle name="SAPBEXHLevel0 46 4" xfId="12280" xr:uid="{00000000-0005-0000-0000-0000945C0000}"/>
    <cellStyle name="SAPBEXHLevel0 46 5" xfId="13584" xr:uid="{00000000-0005-0000-0000-0000955C0000}"/>
    <cellStyle name="SAPBEXHLevel0 46 6" xfId="15963" xr:uid="{00000000-0005-0000-0000-0000965C0000}"/>
    <cellStyle name="SAPBEXHLevel0 46 7" xfId="18280" xr:uid="{00000000-0005-0000-0000-0000975C0000}"/>
    <cellStyle name="SAPBEXHLevel0 46 8" xfId="20659" xr:uid="{00000000-0005-0000-0000-0000985C0000}"/>
    <cellStyle name="SAPBEXHLevel0 46 9" xfId="22859" xr:uid="{00000000-0005-0000-0000-0000995C0000}"/>
    <cellStyle name="SAPBEXHLevel0 47" xfId="5087" xr:uid="{00000000-0005-0000-0000-00009A5C0000}"/>
    <cellStyle name="SAPBEXHLevel0 47 2" xfId="7625" xr:uid="{00000000-0005-0000-0000-00009B5C0000}"/>
    <cellStyle name="SAPBEXHLevel0 47 3" xfId="10240" xr:uid="{00000000-0005-0000-0000-00009C5C0000}"/>
    <cellStyle name="SAPBEXHLevel0 47 4" xfId="12222" xr:uid="{00000000-0005-0000-0000-00009D5C0000}"/>
    <cellStyle name="SAPBEXHLevel0 47 5" xfId="14831" xr:uid="{00000000-0005-0000-0000-00009E5C0000}"/>
    <cellStyle name="SAPBEXHLevel0 47 6" xfId="15994" xr:uid="{00000000-0005-0000-0000-00009F5C0000}"/>
    <cellStyle name="SAPBEXHLevel0 47 7" xfId="19527" xr:uid="{00000000-0005-0000-0000-0000A05C0000}"/>
    <cellStyle name="SAPBEXHLevel0 47 8" xfId="20690" xr:uid="{00000000-0005-0000-0000-0000A15C0000}"/>
    <cellStyle name="SAPBEXHLevel0 47 9" xfId="24013" xr:uid="{00000000-0005-0000-0000-0000A25C0000}"/>
    <cellStyle name="SAPBEXHLevel0 48" xfId="5142" xr:uid="{00000000-0005-0000-0000-0000A35C0000}"/>
    <cellStyle name="SAPBEXHLevel0 48 2" xfId="7680" xr:uid="{00000000-0005-0000-0000-0000A45C0000}"/>
    <cellStyle name="SAPBEXHLevel0 48 3" xfId="9388" xr:uid="{00000000-0005-0000-0000-0000A55C0000}"/>
    <cellStyle name="SAPBEXHLevel0 48 4" xfId="10538" xr:uid="{00000000-0005-0000-0000-0000A65C0000}"/>
    <cellStyle name="SAPBEXHLevel0 48 5" xfId="12881" xr:uid="{00000000-0005-0000-0000-0000A75C0000}"/>
    <cellStyle name="SAPBEXHLevel0 48 6" xfId="16799" xr:uid="{00000000-0005-0000-0000-0000A85C0000}"/>
    <cellStyle name="SAPBEXHLevel0 48 7" xfId="17577" xr:uid="{00000000-0005-0000-0000-0000A95C0000}"/>
    <cellStyle name="SAPBEXHLevel0 48 8" xfId="21495" xr:uid="{00000000-0005-0000-0000-0000AA5C0000}"/>
    <cellStyle name="SAPBEXHLevel0 48 9" xfId="22209" xr:uid="{00000000-0005-0000-0000-0000AB5C0000}"/>
    <cellStyle name="SAPBEXHLevel0 49" xfId="5211" xr:uid="{00000000-0005-0000-0000-0000AC5C0000}"/>
    <cellStyle name="SAPBEXHLevel0 49 2" xfId="7750" xr:uid="{00000000-0005-0000-0000-0000AD5C0000}"/>
    <cellStyle name="SAPBEXHLevel0 49 3" xfId="8353" xr:uid="{00000000-0005-0000-0000-0000AE5C0000}"/>
    <cellStyle name="SAPBEXHLevel0 49 4" xfId="12215" xr:uid="{00000000-0005-0000-0000-0000AF5C0000}"/>
    <cellStyle name="SAPBEXHLevel0 49 5" xfId="14839" xr:uid="{00000000-0005-0000-0000-0000B05C0000}"/>
    <cellStyle name="SAPBEXHLevel0 49 6" xfId="16910" xr:uid="{00000000-0005-0000-0000-0000B15C0000}"/>
    <cellStyle name="SAPBEXHLevel0 49 7" xfId="19535" xr:uid="{00000000-0005-0000-0000-0000B25C0000}"/>
    <cellStyle name="SAPBEXHLevel0 49 8" xfId="21606" xr:uid="{00000000-0005-0000-0000-0000B35C0000}"/>
    <cellStyle name="SAPBEXHLevel0 49 9" xfId="24020" xr:uid="{00000000-0005-0000-0000-0000B45C0000}"/>
    <cellStyle name="SAPBEXHLevel0 5" xfId="3193" xr:uid="{00000000-0005-0000-0000-0000B55C0000}"/>
    <cellStyle name="SAPBEXHLevel0 5 2" xfId="5731" xr:uid="{00000000-0005-0000-0000-0000B65C0000}"/>
    <cellStyle name="SAPBEXHLevel0 5 3" xfId="8827" xr:uid="{00000000-0005-0000-0000-0000B75C0000}"/>
    <cellStyle name="SAPBEXHLevel0 5 4" xfId="10258" xr:uid="{00000000-0005-0000-0000-0000B85C0000}"/>
    <cellStyle name="SAPBEXHLevel0 5 5" xfId="12567" xr:uid="{00000000-0005-0000-0000-0000B95C0000}"/>
    <cellStyle name="SAPBEXHLevel0 5 6" xfId="15522" xr:uid="{00000000-0005-0000-0000-0000BA5C0000}"/>
    <cellStyle name="SAPBEXHLevel0 5 7" xfId="17263" xr:uid="{00000000-0005-0000-0000-0000BB5C0000}"/>
    <cellStyle name="SAPBEXHLevel0 5 8" xfId="20218" xr:uid="{00000000-0005-0000-0000-0000BC5C0000}"/>
    <cellStyle name="SAPBEXHLevel0 5 9" xfId="21927" xr:uid="{00000000-0005-0000-0000-0000BD5C0000}"/>
    <cellStyle name="SAPBEXHLevel0 50" xfId="5173" xr:uid="{00000000-0005-0000-0000-0000BE5C0000}"/>
    <cellStyle name="SAPBEXHLevel0 50 2" xfId="9993" xr:uid="{00000000-0005-0000-0000-0000BF5C0000}"/>
    <cellStyle name="SAPBEXHLevel0 50 3" xfId="9522" xr:uid="{00000000-0005-0000-0000-0000C05C0000}"/>
    <cellStyle name="SAPBEXHLevel0 50 4" xfId="12472" xr:uid="{00000000-0005-0000-0000-0000C15C0000}"/>
    <cellStyle name="SAPBEXHLevel0 50 5" xfId="15814" xr:uid="{00000000-0005-0000-0000-0000C25C0000}"/>
    <cellStyle name="SAPBEXHLevel0 50 6" xfId="17168" xr:uid="{00000000-0005-0000-0000-0000C35C0000}"/>
    <cellStyle name="SAPBEXHLevel0 50 7" xfId="20510" xr:uid="{00000000-0005-0000-0000-0000C45C0000}"/>
    <cellStyle name="SAPBEXHLevel0 50 8" xfId="21847" xr:uid="{00000000-0005-0000-0000-0000C55C0000}"/>
    <cellStyle name="SAPBEXHLevel0 51" xfId="8814" xr:uid="{00000000-0005-0000-0000-0000C65C0000}"/>
    <cellStyle name="SAPBEXHLevel0 52" xfId="12260" xr:uid="{00000000-0005-0000-0000-0000C75C0000}"/>
    <cellStyle name="SAPBEXHLevel0 53" xfId="12354" xr:uid="{00000000-0005-0000-0000-0000C85C0000}"/>
    <cellStyle name="SAPBEXHLevel0 54" xfId="16568" xr:uid="{00000000-0005-0000-0000-0000C95C0000}"/>
    <cellStyle name="SAPBEXHLevel0 55" xfId="17050" xr:uid="{00000000-0005-0000-0000-0000CA5C0000}"/>
    <cellStyle name="SAPBEXHLevel0 56" xfId="21264" xr:uid="{00000000-0005-0000-0000-0000CB5C0000}"/>
    <cellStyle name="SAPBEXHLevel0 57" xfId="21741" xr:uid="{00000000-0005-0000-0000-0000CC5C0000}"/>
    <cellStyle name="SAPBEXHLevel0 58" xfId="42180" xr:uid="{992C698B-420C-4327-A3F4-BCAD20F29687}"/>
    <cellStyle name="SAPBEXHLevel0 6" xfId="3236" xr:uid="{00000000-0005-0000-0000-0000CD5C0000}"/>
    <cellStyle name="SAPBEXHLevel0 6 2" xfId="5774" xr:uid="{00000000-0005-0000-0000-0000CE5C0000}"/>
    <cellStyle name="SAPBEXHLevel0 6 3" xfId="9039" xr:uid="{00000000-0005-0000-0000-0000CF5C0000}"/>
    <cellStyle name="SAPBEXHLevel0 6 4" xfId="10852" xr:uid="{00000000-0005-0000-0000-0000D05C0000}"/>
    <cellStyle name="SAPBEXHLevel0 6 5" xfId="13217" xr:uid="{00000000-0005-0000-0000-0000D15C0000}"/>
    <cellStyle name="SAPBEXHLevel0 6 6" xfId="16383" xr:uid="{00000000-0005-0000-0000-0000D25C0000}"/>
    <cellStyle name="SAPBEXHLevel0 6 7" xfId="17913" xr:uid="{00000000-0005-0000-0000-0000D35C0000}"/>
    <cellStyle name="SAPBEXHLevel0 6 8" xfId="21079" xr:uid="{00000000-0005-0000-0000-0000D45C0000}"/>
    <cellStyle name="SAPBEXHLevel0 6 9" xfId="22523" xr:uid="{00000000-0005-0000-0000-0000D55C0000}"/>
    <cellStyle name="SAPBEXHLevel0 7" xfId="3279" xr:uid="{00000000-0005-0000-0000-0000D65C0000}"/>
    <cellStyle name="SAPBEXHLevel0 7 2" xfId="5817" xr:uid="{00000000-0005-0000-0000-0000D75C0000}"/>
    <cellStyle name="SAPBEXHLevel0 7 3" xfId="9147" xr:uid="{00000000-0005-0000-0000-0000D85C0000}"/>
    <cellStyle name="SAPBEXHLevel0 7 4" xfId="10321" xr:uid="{00000000-0005-0000-0000-0000D95C0000}"/>
    <cellStyle name="SAPBEXHLevel0 7 5" xfId="12638" xr:uid="{00000000-0005-0000-0000-0000DA5C0000}"/>
    <cellStyle name="SAPBEXHLevel0 7 6" xfId="12847" xr:uid="{00000000-0005-0000-0000-0000DB5C0000}"/>
    <cellStyle name="SAPBEXHLevel0 7 7" xfId="17334" xr:uid="{00000000-0005-0000-0000-0000DC5C0000}"/>
    <cellStyle name="SAPBEXHLevel0 7 8" xfId="17543" xr:uid="{00000000-0005-0000-0000-0000DD5C0000}"/>
    <cellStyle name="SAPBEXHLevel0 7 9" xfId="21992" xr:uid="{00000000-0005-0000-0000-0000DE5C0000}"/>
    <cellStyle name="SAPBEXHLevel0 8" xfId="3322" xr:uid="{00000000-0005-0000-0000-0000DF5C0000}"/>
    <cellStyle name="SAPBEXHLevel0 8 2" xfId="5860" xr:uid="{00000000-0005-0000-0000-0000E05C0000}"/>
    <cellStyle name="SAPBEXHLevel0 8 3" xfId="9332" xr:uid="{00000000-0005-0000-0000-0000E15C0000}"/>
    <cellStyle name="SAPBEXHLevel0 8 4" xfId="11556" xr:uid="{00000000-0005-0000-0000-0000E25C0000}"/>
    <cellStyle name="SAPBEXHLevel0 8 5" xfId="13991" xr:uid="{00000000-0005-0000-0000-0000E35C0000}"/>
    <cellStyle name="SAPBEXHLevel0 8 6" xfId="15764" xr:uid="{00000000-0005-0000-0000-0000E45C0000}"/>
    <cellStyle name="SAPBEXHLevel0 8 7" xfId="18687" xr:uid="{00000000-0005-0000-0000-0000E55C0000}"/>
    <cellStyle name="SAPBEXHLevel0 8 8" xfId="20460" xr:uid="{00000000-0005-0000-0000-0000E65C0000}"/>
    <cellStyle name="SAPBEXHLevel0 8 9" xfId="23230" xr:uid="{00000000-0005-0000-0000-0000E75C0000}"/>
    <cellStyle name="SAPBEXHLevel0 9" xfId="3365" xr:uid="{00000000-0005-0000-0000-0000E85C0000}"/>
    <cellStyle name="SAPBEXHLevel0 9 2" xfId="5903" xr:uid="{00000000-0005-0000-0000-0000E95C0000}"/>
    <cellStyle name="SAPBEXHLevel0 9 3" xfId="9965" xr:uid="{00000000-0005-0000-0000-0000EA5C0000}"/>
    <cellStyle name="SAPBEXHLevel0 9 4" xfId="12130" xr:uid="{00000000-0005-0000-0000-0000EB5C0000}"/>
    <cellStyle name="SAPBEXHLevel0 9 5" xfId="14612" xr:uid="{00000000-0005-0000-0000-0000EC5C0000}"/>
    <cellStyle name="SAPBEXHLevel0 9 6" xfId="16979" xr:uid="{00000000-0005-0000-0000-0000ED5C0000}"/>
    <cellStyle name="SAPBEXHLevel0 9 7" xfId="19308" xr:uid="{00000000-0005-0000-0000-0000EE5C0000}"/>
    <cellStyle name="SAPBEXHLevel0 9 8" xfId="21675" xr:uid="{00000000-0005-0000-0000-0000EF5C0000}"/>
    <cellStyle name="SAPBEXHLevel0 9 9" xfId="23804" xr:uid="{00000000-0005-0000-0000-0000F05C0000}"/>
    <cellStyle name="SAPBEXHLevel0X" xfId="2962" xr:uid="{00000000-0005-0000-0000-0000F15C0000}"/>
    <cellStyle name="SAPBEXHLevel0X 10" xfId="3321" xr:uid="{00000000-0005-0000-0000-0000F25C0000}"/>
    <cellStyle name="SAPBEXHLevel0X 10 2" xfId="5859" xr:uid="{00000000-0005-0000-0000-0000F35C0000}"/>
    <cellStyle name="SAPBEXHLevel0X 10 3" xfId="8443" xr:uid="{00000000-0005-0000-0000-0000F45C0000}"/>
    <cellStyle name="SAPBEXHLevel0X 10 4" xfId="10263" xr:uid="{00000000-0005-0000-0000-0000F55C0000}"/>
    <cellStyle name="SAPBEXHLevel0X 10 5" xfId="12572" xr:uid="{00000000-0005-0000-0000-0000F65C0000}"/>
    <cellStyle name="SAPBEXHLevel0X 10 6" xfId="12770" xr:uid="{00000000-0005-0000-0000-0000F75C0000}"/>
    <cellStyle name="SAPBEXHLevel0X 10 7" xfId="17268" xr:uid="{00000000-0005-0000-0000-0000F85C0000}"/>
    <cellStyle name="SAPBEXHLevel0X 10 8" xfId="17466" xr:uid="{00000000-0005-0000-0000-0000F95C0000}"/>
    <cellStyle name="SAPBEXHLevel0X 10 9" xfId="21932" xr:uid="{00000000-0005-0000-0000-0000FA5C0000}"/>
    <cellStyle name="SAPBEXHLevel0X 11" xfId="3448" xr:uid="{00000000-0005-0000-0000-0000FB5C0000}"/>
    <cellStyle name="SAPBEXHLevel0X 11 2" xfId="5986" xr:uid="{00000000-0005-0000-0000-0000FC5C0000}"/>
    <cellStyle name="SAPBEXHLevel0X 11 3" xfId="8842" xr:uid="{00000000-0005-0000-0000-0000FD5C0000}"/>
    <cellStyle name="SAPBEXHLevel0X 11 4" xfId="10225" xr:uid="{00000000-0005-0000-0000-0000FE5C0000}"/>
    <cellStyle name="SAPBEXHLevel0X 11 5" xfId="12475" xr:uid="{00000000-0005-0000-0000-0000FF5C0000}"/>
    <cellStyle name="SAPBEXHLevel0X 11 6" xfId="15123" xr:uid="{00000000-0005-0000-0000-0000005D0000}"/>
    <cellStyle name="SAPBEXHLevel0X 11 7" xfId="17171" xr:uid="{00000000-0005-0000-0000-0000015D0000}"/>
    <cellStyle name="SAPBEXHLevel0X 11 8" xfId="19819" xr:uid="{00000000-0005-0000-0000-0000025D0000}"/>
    <cellStyle name="SAPBEXHLevel0X 11 9" xfId="21850" xr:uid="{00000000-0005-0000-0000-0000035D0000}"/>
    <cellStyle name="SAPBEXHLevel0X 12" xfId="3477" xr:uid="{00000000-0005-0000-0000-0000045D0000}"/>
    <cellStyle name="SAPBEXHLevel0X 12 2" xfId="6015" xr:uid="{00000000-0005-0000-0000-0000055D0000}"/>
    <cellStyle name="SAPBEXHLevel0X 12 3" xfId="9694" xr:uid="{00000000-0005-0000-0000-0000065D0000}"/>
    <cellStyle name="SAPBEXHLevel0X 12 4" xfId="10134" xr:uid="{00000000-0005-0000-0000-0000075D0000}"/>
    <cellStyle name="SAPBEXHLevel0X 12 5" xfId="12483" xr:uid="{00000000-0005-0000-0000-0000085D0000}"/>
    <cellStyle name="SAPBEXHLevel0X 12 6" xfId="15459" xr:uid="{00000000-0005-0000-0000-0000095D0000}"/>
    <cellStyle name="SAPBEXHLevel0X 12 7" xfId="17179" xr:uid="{00000000-0005-0000-0000-00000A5D0000}"/>
    <cellStyle name="SAPBEXHLevel0X 12 8" xfId="20155" xr:uid="{00000000-0005-0000-0000-00000B5D0000}"/>
    <cellStyle name="SAPBEXHLevel0X 12 9" xfId="21856" xr:uid="{00000000-0005-0000-0000-00000C5D0000}"/>
    <cellStyle name="SAPBEXHLevel0X 13" xfId="3492" xr:uid="{00000000-0005-0000-0000-00000D5D0000}"/>
    <cellStyle name="SAPBEXHLevel0X 13 2" xfId="6030" xr:uid="{00000000-0005-0000-0000-00000E5D0000}"/>
    <cellStyle name="SAPBEXHLevel0X 13 3" xfId="8137" xr:uid="{00000000-0005-0000-0000-00000F5D0000}"/>
    <cellStyle name="SAPBEXHLevel0X 13 4" xfId="10512" xr:uid="{00000000-0005-0000-0000-0000105D0000}"/>
    <cellStyle name="SAPBEXHLevel0X 13 5" xfId="12852" xr:uid="{00000000-0005-0000-0000-0000115D0000}"/>
    <cellStyle name="SAPBEXHLevel0X 13 6" xfId="16951" xr:uid="{00000000-0005-0000-0000-0000125D0000}"/>
    <cellStyle name="SAPBEXHLevel0X 13 7" xfId="17548" xr:uid="{00000000-0005-0000-0000-0000135D0000}"/>
    <cellStyle name="SAPBEXHLevel0X 13 8" xfId="21647" xr:uid="{00000000-0005-0000-0000-0000145D0000}"/>
    <cellStyle name="SAPBEXHLevel0X 13 9" xfId="22183" xr:uid="{00000000-0005-0000-0000-0000155D0000}"/>
    <cellStyle name="SAPBEXHLevel0X 14" xfId="3487" xr:uid="{00000000-0005-0000-0000-0000165D0000}"/>
    <cellStyle name="SAPBEXHLevel0X 14 2" xfId="6025" xr:uid="{00000000-0005-0000-0000-0000175D0000}"/>
    <cellStyle name="SAPBEXHLevel0X 14 3" xfId="8424" xr:uid="{00000000-0005-0000-0000-0000185D0000}"/>
    <cellStyle name="SAPBEXHLevel0X 14 4" xfId="11106" xr:uid="{00000000-0005-0000-0000-0000195D0000}"/>
    <cellStyle name="SAPBEXHLevel0X 14 5" xfId="13500" xr:uid="{00000000-0005-0000-0000-00001A5D0000}"/>
    <cellStyle name="SAPBEXHLevel0X 14 6" xfId="15398" xr:uid="{00000000-0005-0000-0000-00001B5D0000}"/>
    <cellStyle name="SAPBEXHLevel0X 14 7" xfId="18196" xr:uid="{00000000-0005-0000-0000-00001C5D0000}"/>
    <cellStyle name="SAPBEXHLevel0X 14 8" xfId="20094" xr:uid="{00000000-0005-0000-0000-00001D5D0000}"/>
    <cellStyle name="SAPBEXHLevel0X 14 9" xfId="22779" xr:uid="{00000000-0005-0000-0000-00001E5D0000}"/>
    <cellStyle name="SAPBEXHLevel0X 15" xfId="3558" xr:uid="{00000000-0005-0000-0000-00001F5D0000}"/>
    <cellStyle name="SAPBEXHLevel0X 15 2" xfId="6096" xr:uid="{00000000-0005-0000-0000-0000205D0000}"/>
    <cellStyle name="SAPBEXHLevel0X 15 3" xfId="5483" xr:uid="{00000000-0005-0000-0000-0000215D0000}"/>
    <cellStyle name="SAPBEXHLevel0X 15 4" xfId="10691" xr:uid="{00000000-0005-0000-0000-0000225D0000}"/>
    <cellStyle name="SAPBEXHLevel0X 15 5" xfId="13043" xr:uid="{00000000-0005-0000-0000-0000235D0000}"/>
    <cellStyle name="SAPBEXHLevel0X 15 6" xfId="16188" xr:uid="{00000000-0005-0000-0000-0000245D0000}"/>
    <cellStyle name="SAPBEXHLevel0X 15 7" xfId="17739" xr:uid="{00000000-0005-0000-0000-0000255D0000}"/>
    <cellStyle name="SAPBEXHLevel0X 15 8" xfId="20884" xr:uid="{00000000-0005-0000-0000-0000265D0000}"/>
    <cellStyle name="SAPBEXHLevel0X 15 9" xfId="22364" xr:uid="{00000000-0005-0000-0000-0000275D0000}"/>
    <cellStyle name="SAPBEXHLevel0X 16" xfId="3596" xr:uid="{00000000-0005-0000-0000-0000285D0000}"/>
    <cellStyle name="SAPBEXHLevel0X 16 2" xfId="6134" xr:uid="{00000000-0005-0000-0000-0000295D0000}"/>
    <cellStyle name="SAPBEXHLevel0X 16 3" xfId="9268" xr:uid="{00000000-0005-0000-0000-00002A5D0000}"/>
    <cellStyle name="SAPBEXHLevel0X 16 4" xfId="9743" xr:uid="{00000000-0005-0000-0000-00002B5D0000}"/>
    <cellStyle name="SAPBEXHLevel0X 16 5" xfId="14930" xr:uid="{00000000-0005-0000-0000-00002C5D0000}"/>
    <cellStyle name="SAPBEXHLevel0X 16 6" xfId="16539" xr:uid="{00000000-0005-0000-0000-00002D5D0000}"/>
    <cellStyle name="SAPBEXHLevel0X 16 7" xfId="19626" xr:uid="{00000000-0005-0000-0000-00002E5D0000}"/>
    <cellStyle name="SAPBEXHLevel0X 16 8" xfId="21235" xr:uid="{00000000-0005-0000-0000-00002F5D0000}"/>
    <cellStyle name="SAPBEXHLevel0X 16 9" xfId="24093" xr:uid="{00000000-0005-0000-0000-0000305D0000}"/>
    <cellStyle name="SAPBEXHLevel0X 17" xfId="3696" xr:uid="{00000000-0005-0000-0000-0000315D0000}"/>
    <cellStyle name="SAPBEXHLevel0X 17 2" xfId="6234" xr:uid="{00000000-0005-0000-0000-0000325D0000}"/>
    <cellStyle name="SAPBEXHLevel0X 17 3" xfId="9837" xr:uid="{00000000-0005-0000-0000-0000335D0000}"/>
    <cellStyle name="SAPBEXHLevel0X 17 4" xfId="10473" xr:uid="{00000000-0005-0000-0000-0000345D0000}"/>
    <cellStyle name="SAPBEXHLevel0X 17 5" xfId="12806" xr:uid="{00000000-0005-0000-0000-0000355D0000}"/>
    <cellStyle name="SAPBEXHLevel0X 17 6" xfId="13618" xr:uid="{00000000-0005-0000-0000-0000365D0000}"/>
    <cellStyle name="SAPBEXHLevel0X 17 7" xfId="17502" xr:uid="{00000000-0005-0000-0000-0000375D0000}"/>
    <cellStyle name="SAPBEXHLevel0X 17 8" xfId="18314" xr:uid="{00000000-0005-0000-0000-0000385D0000}"/>
    <cellStyle name="SAPBEXHLevel0X 17 9" xfId="22143" xr:uid="{00000000-0005-0000-0000-0000395D0000}"/>
    <cellStyle name="SAPBEXHLevel0X 18" xfId="3663" xr:uid="{00000000-0005-0000-0000-00003A5D0000}"/>
    <cellStyle name="SAPBEXHLevel0X 18 2" xfId="6201" xr:uid="{00000000-0005-0000-0000-00003B5D0000}"/>
    <cellStyle name="SAPBEXHLevel0X 18 3" xfId="9914" xr:uid="{00000000-0005-0000-0000-00003C5D0000}"/>
    <cellStyle name="SAPBEXHLevel0X 18 4" xfId="11693" xr:uid="{00000000-0005-0000-0000-00003D5D0000}"/>
    <cellStyle name="SAPBEXHLevel0X 18 5" xfId="14142" xr:uid="{00000000-0005-0000-0000-00003E5D0000}"/>
    <cellStyle name="SAPBEXHLevel0X 18 6" xfId="15218" xr:uid="{00000000-0005-0000-0000-00003F5D0000}"/>
    <cellStyle name="SAPBEXHLevel0X 18 7" xfId="18838" xr:uid="{00000000-0005-0000-0000-0000405D0000}"/>
    <cellStyle name="SAPBEXHLevel0X 18 8" xfId="19914" xr:uid="{00000000-0005-0000-0000-0000415D0000}"/>
    <cellStyle name="SAPBEXHLevel0X 18 9" xfId="23367" xr:uid="{00000000-0005-0000-0000-0000425D0000}"/>
    <cellStyle name="SAPBEXHLevel0X 19" xfId="3758" xr:uid="{00000000-0005-0000-0000-0000435D0000}"/>
    <cellStyle name="SAPBEXHLevel0X 19 2" xfId="6296" xr:uid="{00000000-0005-0000-0000-0000445D0000}"/>
    <cellStyle name="SAPBEXHLevel0X 19 3" xfId="9004" xr:uid="{00000000-0005-0000-0000-0000455D0000}"/>
    <cellStyle name="SAPBEXHLevel0X 19 4" xfId="10278" xr:uid="{00000000-0005-0000-0000-0000465D0000}"/>
    <cellStyle name="SAPBEXHLevel0X 19 5" xfId="12588" xr:uid="{00000000-0005-0000-0000-0000475D0000}"/>
    <cellStyle name="SAPBEXHLevel0X 19 6" xfId="12318" xr:uid="{00000000-0005-0000-0000-0000485D0000}"/>
    <cellStyle name="SAPBEXHLevel0X 19 7" xfId="17284" xr:uid="{00000000-0005-0000-0000-0000495D0000}"/>
    <cellStyle name="SAPBEXHLevel0X 19 8" xfId="17014" xr:uid="{00000000-0005-0000-0000-00004A5D0000}"/>
    <cellStyle name="SAPBEXHLevel0X 19 9" xfId="21947" xr:uid="{00000000-0005-0000-0000-00004B5D0000}"/>
    <cellStyle name="SAPBEXHLevel0X 2" xfId="3081" xr:uid="{00000000-0005-0000-0000-00004C5D0000}"/>
    <cellStyle name="SAPBEXHLevel0X 2 10" xfId="32762" xr:uid="{3A29CD6E-D5B0-4841-AE7D-0115F940AAB0}"/>
    <cellStyle name="SAPBEXHLevel0X 2 2" xfId="5619" xr:uid="{00000000-0005-0000-0000-00004D5D0000}"/>
    <cellStyle name="SAPBEXHLevel0X 2 2 2" xfId="42289" xr:uid="{6C756051-2182-4CC0-930C-AF48C9944F2C}"/>
    <cellStyle name="SAPBEXHLevel0X 2 3" xfId="5472" xr:uid="{00000000-0005-0000-0000-00004E5D0000}"/>
    <cellStyle name="SAPBEXHLevel0X 2 4" xfId="9149" xr:uid="{00000000-0005-0000-0000-00004F5D0000}"/>
    <cellStyle name="SAPBEXHLevel0X 2 5" xfId="12344" xr:uid="{00000000-0005-0000-0000-0000505D0000}"/>
    <cellStyle name="SAPBEXHLevel0X 2 6" xfId="16900" xr:uid="{00000000-0005-0000-0000-0000515D0000}"/>
    <cellStyle name="SAPBEXHLevel0X 2 7" xfId="17040" xr:uid="{00000000-0005-0000-0000-0000525D0000}"/>
    <cellStyle name="SAPBEXHLevel0X 2 8" xfId="21596" xr:uid="{00000000-0005-0000-0000-0000535D0000}"/>
    <cellStyle name="SAPBEXHLevel0X 2 9" xfId="21732" xr:uid="{00000000-0005-0000-0000-0000545D0000}"/>
    <cellStyle name="SAPBEXHLevel0X 20" xfId="3824" xr:uid="{00000000-0005-0000-0000-0000555D0000}"/>
    <cellStyle name="SAPBEXHLevel0X 20 2" xfId="6362" xr:uid="{00000000-0005-0000-0000-0000565D0000}"/>
    <cellStyle name="SAPBEXHLevel0X 20 3" xfId="8549" xr:uid="{00000000-0005-0000-0000-0000575D0000}"/>
    <cellStyle name="SAPBEXHLevel0X 20 4" xfId="11852" xr:uid="{00000000-0005-0000-0000-0000585D0000}"/>
    <cellStyle name="SAPBEXHLevel0X 20 5" xfId="14314" xr:uid="{00000000-0005-0000-0000-0000595D0000}"/>
    <cellStyle name="SAPBEXHLevel0X 20 6" xfId="15321" xr:uid="{00000000-0005-0000-0000-00005A5D0000}"/>
    <cellStyle name="SAPBEXHLevel0X 20 7" xfId="19010" xr:uid="{00000000-0005-0000-0000-00005B5D0000}"/>
    <cellStyle name="SAPBEXHLevel0X 20 8" xfId="20017" xr:uid="{00000000-0005-0000-0000-00005C5D0000}"/>
    <cellStyle name="SAPBEXHLevel0X 20 9" xfId="23528" xr:uid="{00000000-0005-0000-0000-00005D5D0000}"/>
    <cellStyle name="SAPBEXHLevel0X 21" xfId="3799" xr:uid="{00000000-0005-0000-0000-00005E5D0000}"/>
    <cellStyle name="SAPBEXHLevel0X 21 2" xfId="6337" xr:uid="{00000000-0005-0000-0000-00005F5D0000}"/>
    <cellStyle name="SAPBEXHLevel0X 21 3" xfId="9646" xr:uid="{00000000-0005-0000-0000-0000605D0000}"/>
    <cellStyle name="SAPBEXHLevel0X 21 4" xfId="11122" xr:uid="{00000000-0005-0000-0000-0000615D0000}"/>
    <cellStyle name="SAPBEXHLevel0X 21 5" xfId="13517" xr:uid="{00000000-0005-0000-0000-0000625D0000}"/>
    <cellStyle name="SAPBEXHLevel0X 21 6" xfId="16805" xr:uid="{00000000-0005-0000-0000-0000635D0000}"/>
    <cellStyle name="SAPBEXHLevel0X 21 7" xfId="18213" xr:uid="{00000000-0005-0000-0000-0000645D0000}"/>
    <cellStyle name="SAPBEXHLevel0X 21 8" xfId="21501" xr:uid="{00000000-0005-0000-0000-0000655D0000}"/>
    <cellStyle name="SAPBEXHLevel0X 21 9" xfId="22795" xr:uid="{00000000-0005-0000-0000-0000665D0000}"/>
    <cellStyle name="SAPBEXHLevel0X 22" xfId="3870" xr:uid="{00000000-0005-0000-0000-0000675D0000}"/>
    <cellStyle name="SAPBEXHLevel0X 22 2" xfId="6408" xr:uid="{00000000-0005-0000-0000-0000685D0000}"/>
    <cellStyle name="SAPBEXHLevel0X 22 3" xfId="8088" xr:uid="{00000000-0005-0000-0000-0000695D0000}"/>
    <cellStyle name="SAPBEXHLevel0X 22 4" xfId="11132" xr:uid="{00000000-0005-0000-0000-00006A5D0000}"/>
    <cellStyle name="SAPBEXHLevel0X 22 5" xfId="13528" xr:uid="{00000000-0005-0000-0000-00006B5D0000}"/>
    <cellStyle name="SAPBEXHLevel0X 22 6" xfId="15625" xr:uid="{00000000-0005-0000-0000-00006C5D0000}"/>
    <cellStyle name="SAPBEXHLevel0X 22 7" xfId="18224" xr:uid="{00000000-0005-0000-0000-00006D5D0000}"/>
    <cellStyle name="SAPBEXHLevel0X 22 8" xfId="20321" xr:uid="{00000000-0005-0000-0000-00006E5D0000}"/>
    <cellStyle name="SAPBEXHLevel0X 22 9" xfId="22805" xr:uid="{00000000-0005-0000-0000-00006F5D0000}"/>
    <cellStyle name="SAPBEXHLevel0X 23" xfId="3539" xr:uid="{00000000-0005-0000-0000-0000705D0000}"/>
    <cellStyle name="SAPBEXHLevel0X 23 2" xfId="6077" xr:uid="{00000000-0005-0000-0000-0000715D0000}"/>
    <cellStyle name="SAPBEXHLevel0X 23 3" xfId="7931" xr:uid="{00000000-0005-0000-0000-0000725D0000}"/>
    <cellStyle name="SAPBEXHLevel0X 23 4" xfId="10356" xr:uid="{00000000-0005-0000-0000-0000735D0000}"/>
    <cellStyle name="SAPBEXHLevel0X 23 5" xfId="12678" xr:uid="{00000000-0005-0000-0000-0000745D0000}"/>
    <cellStyle name="SAPBEXHLevel0X 23 6" xfId="15961" xr:uid="{00000000-0005-0000-0000-0000755D0000}"/>
    <cellStyle name="SAPBEXHLevel0X 23 7" xfId="17374" xr:uid="{00000000-0005-0000-0000-0000765D0000}"/>
    <cellStyle name="SAPBEXHLevel0X 23 8" xfId="20657" xr:uid="{00000000-0005-0000-0000-0000775D0000}"/>
    <cellStyle name="SAPBEXHLevel0X 23 9" xfId="22027" xr:uid="{00000000-0005-0000-0000-0000785D0000}"/>
    <cellStyle name="SAPBEXHLevel0X 24" xfId="3865" xr:uid="{00000000-0005-0000-0000-0000795D0000}"/>
    <cellStyle name="SAPBEXHLevel0X 24 2" xfId="6403" xr:uid="{00000000-0005-0000-0000-00007A5D0000}"/>
    <cellStyle name="SAPBEXHLevel0X 24 3" xfId="9938" xr:uid="{00000000-0005-0000-0000-00007B5D0000}"/>
    <cellStyle name="SAPBEXHLevel0X 24 4" xfId="12200" xr:uid="{00000000-0005-0000-0000-00007C5D0000}"/>
    <cellStyle name="SAPBEXHLevel0X 24 5" xfId="12314" xr:uid="{00000000-0005-0000-0000-00007D5D0000}"/>
    <cellStyle name="SAPBEXHLevel0X 24 6" xfId="15102" xr:uid="{00000000-0005-0000-0000-00007E5D0000}"/>
    <cellStyle name="SAPBEXHLevel0X 24 7" xfId="17010" xr:uid="{00000000-0005-0000-0000-00007F5D0000}"/>
    <cellStyle name="SAPBEXHLevel0X 24 8" xfId="19798" xr:uid="{00000000-0005-0000-0000-0000805D0000}"/>
    <cellStyle name="SAPBEXHLevel0X 24 9" xfId="21705" xr:uid="{00000000-0005-0000-0000-0000815D0000}"/>
    <cellStyle name="SAPBEXHLevel0X 25" xfId="3881" xr:uid="{00000000-0005-0000-0000-0000825D0000}"/>
    <cellStyle name="SAPBEXHLevel0X 25 2" xfId="6419" xr:uid="{00000000-0005-0000-0000-0000835D0000}"/>
    <cellStyle name="SAPBEXHLevel0X 25 3" xfId="8175" xr:uid="{00000000-0005-0000-0000-0000845D0000}"/>
    <cellStyle name="SAPBEXHLevel0X 25 4" xfId="11940" xr:uid="{00000000-0005-0000-0000-0000855D0000}"/>
    <cellStyle name="SAPBEXHLevel0X 25 5" xfId="14413" xr:uid="{00000000-0005-0000-0000-0000865D0000}"/>
    <cellStyle name="SAPBEXHLevel0X 25 6" xfId="15380" xr:uid="{00000000-0005-0000-0000-0000875D0000}"/>
    <cellStyle name="SAPBEXHLevel0X 25 7" xfId="19109" xr:uid="{00000000-0005-0000-0000-0000885D0000}"/>
    <cellStyle name="SAPBEXHLevel0X 25 8" xfId="20076" xr:uid="{00000000-0005-0000-0000-0000895D0000}"/>
    <cellStyle name="SAPBEXHLevel0X 25 9" xfId="23615" xr:uid="{00000000-0005-0000-0000-00008A5D0000}"/>
    <cellStyle name="SAPBEXHLevel0X 26" xfId="4018" xr:uid="{00000000-0005-0000-0000-00008B5D0000}"/>
    <cellStyle name="SAPBEXHLevel0X 26 2" xfId="6556" xr:uid="{00000000-0005-0000-0000-00008C5D0000}"/>
    <cellStyle name="SAPBEXHLevel0X 26 3" xfId="9432" xr:uid="{00000000-0005-0000-0000-00008D5D0000}"/>
    <cellStyle name="SAPBEXHLevel0X 26 4" xfId="11518" xr:uid="{00000000-0005-0000-0000-00008E5D0000}"/>
    <cellStyle name="SAPBEXHLevel0X 26 5" xfId="13946" xr:uid="{00000000-0005-0000-0000-00008F5D0000}"/>
    <cellStyle name="SAPBEXHLevel0X 26 6" xfId="15105" xr:uid="{00000000-0005-0000-0000-0000905D0000}"/>
    <cellStyle name="SAPBEXHLevel0X 26 7" xfId="18642" xr:uid="{00000000-0005-0000-0000-0000915D0000}"/>
    <cellStyle name="SAPBEXHLevel0X 26 8" xfId="19801" xr:uid="{00000000-0005-0000-0000-0000925D0000}"/>
    <cellStyle name="SAPBEXHLevel0X 26 9" xfId="23192" xr:uid="{00000000-0005-0000-0000-0000935D0000}"/>
    <cellStyle name="SAPBEXHLevel0X 27" xfId="3998" xr:uid="{00000000-0005-0000-0000-0000945D0000}"/>
    <cellStyle name="SAPBEXHLevel0X 27 2" xfId="6536" xr:uid="{00000000-0005-0000-0000-0000955D0000}"/>
    <cellStyle name="SAPBEXHLevel0X 27 3" xfId="9623" xr:uid="{00000000-0005-0000-0000-0000965D0000}"/>
    <cellStyle name="SAPBEXHLevel0X 27 4" xfId="11720" xr:uid="{00000000-0005-0000-0000-0000975D0000}"/>
    <cellStyle name="SAPBEXHLevel0X 27 5" xfId="14171" xr:uid="{00000000-0005-0000-0000-0000985D0000}"/>
    <cellStyle name="SAPBEXHLevel0X 27 6" xfId="16735" xr:uid="{00000000-0005-0000-0000-0000995D0000}"/>
    <cellStyle name="SAPBEXHLevel0X 27 7" xfId="18867" xr:uid="{00000000-0005-0000-0000-00009A5D0000}"/>
    <cellStyle name="SAPBEXHLevel0X 27 8" xfId="21431" xr:uid="{00000000-0005-0000-0000-00009B5D0000}"/>
    <cellStyle name="SAPBEXHLevel0X 27 9" xfId="23394" xr:uid="{00000000-0005-0000-0000-00009C5D0000}"/>
    <cellStyle name="SAPBEXHLevel0X 28" xfId="4060" xr:uid="{00000000-0005-0000-0000-00009D5D0000}"/>
    <cellStyle name="SAPBEXHLevel0X 28 2" xfId="6598" xr:uid="{00000000-0005-0000-0000-00009E5D0000}"/>
    <cellStyle name="SAPBEXHLevel0X 28 3" xfId="8696" xr:uid="{00000000-0005-0000-0000-00009F5D0000}"/>
    <cellStyle name="SAPBEXHLevel0X 28 4" xfId="11087" xr:uid="{00000000-0005-0000-0000-0000A05D0000}"/>
    <cellStyle name="SAPBEXHLevel0X 28 5" xfId="13477" xr:uid="{00000000-0005-0000-0000-0000A15D0000}"/>
    <cellStyle name="SAPBEXHLevel0X 28 6" xfId="15796" xr:uid="{00000000-0005-0000-0000-0000A25D0000}"/>
    <cellStyle name="SAPBEXHLevel0X 28 7" xfId="18173" xr:uid="{00000000-0005-0000-0000-0000A35D0000}"/>
    <cellStyle name="SAPBEXHLevel0X 28 8" xfId="20492" xr:uid="{00000000-0005-0000-0000-0000A45D0000}"/>
    <cellStyle name="SAPBEXHLevel0X 28 9" xfId="22760" xr:uid="{00000000-0005-0000-0000-0000A55D0000}"/>
    <cellStyle name="SAPBEXHLevel0X 29" xfId="4075" xr:uid="{00000000-0005-0000-0000-0000A65D0000}"/>
    <cellStyle name="SAPBEXHLevel0X 29 2" xfId="6613" xr:uid="{00000000-0005-0000-0000-0000A75D0000}"/>
    <cellStyle name="SAPBEXHLevel0X 29 3" xfId="9551" xr:uid="{00000000-0005-0000-0000-0000A85D0000}"/>
    <cellStyle name="SAPBEXHLevel0X 29 4" xfId="10297" xr:uid="{00000000-0005-0000-0000-0000A95D0000}"/>
    <cellStyle name="SAPBEXHLevel0X 29 5" xfId="12611" xr:uid="{00000000-0005-0000-0000-0000AA5D0000}"/>
    <cellStyle name="SAPBEXHLevel0X 29 6" xfId="16492" xr:uid="{00000000-0005-0000-0000-0000AB5D0000}"/>
    <cellStyle name="SAPBEXHLevel0X 29 7" xfId="17307" xr:uid="{00000000-0005-0000-0000-0000AC5D0000}"/>
    <cellStyle name="SAPBEXHLevel0X 29 8" xfId="21188" xr:uid="{00000000-0005-0000-0000-0000AD5D0000}"/>
    <cellStyle name="SAPBEXHLevel0X 29 9" xfId="21967" xr:uid="{00000000-0005-0000-0000-0000AE5D0000}"/>
    <cellStyle name="SAPBEXHLevel0X 3" xfId="3021" xr:uid="{00000000-0005-0000-0000-0000AF5D0000}"/>
    <cellStyle name="SAPBEXHLevel0X 3 10" xfId="42001" xr:uid="{E6B7C271-B70A-4FF6-9154-667DD063B4F6}"/>
    <cellStyle name="SAPBEXHLevel0X 3 2" xfId="5560" xr:uid="{00000000-0005-0000-0000-0000B05D0000}"/>
    <cellStyle name="SAPBEXHLevel0X 3 3" xfId="9421" xr:uid="{00000000-0005-0000-0000-0000B15D0000}"/>
    <cellStyle name="SAPBEXHLevel0X 3 4" xfId="12134" xr:uid="{00000000-0005-0000-0000-0000B25D0000}"/>
    <cellStyle name="SAPBEXHLevel0X 3 5" xfId="14617" xr:uid="{00000000-0005-0000-0000-0000B35D0000}"/>
    <cellStyle name="SAPBEXHLevel0X 3 6" xfId="16543" xr:uid="{00000000-0005-0000-0000-0000B45D0000}"/>
    <cellStyle name="SAPBEXHLevel0X 3 7" xfId="19313" xr:uid="{00000000-0005-0000-0000-0000B55D0000}"/>
    <cellStyle name="SAPBEXHLevel0X 3 8" xfId="21239" xr:uid="{00000000-0005-0000-0000-0000B65D0000}"/>
    <cellStyle name="SAPBEXHLevel0X 3 9" xfId="23808" xr:uid="{00000000-0005-0000-0000-0000B75D0000}"/>
    <cellStyle name="SAPBEXHLevel0X 30" xfId="4056" xr:uid="{00000000-0005-0000-0000-0000B85D0000}"/>
    <cellStyle name="SAPBEXHLevel0X 30 2" xfId="6594" xr:uid="{00000000-0005-0000-0000-0000B95D0000}"/>
    <cellStyle name="SAPBEXHLevel0X 30 3" xfId="8601" xr:uid="{00000000-0005-0000-0000-0000BA5D0000}"/>
    <cellStyle name="SAPBEXHLevel0X 30 4" xfId="11669" xr:uid="{00000000-0005-0000-0000-0000BB5D0000}"/>
    <cellStyle name="SAPBEXHLevel0X 30 5" xfId="12825" xr:uid="{00000000-0005-0000-0000-0000BC5D0000}"/>
    <cellStyle name="SAPBEXHLevel0X 30 6" xfId="15348" xr:uid="{00000000-0005-0000-0000-0000BD5D0000}"/>
    <cellStyle name="SAPBEXHLevel0X 30 7" xfId="17521" xr:uid="{00000000-0005-0000-0000-0000BE5D0000}"/>
    <cellStyle name="SAPBEXHLevel0X 30 8" xfId="20044" xr:uid="{00000000-0005-0000-0000-0000BF5D0000}"/>
    <cellStyle name="SAPBEXHLevel0X 30 9" xfId="22160" xr:uid="{00000000-0005-0000-0000-0000C05D0000}"/>
    <cellStyle name="SAPBEXHLevel0X 31" xfId="4205" xr:uid="{00000000-0005-0000-0000-0000C15D0000}"/>
    <cellStyle name="SAPBEXHLevel0X 31 2" xfId="6743" xr:uid="{00000000-0005-0000-0000-0000C25D0000}"/>
    <cellStyle name="SAPBEXHLevel0X 31 3" xfId="9723" xr:uid="{00000000-0005-0000-0000-0000C35D0000}"/>
    <cellStyle name="SAPBEXHLevel0X 31 4" xfId="12226" xr:uid="{00000000-0005-0000-0000-0000C45D0000}"/>
    <cellStyle name="SAPBEXHLevel0X 31 5" xfId="14013" xr:uid="{00000000-0005-0000-0000-0000C55D0000}"/>
    <cellStyle name="SAPBEXHLevel0X 31 6" xfId="16895" xr:uid="{00000000-0005-0000-0000-0000C65D0000}"/>
    <cellStyle name="SAPBEXHLevel0X 31 7" xfId="18709" xr:uid="{00000000-0005-0000-0000-0000C75D0000}"/>
    <cellStyle name="SAPBEXHLevel0X 31 8" xfId="21591" xr:uid="{00000000-0005-0000-0000-0000C85D0000}"/>
    <cellStyle name="SAPBEXHLevel0X 31 9" xfId="23250" xr:uid="{00000000-0005-0000-0000-0000C95D0000}"/>
    <cellStyle name="SAPBEXHLevel0X 32" xfId="4139" xr:uid="{00000000-0005-0000-0000-0000CA5D0000}"/>
    <cellStyle name="SAPBEXHLevel0X 32 2" xfId="6677" xr:uid="{00000000-0005-0000-0000-0000CB5D0000}"/>
    <cellStyle name="SAPBEXHLevel0X 32 3" xfId="5467" xr:uid="{00000000-0005-0000-0000-0000CC5D0000}"/>
    <cellStyle name="SAPBEXHLevel0X 32 4" xfId="11347" xr:uid="{00000000-0005-0000-0000-0000CD5D0000}"/>
    <cellStyle name="SAPBEXHLevel0X 32 5" xfId="14884" xr:uid="{00000000-0005-0000-0000-0000CE5D0000}"/>
    <cellStyle name="SAPBEXHLevel0X 32 6" xfId="15414" xr:uid="{00000000-0005-0000-0000-0000CF5D0000}"/>
    <cellStyle name="SAPBEXHLevel0X 32 7" xfId="19580" xr:uid="{00000000-0005-0000-0000-0000D05D0000}"/>
    <cellStyle name="SAPBEXHLevel0X 32 8" xfId="20110" xr:uid="{00000000-0005-0000-0000-0000D15D0000}"/>
    <cellStyle name="SAPBEXHLevel0X 32 9" xfId="24052" xr:uid="{00000000-0005-0000-0000-0000D25D0000}"/>
    <cellStyle name="SAPBEXHLevel0X 33" xfId="4204" xr:uid="{00000000-0005-0000-0000-0000D35D0000}"/>
    <cellStyle name="SAPBEXHLevel0X 33 2" xfId="6742" xr:uid="{00000000-0005-0000-0000-0000D45D0000}"/>
    <cellStyle name="SAPBEXHLevel0X 33 3" xfId="5477" xr:uid="{00000000-0005-0000-0000-0000D55D0000}"/>
    <cellStyle name="SAPBEXHLevel0X 33 4" xfId="11726" xr:uid="{00000000-0005-0000-0000-0000D65D0000}"/>
    <cellStyle name="SAPBEXHLevel0X 33 5" xfId="14177" xr:uid="{00000000-0005-0000-0000-0000D75D0000}"/>
    <cellStyle name="SAPBEXHLevel0X 33 6" xfId="13198" xr:uid="{00000000-0005-0000-0000-0000D85D0000}"/>
    <cellStyle name="SAPBEXHLevel0X 33 7" xfId="18873" xr:uid="{00000000-0005-0000-0000-0000D95D0000}"/>
    <cellStyle name="SAPBEXHLevel0X 33 8" xfId="17894" xr:uid="{00000000-0005-0000-0000-0000DA5D0000}"/>
    <cellStyle name="SAPBEXHLevel0X 33 9" xfId="23400" xr:uid="{00000000-0005-0000-0000-0000DB5D0000}"/>
    <cellStyle name="SAPBEXHLevel0X 34" xfId="4246" xr:uid="{00000000-0005-0000-0000-0000DC5D0000}"/>
    <cellStyle name="SAPBEXHLevel0X 34 2" xfId="6784" xr:uid="{00000000-0005-0000-0000-0000DD5D0000}"/>
    <cellStyle name="SAPBEXHLevel0X 34 3" xfId="9635" xr:uid="{00000000-0005-0000-0000-0000DE5D0000}"/>
    <cellStyle name="SAPBEXHLevel0X 34 4" xfId="10671" xr:uid="{00000000-0005-0000-0000-0000DF5D0000}"/>
    <cellStyle name="SAPBEXHLevel0X 34 5" xfId="13020" xr:uid="{00000000-0005-0000-0000-0000E05D0000}"/>
    <cellStyle name="SAPBEXHLevel0X 34 6" xfId="16288" xr:uid="{00000000-0005-0000-0000-0000E15D0000}"/>
    <cellStyle name="SAPBEXHLevel0X 34 7" xfId="17716" xr:uid="{00000000-0005-0000-0000-0000E25D0000}"/>
    <cellStyle name="SAPBEXHLevel0X 34 8" xfId="20984" xr:uid="{00000000-0005-0000-0000-0000E35D0000}"/>
    <cellStyle name="SAPBEXHLevel0X 34 9" xfId="22344" xr:uid="{00000000-0005-0000-0000-0000E45D0000}"/>
    <cellStyle name="SAPBEXHLevel0X 35" xfId="4289" xr:uid="{00000000-0005-0000-0000-0000E55D0000}"/>
    <cellStyle name="SAPBEXHLevel0X 35 2" xfId="6827" xr:uid="{00000000-0005-0000-0000-0000E65D0000}"/>
    <cellStyle name="SAPBEXHLevel0X 35 3" xfId="8238" xr:uid="{00000000-0005-0000-0000-0000E75D0000}"/>
    <cellStyle name="SAPBEXHLevel0X 35 4" xfId="11470" xr:uid="{00000000-0005-0000-0000-0000E85D0000}"/>
    <cellStyle name="SAPBEXHLevel0X 35 5" xfId="13893" xr:uid="{00000000-0005-0000-0000-0000E95D0000}"/>
    <cellStyle name="SAPBEXHLevel0X 35 6" xfId="16280" xr:uid="{00000000-0005-0000-0000-0000EA5D0000}"/>
    <cellStyle name="SAPBEXHLevel0X 35 7" xfId="18589" xr:uid="{00000000-0005-0000-0000-0000EB5D0000}"/>
    <cellStyle name="SAPBEXHLevel0X 35 8" xfId="20976" xr:uid="{00000000-0005-0000-0000-0000EC5D0000}"/>
    <cellStyle name="SAPBEXHLevel0X 35 9" xfId="23145" xr:uid="{00000000-0005-0000-0000-0000ED5D0000}"/>
    <cellStyle name="SAPBEXHLevel0X 36" xfId="4332" xr:uid="{00000000-0005-0000-0000-0000EE5D0000}"/>
    <cellStyle name="SAPBEXHLevel0X 36 2" xfId="6870" xr:uid="{00000000-0005-0000-0000-0000EF5D0000}"/>
    <cellStyle name="SAPBEXHLevel0X 36 3" xfId="9854" xr:uid="{00000000-0005-0000-0000-0000F05D0000}"/>
    <cellStyle name="SAPBEXHLevel0X 36 4" xfId="11045" xr:uid="{00000000-0005-0000-0000-0000F15D0000}"/>
    <cellStyle name="SAPBEXHLevel0X 36 5" xfId="13429" xr:uid="{00000000-0005-0000-0000-0000F25D0000}"/>
    <cellStyle name="SAPBEXHLevel0X 36 6" xfId="14958" xr:uid="{00000000-0005-0000-0000-0000F35D0000}"/>
    <cellStyle name="SAPBEXHLevel0X 36 7" xfId="18125" xr:uid="{00000000-0005-0000-0000-0000F45D0000}"/>
    <cellStyle name="SAPBEXHLevel0X 36 8" xfId="19654" xr:uid="{00000000-0005-0000-0000-0000F55D0000}"/>
    <cellStyle name="SAPBEXHLevel0X 36 9" xfId="22718" xr:uid="{00000000-0005-0000-0000-0000F65D0000}"/>
    <cellStyle name="SAPBEXHLevel0X 37" xfId="4277" xr:uid="{00000000-0005-0000-0000-0000F75D0000}"/>
    <cellStyle name="SAPBEXHLevel0X 37 2" xfId="6815" xr:uid="{00000000-0005-0000-0000-0000F85D0000}"/>
    <cellStyle name="SAPBEXHLevel0X 37 3" xfId="8974" xr:uid="{00000000-0005-0000-0000-0000F95D0000}"/>
    <cellStyle name="SAPBEXHLevel0X 37 4" xfId="12123" xr:uid="{00000000-0005-0000-0000-0000FA5D0000}"/>
    <cellStyle name="SAPBEXHLevel0X 37 5" xfId="14605" xr:uid="{00000000-0005-0000-0000-0000FB5D0000}"/>
    <cellStyle name="SAPBEXHLevel0X 37 6" xfId="15670" xr:uid="{00000000-0005-0000-0000-0000FC5D0000}"/>
    <cellStyle name="SAPBEXHLevel0X 37 7" xfId="19301" xr:uid="{00000000-0005-0000-0000-0000FD5D0000}"/>
    <cellStyle name="SAPBEXHLevel0X 37 8" xfId="20366" xr:uid="{00000000-0005-0000-0000-0000FE5D0000}"/>
    <cellStyle name="SAPBEXHLevel0X 37 9" xfId="23797" xr:uid="{00000000-0005-0000-0000-0000FF5D0000}"/>
    <cellStyle name="SAPBEXHLevel0X 38" xfId="4489" xr:uid="{00000000-0005-0000-0000-0000005E0000}"/>
    <cellStyle name="SAPBEXHLevel0X 38 2" xfId="7027" xr:uid="{00000000-0005-0000-0000-0000015E0000}"/>
    <cellStyle name="SAPBEXHLevel0X 38 3" xfId="8777" xr:uid="{00000000-0005-0000-0000-0000025E0000}"/>
    <cellStyle name="SAPBEXHLevel0X 38 4" xfId="10695" xr:uid="{00000000-0005-0000-0000-0000035E0000}"/>
    <cellStyle name="SAPBEXHLevel0X 38 5" xfId="13047" xr:uid="{00000000-0005-0000-0000-0000045E0000}"/>
    <cellStyle name="SAPBEXHLevel0X 38 6" xfId="15108" xr:uid="{00000000-0005-0000-0000-0000055E0000}"/>
    <cellStyle name="SAPBEXHLevel0X 38 7" xfId="17743" xr:uid="{00000000-0005-0000-0000-0000065E0000}"/>
    <cellStyle name="SAPBEXHLevel0X 38 8" xfId="19804" xr:uid="{00000000-0005-0000-0000-0000075E0000}"/>
    <cellStyle name="SAPBEXHLevel0X 38 9" xfId="22368" xr:uid="{00000000-0005-0000-0000-0000085E0000}"/>
    <cellStyle name="SAPBEXHLevel0X 39" xfId="4482" xr:uid="{00000000-0005-0000-0000-0000095E0000}"/>
    <cellStyle name="SAPBEXHLevel0X 39 2" xfId="7020" xr:uid="{00000000-0005-0000-0000-00000A5E0000}"/>
    <cellStyle name="SAPBEXHLevel0X 39 3" xfId="8534" xr:uid="{00000000-0005-0000-0000-00000B5E0000}"/>
    <cellStyle name="SAPBEXHLevel0X 39 4" xfId="10890" xr:uid="{00000000-0005-0000-0000-00000C5E0000}"/>
    <cellStyle name="SAPBEXHLevel0X 39 5" xfId="13258" xr:uid="{00000000-0005-0000-0000-00000D5E0000}"/>
    <cellStyle name="SAPBEXHLevel0X 39 6" xfId="15192" xr:uid="{00000000-0005-0000-0000-00000E5E0000}"/>
    <cellStyle name="SAPBEXHLevel0X 39 7" xfId="17954" xr:uid="{00000000-0005-0000-0000-00000F5E0000}"/>
    <cellStyle name="SAPBEXHLevel0X 39 8" xfId="19888" xr:uid="{00000000-0005-0000-0000-0000105E0000}"/>
    <cellStyle name="SAPBEXHLevel0X 39 9" xfId="22561" xr:uid="{00000000-0005-0000-0000-0000115E0000}"/>
    <cellStyle name="SAPBEXHLevel0X 4" xfId="3005" xr:uid="{00000000-0005-0000-0000-0000125E0000}"/>
    <cellStyle name="SAPBEXHLevel0X 4 2" xfId="5544" xr:uid="{00000000-0005-0000-0000-0000135E0000}"/>
    <cellStyle name="SAPBEXHLevel0X 4 3" xfId="8532" xr:uid="{00000000-0005-0000-0000-0000145E0000}"/>
    <cellStyle name="SAPBEXHLevel0X 4 4" xfId="11927" xr:uid="{00000000-0005-0000-0000-0000155E0000}"/>
    <cellStyle name="SAPBEXHLevel0X 4 5" xfId="14400" xr:uid="{00000000-0005-0000-0000-0000165E0000}"/>
    <cellStyle name="SAPBEXHLevel0X 4 6" xfId="16248" xr:uid="{00000000-0005-0000-0000-0000175E0000}"/>
    <cellStyle name="SAPBEXHLevel0X 4 7" xfId="19096" xr:uid="{00000000-0005-0000-0000-0000185E0000}"/>
    <cellStyle name="SAPBEXHLevel0X 4 8" xfId="20944" xr:uid="{00000000-0005-0000-0000-0000195E0000}"/>
    <cellStyle name="SAPBEXHLevel0X 4 9" xfId="23602" xr:uid="{00000000-0005-0000-0000-00001A5E0000}"/>
    <cellStyle name="SAPBEXHLevel0X 40" xfId="4478" xr:uid="{00000000-0005-0000-0000-00001B5E0000}"/>
    <cellStyle name="SAPBEXHLevel0X 40 2" xfId="7016" xr:uid="{00000000-0005-0000-0000-00001C5E0000}"/>
    <cellStyle name="SAPBEXHLevel0X 40 3" xfId="7976" xr:uid="{00000000-0005-0000-0000-00001D5E0000}"/>
    <cellStyle name="SAPBEXHLevel0X 40 4" xfId="12026" xr:uid="{00000000-0005-0000-0000-00001E5E0000}"/>
    <cellStyle name="SAPBEXHLevel0X 40 5" xfId="14249" xr:uid="{00000000-0005-0000-0000-00001F5E0000}"/>
    <cellStyle name="SAPBEXHLevel0X 40 6" xfId="13389" xr:uid="{00000000-0005-0000-0000-0000205E0000}"/>
    <cellStyle name="SAPBEXHLevel0X 40 7" xfId="18945" xr:uid="{00000000-0005-0000-0000-0000215E0000}"/>
    <cellStyle name="SAPBEXHLevel0X 40 8" xfId="18085" xr:uid="{00000000-0005-0000-0000-0000225E0000}"/>
    <cellStyle name="SAPBEXHLevel0X 40 9" xfId="23467" xr:uid="{00000000-0005-0000-0000-0000235E0000}"/>
    <cellStyle name="SAPBEXHLevel0X 41" xfId="4543" xr:uid="{00000000-0005-0000-0000-0000245E0000}"/>
    <cellStyle name="SAPBEXHLevel0X 41 2" xfId="7081" xr:uid="{00000000-0005-0000-0000-0000255E0000}"/>
    <cellStyle name="SAPBEXHLevel0X 41 3" xfId="9157" xr:uid="{00000000-0005-0000-0000-0000265E0000}"/>
    <cellStyle name="SAPBEXHLevel0X 41 4" xfId="11066" xr:uid="{00000000-0005-0000-0000-0000275E0000}"/>
    <cellStyle name="SAPBEXHLevel0X 41 5" xfId="12338" xr:uid="{00000000-0005-0000-0000-0000285E0000}"/>
    <cellStyle name="SAPBEXHLevel0X 41 6" xfId="16455" xr:uid="{00000000-0005-0000-0000-0000295E0000}"/>
    <cellStyle name="SAPBEXHLevel0X 41 7" xfId="17034" xr:uid="{00000000-0005-0000-0000-00002A5E0000}"/>
    <cellStyle name="SAPBEXHLevel0X 41 8" xfId="21151" xr:uid="{00000000-0005-0000-0000-00002B5E0000}"/>
    <cellStyle name="SAPBEXHLevel0X 41 9" xfId="21727" xr:uid="{00000000-0005-0000-0000-00002C5E0000}"/>
    <cellStyle name="SAPBEXHLevel0X 42" xfId="4590" xr:uid="{00000000-0005-0000-0000-00002D5E0000}"/>
    <cellStyle name="SAPBEXHLevel0X 42 2" xfId="7128" xr:uid="{00000000-0005-0000-0000-00002E5E0000}"/>
    <cellStyle name="SAPBEXHLevel0X 42 3" xfId="9585" xr:uid="{00000000-0005-0000-0000-00002F5E0000}"/>
    <cellStyle name="SAPBEXHLevel0X 42 4" xfId="11338" xr:uid="{00000000-0005-0000-0000-0000305E0000}"/>
    <cellStyle name="SAPBEXHLevel0X 42 5" xfId="13748" xr:uid="{00000000-0005-0000-0000-0000315E0000}"/>
    <cellStyle name="SAPBEXHLevel0X 42 6" xfId="16645" xr:uid="{00000000-0005-0000-0000-0000325E0000}"/>
    <cellStyle name="SAPBEXHLevel0X 42 7" xfId="18444" xr:uid="{00000000-0005-0000-0000-0000335E0000}"/>
    <cellStyle name="SAPBEXHLevel0X 42 8" xfId="21341" xr:uid="{00000000-0005-0000-0000-0000345E0000}"/>
    <cellStyle name="SAPBEXHLevel0X 42 9" xfId="23012" xr:uid="{00000000-0005-0000-0000-0000355E0000}"/>
    <cellStyle name="SAPBEXHLevel0X 43" xfId="4633" xr:uid="{00000000-0005-0000-0000-0000365E0000}"/>
    <cellStyle name="SAPBEXHLevel0X 43 2" xfId="7171" xr:uid="{00000000-0005-0000-0000-0000375E0000}"/>
    <cellStyle name="SAPBEXHLevel0X 43 3" xfId="5517" xr:uid="{00000000-0005-0000-0000-0000385E0000}"/>
    <cellStyle name="SAPBEXHLevel0X 43 4" xfId="12245" xr:uid="{00000000-0005-0000-0000-0000395E0000}"/>
    <cellStyle name="SAPBEXHLevel0X 43 5" xfId="12307" xr:uid="{00000000-0005-0000-0000-00003A5E0000}"/>
    <cellStyle name="SAPBEXHLevel0X 43 6" xfId="15689" xr:uid="{00000000-0005-0000-0000-00003B5E0000}"/>
    <cellStyle name="SAPBEXHLevel0X 43 7" xfId="17003" xr:uid="{00000000-0005-0000-0000-00003C5E0000}"/>
    <cellStyle name="SAPBEXHLevel0X 43 8" xfId="20385" xr:uid="{00000000-0005-0000-0000-00003D5E0000}"/>
    <cellStyle name="SAPBEXHLevel0X 43 9" xfId="21699" xr:uid="{00000000-0005-0000-0000-00003E5E0000}"/>
    <cellStyle name="SAPBEXHLevel0X 44" xfId="4766" xr:uid="{00000000-0005-0000-0000-00003F5E0000}"/>
    <cellStyle name="SAPBEXHLevel0X 44 2" xfId="7304" xr:uid="{00000000-0005-0000-0000-0000405E0000}"/>
    <cellStyle name="SAPBEXHLevel0X 44 3" xfId="9096" xr:uid="{00000000-0005-0000-0000-0000415E0000}"/>
    <cellStyle name="SAPBEXHLevel0X 44 4" xfId="11795" xr:uid="{00000000-0005-0000-0000-0000425E0000}"/>
    <cellStyle name="SAPBEXHLevel0X 44 5" xfId="14252" xr:uid="{00000000-0005-0000-0000-0000435E0000}"/>
    <cellStyle name="SAPBEXHLevel0X 44 6" xfId="16491" xr:uid="{00000000-0005-0000-0000-0000445E0000}"/>
    <cellStyle name="SAPBEXHLevel0X 44 7" xfId="18948" xr:uid="{00000000-0005-0000-0000-0000455E0000}"/>
    <cellStyle name="SAPBEXHLevel0X 44 8" xfId="21187" xr:uid="{00000000-0005-0000-0000-0000465E0000}"/>
    <cellStyle name="SAPBEXHLevel0X 44 9" xfId="23470" xr:uid="{00000000-0005-0000-0000-0000475E0000}"/>
    <cellStyle name="SAPBEXHLevel0X 45" xfId="4733" xr:uid="{00000000-0005-0000-0000-0000485E0000}"/>
    <cellStyle name="SAPBEXHLevel0X 45 2" xfId="7271" xr:uid="{00000000-0005-0000-0000-0000495E0000}"/>
    <cellStyle name="SAPBEXHLevel0X 45 3" xfId="7966" xr:uid="{00000000-0005-0000-0000-00004A5E0000}"/>
    <cellStyle name="SAPBEXHLevel0X 45 4" xfId="12261" xr:uid="{00000000-0005-0000-0000-00004B5E0000}"/>
    <cellStyle name="SAPBEXHLevel0X 45 5" xfId="12355" xr:uid="{00000000-0005-0000-0000-00004C5E0000}"/>
    <cellStyle name="SAPBEXHLevel0X 45 6" xfId="15158" xr:uid="{00000000-0005-0000-0000-00004D5E0000}"/>
    <cellStyle name="SAPBEXHLevel0X 45 7" xfId="17051" xr:uid="{00000000-0005-0000-0000-00004E5E0000}"/>
    <cellStyle name="SAPBEXHLevel0X 45 8" xfId="19854" xr:uid="{00000000-0005-0000-0000-00004F5E0000}"/>
    <cellStyle name="SAPBEXHLevel0X 45 9" xfId="21742" xr:uid="{00000000-0005-0000-0000-0000505E0000}"/>
    <cellStyle name="SAPBEXHLevel0X 46" xfId="4761" xr:uid="{00000000-0005-0000-0000-0000515E0000}"/>
    <cellStyle name="SAPBEXHLevel0X 46 2" xfId="7299" xr:uid="{00000000-0005-0000-0000-0000525E0000}"/>
    <cellStyle name="SAPBEXHLevel0X 46 3" xfId="8657" xr:uid="{00000000-0005-0000-0000-0000535E0000}"/>
    <cellStyle name="SAPBEXHLevel0X 46 4" xfId="10465" xr:uid="{00000000-0005-0000-0000-0000545E0000}"/>
    <cellStyle name="SAPBEXHLevel0X 46 5" xfId="12797" xr:uid="{00000000-0005-0000-0000-0000555E0000}"/>
    <cellStyle name="SAPBEXHLevel0X 46 6" xfId="15894" xr:uid="{00000000-0005-0000-0000-0000565E0000}"/>
    <cellStyle name="SAPBEXHLevel0X 46 7" xfId="17493" xr:uid="{00000000-0005-0000-0000-0000575E0000}"/>
    <cellStyle name="SAPBEXHLevel0X 46 8" xfId="20590" xr:uid="{00000000-0005-0000-0000-0000585E0000}"/>
    <cellStyle name="SAPBEXHLevel0X 46 9" xfId="22136" xr:uid="{00000000-0005-0000-0000-0000595E0000}"/>
    <cellStyle name="SAPBEXHLevel0X 47" xfId="4719" xr:uid="{00000000-0005-0000-0000-00005A5E0000}"/>
    <cellStyle name="SAPBEXHLevel0X 47 2" xfId="7257" xr:uid="{00000000-0005-0000-0000-00005B5E0000}"/>
    <cellStyle name="SAPBEXHLevel0X 47 3" xfId="10215" xr:uid="{00000000-0005-0000-0000-00005C5E0000}"/>
    <cellStyle name="SAPBEXHLevel0X 47 4" xfId="10863" xr:uid="{00000000-0005-0000-0000-00005D5E0000}"/>
    <cellStyle name="SAPBEXHLevel0X 47 5" xfId="13072" xr:uid="{00000000-0005-0000-0000-00005E5E0000}"/>
    <cellStyle name="SAPBEXHLevel0X 47 6" xfId="16753" xr:uid="{00000000-0005-0000-0000-00005F5E0000}"/>
    <cellStyle name="SAPBEXHLevel0X 47 7" xfId="17768" xr:uid="{00000000-0005-0000-0000-0000605E0000}"/>
    <cellStyle name="SAPBEXHLevel0X 47 8" xfId="21449" xr:uid="{00000000-0005-0000-0000-0000615E0000}"/>
    <cellStyle name="SAPBEXHLevel0X 47 9" xfId="22391" xr:uid="{00000000-0005-0000-0000-0000625E0000}"/>
    <cellStyle name="SAPBEXHLevel0X 48" xfId="4893" xr:uid="{00000000-0005-0000-0000-0000635E0000}"/>
    <cellStyle name="SAPBEXHLevel0X 48 2" xfId="7431" xr:uid="{00000000-0005-0000-0000-0000645E0000}"/>
    <cellStyle name="SAPBEXHLevel0X 48 3" xfId="9369" xr:uid="{00000000-0005-0000-0000-0000655E0000}"/>
    <cellStyle name="SAPBEXHLevel0X 48 4" xfId="11609" xr:uid="{00000000-0005-0000-0000-0000665E0000}"/>
    <cellStyle name="SAPBEXHLevel0X 48 5" xfId="14048" xr:uid="{00000000-0005-0000-0000-0000675E0000}"/>
    <cellStyle name="SAPBEXHLevel0X 48 6" xfId="15265" xr:uid="{00000000-0005-0000-0000-0000685E0000}"/>
    <cellStyle name="SAPBEXHLevel0X 48 7" xfId="18744" xr:uid="{00000000-0005-0000-0000-0000695E0000}"/>
    <cellStyle name="SAPBEXHLevel0X 48 8" xfId="19961" xr:uid="{00000000-0005-0000-0000-00006A5E0000}"/>
    <cellStyle name="SAPBEXHLevel0X 48 9" xfId="23283" xr:uid="{00000000-0005-0000-0000-00006B5E0000}"/>
    <cellStyle name="SAPBEXHLevel0X 49" xfId="4879" xr:uid="{00000000-0005-0000-0000-00006C5E0000}"/>
    <cellStyle name="SAPBEXHLevel0X 49 2" xfId="7417" xr:uid="{00000000-0005-0000-0000-00006D5E0000}"/>
    <cellStyle name="SAPBEXHLevel0X 49 3" xfId="8648" xr:uid="{00000000-0005-0000-0000-00006E5E0000}"/>
    <cellStyle name="SAPBEXHLevel0X 49 4" xfId="11461" xr:uid="{00000000-0005-0000-0000-00006F5E0000}"/>
    <cellStyle name="SAPBEXHLevel0X 49 5" xfId="13883" xr:uid="{00000000-0005-0000-0000-0000705E0000}"/>
    <cellStyle name="SAPBEXHLevel0X 49 6" xfId="15104" xr:uid="{00000000-0005-0000-0000-0000715E0000}"/>
    <cellStyle name="SAPBEXHLevel0X 49 7" xfId="18579" xr:uid="{00000000-0005-0000-0000-0000725E0000}"/>
    <cellStyle name="SAPBEXHLevel0X 49 8" xfId="19800" xr:uid="{00000000-0005-0000-0000-0000735E0000}"/>
    <cellStyle name="SAPBEXHLevel0X 49 9" xfId="23136" xr:uid="{00000000-0005-0000-0000-0000745E0000}"/>
    <cellStyle name="SAPBEXHLevel0X 5" xfId="3103" xr:uid="{00000000-0005-0000-0000-0000755E0000}"/>
    <cellStyle name="SAPBEXHLevel0X 5 2" xfId="5641" xr:uid="{00000000-0005-0000-0000-0000765E0000}"/>
    <cellStyle name="SAPBEXHLevel0X 5 3" xfId="8000" xr:uid="{00000000-0005-0000-0000-0000775E0000}"/>
    <cellStyle name="SAPBEXHLevel0X 5 4" xfId="11714" xr:uid="{00000000-0005-0000-0000-0000785E0000}"/>
    <cellStyle name="SAPBEXHLevel0X 5 5" xfId="14164" xr:uid="{00000000-0005-0000-0000-0000795E0000}"/>
    <cellStyle name="SAPBEXHLevel0X 5 6" xfId="16619" xr:uid="{00000000-0005-0000-0000-00007A5E0000}"/>
    <cellStyle name="SAPBEXHLevel0X 5 7" xfId="18860" xr:uid="{00000000-0005-0000-0000-00007B5E0000}"/>
    <cellStyle name="SAPBEXHLevel0X 5 8" xfId="21315" xr:uid="{00000000-0005-0000-0000-00007C5E0000}"/>
    <cellStyle name="SAPBEXHLevel0X 5 9" xfId="23388" xr:uid="{00000000-0005-0000-0000-00007D5E0000}"/>
    <cellStyle name="SAPBEXHLevel0X 50" xfId="4918" xr:uid="{00000000-0005-0000-0000-00007E5E0000}"/>
    <cellStyle name="SAPBEXHLevel0X 50 2" xfId="7456" xr:uid="{00000000-0005-0000-0000-00007F5E0000}"/>
    <cellStyle name="SAPBEXHLevel0X 50 3" xfId="8041" xr:uid="{00000000-0005-0000-0000-0000805E0000}"/>
    <cellStyle name="SAPBEXHLevel0X 50 4" xfId="9984" xr:uid="{00000000-0005-0000-0000-0000815E0000}"/>
    <cellStyle name="SAPBEXHLevel0X 50 5" xfId="12378" xr:uid="{00000000-0005-0000-0000-0000825E0000}"/>
    <cellStyle name="SAPBEXHLevel0X 50 6" xfId="12736" xr:uid="{00000000-0005-0000-0000-0000835E0000}"/>
    <cellStyle name="SAPBEXHLevel0X 50 7" xfId="17074" xr:uid="{00000000-0005-0000-0000-0000845E0000}"/>
    <cellStyle name="SAPBEXHLevel0X 50 8" xfId="17432" xr:uid="{00000000-0005-0000-0000-0000855E0000}"/>
    <cellStyle name="SAPBEXHLevel0X 50 9" xfId="21763" xr:uid="{00000000-0005-0000-0000-0000865E0000}"/>
    <cellStyle name="SAPBEXHLevel0X 51" xfId="4943" xr:uid="{00000000-0005-0000-0000-0000875E0000}"/>
    <cellStyle name="SAPBEXHLevel0X 51 2" xfId="7481" xr:uid="{00000000-0005-0000-0000-0000885E0000}"/>
    <cellStyle name="SAPBEXHLevel0X 51 3" xfId="8674" xr:uid="{00000000-0005-0000-0000-0000895E0000}"/>
    <cellStyle name="SAPBEXHLevel0X 51 4" xfId="10842" xr:uid="{00000000-0005-0000-0000-00008A5E0000}"/>
    <cellStyle name="SAPBEXHLevel0X 51 5" xfId="13207" xr:uid="{00000000-0005-0000-0000-00008B5E0000}"/>
    <cellStyle name="SAPBEXHLevel0X 51 6" xfId="15765" xr:uid="{00000000-0005-0000-0000-00008C5E0000}"/>
    <cellStyle name="SAPBEXHLevel0X 51 7" xfId="17903" xr:uid="{00000000-0005-0000-0000-00008D5E0000}"/>
    <cellStyle name="SAPBEXHLevel0X 51 8" xfId="20461" xr:uid="{00000000-0005-0000-0000-00008E5E0000}"/>
    <cellStyle name="SAPBEXHLevel0X 51 9" xfId="22513" xr:uid="{00000000-0005-0000-0000-00008F5E0000}"/>
    <cellStyle name="SAPBEXHLevel0X 52" xfId="4983" xr:uid="{00000000-0005-0000-0000-0000905E0000}"/>
    <cellStyle name="SAPBEXHLevel0X 52 2" xfId="7521" xr:uid="{00000000-0005-0000-0000-0000915E0000}"/>
    <cellStyle name="SAPBEXHLevel0X 52 3" xfId="9707" xr:uid="{00000000-0005-0000-0000-0000925E0000}"/>
    <cellStyle name="SAPBEXHLevel0X 52 4" xfId="11169" xr:uid="{00000000-0005-0000-0000-0000935E0000}"/>
    <cellStyle name="SAPBEXHLevel0X 52 5" xfId="13565" xr:uid="{00000000-0005-0000-0000-0000945E0000}"/>
    <cellStyle name="SAPBEXHLevel0X 52 6" xfId="16367" xr:uid="{00000000-0005-0000-0000-0000955E0000}"/>
    <cellStyle name="SAPBEXHLevel0X 52 7" xfId="18261" xr:uid="{00000000-0005-0000-0000-0000965E0000}"/>
    <cellStyle name="SAPBEXHLevel0X 52 8" xfId="21063" xr:uid="{00000000-0005-0000-0000-0000975E0000}"/>
    <cellStyle name="SAPBEXHLevel0X 52 9" xfId="22842" xr:uid="{00000000-0005-0000-0000-0000985E0000}"/>
    <cellStyle name="SAPBEXHLevel0X 53" xfId="5021" xr:uid="{00000000-0005-0000-0000-0000995E0000}"/>
    <cellStyle name="SAPBEXHLevel0X 53 2" xfId="7559" xr:uid="{00000000-0005-0000-0000-00009A5E0000}"/>
    <cellStyle name="SAPBEXHLevel0X 53 3" xfId="8613" xr:uid="{00000000-0005-0000-0000-00009B5E0000}"/>
    <cellStyle name="SAPBEXHLevel0X 53 4" xfId="10906" xr:uid="{00000000-0005-0000-0000-00009C5E0000}"/>
    <cellStyle name="SAPBEXHLevel0X 53 5" xfId="13276" xr:uid="{00000000-0005-0000-0000-00009D5E0000}"/>
    <cellStyle name="SAPBEXHLevel0X 53 6" xfId="15005" xr:uid="{00000000-0005-0000-0000-00009E5E0000}"/>
    <cellStyle name="SAPBEXHLevel0X 53 7" xfId="17972" xr:uid="{00000000-0005-0000-0000-00009F5E0000}"/>
    <cellStyle name="SAPBEXHLevel0X 53 8" xfId="19701" xr:uid="{00000000-0005-0000-0000-0000A05E0000}"/>
    <cellStyle name="SAPBEXHLevel0X 53 9" xfId="22577" xr:uid="{00000000-0005-0000-0000-0000A15E0000}"/>
    <cellStyle name="SAPBEXHLevel0X 54" xfId="5143" xr:uid="{00000000-0005-0000-0000-0000A25E0000}"/>
    <cellStyle name="SAPBEXHLevel0X 54 2" xfId="7681" xr:uid="{00000000-0005-0000-0000-0000A35E0000}"/>
    <cellStyle name="SAPBEXHLevel0X 54 3" xfId="9618" xr:uid="{00000000-0005-0000-0000-0000A45E0000}"/>
    <cellStyle name="SAPBEXHLevel0X 54 4" xfId="10341" xr:uid="{00000000-0005-0000-0000-0000A55E0000}"/>
    <cellStyle name="SAPBEXHLevel0X 54 5" xfId="12662" xr:uid="{00000000-0005-0000-0000-0000A65E0000}"/>
    <cellStyle name="SAPBEXHLevel0X 54 6" xfId="16159" xr:uid="{00000000-0005-0000-0000-0000A75E0000}"/>
    <cellStyle name="SAPBEXHLevel0X 54 7" xfId="17358" xr:uid="{00000000-0005-0000-0000-0000A85E0000}"/>
    <cellStyle name="SAPBEXHLevel0X 54 8" xfId="20855" xr:uid="{00000000-0005-0000-0000-0000A95E0000}"/>
    <cellStyle name="SAPBEXHLevel0X 54 9" xfId="22012" xr:uid="{00000000-0005-0000-0000-0000AA5E0000}"/>
    <cellStyle name="SAPBEXHLevel0X 55" xfId="5212" xr:uid="{00000000-0005-0000-0000-0000AB5E0000}"/>
    <cellStyle name="SAPBEXHLevel0X 55 2" xfId="7751" xr:uid="{00000000-0005-0000-0000-0000AC5E0000}"/>
    <cellStyle name="SAPBEXHLevel0X 55 3" xfId="8378" xr:uid="{00000000-0005-0000-0000-0000AD5E0000}"/>
    <cellStyle name="SAPBEXHLevel0X 55 4" xfId="10467" xr:uid="{00000000-0005-0000-0000-0000AE5E0000}"/>
    <cellStyle name="SAPBEXHLevel0X 55 5" xfId="14533" xr:uid="{00000000-0005-0000-0000-0000AF5E0000}"/>
    <cellStyle name="SAPBEXHLevel0X 55 6" xfId="16995" xr:uid="{00000000-0005-0000-0000-0000B05E0000}"/>
    <cellStyle name="SAPBEXHLevel0X 55 7" xfId="19229" xr:uid="{00000000-0005-0000-0000-0000B15E0000}"/>
    <cellStyle name="SAPBEXHLevel0X 55 8" xfId="21691" xr:uid="{00000000-0005-0000-0000-0000B25E0000}"/>
    <cellStyle name="SAPBEXHLevel0X 55 9" xfId="23725" xr:uid="{00000000-0005-0000-0000-0000B35E0000}"/>
    <cellStyle name="SAPBEXHLevel0X 56" xfId="5250" xr:uid="{00000000-0005-0000-0000-0000B45E0000}"/>
    <cellStyle name="SAPBEXHLevel0X 56 2" xfId="9465" xr:uid="{00000000-0005-0000-0000-0000B55E0000}"/>
    <cellStyle name="SAPBEXHLevel0X 56 3" xfId="11692" xr:uid="{00000000-0005-0000-0000-0000B65E0000}"/>
    <cellStyle name="SAPBEXHLevel0X 56 4" xfId="14141" xr:uid="{00000000-0005-0000-0000-0000B75E0000}"/>
    <cellStyle name="SAPBEXHLevel0X 56 5" xfId="15551" xr:uid="{00000000-0005-0000-0000-0000B85E0000}"/>
    <cellStyle name="SAPBEXHLevel0X 56 6" xfId="18837" xr:uid="{00000000-0005-0000-0000-0000B95E0000}"/>
    <cellStyle name="SAPBEXHLevel0X 56 7" xfId="20247" xr:uid="{00000000-0005-0000-0000-0000BA5E0000}"/>
    <cellStyle name="SAPBEXHLevel0X 56 8" xfId="23366" xr:uid="{00000000-0005-0000-0000-0000BB5E0000}"/>
    <cellStyle name="SAPBEXHLevel0X 57" xfId="9627" xr:uid="{00000000-0005-0000-0000-0000BC5E0000}"/>
    <cellStyle name="SAPBEXHLevel0X 58" xfId="10572" xr:uid="{00000000-0005-0000-0000-0000BD5E0000}"/>
    <cellStyle name="SAPBEXHLevel0X 59" xfId="12918" xr:uid="{00000000-0005-0000-0000-0000BE5E0000}"/>
    <cellStyle name="SAPBEXHLevel0X 6" xfId="3149" xr:uid="{00000000-0005-0000-0000-0000BF5E0000}"/>
    <cellStyle name="SAPBEXHLevel0X 6 2" xfId="5687" xr:uid="{00000000-0005-0000-0000-0000C05E0000}"/>
    <cellStyle name="SAPBEXHLevel0X 6 3" xfId="9319" xr:uid="{00000000-0005-0000-0000-0000C15E0000}"/>
    <cellStyle name="SAPBEXHLevel0X 6 4" xfId="10311" xr:uid="{00000000-0005-0000-0000-0000C25E0000}"/>
    <cellStyle name="SAPBEXHLevel0X 6 5" xfId="12626" xr:uid="{00000000-0005-0000-0000-0000C35E0000}"/>
    <cellStyle name="SAPBEXHLevel0X 6 6" xfId="15611" xr:uid="{00000000-0005-0000-0000-0000C45E0000}"/>
    <cellStyle name="SAPBEXHLevel0X 6 7" xfId="17322" xr:uid="{00000000-0005-0000-0000-0000C55E0000}"/>
    <cellStyle name="SAPBEXHLevel0X 6 8" xfId="20307" xr:uid="{00000000-0005-0000-0000-0000C65E0000}"/>
    <cellStyle name="SAPBEXHLevel0X 6 9" xfId="21981" xr:uid="{00000000-0005-0000-0000-0000C75E0000}"/>
    <cellStyle name="SAPBEXHLevel0X 60" xfId="15441" xr:uid="{00000000-0005-0000-0000-0000C85E0000}"/>
    <cellStyle name="SAPBEXHLevel0X 61" xfId="17614" xr:uid="{00000000-0005-0000-0000-0000C95E0000}"/>
    <cellStyle name="SAPBEXHLevel0X 62" xfId="20137" xr:uid="{00000000-0005-0000-0000-0000CA5E0000}"/>
    <cellStyle name="SAPBEXHLevel0X 63" xfId="22244" xr:uid="{00000000-0005-0000-0000-0000CB5E0000}"/>
    <cellStyle name="SAPBEXHLevel0X 64" xfId="42179" xr:uid="{CA547DBE-B09A-4BE1-AD78-3B6A45DF92A9}"/>
    <cellStyle name="SAPBEXHLevel0X 7" xfId="3192" xr:uid="{00000000-0005-0000-0000-0000CC5E0000}"/>
    <cellStyle name="SAPBEXHLevel0X 7 2" xfId="5730" xr:uid="{00000000-0005-0000-0000-0000CD5E0000}"/>
    <cellStyle name="SAPBEXHLevel0X 7 3" xfId="9884" xr:uid="{00000000-0005-0000-0000-0000CE5E0000}"/>
    <cellStyle name="SAPBEXHLevel0X 7 4" xfId="10279" xr:uid="{00000000-0005-0000-0000-0000CF5E0000}"/>
    <cellStyle name="SAPBEXHLevel0X 7 5" xfId="12589" xr:uid="{00000000-0005-0000-0000-0000D05E0000}"/>
    <cellStyle name="SAPBEXHLevel0X 7 6" xfId="16146" xr:uid="{00000000-0005-0000-0000-0000D15E0000}"/>
    <cellStyle name="SAPBEXHLevel0X 7 7" xfId="17285" xr:uid="{00000000-0005-0000-0000-0000D25E0000}"/>
    <cellStyle name="SAPBEXHLevel0X 7 8" xfId="20842" xr:uid="{00000000-0005-0000-0000-0000D35E0000}"/>
    <cellStyle name="SAPBEXHLevel0X 7 9" xfId="21948" xr:uid="{00000000-0005-0000-0000-0000D45E0000}"/>
    <cellStyle name="SAPBEXHLevel0X 8" xfId="3235" xr:uid="{00000000-0005-0000-0000-0000D55E0000}"/>
    <cellStyle name="SAPBEXHLevel0X 8 2" xfId="5773" xr:uid="{00000000-0005-0000-0000-0000D65E0000}"/>
    <cellStyle name="SAPBEXHLevel0X 8 3" xfId="8016" xr:uid="{00000000-0005-0000-0000-0000D75E0000}"/>
    <cellStyle name="SAPBEXHLevel0X 8 4" xfId="11462" xr:uid="{00000000-0005-0000-0000-0000D85E0000}"/>
    <cellStyle name="SAPBEXHLevel0X 8 5" xfId="13884" xr:uid="{00000000-0005-0000-0000-0000D95E0000}"/>
    <cellStyle name="SAPBEXHLevel0X 8 6" xfId="16137" xr:uid="{00000000-0005-0000-0000-0000DA5E0000}"/>
    <cellStyle name="SAPBEXHLevel0X 8 7" xfId="18580" xr:uid="{00000000-0005-0000-0000-0000DB5E0000}"/>
    <cellStyle name="SAPBEXHLevel0X 8 8" xfId="20833" xr:uid="{00000000-0005-0000-0000-0000DC5E0000}"/>
    <cellStyle name="SAPBEXHLevel0X 8 9" xfId="23137" xr:uid="{00000000-0005-0000-0000-0000DD5E0000}"/>
    <cellStyle name="SAPBEXHLevel0X 9" xfId="3278" xr:uid="{00000000-0005-0000-0000-0000DE5E0000}"/>
    <cellStyle name="SAPBEXHLevel0X 9 2" xfId="5816" xr:uid="{00000000-0005-0000-0000-0000DF5E0000}"/>
    <cellStyle name="SAPBEXHLevel0X 9 3" xfId="8556" xr:uid="{00000000-0005-0000-0000-0000E05E0000}"/>
    <cellStyle name="SAPBEXHLevel0X 9 4" xfId="11909" xr:uid="{00000000-0005-0000-0000-0000E15E0000}"/>
    <cellStyle name="SAPBEXHLevel0X 9 5" xfId="14381" xr:uid="{00000000-0005-0000-0000-0000E25E0000}"/>
    <cellStyle name="SAPBEXHLevel0X 9 6" xfId="16690" xr:uid="{00000000-0005-0000-0000-0000E35E0000}"/>
    <cellStyle name="SAPBEXHLevel0X 9 7" xfId="19077" xr:uid="{00000000-0005-0000-0000-0000E45E0000}"/>
    <cellStyle name="SAPBEXHLevel0X 9 8" xfId="21386" xr:uid="{00000000-0005-0000-0000-0000E55E0000}"/>
    <cellStyle name="SAPBEXHLevel0X 9 9" xfId="23584" xr:uid="{00000000-0005-0000-0000-0000E65E0000}"/>
    <cellStyle name="SAPBEXHLevel1" xfId="2963" xr:uid="{00000000-0005-0000-0000-0000E75E0000}"/>
    <cellStyle name="SAPBEXHLevel1 10" xfId="3008" xr:uid="{00000000-0005-0000-0000-0000E85E0000}"/>
    <cellStyle name="SAPBEXHLevel1 10 2" xfId="5547" xr:uid="{00000000-0005-0000-0000-0000E95E0000}"/>
    <cellStyle name="SAPBEXHLevel1 10 3" xfId="8420" xr:uid="{00000000-0005-0000-0000-0000EA5E0000}"/>
    <cellStyle name="SAPBEXHLevel1 10 4" xfId="11309" xr:uid="{00000000-0005-0000-0000-0000EB5E0000}"/>
    <cellStyle name="SAPBEXHLevel1 10 5" xfId="13717" xr:uid="{00000000-0005-0000-0000-0000EC5E0000}"/>
    <cellStyle name="SAPBEXHLevel1 10 6" xfId="16928" xr:uid="{00000000-0005-0000-0000-0000ED5E0000}"/>
    <cellStyle name="SAPBEXHLevel1 10 7" xfId="18413" xr:uid="{00000000-0005-0000-0000-0000EE5E0000}"/>
    <cellStyle name="SAPBEXHLevel1 10 8" xfId="21624" xr:uid="{00000000-0005-0000-0000-0000EF5E0000}"/>
    <cellStyle name="SAPBEXHLevel1 10 9" xfId="22983" xr:uid="{00000000-0005-0000-0000-0000F05E0000}"/>
    <cellStyle name="SAPBEXHLevel1 11" xfId="3362" xr:uid="{00000000-0005-0000-0000-0000F15E0000}"/>
    <cellStyle name="SAPBEXHLevel1 11 2" xfId="5900" xr:uid="{00000000-0005-0000-0000-0000F25E0000}"/>
    <cellStyle name="SAPBEXHLevel1 11 3" xfId="10163" xr:uid="{00000000-0005-0000-0000-0000F35E0000}"/>
    <cellStyle name="SAPBEXHLevel1 11 4" xfId="11321" xr:uid="{00000000-0005-0000-0000-0000F45E0000}"/>
    <cellStyle name="SAPBEXHLevel1 11 5" xfId="13730" xr:uid="{00000000-0005-0000-0000-0000F55E0000}"/>
    <cellStyle name="SAPBEXHLevel1 11 6" xfId="15571" xr:uid="{00000000-0005-0000-0000-0000F65E0000}"/>
    <cellStyle name="SAPBEXHLevel1 11 7" xfId="18426" xr:uid="{00000000-0005-0000-0000-0000F75E0000}"/>
    <cellStyle name="SAPBEXHLevel1 11 8" xfId="20267" xr:uid="{00000000-0005-0000-0000-0000F85E0000}"/>
    <cellStyle name="SAPBEXHLevel1 11 9" xfId="22995" xr:uid="{00000000-0005-0000-0000-0000F95E0000}"/>
    <cellStyle name="SAPBEXHLevel1 12" xfId="3369" xr:uid="{00000000-0005-0000-0000-0000FA5E0000}"/>
    <cellStyle name="SAPBEXHLevel1 12 2" xfId="5907" xr:uid="{00000000-0005-0000-0000-0000FB5E0000}"/>
    <cellStyle name="SAPBEXHLevel1 12 3" xfId="9561" xr:uid="{00000000-0005-0000-0000-0000FC5E0000}"/>
    <cellStyle name="SAPBEXHLevel1 12 4" xfId="11903" xr:uid="{00000000-0005-0000-0000-0000FD5E0000}"/>
    <cellStyle name="SAPBEXHLevel1 12 5" xfId="14375" xr:uid="{00000000-0005-0000-0000-0000FE5E0000}"/>
    <cellStyle name="SAPBEXHLevel1 12 6" xfId="16916" xr:uid="{00000000-0005-0000-0000-0000FF5E0000}"/>
    <cellStyle name="SAPBEXHLevel1 12 7" xfId="19071" xr:uid="{00000000-0005-0000-0000-0000005F0000}"/>
    <cellStyle name="SAPBEXHLevel1 12 8" xfId="21612" xr:uid="{00000000-0005-0000-0000-0000015F0000}"/>
    <cellStyle name="SAPBEXHLevel1 12 9" xfId="23578" xr:uid="{00000000-0005-0000-0000-0000025F0000}"/>
    <cellStyle name="SAPBEXHLevel1 13" xfId="3541" xr:uid="{00000000-0005-0000-0000-0000035F0000}"/>
    <cellStyle name="SAPBEXHLevel1 13 2" xfId="6079" xr:uid="{00000000-0005-0000-0000-0000045F0000}"/>
    <cellStyle name="SAPBEXHLevel1 13 3" xfId="10068" xr:uid="{00000000-0005-0000-0000-0000055F0000}"/>
    <cellStyle name="SAPBEXHLevel1 13 4" xfId="11771" xr:uid="{00000000-0005-0000-0000-0000065F0000}"/>
    <cellStyle name="SAPBEXHLevel1 13 5" xfId="14224" xr:uid="{00000000-0005-0000-0000-0000075F0000}"/>
    <cellStyle name="SAPBEXHLevel1 13 6" xfId="15993" xr:uid="{00000000-0005-0000-0000-0000085F0000}"/>
    <cellStyle name="SAPBEXHLevel1 13 7" xfId="18920" xr:uid="{00000000-0005-0000-0000-0000095F0000}"/>
    <cellStyle name="SAPBEXHLevel1 13 8" xfId="20689" xr:uid="{00000000-0005-0000-0000-00000A5F0000}"/>
    <cellStyle name="SAPBEXHLevel1 13 9" xfId="23445" xr:uid="{00000000-0005-0000-0000-00000B5F0000}"/>
    <cellStyle name="SAPBEXHLevel1 14" xfId="3585" xr:uid="{00000000-0005-0000-0000-00000C5F0000}"/>
    <cellStyle name="SAPBEXHLevel1 14 2" xfId="6123" xr:uid="{00000000-0005-0000-0000-00000D5F0000}"/>
    <cellStyle name="SAPBEXHLevel1 14 3" xfId="8554" xr:uid="{00000000-0005-0000-0000-00000E5F0000}"/>
    <cellStyle name="SAPBEXHLevel1 14 4" xfId="10625" xr:uid="{00000000-0005-0000-0000-00000F5F0000}"/>
    <cellStyle name="SAPBEXHLevel1 14 5" xfId="12974" xr:uid="{00000000-0005-0000-0000-0000105F0000}"/>
    <cellStyle name="SAPBEXHLevel1 14 6" xfId="15214" xr:uid="{00000000-0005-0000-0000-0000115F0000}"/>
    <cellStyle name="SAPBEXHLevel1 14 7" xfId="17670" xr:uid="{00000000-0005-0000-0000-0000125F0000}"/>
    <cellStyle name="SAPBEXHLevel1 14 8" xfId="19910" xr:uid="{00000000-0005-0000-0000-0000135F0000}"/>
    <cellStyle name="SAPBEXHLevel1 14 9" xfId="22298" xr:uid="{00000000-0005-0000-0000-0000145F0000}"/>
    <cellStyle name="SAPBEXHLevel1 15" xfId="3704" xr:uid="{00000000-0005-0000-0000-0000155F0000}"/>
    <cellStyle name="SAPBEXHLevel1 15 2" xfId="6242" xr:uid="{00000000-0005-0000-0000-0000165F0000}"/>
    <cellStyle name="SAPBEXHLevel1 15 3" xfId="8607" xr:uid="{00000000-0005-0000-0000-0000175F0000}"/>
    <cellStyle name="SAPBEXHLevel1 15 4" xfId="10343" xr:uid="{00000000-0005-0000-0000-0000185F0000}"/>
    <cellStyle name="SAPBEXHLevel1 15 5" xfId="12664" xr:uid="{00000000-0005-0000-0000-0000195F0000}"/>
    <cellStyle name="SAPBEXHLevel1 15 6" xfId="16578" xr:uid="{00000000-0005-0000-0000-00001A5F0000}"/>
    <cellStyle name="SAPBEXHLevel1 15 7" xfId="17360" xr:uid="{00000000-0005-0000-0000-00001B5F0000}"/>
    <cellStyle name="SAPBEXHLevel1 15 8" xfId="21274" xr:uid="{00000000-0005-0000-0000-00001C5F0000}"/>
    <cellStyle name="SAPBEXHLevel1 15 9" xfId="22014" xr:uid="{00000000-0005-0000-0000-00001D5F0000}"/>
    <cellStyle name="SAPBEXHLevel1 16" xfId="3766" xr:uid="{00000000-0005-0000-0000-00001E5F0000}"/>
    <cellStyle name="SAPBEXHLevel1 16 2" xfId="6304" xr:uid="{00000000-0005-0000-0000-00001F5F0000}"/>
    <cellStyle name="SAPBEXHLevel1 16 3" xfId="9082" xr:uid="{00000000-0005-0000-0000-0000205F0000}"/>
    <cellStyle name="SAPBEXHLevel1 16 4" xfId="8415" xr:uid="{00000000-0005-0000-0000-0000215F0000}"/>
    <cellStyle name="SAPBEXHLevel1 16 5" xfId="12508" xr:uid="{00000000-0005-0000-0000-0000225F0000}"/>
    <cellStyle name="SAPBEXHLevel1 16 6" xfId="15462" xr:uid="{00000000-0005-0000-0000-0000235F0000}"/>
    <cellStyle name="SAPBEXHLevel1 16 7" xfId="17204" xr:uid="{00000000-0005-0000-0000-0000245F0000}"/>
    <cellStyle name="SAPBEXHLevel1 16 8" xfId="20158" xr:uid="{00000000-0005-0000-0000-0000255F0000}"/>
    <cellStyle name="SAPBEXHLevel1 16 9" xfId="21875" xr:uid="{00000000-0005-0000-0000-0000265F0000}"/>
    <cellStyle name="SAPBEXHLevel1 17" xfId="3751" xr:uid="{00000000-0005-0000-0000-0000275F0000}"/>
    <cellStyle name="SAPBEXHLevel1 17 2" xfId="6289" xr:uid="{00000000-0005-0000-0000-0000285F0000}"/>
    <cellStyle name="SAPBEXHLevel1 17 3" xfId="8984" xr:uid="{00000000-0005-0000-0000-0000295F0000}"/>
    <cellStyle name="SAPBEXHLevel1 17 4" xfId="11440" xr:uid="{00000000-0005-0000-0000-00002A5F0000}"/>
    <cellStyle name="SAPBEXHLevel1 17 5" xfId="13858" xr:uid="{00000000-0005-0000-0000-00002B5F0000}"/>
    <cellStyle name="SAPBEXHLevel1 17 6" xfId="16067" xr:uid="{00000000-0005-0000-0000-00002C5F0000}"/>
    <cellStyle name="SAPBEXHLevel1 17 7" xfId="18554" xr:uid="{00000000-0005-0000-0000-00002D5F0000}"/>
    <cellStyle name="SAPBEXHLevel1 17 8" xfId="20763" xr:uid="{00000000-0005-0000-0000-00002E5F0000}"/>
    <cellStyle name="SAPBEXHLevel1 17 9" xfId="23115" xr:uid="{00000000-0005-0000-0000-00002F5F0000}"/>
    <cellStyle name="SAPBEXHLevel1 18" xfId="3878" xr:uid="{00000000-0005-0000-0000-0000305F0000}"/>
    <cellStyle name="SAPBEXHLevel1 18 2" xfId="6416" xr:uid="{00000000-0005-0000-0000-0000315F0000}"/>
    <cellStyle name="SAPBEXHLevel1 18 3" xfId="9198" xr:uid="{00000000-0005-0000-0000-0000325F0000}"/>
    <cellStyle name="SAPBEXHLevel1 18 4" xfId="11444" xr:uid="{00000000-0005-0000-0000-0000335F0000}"/>
    <cellStyle name="SAPBEXHLevel1 18 5" xfId="13863" xr:uid="{00000000-0005-0000-0000-0000345F0000}"/>
    <cellStyle name="SAPBEXHLevel1 18 6" xfId="12644" xr:uid="{00000000-0005-0000-0000-0000355F0000}"/>
    <cellStyle name="SAPBEXHLevel1 18 7" xfId="18559" xr:uid="{00000000-0005-0000-0000-0000365F0000}"/>
    <cellStyle name="SAPBEXHLevel1 18 8" xfId="17340" xr:uid="{00000000-0005-0000-0000-0000375F0000}"/>
    <cellStyle name="SAPBEXHLevel1 18 9" xfId="23119" xr:uid="{00000000-0005-0000-0000-0000385F0000}"/>
    <cellStyle name="SAPBEXHLevel1 19" xfId="3787" xr:uid="{00000000-0005-0000-0000-0000395F0000}"/>
    <cellStyle name="SAPBEXHLevel1 19 2" xfId="6325" xr:uid="{00000000-0005-0000-0000-00003A5F0000}"/>
    <cellStyle name="SAPBEXHLevel1 19 3" xfId="9318" xr:uid="{00000000-0005-0000-0000-00003B5F0000}"/>
    <cellStyle name="SAPBEXHLevel1 19 4" xfId="11872" xr:uid="{00000000-0005-0000-0000-00003C5F0000}"/>
    <cellStyle name="SAPBEXHLevel1 19 5" xfId="13051" xr:uid="{00000000-0005-0000-0000-00003D5F0000}"/>
    <cellStyle name="SAPBEXHLevel1 19 6" xfId="15325" xr:uid="{00000000-0005-0000-0000-00003E5F0000}"/>
    <cellStyle name="SAPBEXHLevel1 19 7" xfId="17747" xr:uid="{00000000-0005-0000-0000-00003F5F0000}"/>
    <cellStyle name="SAPBEXHLevel1 19 8" xfId="20021" xr:uid="{00000000-0005-0000-0000-0000405F0000}"/>
    <cellStyle name="SAPBEXHLevel1 19 9" xfId="22372" xr:uid="{00000000-0005-0000-0000-0000415F0000}"/>
    <cellStyle name="SAPBEXHLevel1 2" xfId="3082" xr:uid="{00000000-0005-0000-0000-0000425F0000}"/>
    <cellStyle name="SAPBEXHLevel1 2 10" xfId="34293" xr:uid="{84D3896A-C5E1-401B-AFCF-D19D163909D8}"/>
    <cellStyle name="SAPBEXHLevel1 2 2" xfId="5620" xr:uid="{00000000-0005-0000-0000-0000435F0000}"/>
    <cellStyle name="SAPBEXHLevel1 2 2 2" xfId="42081" xr:uid="{B3C7EFC2-30E3-4DAF-AC27-200199EB5FBB}"/>
    <cellStyle name="SAPBEXHLevel1 2 3" xfId="8548" xr:uid="{00000000-0005-0000-0000-0000445F0000}"/>
    <cellStyle name="SAPBEXHLevel1 2 4" xfId="11730" xr:uid="{00000000-0005-0000-0000-0000455F0000}"/>
    <cellStyle name="SAPBEXHLevel1 2 5" xfId="14181" xr:uid="{00000000-0005-0000-0000-0000465F0000}"/>
    <cellStyle name="SAPBEXHLevel1 2 6" xfId="15870" xr:uid="{00000000-0005-0000-0000-0000475F0000}"/>
    <cellStyle name="SAPBEXHLevel1 2 7" xfId="18877" xr:uid="{00000000-0005-0000-0000-0000485F0000}"/>
    <cellStyle name="SAPBEXHLevel1 2 8" xfId="20566" xr:uid="{00000000-0005-0000-0000-0000495F0000}"/>
    <cellStyle name="SAPBEXHLevel1 2 9" xfId="23404" xr:uid="{00000000-0005-0000-0000-00004A5F0000}"/>
    <cellStyle name="SAPBEXHLevel1 20" xfId="3795" xr:uid="{00000000-0005-0000-0000-00004B5F0000}"/>
    <cellStyle name="SAPBEXHLevel1 20 2" xfId="6333" xr:uid="{00000000-0005-0000-0000-00004C5F0000}"/>
    <cellStyle name="SAPBEXHLevel1 20 3" xfId="7965" xr:uid="{00000000-0005-0000-0000-00004D5F0000}"/>
    <cellStyle name="SAPBEXHLevel1 20 4" xfId="10752" xr:uid="{00000000-0005-0000-0000-00004E5F0000}"/>
    <cellStyle name="SAPBEXHLevel1 20 5" xfId="13107" xr:uid="{00000000-0005-0000-0000-00004F5F0000}"/>
    <cellStyle name="SAPBEXHLevel1 20 6" xfId="16469" xr:uid="{00000000-0005-0000-0000-0000505F0000}"/>
    <cellStyle name="SAPBEXHLevel1 20 7" xfId="17803" xr:uid="{00000000-0005-0000-0000-0000515F0000}"/>
    <cellStyle name="SAPBEXHLevel1 20 8" xfId="21165" xr:uid="{00000000-0005-0000-0000-0000525F0000}"/>
    <cellStyle name="SAPBEXHLevel1 20 9" xfId="22424" xr:uid="{00000000-0005-0000-0000-0000535F0000}"/>
    <cellStyle name="SAPBEXHLevel1 21" xfId="4026" xr:uid="{00000000-0005-0000-0000-0000545F0000}"/>
    <cellStyle name="SAPBEXHLevel1 21 2" xfId="6564" xr:uid="{00000000-0005-0000-0000-0000555F0000}"/>
    <cellStyle name="SAPBEXHLevel1 21 3" xfId="9291" xr:uid="{00000000-0005-0000-0000-0000565F0000}"/>
    <cellStyle name="SAPBEXHLevel1 21 4" xfId="11857" xr:uid="{00000000-0005-0000-0000-0000575F0000}"/>
    <cellStyle name="SAPBEXHLevel1 21 5" xfId="14319" xr:uid="{00000000-0005-0000-0000-0000585F0000}"/>
    <cellStyle name="SAPBEXHLevel1 21 6" xfId="16873" xr:uid="{00000000-0005-0000-0000-0000595F0000}"/>
    <cellStyle name="SAPBEXHLevel1 21 7" xfId="19015" xr:uid="{00000000-0005-0000-0000-00005A5F0000}"/>
    <cellStyle name="SAPBEXHLevel1 21 8" xfId="21569" xr:uid="{00000000-0005-0000-0000-00005B5F0000}"/>
    <cellStyle name="SAPBEXHLevel1 21 9" xfId="23533" xr:uid="{00000000-0005-0000-0000-00005C5F0000}"/>
    <cellStyle name="SAPBEXHLevel1 22" xfId="3935" xr:uid="{00000000-0005-0000-0000-00005D5F0000}"/>
    <cellStyle name="SAPBEXHLevel1 22 2" xfId="6473" xr:uid="{00000000-0005-0000-0000-00005E5F0000}"/>
    <cellStyle name="SAPBEXHLevel1 22 3" xfId="8066" xr:uid="{00000000-0005-0000-0000-00005F5F0000}"/>
    <cellStyle name="SAPBEXHLevel1 22 4" xfId="10588" xr:uid="{00000000-0005-0000-0000-0000605F0000}"/>
    <cellStyle name="SAPBEXHLevel1 22 5" xfId="12935" xr:uid="{00000000-0005-0000-0000-0000615F0000}"/>
    <cellStyle name="SAPBEXHLevel1 22 6" xfId="16579" xr:uid="{00000000-0005-0000-0000-0000625F0000}"/>
    <cellStyle name="SAPBEXHLevel1 22 7" xfId="17631" xr:uid="{00000000-0005-0000-0000-0000635F0000}"/>
    <cellStyle name="SAPBEXHLevel1 22 8" xfId="21275" xr:uid="{00000000-0005-0000-0000-0000645F0000}"/>
    <cellStyle name="SAPBEXHLevel1 22 9" xfId="22261" xr:uid="{00000000-0005-0000-0000-0000655F0000}"/>
    <cellStyle name="SAPBEXHLevel1 23" xfId="4057" xr:uid="{00000000-0005-0000-0000-0000665F0000}"/>
    <cellStyle name="SAPBEXHLevel1 23 2" xfId="6595" xr:uid="{00000000-0005-0000-0000-0000675F0000}"/>
    <cellStyle name="SAPBEXHLevel1 23 3" xfId="9839" xr:uid="{00000000-0005-0000-0000-0000685F0000}"/>
    <cellStyle name="SAPBEXHLevel1 23 4" xfId="10994" xr:uid="{00000000-0005-0000-0000-0000695F0000}"/>
    <cellStyle name="SAPBEXHLevel1 23 5" xfId="13368" xr:uid="{00000000-0005-0000-0000-00006A5F0000}"/>
    <cellStyle name="SAPBEXHLevel1 23 6" xfId="15560" xr:uid="{00000000-0005-0000-0000-00006B5F0000}"/>
    <cellStyle name="SAPBEXHLevel1 23 7" xfId="18064" xr:uid="{00000000-0005-0000-0000-00006C5F0000}"/>
    <cellStyle name="SAPBEXHLevel1 23 8" xfId="20256" xr:uid="{00000000-0005-0000-0000-00006D5F0000}"/>
    <cellStyle name="SAPBEXHLevel1 23 9" xfId="22667" xr:uid="{00000000-0005-0000-0000-00006E5F0000}"/>
    <cellStyle name="SAPBEXHLevel1 24" xfId="4045" xr:uid="{00000000-0005-0000-0000-00006F5F0000}"/>
    <cellStyle name="SAPBEXHLevel1 24 2" xfId="6583" xr:uid="{00000000-0005-0000-0000-0000705F0000}"/>
    <cellStyle name="SAPBEXHLevel1 24 3" xfId="10213" xr:uid="{00000000-0005-0000-0000-0000715F0000}"/>
    <cellStyle name="SAPBEXHLevel1 24 4" xfId="11544" xr:uid="{00000000-0005-0000-0000-0000725F0000}"/>
    <cellStyle name="SAPBEXHLevel1 24 5" xfId="13978" xr:uid="{00000000-0005-0000-0000-0000735F0000}"/>
    <cellStyle name="SAPBEXHLevel1 24 6" xfId="16257" xr:uid="{00000000-0005-0000-0000-0000745F0000}"/>
    <cellStyle name="SAPBEXHLevel1 24 7" xfId="18674" xr:uid="{00000000-0005-0000-0000-0000755F0000}"/>
    <cellStyle name="SAPBEXHLevel1 24 8" xfId="20953" xr:uid="{00000000-0005-0000-0000-0000765F0000}"/>
    <cellStyle name="SAPBEXHLevel1 24 9" xfId="23218" xr:uid="{00000000-0005-0000-0000-0000775F0000}"/>
    <cellStyle name="SAPBEXHLevel1 25" xfId="3951" xr:uid="{00000000-0005-0000-0000-0000785F0000}"/>
    <cellStyle name="SAPBEXHLevel1 25 2" xfId="6489" xr:uid="{00000000-0005-0000-0000-0000795F0000}"/>
    <cellStyle name="SAPBEXHLevel1 25 3" xfId="8942" xr:uid="{00000000-0005-0000-0000-00007A5F0000}"/>
    <cellStyle name="SAPBEXHLevel1 25 4" xfId="11882" xr:uid="{00000000-0005-0000-0000-00007B5F0000}"/>
    <cellStyle name="SAPBEXHLevel1 25 5" xfId="14348" xr:uid="{00000000-0005-0000-0000-00007C5F0000}"/>
    <cellStyle name="SAPBEXHLevel1 25 6" xfId="15464" xr:uid="{00000000-0005-0000-0000-00007D5F0000}"/>
    <cellStyle name="SAPBEXHLevel1 25 7" xfId="19044" xr:uid="{00000000-0005-0000-0000-00007E5F0000}"/>
    <cellStyle name="SAPBEXHLevel1 25 8" xfId="20160" xr:uid="{00000000-0005-0000-0000-00007F5F0000}"/>
    <cellStyle name="SAPBEXHLevel1 25 9" xfId="23558" xr:uid="{00000000-0005-0000-0000-0000805F0000}"/>
    <cellStyle name="SAPBEXHLevel1 26" xfId="4118" xr:uid="{00000000-0005-0000-0000-0000815F0000}"/>
    <cellStyle name="SAPBEXHLevel1 26 2" xfId="6656" xr:uid="{00000000-0005-0000-0000-0000825F0000}"/>
    <cellStyle name="SAPBEXHLevel1 26 3" xfId="9897" xr:uid="{00000000-0005-0000-0000-0000835F0000}"/>
    <cellStyle name="SAPBEXHLevel1 26 4" xfId="10820" xr:uid="{00000000-0005-0000-0000-0000845F0000}"/>
    <cellStyle name="SAPBEXHLevel1 26 5" xfId="13183" xr:uid="{00000000-0005-0000-0000-0000855F0000}"/>
    <cellStyle name="SAPBEXHLevel1 26 6" xfId="16694" xr:uid="{00000000-0005-0000-0000-0000865F0000}"/>
    <cellStyle name="SAPBEXHLevel1 26 7" xfId="17879" xr:uid="{00000000-0005-0000-0000-0000875F0000}"/>
    <cellStyle name="SAPBEXHLevel1 26 8" xfId="21390" xr:uid="{00000000-0005-0000-0000-0000885F0000}"/>
    <cellStyle name="SAPBEXHLevel1 26 9" xfId="22491" xr:uid="{00000000-0005-0000-0000-0000895F0000}"/>
    <cellStyle name="SAPBEXHLevel1 27" xfId="4061" xr:uid="{00000000-0005-0000-0000-00008A5F0000}"/>
    <cellStyle name="SAPBEXHLevel1 27 2" xfId="6599" xr:uid="{00000000-0005-0000-0000-00008B5F0000}"/>
    <cellStyle name="SAPBEXHLevel1 27 3" xfId="8309" xr:uid="{00000000-0005-0000-0000-00008C5F0000}"/>
    <cellStyle name="SAPBEXHLevel1 27 4" xfId="7803" xr:uid="{00000000-0005-0000-0000-00008D5F0000}"/>
    <cellStyle name="SAPBEXHLevel1 27 5" xfId="14954" xr:uid="{00000000-0005-0000-0000-00008E5F0000}"/>
    <cellStyle name="SAPBEXHLevel1 27 6" xfId="16854" xr:uid="{00000000-0005-0000-0000-00008F5F0000}"/>
    <cellStyle name="SAPBEXHLevel1 27 7" xfId="19650" xr:uid="{00000000-0005-0000-0000-0000905F0000}"/>
    <cellStyle name="SAPBEXHLevel1 27 8" xfId="21550" xr:uid="{00000000-0005-0000-0000-0000915F0000}"/>
    <cellStyle name="SAPBEXHLevel1 27 9" xfId="24116" xr:uid="{00000000-0005-0000-0000-0000925F0000}"/>
    <cellStyle name="SAPBEXHLevel1 28" xfId="4084" xr:uid="{00000000-0005-0000-0000-0000935F0000}"/>
    <cellStyle name="SAPBEXHLevel1 28 2" xfId="6622" xr:uid="{00000000-0005-0000-0000-0000945F0000}"/>
    <cellStyle name="SAPBEXHLevel1 28 3" xfId="9062" xr:uid="{00000000-0005-0000-0000-0000955F0000}"/>
    <cellStyle name="SAPBEXHLevel1 28 4" xfId="10324" xr:uid="{00000000-0005-0000-0000-0000965F0000}"/>
    <cellStyle name="SAPBEXHLevel1 28 5" xfId="12641" xr:uid="{00000000-0005-0000-0000-0000975F0000}"/>
    <cellStyle name="SAPBEXHLevel1 28 6" xfId="15060" xr:uid="{00000000-0005-0000-0000-0000985F0000}"/>
    <cellStyle name="SAPBEXHLevel1 28 7" xfId="17337" xr:uid="{00000000-0005-0000-0000-0000995F0000}"/>
    <cellStyle name="SAPBEXHLevel1 28 8" xfId="19756" xr:uid="{00000000-0005-0000-0000-00009A5F0000}"/>
    <cellStyle name="SAPBEXHLevel1 28 9" xfId="21995" xr:uid="{00000000-0005-0000-0000-00009B5F0000}"/>
    <cellStyle name="SAPBEXHLevel1 29" xfId="4180" xr:uid="{00000000-0005-0000-0000-00009C5F0000}"/>
    <cellStyle name="SAPBEXHLevel1 29 2" xfId="6718" xr:uid="{00000000-0005-0000-0000-00009D5F0000}"/>
    <cellStyle name="SAPBEXHLevel1 29 3" xfId="9253" xr:uid="{00000000-0005-0000-0000-00009E5F0000}"/>
    <cellStyle name="SAPBEXHLevel1 29 4" xfId="10667" xr:uid="{00000000-0005-0000-0000-00009F5F0000}"/>
    <cellStyle name="SAPBEXHLevel1 29 5" xfId="13016" xr:uid="{00000000-0005-0000-0000-0000A05F0000}"/>
    <cellStyle name="SAPBEXHLevel1 29 6" xfId="14988" xr:uid="{00000000-0005-0000-0000-0000A15F0000}"/>
    <cellStyle name="SAPBEXHLevel1 29 7" xfId="17712" xr:uid="{00000000-0005-0000-0000-0000A25F0000}"/>
    <cellStyle name="SAPBEXHLevel1 29 8" xfId="19684" xr:uid="{00000000-0005-0000-0000-0000A35F0000}"/>
    <cellStyle name="SAPBEXHLevel1 29 9" xfId="22340" xr:uid="{00000000-0005-0000-0000-0000A45F0000}"/>
    <cellStyle name="SAPBEXHLevel1 3" xfId="3128" xr:uid="{00000000-0005-0000-0000-0000A55F0000}"/>
    <cellStyle name="SAPBEXHLevel1 3 10" xfId="42360" xr:uid="{E31ED8FB-ACED-4190-8B41-DFB9E37550E3}"/>
    <cellStyle name="SAPBEXHLevel1 3 2" xfId="5666" xr:uid="{00000000-0005-0000-0000-0000A65F0000}"/>
    <cellStyle name="SAPBEXHLevel1 3 3" xfId="9117" xr:uid="{00000000-0005-0000-0000-0000A75F0000}"/>
    <cellStyle name="SAPBEXHLevel1 3 4" xfId="12172" xr:uid="{00000000-0005-0000-0000-0000A85F0000}"/>
    <cellStyle name="SAPBEXHLevel1 3 5" xfId="14823" xr:uid="{00000000-0005-0000-0000-0000A95F0000}"/>
    <cellStyle name="SAPBEXHLevel1 3 6" xfId="15481" xr:uid="{00000000-0005-0000-0000-0000AA5F0000}"/>
    <cellStyle name="SAPBEXHLevel1 3 7" xfId="19519" xr:uid="{00000000-0005-0000-0000-0000AB5F0000}"/>
    <cellStyle name="SAPBEXHLevel1 3 8" xfId="20177" xr:uid="{00000000-0005-0000-0000-0000AC5F0000}"/>
    <cellStyle name="SAPBEXHLevel1 3 9" xfId="24006" xr:uid="{00000000-0005-0000-0000-0000AD5F0000}"/>
    <cellStyle name="SAPBEXHLevel1 30" xfId="4072" xr:uid="{00000000-0005-0000-0000-0000AE5F0000}"/>
    <cellStyle name="SAPBEXHLevel1 30 2" xfId="6610" xr:uid="{00000000-0005-0000-0000-0000AF5F0000}"/>
    <cellStyle name="SAPBEXHLevel1 30 3" xfId="8782" xr:uid="{00000000-0005-0000-0000-0000B05F0000}"/>
    <cellStyle name="SAPBEXHLevel1 30 4" xfId="11259" xr:uid="{00000000-0005-0000-0000-0000B15F0000}"/>
    <cellStyle name="SAPBEXHLevel1 30 5" xfId="13665" xr:uid="{00000000-0005-0000-0000-0000B25F0000}"/>
    <cellStyle name="SAPBEXHLevel1 30 6" xfId="16654" xr:uid="{00000000-0005-0000-0000-0000B35F0000}"/>
    <cellStyle name="SAPBEXHLevel1 30 7" xfId="18361" xr:uid="{00000000-0005-0000-0000-0000B45F0000}"/>
    <cellStyle name="SAPBEXHLevel1 30 8" xfId="21350" xr:uid="{00000000-0005-0000-0000-0000B55F0000}"/>
    <cellStyle name="SAPBEXHLevel1 30 9" xfId="22933" xr:uid="{00000000-0005-0000-0000-0000B65F0000}"/>
    <cellStyle name="SAPBEXHLevel1 31" xfId="3710" xr:uid="{00000000-0005-0000-0000-0000B75F0000}"/>
    <cellStyle name="SAPBEXHLevel1 31 2" xfId="6248" xr:uid="{00000000-0005-0000-0000-0000B85F0000}"/>
    <cellStyle name="SAPBEXHLevel1 31 3" xfId="8320" xr:uid="{00000000-0005-0000-0000-0000B95F0000}"/>
    <cellStyle name="SAPBEXHLevel1 31 4" xfId="10777" xr:uid="{00000000-0005-0000-0000-0000BA5F0000}"/>
    <cellStyle name="SAPBEXHLevel1 31 5" xfId="13132" xr:uid="{00000000-0005-0000-0000-0000BB5F0000}"/>
    <cellStyle name="SAPBEXHLevel1 31 6" xfId="13799" xr:uid="{00000000-0005-0000-0000-0000BC5F0000}"/>
    <cellStyle name="SAPBEXHLevel1 31 7" xfId="17828" xr:uid="{00000000-0005-0000-0000-0000BD5F0000}"/>
    <cellStyle name="SAPBEXHLevel1 31 8" xfId="18495" xr:uid="{00000000-0005-0000-0000-0000BE5F0000}"/>
    <cellStyle name="SAPBEXHLevel1 31 9" xfId="22449" xr:uid="{00000000-0005-0000-0000-0000BF5F0000}"/>
    <cellStyle name="SAPBEXHLevel1 32" xfId="4459" xr:uid="{00000000-0005-0000-0000-0000C05F0000}"/>
    <cellStyle name="SAPBEXHLevel1 32 2" xfId="6997" xr:uid="{00000000-0005-0000-0000-0000C15F0000}"/>
    <cellStyle name="SAPBEXHLevel1 32 3" xfId="9576" xr:uid="{00000000-0005-0000-0000-0000C25F0000}"/>
    <cellStyle name="SAPBEXHLevel1 32 4" xfId="10502" xr:uid="{00000000-0005-0000-0000-0000C35F0000}"/>
    <cellStyle name="SAPBEXHLevel1 32 5" xfId="14583" xr:uid="{00000000-0005-0000-0000-0000C45F0000}"/>
    <cellStyle name="SAPBEXHLevel1 32 6" xfId="15740" xr:uid="{00000000-0005-0000-0000-0000C55F0000}"/>
    <cellStyle name="SAPBEXHLevel1 32 7" xfId="19279" xr:uid="{00000000-0005-0000-0000-0000C65F0000}"/>
    <cellStyle name="SAPBEXHLevel1 32 8" xfId="20436" xr:uid="{00000000-0005-0000-0000-0000C75F0000}"/>
    <cellStyle name="SAPBEXHLevel1 32 9" xfId="23775" xr:uid="{00000000-0005-0000-0000-0000C85F0000}"/>
    <cellStyle name="SAPBEXHLevel1 33" xfId="4486" xr:uid="{00000000-0005-0000-0000-0000C95F0000}"/>
    <cellStyle name="SAPBEXHLevel1 33 2" xfId="7024" xr:uid="{00000000-0005-0000-0000-0000CA5F0000}"/>
    <cellStyle name="SAPBEXHLevel1 33 3" xfId="9068" xr:uid="{00000000-0005-0000-0000-0000CB5F0000}"/>
    <cellStyle name="SAPBEXHLevel1 33 4" xfId="10918" xr:uid="{00000000-0005-0000-0000-0000CC5F0000}"/>
    <cellStyle name="SAPBEXHLevel1 33 5" xfId="13288" xr:uid="{00000000-0005-0000-0000-0000CD5F0000}"/>
    <cellStyle name="SAPBEXHLevel1 33 6" xfId="16156" xr:uid="{00000000-0005-0000-0000-0000CE5F0000}"/>
    <cellStyle name="SAPBEXHLevel1 33 7" xfId="17984" xr:uid="{00000000-0005-0000-0000-0000CF5F0000}"/>
    <cellStyle name="SAPBEXHLevel1 33 8" xfId="20852" xr:uid="{00000000-0005-0000-0000-0000D05F0000}"/>
    <cellStyle name="SAPBEXHLevel1 33 9" xfId="22589" xr:uid="{00000000-0005-0000-0000-0000D15F0000}"/>
    <cellStyle name="SAPBEXHLevel1 34" xfId="4446" xr:uid="{00000000-0005-0000-0000-0000D25F0000}"/>
    <cellStyle name="SAPBEXHLevel1 34 2" xfId="6984" xr:uid="{00000000-0005-0000-0000-0000D35F0000}"/>
    <cellStyle name="SAPBEXHLevel1 34 3" xfId="8202" xr:uid="{00000000-0005-0000-0000-0000D45F0000}"/>
    <cellStyle name="SAPBEXHLevel1 34 4" xfId="11746" xr:uid="{00000000-0005-0000-0000-0000D55F0000}"/>
    <cellStyle name="SAPBEXHLevel1 34 5" xfId="14197" xr:uid="{00000000-0005-0000-0000-0000D65F0000}"/>
    <cellStyle name="SAPBEXHLevel1 34 6" xfId="16110" xr:uid="{00000000-0005-0000-0000-0000D75F0000}"/>
    <cellStyle name="SAPBEXHLevel1 34 7" xfId="18893" xr:uid="{00000000-0005-0000-0000-0000D85F0000}"/>
    <cellStyle name="SAPBEXHLevel1 34 8" xfId="20806" xr:uid="{00000000-0005-0000-0000-0000D95F0000}"/>
    <cellStyle name="SAPBEXHLevel1 34 9" xfId="23420" xr:uid="{00000000-0005-0000-0000-0000DA5F0000}"/>
    <cellStyle name="SAPBEXHLevel1 35" xfId="4414" xr:uid="{00000000-0005-0000-0000-0000DB5F0000}"/>
    <cellStyle name="SAPBEXHLevel1 35 2" xfId="6952" xr:uid="{00000000-0005-0000-0000-0000DC5F0000}"/>
    <cellStyle name="SAPBEXHLevel1 35 3" xfId="10049" xr:uid="{00000000-0005-0000-0000-0000DD5F0000}"/>
    <cellStyle name="SAPBEXHLevel1 35 4" xfId="10746" xr:uid="{00000000-0005-0000-0000-0000DE5F0000}"/>
    <cellStyle name="SAPBEXHLevel1 35 5" xfId="13101" xr:uid="{00000000-0005-0000-0000-0000DF5F0000}"/>
    <cellStyle name="SAPBEXHLevel1 35 6" xfId="14971" xr:uid="{00000000-0005-0000-0000-0000E05F0000}"/>
    <cellStyle name="SAPBEXHLevel1 35 7" xfId="17797" xr:uid="{00000000-0005-0000-0000-0000E15F0000}"/>
    <cellStyle name="SAPBEXHLevel1 35 8" xfId="19667" xr:uid="{00000000-0005-0000-0000-0000E25F0000}"/>
    <cellStyle name="SAPBEXHLevel1 35 9" xfId="22418" xr:uid="{00000000-0005-0000-0000-0000E35F0000}"/>
    <cellStyle name="SAPBEXHLevel1 36" xfId="4491" xr:uid="{00000000-0005-0000-0000-0000E45F0000}"/>
    <cellStyle name="SAPBEXHLevel1 36 2" xfId="7029" xr:uid="{00000000-0005-0000-0000-0000E55F0000}"/>
    <cellStyle name="SAPBEXHLevel1 36 3" xfId="8747" xr:uid="{00000000-0005-0000-0000-0000E65F0000}"/>
    <cellStyle name="SAPBEXHLevel1 36 4" xfId="10325" xr:uid="{00000000-0005-0000-0000-0000E75F0000}"/>
    <cellStyle name="SAPBEXHLevel1 36 5" xfId="12642" xr:uid="{00000000-0005-0000-0000-0000E85F0000}"/>
    <cellStyle name="SAPBEXHLevel1 36 6" xfId="16064" xr:uid="{00000000-0005-0000-0000-0000E95F0000}"/>
    <cellStyle name="SAPBEXHLevel1 36 7" xfId="17338" xr:uid="{00000000-0005-0000-0000-0000EA5F0000}"/>
    <cellStyle name="SAPBEXHLevel1 36 8" xfId="20760" xr:uid="{00000000-0005-0000-0000-0000EB5F0000}"/>
    <cellStyle name="SAPBEXHLevel1 36 9" xfId="21996" xr:uid="{00000000-0005-0000-0000-0000EC5F0000}"/>
    <cellStyle name="SAPBEXHLevel1 37" xfId="4371" xr:uid="{00000000-0005-0000-0000-0000ED5F0000}"/>
    <cellStyle name="SAPBEXHLevel1 37 2" xfId="6909" xr:uid="{00000000-0005-0000-0000-0000EE5F0000}"/>
    <cellStyle name="SAPBEXHLevel1 37 3" xfId="9775" xr:uid="{00000000-0005-0000-0000-0000EF5F0000}"/>
    <cellStyle name="SAPBEXHLevel1 37 4" xfId="10687" xr:uid="{00000000-0005-0000-0000-0000F05F0000}"/>
    <cellStyle name="SAPBEXHLevel1 37 5" xfId="13039" xr:uid="{00000000-0005-0000-0000-0000F15F0000}"/>
    <cellStyle name="SAPBEXHLevel1 37 6" xfId="15300" xr:uid="{00000000-0005-0000-0000-0000F25F0000}"/>
    <cellStyle name="SAPBEXHLevel1 37 7" xfId="17735" xr:uid="{00000000-0005-0000-0000-0000F35F0000}"/>
    <cellStyle name="SAPBEXHLevel1 37 8" xfId="19996" xr:uid="{00000000-0005-0000-0000-0000F45F0000}"/>
    <cellStyle name="SAPBEXHLevel1 37 9" xfId="22360" xr:uid="{00000000-0005-0000-0000-0000F55F0000}"/>
    <cellStyle name="SAPBEXHLevel1 38" xfId="4774" xr:uid="{00000000-0005-0000-0000-0000F65F0000}"/>
    <cellStyle name="SAPBEXHLevel1 38 2" xfId="7312" xr:uid="{00000000-0005-0000-0000-0000F75F0000}"/>
    <cellStyle name="SAPBEXHLevel1 38 3" xfId="9607" xr:uid="{00000000-0005-0000-0000-0000F85F0000}"/>
    <cellStyle name="SAPBEXHLevel1 38 4" xfId="8765" xr:uid="{00000000-0005-0000-0000-0000F95F0000}"/>
    <cellStyle name="SAPBEXHLevel1 38 5" xfId="14937" xr:uid="{00000000-0005-0000-0000-0000FA5F0000}"/>
    <cellStyle name="SAPBEXHLevel1 38 6" xfId="15840" xr:uid="{00000000-0005-0000-0000-0000FB5F0000}"/>
    <cellStyle name="SAPBEXHLevel1 38 7" xfId="19633" xr:uid="{00000000-0005-0000-0000-0000FC5F0000}"/>
    <cellStyle name="SAPBEXHLevel1 38 8" xfId="20536" xr:uid="{00000000-0005-0000-0000-0000FD5F0000}"/>
    <cellStyle name="SAPBEXHLevel1 38 9" xfId="24100" xr:uid="{00000000-0005-0000-0000-0000FE5F0000}"/>
    <cellStyle name="SAPBEXHLevel1 39" xfId="4600" xr:uid="{00000000-0005-0000-0000-0000FF5F0000}"/>
    <cellStyle name="SAPBEXHLevel1 39 2" xfId="7138" xr:uid="{00000000-0005-0000-0000-000000600000}"/>
    <cellStyle name="SAPBEXHLevel1 39 3" xfId="9289" xr:uid="{00000000-0005-0000-0000-000001600000}"/>
    <cellStyle name="SAPBEXHLevel1 39 4" xfId="10898" xr:uid="{00000000-0005-0000-0000-000002600000}"/>
    <cellStyle name="SAPBEXHLevel1 39 5" xfId="13267" xr:uid="{00000000-0005-0000-0000-000003600000}"/>
    <cellStyle name="SAPBEXHLevel1 39 6" xfId="16370" xr:uid="{00000000-0005-0000-0000-000004600000}"/>
    <cellStyle name="SAPBEXHLevel1 39 7" xfId="17963" xr:uid="{00000000-0005-0000-0000-000005600000}"/>
    <cellStyle name="SAPBEXHLevel1 39 8" xfId="21066" xr:uid="{00000000-0005-0000-0000-000006600000}"/>
    <cellStyle name="SAPBEXHLevel1 39 9" xfId="22569" xr:uid="{00000000-0005-0000-0000-000007600000}"/>
    <cellStyle name="SAPBEXHLevel1 4" xfId="3054" xr:uid="{00000000-0005-0000-0000-000008600000}"/>
    <cellStyle name="SAPBEXHLevel1 4 2" xfId="5593" xr:uid="{00000000-0005-0000-0000-000009600000}"/>
    <cellStyle name="SAPBEXHLevel1 4 3" xfId="8251" xr:uid="{00000000-0005-0000-0000-00000A600000}"/>
    <cellStyle name="SAPBEXHLevel1 4 4" xfId="11219" xr:uid="{00000000-0005-0000-0000-00000B600000}"/>
    <cellStyle name="SAPBEXHLevel1 4 5" xfId="13622" xr:uid="{00000000-0005-0000-0000-00000C600000}"/>
    <cellStyle name="SAPBEXHLevel1 4 6" xfId="16028" xr:uid="{00000000-0005-0000-0000-00000D600000}"/>
    <cellStyle name="SAPBEXHLevel1 4 7" xfId="18318" xr:uid="{00000000-0005-0000-0000-00000E600000}"/>
    <cellStyle name="SAPBEXHLevel1 4 8" xfId="20724" xr:uid="{00000000-0005-0000-0000-00000F600000}"/>
    <cellStyle name="SAPBEXHLevel1 4 9" xfId="22894" xr:uid="{00000000-0005-0000-0000-000010600000}"/>
    <cellStyle name="SAPBEXHLevel1 40" xfId="4714" xr:uid="{00000000-0005-0000-0000-000011600000}"/>
    <cellStyle name="SAPBEXHLevel1 40 2" xfId="7252" xr:uid="{00000000-0005-0000-0000-000012600000}"/>
    <cellStyle name="SAPBEXHLevel1 40 3" xfId="8650" xr:uid="{00000000-0005-0000-0000-000013600000}"/>
    <cellStyle name="SAPBEXHLevel1 40 4" xfId="11133" xr:uid="{00000000-0005-0000-0000-000014600000}"/>
    <cellStyle name="SAPBEXHLevel1 40 5" xfId="13529" xr:uid="{00000000-0005-0000-0000-000015600000}"/>
    <cellStyle name="SAPBEXHLevel1 40 6" xfId="15503" xr:uid="{00000000-0005-0000-0000-000016600000}"/>
    <cellStyle name="SAPBEXHLevel1 40 7" xfId="18225" xr:uid="{00000000-0005-0000-0000-000017600000}"/>
    <cellStyle name="SAPBEXHLevel1 40 8" xfId="20199" xr:uid="{00000000-0005-0000-0000-000018600000}"/>
    <cellStyle name="SAPBEXHLevel1 40 9" xfId="22806" xr:uid="{00000000-0005-0000-0000-000019600000}"/>
    <cellStyle name="SAPBEXHLevel1 41" xfId="4864" xr:uid="{00000000-0005-0000-0000-00001A600000}"/>
    <cellStyle name="SAPBEXHLevel1 41 2" xfId="7402" xr:uid="{00000000-0005-0000-0000-00001B600000}"/>
    <cellStyle name="SAPBEXHLevel1 41 3" xfId="10157" xr:uid="{00000000-0005-0000-0000-00001C600000}"/>
    <cellStyle name="SAPBEXHLevel1 41 4" xfId="11015" xr:uid="{00000000-0005-0000-0000-00001D600000}"/>
    <cellStyle name="SAPBEXHLevel1 41 5" xfId="13394" xr:uid="{00000000-0005-0000-0000-00001E600000}"/>
    <cellStyle name="SAPBEXHLevel1 41 6" xfId="16614" xr:uid="{00000000-0005-0000-0000-00001F600000}"/>
    <cellStyle name="SAPBEXHLevel1 41 7" xfId="18090" xr:uid="{00000000-0005-0000-0000-000020600000}"/>
    <cellStyle name="SAPBEXHLevel1 41 8" xfId="21310" xr:uid="{00000000-0005-0000-0000-000021600000}"/>
    <cellStyle name="SAPBEXHLevel1 41 9" xfId="22688" xr:uid="{00000000-0005-0000-0000-000022600000}"/>
    <cellStyle name="SAPBEXHLevel1 42" xfId="4890" xr:uid="{00000000-0005-0000-0000-000023600000}"/>
    <cellStyle name="SAPBEXHLevel1 42 2" xfId="7428" xr:uid="{00000000-0005-0000-0000-000024600000}"/>
    <cellStyle name="SAPBEXHLevel1 42 3" xfId="9010" xr:uid="{00000000-0005-0000-0000-000025600000}"/>
    <cellStyle name="SAPBEXHLevel1 42 4" xfId="11657" xr:uid="{00000000-0005-0000-0000-000026600000}"/>
    <cellStyle name="SAPBEXHLevel1 42 5" xfId="14103" xr:uid="{00000000-0005-0000-0000-000027600000}"/>
    <cellStyle name="SAPBEXHLevel1 42 6" xfId="15389" xr:uid="{00000000-0005-0000-0000-000028600000}"/>
    <cellStyle name="SAPBEXHLevel1 42 7" xfId="18799" xr:uid="{00000000-0005-0000-0000-000029600000}"/>
    <cellStyle name="SAPBEXHLevel1 42 8" xfId="20085" xr:uid="{00000000-0005-0000-0000-00002A600000}"/>
    <cellStyle name="SAPBEXHLevel1 42 9" xfId="23332" xr:uid="{00000000-0005-0000-0000-00002B600000}"/>
    <cellStyle name="SAPBEXHLevel1 43" xfId="4887" xr:uid="{00000000-0005-0000-0000-00002C600000}"/>
    <cellStyle name="SAPBEXHLevel1 43 2" xfId="7425" xr:uid="{00000000-0005-0000-0000-00002D600000}"/>
    <cellStyle name="SAPBEXHLevel1 43 3" xfId="9138" xr:uid="{00000000-0005-0000-0000-00002E600000}"/>
    <cellStyle name="SAPBEXHLevel1 43 4" xfId="11919" xr:uid="{00000000-0005-0000-0000-00002F600000}"/>
    <cellStyle name="SAPBEXHLevel1 43 5" xfId="14391" xr:uid="{00000000-0005-0000-0000-000030600000}"/>
    <cellStyle name="SAPBEXHLevel1 43 6" xfId="16977" xr:uid="{00000000-0005-0000-0000-000031600000}"/>
    <cellStyle name="SAPBEXHLevel1 43 7" xfId="19087" xr:uid="{00000000-0005-0000-0000-000032600000}"/>
    <cellStyle name="SAPBEXHLevel1 43 8" xfId="21673" xr:uid="{00000000-0005-0000-0000-000033600000}"/>
    <cellStyle name="SAPBEXHLevel1 43 9" xfId="23594" xr:uid="{00000000-0005-0000-0000-000034600000}"/>
    <cellStyle name="SAPBEXHLevel1 44" xfId="4881" xr:uid="{00000000-0005-0000-0000-000035600000}"/>
    <cellStyle name="SAPBEXHLevel1 44 2" xfId="7419" xr:uid="{00000000-0005-0000-0000-000036600000}"/>
    <cellStyle name="SAPBEXHLevel1 44 3" xfId="9317" xr:uid="{00000000-0005-0000-0000-000037600000}"/>
    <cellStyle name="SAPBEXHLevel1 44 4" xfId="10393" xr:uid="{00000000-0005-0000-0000-000038600000}"/>
    <cellStyle name="SAPBEXHLevel1 44 5" xfId="12716" xr:uid="{00000000-0005-0000-0000-000039600000}"/>
    <cellStyle name="SAPBEXHLevel1 44 6" xfId="15676" xr:uid="{00000000-0005-0000-0000-00003A600000}"/>
    <cellStyle name="SAPBEXHLevel1 44 7" xfId="17412" xr:uid="{00000000-0005-0000-0000-00003B600000}"/>
    <cellStyle name="SAPBEXHLevel1 44 8" xfId="20372" xr:uid="{00000000-0005-0000-0000-00003C600000}"/>
    <cellStyle name="SAPBEXHLevel1 44 9" xfId="22064" xr:uid="{00000000-0005-0000-0000-00003D600000}"/>
    <cellStyle name="SAPBEXHLevel1 45" xfId="4898" xr:uid="{00000000-0005-0000-0000-00003E600000}"/>
    <cellStyle name="SAPBEXHLevel1 45 2" xfId="7436" xr:uid="{00000000-0005-0000-0000-00003F600000}"/>
    <cellStyle name="SAPBEXHLevel1 45 3" xfId="9067" xr:uid="{00000000-0005-0000-0000-000040600000}"/>
    <cellStyle name="SAPBEXHLevel1 45 4" xfId="11994" xr:uid="{00000000-0005-0000-0000-000041600000}"/>
    <cellStyle name="SAPBEXHLevel1 45 5" xfId="14472" xr:uid="{00000000-0005-0000-0000-000042600000}"/>
    <cellStyle name="SAPBEXHLevel1 45 6" xfId="15352" xr:uid="{00000000-0005-0000-0000-000043600000}"/>
    <cellStyle name="SAPBEXHLevel1 45 7" xfId="19168" xr:uid="{00000000-0005-0000-0000-000044600000}"/>
    <cellStyle name="SAPBEXHLevel1 45 8" xfId="20048" xr:uid="{00000000-0005-0000-0000-000045600000}"/>
    <cellStyle name="SAPBEXHLevel1 45 9" xfId="23669" xr:uid="{00000000-0005-0000-0000-000046600000}"/>
    <cellStyle name="SAPBEXHLevel1 46" xfId="4917" xr:uid="{00000000-0005-0000-0000-000047600000}"/>
    <cellStyle name="SAPBEXHLevel1 46 2" xfId="7455" xr:uid="{00000000-0005-0000-0000-000048600000}"/>
    <cellStyle name="SAPBEXHLevel1 46 3" xfId="9275" xr:uid="{00000000-0005-0000-0000-000049600000}"/>
    <cellStyle name="SAPBEXHLevel1 46 4" xfId="12146" xr:uid="{00000000-0005-0000-0000-00004A600000}"/>
    <cellStyle name="SAPBEXHLevel1 46 5" xfId="14629" xr:uid="{00000000-0005-0000-0000-00004B600000}"/>
    <cellStyle name="SAPBEXHLevel1 46 6" xfId="16806" xr:uid="{00000000-0005-0000-0000-00004C600000}"/>
    <cellStyle name="SAPBEXHLevel1 46 7" xfId="19325" xr:uid="{00000000-0005-0000-0000-00004D600000}"/>
    <cellStyle name="SAPBEXHLevel1 46 8" xfId="21502" xr:uid="{00000000-0005-0000-0000-00004E600000}"/>
    <cellStyle name="SAPBEXHLevel1 46 9" xfId="23820" xr:uid="{00000000-0005-0000-0000-00004F600000}"/>
    <cellStyle name="SAPBEXHLevel1 47" xfId="4896" xr:uid="{00000000-0005-0000-0000-000050600000}"/>
    <cellStyle name="SAPBEXHLevel1 47 2" xfId="7434" xr:uid="{00000000-0005-0000-0000-000051600000}"/>
    <cellStyle name="SAPBEXHLevel1 47 3" xfId="8429" xr:uid="{00000000-0005-0000-0000-000052600000}"/>
    <cellStyle name="SAPBEXHLevel1 47 4" xfId="8371" xr:uid="{00000000-0005-0000-0000-000053600000}"/>
    <cellStyle name="SAPBEXHLevel1 47 5" xfId="14919" xr:uid="{00000000-0005-0000-0000-000054600000}"/>
    <cellStyle name="SAPBEXHLevel1 47 6" xfId="15493" xr:uid="{00000000-0005-0000-0000-000055600000}"/>
    <cellStyle name="SAPBEXHLevel1 47 7" xfId="19615" xr:uid="{00000000-0005-0000-0000-000056600000}"/>
    <cellStyle name="SAPBEXHLevel1 47 8" xfId="20189" xr:uid="{00000000-0005-0000-0000-000057600000}"/>
    <cellStyle name="SAPBEXHLevel1 47 9" xfId="24082" xr:uid="{00000000-0005-0000-0000-000058600000}"/>
    <cellStyle name="SAPBEXHLevel1 48" xfId="5144" xr:uid="{00000000-0005-0000-0000-000059600000}"/>
    <cellStyle name="SAPBEXHLevel1 48 2" xfId="7682" xr:uid="{00000000-0005-0000-0000-00005A600000}"/>
    <cellStyle name="SAPBEXHLevel1 48 3" xfId="9448" xr:uid="{00000000-0005-0000-0000-00005B600000}"/>
    <cellStyle name="SAPBEXHLevel1 48 4" xfId="12014" xr:uid="{00000000-0005-0000-0000-00005C600000}"/>
    <cellStyle name="SAPBEXHLevel1 48 5" xfId="14494" xr:uid="{00000000-0005-0000-0000-00005D600000}"/>
    <cellStyle name="SAPBEXHLevel1 48 6" xfId="15133" xr:uid="{00000000-0005-0000-0000-00005E600000}"/>
    <cellStyle name="SAPBEXHLevel1 48 7" xfId="19190" xr:uid="{00000000-0005-0000-0000-00005F600000}"/>
    <cellStyle name="SAPBEXHLevel1 48 8" xfId="19829" xr:uid="{00000000-0005-0000-0000-000060600000}"/>
    <cellStyle name="SAPBEXHLevel1 48 9" xfId="23689" xr:uid="{00000000-0005-0000-0000-000061600000}"/>
    <cellStyle name="SAPBEXHLevel1 49" xfId="5213" xr:uid="{00000000-0005-0000-0000-000062600000}"/>
    <cellStyle name="SAPBEXHLevel1 49 2" xfId="7752" xr:uid="{00000000-0005-0000-0000-000063600000}"/>
    <cellStyle name="SAPBEXHLevel1 49 3" xfId="9024" xr:uid="{00000000-0005-0000-0000-000064600000}"/>
    <cellStyle name="SAPBEXHLevel1 49 4" xfId="10740" xr:uid="{00000000-0005-0000-0000-000065600000}"/>
    <cellStyle name="SAPBEXHLevel1 49 5" xfId="13095" xr:uid="{00000000-0005-0000-0000-000066600000}"/>
    <cellStyle name="SAPBEXHLevel1 49 6" xfId="16397" xr:uid="{00000000-0005-0000-0000-000067600000}"/>
    <cellStyle name="SAPBEXHLevel1 49 7" xfId="17791" xr:uid="{00000000-0005-0000-0000-000068600000}"/>
    <cellStyle name="SAPBEXHLevel1 49 8" xfId="21093" xr:uid="{00000000-0005-0000-0000-000069600000}"/>
    <cellStyle name="SAPBEXHLevel1 49 9" xfId="22413" xr:uid="{00000000-0005-0000-0000-00006A600000}"/>
    <cellStyle name="SAPBEXHLevel1 5" xfId="3108" xr:uid="{00000000-0005-0000-0000-00006B600000}"/>
    <cellStyle name="SAPBEXHLevel1 5 2" xfId="5646" xr:uid="{00000000-0005-0000-0000-00006C600000}"/>
    <cellStyle name="SAPBEXHLevel1 5 3" xfId="8405" xr:uid="{00000000-0005-0000-0000-00006D600000}"/>
    <cellStyle name="SAPBEXHLevel1 5 4" xfId="7775" xr:uid="{00000000-0005-0000-0000-00006E600000}"/>
    <cellStyle name="SAPBEXHLevel1 5 5" xfId="14889" xr:uid="{00000000-0005-0000-0000-00006F600000}"/>
    <cellStyle name="SAPBEXHLevel1 5 6" xfId="15445" xr:uid="{00000000-0005-0000-0000-000070600000}"/>
    <cellStyle name="SAPBEXHLevel1 5 7" xfId="19585" xr:uid="{00000000-0005-0000-0000-000071600000}"/>
    <cellStyle name="SAPBEXHLevel1 5 8" xfId="20141" xr:uid="{00000000-0005-0000-0000-000072600000}"/>
    <cellStyle name="SAPBEXHLevel1 5 9" xfId="24056" xr:uid="{00000000-0005-0000-0000-000073600000}"/>
    <cellStyle name="SAPBEXHLevel1 50" xfId="5251" xr:uid="{00000000-0005-0000-0000-000074600000}"/>
    <cellStyle name="SAPBEXHLevel1 50 2" xfId="8065" xr:uid="{00000000-0005-0000-0000-000075600000}"/>
    <cellStyle name="SAPBEXHLevel1 50 3" xfId="12255" xr:uid="{00000000-0005-0000-0000-000076600000}"/>
    <cellStyle name="SAPBEXHLevel1 50 4" xfId="12348" xr:uid="{00000000-0005-0000-0000-000077600000}"/>
    <cellStyle name="SAPBEXHLevel1 50 5" xfId="16016" xr:uid="{00000000-0005-0000-0000-000078600000}"/>
    <cellStyle name="SAPBEXHLevel1 50 6" xfId="17044" xr:uid="{00000000-0005-0000-0000-000079600000}"/>
    <cellStyle name="SAPBEXHLevel1 50 7" xfId="20712" xr:uid="{00000000-0005-0000-0000-00007A600000}"/>
    <cellStyle name="SAPBEXHLevel1 50 8" xfId="21736" xr:uid="{00000000-0005-0000-0000-00007B600000}"/>
    <cellStyle name="SAPBEXHLevel1 51" xfId="8473" xr:uid="{00000000-0005-0000-0000-00007C600000}"/>
    <cellStyle name="SAPBEXHLevel1 52" xfId="10640" xr:uid="{00000000-0005-0000-0000-00007D600000}"/>
    <cellStyle name="SAPBEXHLevel1 53" xfId="12989" xr:uid="{00000000-0005-0000-0000-00007E600000}"/>
    <cellStyle name="SAPBEXHLevel1 54" xfId="15141" xr:uid="{00000000-0005-0000-0000-00007F600000}"/>
    <cellStyle name="SAPBEXHLevel1 55" xfId="17685" xr:uid="{00000000-0005-0000-0000-000080600000}"/>
    <cellStyle name="SAPBEXHLevel1 56" xfId="19837" xr:uid="{00000000-0005-0000-0000-000081600000}"/>
    <cellStyle name="SAPBEXHLevel1 57" xfId="22313" xr:uid="{00000000-0005-0000-0000-000082600000}"/>
    <cellStyle name="SAPBEXHLevel1 58" xfId="42178" xr:uid="{33DA9C88-B1A8-4E92-AB08-D30B26EEFBE3}"/>
    <cellStyle name="SAPBEXHLevel1 6" xfId="3044" xr:uid="{00000000-0005-0000-0000-000083600000}"/>
    <cellStyle name="SAPBEXHLevel1 6 2" xfId="5583" xr:uid="{00000000-0005-0000-0000-000084600000}"/>
    <cellStyle name="SAPBEXHLevel1 6 3" xfId="9808" xr:uid="{00000000-0005-0000-0000-000085600000}"/>
    <cellStyle name="SAPBEXHLevel1 6 4" xfId="10429" xr:uid="{00000000-0005-0000-0000-000086600000}"/>
    <cellStyle name="SAPBEXHLevel1 6 5" xfId="12755" xr:uid="{00000000-0005-0000-0000-000087600000}"/>
    <cellStyle name="SAPBEXHLevel1 6 6" xfId="16673" xr:uid="{00000000-0005-0000-0000-000088600000}"/>
    <cellStyle name="SAPBEXHLevel1 6 7" xfId="17451" xr:uid="{00000000-0005-0000-0000-000089600000}"/>
    <cellStyle name="SAPBEXHLevel1 6 8" xfId="21369" xr:uid="{00000000-0005-0000-0000-00008A600000}"/>
    <cellStyle name="SAPBEXHLevel1 6 9" xfId="22100" xr:uid="{00000000-0005-0000-0000-00008B600000}"/>
    <cellStyle name="SAPBEXHLevel1 7" xfId="3013" xr:uid="{00000000-0005-0000-0000-00008C600000}"/>
    <cellStyle name="SAPBEXHLevel1 7 2" xfId="5552" xr:uid="{00000000-0005-0000-0000-00008D600000}"/>
    <cellStyle name="SAPBEXHLevel1 7 3" xfId="8444" xr:uid="{00000000-0005-0000-0000-00008E600000}"/>
    <cellStyle name="SAPBEXHLevel1 7 4" xfId="11734" xr:uid="{00000000-0005-0000-0000-00008F600000}"/>
    <cellStyle name="SAPBEXHLevel1 7 5" xfId="14185" xr:uid="{00000000-0005-0000-0000-000090600000}"/>
    <cellStyle name="SAPBEXHLevel1 7 6" xfId="16633" xr:uid="{00000000-0005-0000-0000-000091600000}"/>
    <cellStyle name="SAPBEXHLevel1 7 7" xfId="18881" xr:uid="{00000000-0005-0000-0000-000092600000}"/>
    <cellStyle name="SAPBEXHLevel1 7 8" xfId="21329" xr:uid="{00000000-0005-0000-0000-000093600000}"/>
    <cellStyle name="SAPBEXHLevel1 7 9" xfId="23408" xr:uid="{00000000-0005-0000-0000-000094600000}"/>
    <cellStyle name="SAPBEXHLevel1 8" xfId="3011" xr:uid="{00000000-0005-0000-0000-000095600000}"/>
    <cellStyle name="SAPBEXHLevel1 8 2" xfId="5550" xr:uid="{00000000-0005-0000-0000-000096600000}"/>
    <cellStyle name="SAPBEXHLevel1 8 3" xfId="8146" xr:uid="{00000000-0005-0000-0000-000097600000}"/>
    <cellStyle name="SAPBEXHLevel1 8 4" xfId="11304" xr:uid="{00000000-0005-0000-0000-000098600000}"/>
    <cellStyle name="SAPBEXHLevel1 8 5" xfId="13329" xr:uid="{00000000-0005-0000-0000-000099600000}"/>
    <cellStyle name="SAPBEXHLevel1 8 6" xfId="15702" xr:uid="{00000000-0005-0000-0000-00009A600000}"/>
    <cellStyle name="SAPBEXHLevel1 8 7" xfId="18025" xr:uid="{00000000-0005-0000-0000-00009B600000}"/>
    <cellStyle name="SAPBEXHLevel1 8 8" xfId="20398" xr:uid="{00000000-0005-0000-0000-00009C600000}"/>
    <cellStyle name="SAPBEXHLevel1 8 9" xfId="22629" xr:uid="{00000000-0005-0000-0000-00009D600000}"/>
    <cellStyle name="SAPBEXHLevel1 9" xfId="3017" xr:uid="{00000000-0005-0000-0000-00009E600000}"/>
    <cellStyle name="SAPBEXHLevel1 9 2" xfId="5556" xr:uid="{00000000-0005-0000-0000-00009F600000}"/>
    <cellStyle name="SAPBEXHLevel1 9 3" xfId="7720" xr:uid="{00000000-0005-0000-0000-0000A0600000}"/>
    <cellStyle name="SAPBEXHLevel1 9 4" xfId="10582" xr:uid="{00000000-0005-0000-0000-0000A1600000}"/>
    <cellStyle name="SAPBEXHLevel1 9 5" xfId="12929" xr:uid="{00000000-0005-0000-0000-0000A2600000}"/>
    <cellStyle name="SAPBEXHLevel1 9 6" xfId="16609" xr:uid="{00000000-0005-0000-0000-0000A3600000}"/>
    <cellStyle name="SAPBEXHLevel1 9 7" xfId="17625" xr:uid="{00000000-0005-0000-0000-0000A4600000}"/>
    <cellStyle name="SAPBEXHLevel1 9 8" xfId="21305" xr:uid="{00000000-0005-0000-0000-0000A5600000}"/>
    <cellStyle name="SAPBEXHLevel1 9 9" xfId="22255" xr:uid="{00000000-0005-0000-0000-0000A6600000}"/>
    <cellStyle name="SAPBEXHLevel1X" xfId="2964" xr:uid="{00000000-0005-0000-0000-0000A7600000}"/>
    <cellStyle name="SAPBEXHLevel1X 10" xfId="3124" xr:uid="{00000000-0005-0000-0000-0000A8600000}"/>
    <cellStyle name="SAPBEXHLevel1X 10 2" xfId="5662" xr:uid="{00000000-0005-0000-0000-0000A9600000}"/>
    <cellStyle name="SAPBEXHLevel1X 10 3" xfId="8177" xr:uid="{00000000-0005-0000-0000-0000AA600000}"/>
    <cellStyle name="SAPBEXHLevel1X 10 4" xfId="11236" xr:uid="{00000000-0005-0000-0000-0000AB600000}"/>
    <cellStyle name="SAPBEXHLevel1X 10 5" xfId="13641" xr:uid="{00000000-0005-0000-0000-0000AC600000}"/>
    <cellStyle name="SAPBEXHLevel1X 10 6" xfId="15925" xr:uid="{00000000-0005-0000-0000-0000AD600000}"/>
    <cellStyle name="SAPBEXHLevel1X 10 7" xfId="18337" xr:uid="{00000000-0005-0000-0000-0000AE600000}"/>
    <cellStyle name="SAPBEXHLevel1X 10 8" xfId="20621" xr:uid="{00000000-0005-0000-0000-0000AF600000}"/>
    <cellStyle name="SAPBEXHLevel1X 10 9" xfId="22910" xr:uid="{00000000-0005-0000-0000-0000B0600000}"/>
    <cellStyle name="SAPBEXHLevel1X 11" xfId="3459" xr:uid="{00000000-0005-0000-0000-0000B1600000}"/>
    <cellStyle name="SAPBEXHLevel1X 11 2" xfId="5997" xr:uid="{00000000-0005-0000-0000-0000B2600000}"/>
    <cellStyle name="SAPBEXHLevel1X 11 3" xfId="9362" xr:uid="{00000000-0005-0000-0000-0000B3600000}"/>
    <cellStyle name="SAPBEXHLevel1X 11 4" xfId="10552" xr:uid="{00000000-0005-0000-0000-0000B4600000}"/>
    <cellStyle name="SAPBEXHLevel1X 11 5" xfId="12895" xr:uid="{00000000-0005-0000-0000-0000B5600000}"/>
    <cellStyle name="SAPBEXHLevel1X 11 6" xfId="16105" xr:uid="{00000000-0005-0000-0000-0000B6600000}"/>
    <cellStyle name="SAPBEXHLevel1X 11 7" xfId="17591" xr:uid="{00000000-0005-0000-0000-0000B7600000}"/>
    <cellStyle name="SAPBEXHLevel1X 11 8" xfId="20801" xr:uid="{00000000-0005-0000-0000-0000B8600000}"/>
    <cellStyle name="SAPBEXHLevel1X 11 9" xfId="22223" xr:uid="{00000000-0005-0000-0000-0000B9600000}"/>
    <cellStyle name="SAPBEXHLevel1X 12" xfId="3475" xr:uid="{00000000-0005-0000-0000-0000BA600000}"/>
    <cellStyle name="SAPBEXHLevel1X 12 2" xfId="6013" xr:uid="{00000000-0005-0000-0000-0000BB600000}"/>
    <cellStyle name="SAPBEXHLevel1X 12 3" xfId="9414" xr:uid="{00000000-0005-0000-0000-0000BC600000}"/>
    <cellStyle name="SAPBEXHLevel1X 12 4" xfId="11724" xr:uid="{00000000-0005-0000-0000-0000BD600000}"/>
    <cellStyle name="SAPBEXHLevel1X 12 5" xfId="14175" xr:uid="{00000000-0005-0000-0000-0000BE600000}"/>
    <cellStyle name="SAPBEXHLevel1X 12 6" xfId="15333" xr:uid="{00000000-0005-0000-0000-0000BF600000}"/>
    <cellStyle name="SAPBEXHLevel1X 12 7" xfId="18871" xr:uid="{00000000-0005-0000-0000-0000C0600000}"/>
    <cellStyle name="SAPBEXHLevel1X 12 8" xfId="20029" xr:uid="{00000000-0005-0000-0000-0000C1600000}"/>
    <cellStyle name="SAPBEXHLevel1X 12 9" xfId="23398" xr:uid="{00000000-0005-0000-0000-0000C2600000}"/>
    <cellStyle name="SAPBEXHLevel1X 13" xfId="3435" xr:uid="{00000000-0005-0000-0000-0000C3600000}"/>
    <cellStyle name="SAPBEXHLevel1X 13 2" xfId="5973" xr:uid="{00000000-0005-0000-0000-0000C4600000}"/>
    <cellStyle name="SAPBEXHLevel1X 13 3" xfId="8943" xr:uid="{00000000-0005-0000-0000-0000C5600000}"/>
    <cellStyle name="SAPBEXHLevel1X 13 4" xfId="10252" xr:uid="{00000000-0005-0000-0000-0000C6600000}"/>
    <cellStyle name="SAPBEXHLevel1X 13 5" xfId="12560" xr:uid="{00000000-0005-0000-0000-0000C7600000}"/>
    <cellStyle name="SAPBEXHLevel1X 13 6" xfId="15373" xr:uid="{00000000-0005-0000-0000-0000C8600000}"/>
    <cellStyle name="SAPBEXHLevel1X 13 7" xfId="17256" xr:uid="{00000000-0005-0000-0000-0000C9600000}"/>
    <cellStyle name="SAPBEXHLevel1X 13 8" xfId="20069" xr:uid="{00000000-0005-0000-0000-0000CA600000}"/>
    <cellStyle name="SAPBEXHLevel1X 13 9" xfId="21921" xr:uid="{00000000-0005-0000-0000-0000CB600000}"/>
    <cellStyle name="SAPBEXHLevel1X 14" xfId="3536" xr:uid="{00000000-0005-0000-0000-0000CC600000}"/>
    <cellStyle name="SAPBEXHLevel1X 14 2" xfId="6074" xr:uid="{00000000-0005-0000-0000-0000CD600000}"/>
    <cellStyle name="SAPBEXHLevel1X 14 3" xfId="9023" xr:uid="{00000000-0005-0000-0000-0000CE600000}"/>
    <cellStyle name="SAPBEXHLevel1X 14 4" xfId="10559" xr:uid="{00000000-0005-0000-0000-0000CF600000}"/>
    <cellStyle name="SAPBEXHLevel1X 14 5" xfId="12903" xr:uid="{00000000-0005-0000-0000-0000D0600000}"/>
    <cellStyle name="SAPBEXHLevel1X 14 6" xfId="15456" xr:uid="{00000000-0005-0000-0000-0000D1600000}"/>
    <cellStyle name="SAPBEXHLevel1X 14 7" xfId="17599" xr:uid="{00000000-0005-0000-0000-0000D2600000}"/>
    <cellStyle name="SAPBEXHLevel1X 14 8" xfId="20152" xr:uid="{00000000-0005-0000-0000-0000D3600000}"/>
    <cellStyle name="SAPBEXHLevel1X 14 9" xfId="22230" xr:uid="{00000000-0005-0000-0000-0000D4600000}"/>
    <cellStyle name="SAPBEXHLevel1X 15" xfId="3560" xr:uid="{00000000-0005-0000-0000-0000D5600000}"/>
    <cellStyle name="SAPBEXHLevel1X 15 2" xfId="6098" xr:uid="{00000000-0005-0000-0000-0000D6600000}"/>
    <cellStyle name="SAPBEXHLevel1X 15 3" xfId="9406" xr:uid="{00000000-0005-0000-0000-0000D7600000}"/>
    <cellStyle name="SAPBEXHLevel1X 15 4" xfId="10477" xr:uid="{00000000-0005-0000-0000-0000D8600000}"/>
    <cellStyle name="SAPBEXHLevel1X 15 5" xfId="12811" xr:uid="{00000000-0005-0000-0000-0000D9600000}"/>
    <cellStyle name="SAPBEXHLevel1X 15 6" xfId="16485" xr:uid="{00000000-0005-0000-0000-0000DA600000}"/>
    <cellStyle name="SAPBEXHLevel1X 15 7" xfId="17507" xr:uid="{00000000-0005-0000-0000-0000DB600000}"/>
    <cellStyle name="SAPBEXHLevel1X 15 8" xfId="21181" xr:uid="{00000000-0005-0000-0000-0000DC600000}"/>
    <cellStyle name="SAPBEXHLevel1X 15 9" xfId="22147" xr:uid="{00000000-0005-0000-0000-0000DD600000}"/>
    <cellStyle name="SAPBEXHLevel1X 16" xfId="3602" xr:uid="{00000000-0005-0000-0000-0000DE600000}"/>
    <cellStyle name="SAPBEXHLevel1X 16 2" xfId="6140" xr:uid="{00000000-0005-0000-0000-0000DF600000}"/>
    <cellStyle name="SAPBEXHLevel1X 16 3" xfId="5521" xr:uid="{00000000-0005-0000-0000-0000E0600000}"/>
    <cellStyle name="SAPBEXHLevel1X 16 4" xfId="11794" xr:uid="{00000000-0005-0000-0000-0000E1600000}"/>
    <cellStyle name="SAPBEXHLevel1X 16 5" xfId="14251" xr:uid="{00000000-0005-0000-0000-0000E2600000}"/>
    <cellStyle name="SAPBEXHLevel1X 16 6" xfId="16689" xr:uid="{00000000-0005-0000-0000-0000E3600000}"/>
    <cellStyle name="SAPBEXHLevel1X 16 7" xfId="18947" xr:uid="{00000000-0005-0000-0000-0000E4600000}"/>
    <cellStyle name="SAPBEXHLevel1X 16 8" xfId="21385" xr:uid="{00000000-0005-0000-0000-0000E5600000}"/>
    <cellStyle name="SAPBEXHLevel1X 16 9" xfId="23469" xr:uid="{00000000-0005-0000-0000-0000E6600000}"/>
    <cellStyle name="SAPBEXHLevel1X 17" xfId="3697" xr:uid="{00000000-0005-0000-0000-0000E7600000}"/>
    <cellStyle name="SAPBEXHLevel1X 17 2" xfId="6235" xr:uid="{00000000-0005-0000-0000-0000E8600000}"/>
    <cellStyle name="SAPBEXHLevel1X 17 3" xfId="5480" xr:uid="{00000000-0005-0000-0000-0000E9600000}"/>
    <cellStyle name="SAPBEXHLevel1X 17 4" xfId="10834" xr:uid="{00000000-0005-0000-0000-0000EA600000}"/>
    <cellStyle name="SAPBEXHLevel1X 17 5" xfId="13199" xr:uid="{00000000-0005-0000-0000-0000EB600000}"/>
    <cellStyle name="SAPBEXHLevel1X 17 6" xfId="15527" xr:uid="{00000000-0005-0000-0000-0000EC600000}"/>
    <cellStyle name="SAPBEXHLevel1X 17 7" xfId="17895" xr:uid="{00000000-0005-0000-0000-0000ED600000}"/>
    <cellStyle name="SAPBEXHLevel1X 17 8" xfId="20223" xr:uid="{00000000-0005-0000-0000-0000EE600000}"/>
    <cellStyle name="SAPBEXHLevel1X 17 9" xfId="22505" xr:uid="{00000000-0005-0000-0000-0000EF600000}"/>
    <cellStyle name="SAPBEXHLevel1X 18" xfId="3571" xr:uid="{00000000-0005-0000-0000-0000F0600000}"/>
    <cellStyle name="SAPBEXHLevel1X 18 2" xfId="6109" xr:uid="{00000000-0005-0000-0000-0000F1600000}"/>
    <cellStyle name="SAPBEXHLevel1X 18 3" xfId="9947" xr:uid="{00000000-0005-0000-0000-0000F2600000}"/>
    <cellStyle name="SAPBEXHLevel1X 18 4" xfId="10191" xr:uid="{00000000-0005-0000-0000-0000F3600000}"/>
    <cellStyle name="SAPBEXHLevel1X 18 5" xfId="14941" xr:uid="{00000000-0005-0000-0000-0000F4600000}"/>
    <cellStyle name="SAPBEXHLevel1X 18 6" xfId="16943" xr:uid="{00000000-0005-0000-0000-0000F5600000}"/>
    <cellStyle name="SAPBEXHLevel1X 18 7" xfId="19637" xr:uid="{00000000-0005-0000-0000-0000F6600000}"/>
    <cellStyle name="SAPBEXHLevel1X 18 8" xfId="21639" xr:uid="{00000000-0005-0000-0000-0000F7600000}"/>
    <cellStyle name="SAPBEXHLevel1X 18 9" xfId="24104" xr:uid="{00000000-0005-0000-0000-0000F8600000}"/>
    <cellStyle name="SAPBEXHLevel1X 19" xfId="3759" xr:uid="{00000000-0005-0000-0000-0000F9600000}"/>
    <cellStyle name="SAPBEXHLevel1X 19 2" xfId="6297" xr:uid="{00000000-0005-0000-0000-0000FA600000}"/>
    <cellStyle name="SAPBEXHLevel1X 19 3" xfId="8287" xr:uid="{00000000-0005-0000-0000-0000FB600000}"/>
    <cellStyle name="SAPBEXHLevel1X 19 4" xfId="12274" xr:uid="{00000000-0005-0000-0000-0000FC600000}"/>
    <cellStyle name="SAPBEXHLevel1X 19 5" xfId="13265" xr:uid="{00000000-0005-0000-0000-0000FD600000}"/>
    <cellStyle name="SAPBEXHLevel1X 19 6" xfId="15847" xr:uid="{00000000-0005-0000-0000-0000FE600000}"/>
    <cellStyle name="SAPBEXHLevel1X 19 7" xfId="17961" xr:uid="{00000000-0005-0000-0000-0000FF600000}"/>
    <cellStyle name="SAPBEXHLevel1X 19 8" xfId="20543" xr:uid="{00000000-0005-0000-0000-000000610000}"/>
    <cellStyle name="SAPBEXHLevel1X 19 9" xfId="22567" xr:uid="{00000000-0005-0000-0000-000001610000}"/>
    <cellStyle name="SAPBEXHLevel1X 2" xfId="3083" xr:uid="{00000000-0005-0000-0000-000002610000}"/>
    <cellStyle name="SAPBEXHLevel1X 2 10" xfId="32761" xr:uid="{B3244F0F-AA65-4A55-9127-225071C37278}"/>
    <cellStyle name="SAPBEXHLevel1X 2 2" xfId="5621" xr:uid="{00000000-0005-0000-0000-000003610000}"/>
    <cellStyle name="SAPBEXHLevel1X 2 2 2" xfId="42409" xr:uid="{92EC63E4-E818-41AF-BE26-44C5B24AB536}"/>
    <cellStyle name="SAPBEXHLevel1X 2 3" xfId="9973" xr:uid="{00000000-0005-0000-0000-000004610000}"/>
    <cellStyle name="SAPBEXHLevel1X 2 4" xfId="10611" xr:uid="{00000000-0005-0000-0000-000005610000}"/>
    <cellStyle name="SAPBEXHLevel1X 2 5" xfId="12959" xr:uid="{00000000-0005-0000-0000-000006610000}"/>
    <cellStyle name="SAPBEXHLevel1X 2 6" xfId="15346" xr:uid="{00000000-0005-0000-0000-000007610000}"/>
    <cellStyle name="SAPBEXHLevel1X 2 7" xfId="17655" xr:uid="{00000000-0005-0000-0000-000008610000}"/>
    <cellStyle name="SAPBEXHLevel1X 2 8" xfId="20042" xr:uid="{00000000-0005-0000-0000-000009610000}"/>
    <cellStyle name="SAPBEXHLevel1X 2 9" xfId="22284" xr:uid="{00000000-0005-0000-0000-00000A610000}"/>
    <cellStyle name="SAPBEXHLevel1X 20" xfId="3782" xr:uid="{00000000-0005-0000-0000-00000B610000}"/>
    <cellStyle name="SAPBEXHLevel1X 20 2" xfId="6320" xr:uid="{00000000-0005-0000-0000-00000C610000}"/>
    <cellStyle name="SAPBEXHLevel1X 20 3" xfId="8133" xr:uid="{00000000-0005-0000-0000-00000D610000}"/>
    <cellStyle name="SAPBEXHLevel1X 20 4" xfId="10845" xr:uid="{00000000-0005-0000-0000-00000E610000}"/>
    <cellStyle name="SAPBEXHLevel1X 20 5" xfId="13210" xr:uid="{00000000-0005-0000-0000-00000F610000}"/>
    <cellStyle name="SAPBEXHLevel1X 20 6" xfId="16382" xr:uid="{00000000-0005-0000-0000-000010610000}"/>
    <cellStyle name="SAPBEXHLevel1X 20 7" xfId="17906" xr:uid="{00000000-0005-0000-0000-000011610000}"/>
    <cellStyle name="SAPBEXHLevel1X 20 8" xfId="21078" xr:uid="{00000000-0005-0000-0000-000012610000}"/>
    <cellStyle name="SAPBEXHLevel1X 20 9" xfId="22516" xr:uid="{00000000-0005-0000-0000-000013610000}"/>
    <cellStyle name="SAPBEXHLevel1X 21" xfId="3797" xr:uid="{00000000-0005-0000-0000-000014610000}"/>
    <cellStyle name="SAPBEXHLevel1X 21 2" xfId="6335" xr:uid="{00000000-0005-0000-0000-000015610000}"/>
    <cellStyle name="SAPBEXHLevel1X 21 3" xfId="5440" xr:uid="{00000000-0005-0000-0000-000016610000}"/>
    <cellStyle name="SAPBEXHLevel1X 21 4" xfId="11064" xr:uid="{00000000-0005-0000-0000-000017610000}"/>
    <cellStyle name="SAPBEXHLevel1X 21 5" xfId="13452" xr:uid="{00000000-0005-0000-0000-000018610000}"/>
    <cellStyle name="SAPBEXHLevel1X 21 6" xfId="16894" xr:uid="{00000000-0005-0000-0000-000019610000}"/>
    <cellStyle name="SAPBEXHLevel1X 21 7" xfId="18148" xr:uid="{00000000-0005-0000-0000-00001A610000}"/>
    <cellStyle name="SAPBEXHLevel1X 21 8" xfId="21590" xr:uid="{00000000-0005-0000-0000-00001B610000}"/>
    <cellStyle name="SAPBEXHLevel1X 21 9" xfId="22737" xr:uid="{00000000-0005-0000-0000-00001C610000}"/>
    <cellStyle name="SAPBEXHLevel1X 22" xfId="3871" xr:uid="{00000000-0005-0000-0000-00001D610000}"/>
    <cellStyle name="SAPBEXHLevel1X 22 2" xfId="6409" xr:uid="{00000000-0005-0000-0000-00001E610000}"/>
    <cellStyle name="SAPBEXHLevel1X 22 3" xfId="8477" xr:uid="{00000000-0005-0000-0000-00001F610000}"/>
    <cellStyle name="SAPBEXHLevel1X 22 4" xfId="11896" xr:uid="{00000000-0005-0000-0000-000020610000}"/>
    <cellStyle name="SAPBEXHLevel1X 22 5" xfId="14365" xr:uid="{00000000-0005-0000-0000-000021610000}"/>
    <cellStyle name="SAPBEXHLevel1X 22 6" xfId="15818" xr:uid="{00000000-0005-0000-0000-000022610000}"/>
    <cellStyle name="SAPBEXHLevel1X 22 7" xfId="19061" xr:uid="{00000000-0005-0000-0000-000023610000}"/>
    <cellStyle name="SAPBEXHLevel1X 22 8" xfId="20514" xr:uid="{00000000-0005-0000-0000-000024610000}"/>
    <cellStyle name="SAPBEXHLevel1X 22 9" xfId="23571" xr:uid="{00000000-0005-0000-0000-000025610000}"/>
    <cellStyle name="SAPBEXHLevel1X 23" xfId="3691" xr:uid="{00000000-0005-0000-0000-000026610000}"/>
    <cellStyle name="SAPBEXHLevel1X 23 2" xfId="6229" xr:uid="{00000000-0005-0000-0000-000027610000}"/>
    <cellStyle name="SAPBEXHLevel1X 23 3" xfId="9135" xr:uid="{00000000-0005-0000-0000-000028610000}"/>
    <cellStyle name="SAPBEXHLevel1X 23 4" xfId="11798" xr:uid="{00000000-0005-0000-0000-000029610000}"/>
    <cellStyle name="SAPBEXHLevel1X 23 5" xfId="14255" xr:uid="{00000000-0005-0000-0000-00002A610000}"/>
    <cellStyle name="SAPBEXHLevel1X 23 6" xfId="15277" xr:uid="{00000000-0005-0000-0000-00002B610000}"/>
    <cellStyle name="SAPBEXHLevel1X 23 7" xfId="18951" xr:uid="{00000000-0005-0000-0000-00002C610000}"/>
    <cellStyle name="SAPBEXHLevel1X 23 8" xfId="19973" xr:uid="{00000000-0005-0000-0000-00002D610000}"/>
    <cellStyle name="SAPBEXHLevel1X 23 9" xfId="23473" xr:uid="{00000000-0005-0000-0000-00002E610000}"/>
    <cellStyle name="SAPBEXHLevel1X 24" xfId="3888" xr:uid="{00000000-0005-0000-0000-00002F610000}"/>
    <cellStyle name="SAPBEXHLevel1X 24 2" xfId="6426" xr:uid="{00000000-0005-0000-0000-000030610000}"/>
    <cellStyle name="SAPBEXHLevel1X 24 3" xfId="8995" xr:uid="{00000000-0005-0000-0000-000031610000}"/>
    <cellStyle name="SAPBEXHLevel1X 24 4" xfId="10889" xr:uid="{00000000-0005-0000-0000-000032610000}"/>
    <cellStyle name="SAPBEXHLevel1X 24 5" xfId="13257" xr:uid="{00000000-0005-0000-0000-000033610000}"/>
    <cellStyle name="SAPBEXHLevel1X 24 6" xfId="16720" xr:uid="{00000000-0005-0000-0000-000034610000}"/>
    <cellStyle name="SAPBEXHLevel1X 24 7" xfId="17953" xr:uid="{00000000-0005-0000-0000-000035610000}"/>
    <cellStyle name="SAPBEXHLevel1X 24 8" xfId="21416" xr:uid="{00000000-0005-0000-0000-000036610000}"/>
    <cellStyle name="SAPBEXHLevel1X 24 9" xfId="22560" xr:uid="{00000000-0005-0000-0000-000037610000}"/>
    <cellStyle name="SAPBEXHLevel1X 25" xfId="3843" xr:uid="{00000000-0005-0000-0000-000038610000}"/>
    <cellStyle name="SAPBEXHLevel1X 25 2" xfId="6381" xr:uid="{00000000-0005-0000-0000-000039610000}"/>
    <cellStyle name="SAPBEXHLevel1X 25 3" xfId="9215" xr:uid="{00000000-0005-0000-0000-00003A610000}"/>
    <cellStyle name="SAPBEXHLevel1X 25 4" xfId="10690" xr:uid="{00000000-0005-0000-0000-00003B610000}"/>
    <cellStyle name="SAPBEXHLevel1X 25 5" xfId="13042" xr:uid="{00000000-0005-0000-0000-00003C610000}"/>
    <cellStyle name="SAPBEXHLevel1X 25 6" xfId="16013" xr:uid="{00000000-0005-0000-0000-00003D610000}"/>
    <cellStyle name="SAPBEXHLevel1X 25 7" xfId="17738" xr:uid="{00000000-0005-0000-0000-00003E610000}"/>
    <cellStyle name="SAPBEXHLevel1X 25 8" xfId="20709" xr:uid="{00000000-0005-0000-0000-00003F610000}"/>
    <cellStyle name="SAPBEXHLevel1X 25 9" xfId="22363" xr:uid="{00000000-0005-0000-0000-000040610000}"/>
    <cellStyle name="SAPBEXHLevel1X 26" xfId="4019" xr:uid="{00000000-0005-0000-0000-000041610000}"/>
    <cellStyle name="SAPBEXHLevel1X 26 2" xfId="6557" xr:uid="{00000000-0005-0000-0000-000042610000}"/>
    <cellStyle name="SAPBEXHLevel1X 26 3" xfId="9834" xr:uid="{00000000-0005-0000-0000-000043610000}"/>
    <cellStyle name="SAPBEXHLevel1X 26 4" xfId="8878" xr:uid="{00000000-0005-0000-0000-000044610000}"/>
    <cellStyle name="SAPBEXHLevel1X 26 5" xfId="12325" xr:uid="{00000000-0005-0000-0000-000045610000}"/>
    <cellStyle name="SAPBEXHLevel1X 26 6" xfId="15355" xr:uid="{00000000-0005-0000-0000-000046610000}"/>
    <cellStyle name="SAPBEXHLevel1X 26 7" xfId="17021" xr:uid="{00000000-0005-0000-0000-000047610000}"/>
    <cellStyle name="SAPBEXHLevel1X 26 8" xfId="20051" xr:uid="{00000000-0005-0000-0000-000048610000}"/>
    <cellStyle name="SAPBEXHLevel1X 26 9" xfId="21715" xr:uid="{00000000-0005-0000-0000-000049610000}"/>
    <cellStyle name="SAPBEXHLevel1X 27" xfId="3905" xr:uid="{00000000-0005-0000-0000-00004A610000}"/>
    <cellStyle name="SAPBEXHLevel1X 27 2" xfId="6443" xr:uid="{00000000-0005-0000-0000-00004B610000}"/>
    <cellStyle name="SAPBEXHLevel1X 27 3" xfId="5453" xr:uid="{00000000-0005-0000-0000-00004C610000}"/>
    <cellStyle name="SAPBEXHLevel1X 27 4" xfId="12048" xr:uid="{00000000-0005-0000-0000-00004D610000}"/>
    <cellStyle name="SAPBEXHLevel1X 27 5" xfId="14795" xr:uid="{00000000-0005-0000-0000-00004E610000}"/>
    <cellStyle name="SAPBEXHLevel1X 27 6" xfId="13628" xr:uid="{00000000-0005-0000-0000-00004F610000}"/>
    <cellStyle name="SAPBEXHLevel1X 27 7" xfId="19491" xr:uid="{00000000-0005-0000-0000-000050610000}"/>
    <cellStyle name="SAPBEXHLevel1X 27 8" xfId="18324" xr:uid="{00000000-0005-0000-0000-000051610000}"/>
    <cellStyle name="SAPBEXHLevel1X 27 9" xfId="23979" xr:uid="{00000000-0005-0000-0000-000052610000}"/>
    <cellStyle name="SAPBEXHLevel1X 28" xfId="4058" xr:uid="{00000000-0005-0000-0000-000053610000}"/>
    <cellStyle name="SAPBEXHLevel1X 28 2" xfId="6596" xr:uid="{00000000-0005-0000-0000-000054610000}"/>
    <cellStyle name="SAPBEXHLevel1X 28 3" xfId="9338" xr:uid="{00000000-0005-0000-0000-000055610000}"/>
    <cellStyle name="SAPBEXHLevel1X 28 4" xfId="11910" xr:uid="{00000000-0005-0000-0000-000056610000}"/>
    <cellStyle name="SAPBEXHLevel1X 28 5" xfId="14382" xr:uid="{00000000-0005-0000-0000-000057610000}"/>
    <cellStyle name="SAPBEXHLevel1X 28 6" xfId="15053" xr:uid="{00000000-0005-0000-0000-000058610000}"/>
    <cellStyle name="SAPBEXHLevel1X 28 7" xfId="19078" xr:uid="{00000000-0005-0000-0000-000059610000}"/>
    <cellStyle name="SAPBEXHLevel1X 28 8" xfId="19749" xr:uid="{00000000-0005-0000-0000-00005A610000}"/>
    <cellStyle name="SAPBEXHLevel1X 28 9" xfId="23585" xr:uid="{00000000-0005-0000-0000-00005B610000}"/>
    <cellStyle name="SAPBEXHLevel1X 29" xfId="4053" xr:uid="{00000000-0005-0000-0000-00005C610000}"/>
    <cellStyle name="SAPBEXHLevel1X 29 2" xfId="6591" xr:uid="{00000000-0005-0000-0000-00005D610000}"/>
    <cellStyle name="SAPBEXHLevel1X 29 3" xfId="8681" xr:uid="{00000000-0005-0000-0000-00005E610000}"/>
    <cellStyle name="SAPBEXHLevel1X 29 4" xfId="11020" xr:uid="{00000000-0005-0000-0000-00005F610000}"/>
    <cellStyle name="SAPBEXHLevel1X 29 5" xfId="13400" xr:uid="{00000000-0005-0000-0000-000060610000}"/>
    <cellStyle name="SAPBEXHLevel1X 29 6" xfId="15911" xr:uid="{00000000-0005-0000-0000-000061610000}"/>
    <cellStyle name="SAPBEXHLevel1X 29 7" xfId="18096" xr:uid="{00000000-0005-0000-0000-000062610000}"/>
    <cellStyle name="SAPBEXHLevel1X 29 8" xfId="20607" xr:uid="{00000000-0005-0000-0000-000063610000}"/>
    <cellStyle name="SAPBEXHLevel1X 29 9" xfId="22693" xr:uid="{00000000-0005-0000-0000-000064610000}"/>
    <cellStyle name="SAPBEXHLevel1X 3" xfId="3129" xr:uid="{00000000-0005-0000-0000-000065610000}"/>
    <cellStyle name="SAPBEXHLevel1X 3 10" xfId="42337" xr:uid="{C88644F1-281D-4B86-B8A4-170F262A0DAA}"/>
    <cellStyle name="SAPBEXHLevel1X 3 2" xfId="5667" xr:uid="{00000000-0005-0000-0000-000066610000}"/>
    <cellStyle name="SAPBEXHLevel1X 3 3" xfId="9162" xr:uid="{00000000-0005-0000-0000-000067610000}"/>
    <cellStyle name="SAPBEXHLevel1X 3 4" xfId="9192" xr:uid="{00000000-0005-0000-0000-000068610000}"/>
    <cellStyle name="SAPBEXHLevel1X 3 5" xfId="14803" xr:uid="{00000000-0005-0000-0000-000069610000}"/>
    <cellStyle name="SAPBEXHLevel1X 3 6" xfId="16867" xr:uid="{00000000-0005-0000-0000-00006A610000}"/>
    <cellStyle name="SAPBEXHLevel1X 3 7" xfId="19499" xr:uid="{00000000-0005-0000-0000-00006B610000}"/>
    <cellStyle name="SAPBEXHLevel1X 3 8" xfId="21563" xr:uid="{00000000-0005-0000-0000-00006C610000}"/>
    <cellStyle name="SAPBEXHLevel1X 3 9" xfId="23987" xr:uid="{00000000-0005-0000-0000-00006D610000}"/>
    <cellStyle name="SAPBEXHLevel1X 30" xfId="4049" xr:uid="{00000000-0005-0000-0000-00006E610000}"/>
    <cellStyle name="SAPBEXHLevel1X 30 2" xfId="6587" xr:uid="{00000000-0005-0000-0000-00006F610000}"/>
    <cellStyle name="SAPBEXHLevel1X 30 3" xfId="8517" xr:uid="{00000000-0005-0000-0000-000070610000}"/>
    <cellStyle name="SAPBEXHLevel1X 30 4" xfId="10903" xr:uid="{00000000-0005-0000-0000-000071610000}"/>
    <cellStyle name="SAPBEXHLevel1X 30 5" xfId="13273" xr:uid="{00000000-0005-0000-0000-000072610000}"/>
    <cellStyle name="SAPBEXHLevel1X 30 6" xfId="16359" xr:uid="{00000000-0005-0000-0000-000073610000}"/>
    <cellStyle name="SAPBEXHLevel1X 30 7" xfId="17969" xr:uid="{00000000-0005-0000-0000-000074610000}"/>
    <cellStyle name="SAPBEXHLevel1X 30 8" xfId="21055" xr:uid="{00000000-0005-0000-0000-000075610000}"/>
    <cellStyle name="SAPBEXHLevel1X 30 9" xfId="22574" xr:uid="{00000000-0005-0000-0000-000076610000}"/>
    <cellStyle name="SAPBEXHLevel1X 31" xfId="4068" xr:uid="{00000000-0005-0000-0000-000077610000}"/>
    <cellStyle name="SAPBEXHLevel1X 31 2" xfId="6606" xr:uid="{00000000-0005-0000-0000-000078610000}"/>
    <cellStyle name="SAPBEXHLevel1X 31 3" xfId="8019" xr:uid="{00000000-0005-0000-0000-000079610000}"/>
    <cellStyle name="SAPBEXHLevel1X 31 4" xfId="10875" xr:uid="{00000000-0005-0000-0000-00007A610000}"/>
    <cellStyle name="SAPBEXHLevel1X 31 5" xfId="13242" xr:uid="{00000000-0005-0000-0000-00007B610000}"/>
    <cellStyle name="SAPBEXHLevel1X 31 6" xfId="15528" xr:uid="{00000000-0005-0000-0000-00007C610000}"/>
    <cellStyle name="SAPBEXHLevel1X 31 7" xfId="17938" xr:uid="{00000000-0005-0000-0000-00007D610000}"/>
    <cellStyle name="SAPBEXHLevel1X 31 8" xfId="20224" xr:uid="{00000000-0005-0000-0000-00007E610000}"/>
    <cellStyle name="SAPBEXHLevel1X 31 9" xfId="22546" xr:uid="{00000000-0005-0000-0000-00007F610000}"/>
    <cellStyle name="SAPBEXHLevel1X 32" xfId="4166" xr:uid="{00000000-0005-0000-0000-000080610000}"/>
    <cellStyle name="SAPBEXHLevel1X 32 2" xfId="6704" xr:uid="{00000000-0005-0000-0000-000081610000}"/>
    <cellStyle name="SAPBEXHLevel1X 32 3" xfId="8606" xr:uid="{00000000-0005-0000-0000-000082610000}"/>
    <cellStyle name="SAPBEXHLevel1X 32 4" xfId="11125" xr:uid="{00000000-0005-0000-0000-000083610000}"/>
    <cellStyle name="SAPBEXHLevel1X 32 5" xfId="13520" xr:uid="{00000000-0005-0000-0000-000084610000}"/>
    <cellStyle name="SAPBEXHLevel1X 32 6" xfId="15648" xr:uid="{00000000-0005-0000-0000-000085610000}"/>
    <cellStyle name="SAPBEXHLevel1X 32 7" xfId="18216" xr:uid="{00000000-0005-0000-0000-000086610000}"/>
    <cellStyle name="SAPBEXHLevel1X 32 8" xfId="20344" xr:uid="{00000000-0005-0000-0000-000087610000}"/>
    <cellStyle name="SAPBEXHLevel1X 32 9" xfId="22798" xr:uid="{00000000-0005-0000-0000-000088610000}"/>
    <cellStyle name="SAPBEXHLevel1X 33" xfId="4137" xr:uid="{00000000-0005-0000-0000-000089610000}"/>
    <cellStyle name="SAPBEXHLevel1X 33 2" xfId="6675" xr:uid="{00000000-0005-0000-0000-00008A610000}"/>
    <cellStyle name="SAPBEXHLevel1X 33 3" xfId="8797" xr:uid="{00000000-0005-0000-0000-00008B610000}"/>
    <cellStyle name="SAPBEXHLevel1X 33 4" xfId="11806" xr:uid="{00000000-0005-0000-0000-00008C610000}"/>
    <cellStyle name="SAPBEXHLevel1X 33 5" xfId="14263" xr:uid="{00000000-0005-0000-0000-00008D610000}"/>
    <cellStyle name="SAPBEXHLevel1X 33 6" xfId="15054" xr:uid="{00000000-0005-0000-0000-00008E610000}"/>
    <cellStyle name="SAPBEXHLevel1X 33 7" xfId="18959" xr:uid="{00000000-0005-0000-0000-00008F610000}"/>
    <cellStyle name="SAPBEXHLevel1X 33 8" xfId="19750" xr:uid="{00000000-0005-0000-0000-000090610000}"/>
    <cellStyle name="SAPBEXHLevel1X 33 9" xfId="23481" xr:uid="{00000000-0005-0000-0000-000091610000}"/>
    <cellStyle name="SAPBEXHLevel1X 34" xfId="4103" xr:uid="{00000000-0005-0000-0000-000092610000}"/>
    <cellStyle name="SAPBEXHLevel1X 34 2" xfId="6641" xr:uid="{00000000-0005-0000-0000-000093610000}"/>
    <cellStyle name="SAPBEXHLevel1X 34 3" xfId="9036" xr:uid="{00000000-0005-0000-0000-000094610000}"/>
    <cellStyle name="SAPBEXHLevel1X 34 4" xfId="11314" xr:uid="{00000000-0005-0000-0000-000095610000}"/>
    <cellStyle name="SAPBEXHLevel1X 34 5" xfId="13723" xr:uid="{00000000-0005-0000-0000-000096610000}"/>
    <cellStyle name="SAPBEXHLevel1X 34 6" xfId="16751" xr:uid="{00000000-0005-0000-0000-000097610000}"/>
    <cellStyle name="SAPBEXHLevel1X 34 7" xfId="18419" xr:uid="{00000000-0005-0000-0000-000098610000}"/>
    <cellStyle name="SAPBEXHLevel1X 34 8" xfId="21447" xr:uid="{00000000-0005-0000-0000-000099610000}"/>
    <cellStyle name="SAPBEXHLevel1X 34 9" xfId="22988" xr:uid="{00000000-0005-0000-0000-00009A610000}"/>
    <cellStyle name="SAPBEXHLevel1X 35" xfId="4149" xr:uid="{00000000-0005-0000-0000-00009B610000}"/>
    <cellStyle name="SAPBEXHLevel1X 35 2" xfId="6687" xr:uid="{00000000-0005-0000-0000-00009C610000}"/>
    <cellStyle name="SAPBEXHLevel1X 35 3" xfId="5532" xr:uid="{00000000-0005-0000-0000-00009D610000}"/>
    <cellStyle name="SAPBEXHLevel1X 35 4" xfId="10847" xr:uid="{00000000-0005-0000-0000-00009E610000}"/>
    <cellStyle name="SAPBEXHLevel1X 35 5" xfId="13212" xr:uid="{00000000-0005-0000-0000-00009F610000}"/>
    <cellStyle name="SAPBEXHLevel1X 35 6" xfId="15303" xr:uid="{00000000-0005-0000-0000-0000A0610000}"/>
    <cellStyle name="SAPBEXHLevel1X 35 7" xfId="17908" xr:uid="{00000000-0005-0000-0000-0000A1610000}"/>
    <cellStyle name="SAPBEXHLevel1X 35 8" xfId="19999" xr:uid="{00000000-0005-0000-0000-0000A2610000}"/>
    <cellStyle name="SAPBEXHLevel1X 35 9" xfId="22518" xr:uid="{00000000-0005-0000-0000-0000A3610000}"/>
    <cellStyle name="SAPBEXHLevel1X 36" xfId="4013" xr:uid="{00000000-0005-0000-0000-0000A4610000}"/>
    <cellStyle name="SAPBEXHLevel1X 36 2" xfId="6551" xr:uid="{00000000-0005-0000-0000-0000A5610000}"/>
    <cellStyle name="SAPBEXHLevel1X 36 3" xfId="7791" xr:uid="{00000000-0005-0000-0000-0000A6610000}"/>
    <cellStyle name="SAPBEXHLevel1X 36 4" xfId="11165" xr:uid="{00000000-0005-0000-0000-0000A7610000}"/>
    <cellStyle name="SAPBEXHLevel1X 36 5" xfId="13561" xr:uid="{00000000-0005-0000-0000-0000A8610000}"/>
    <cellStyle name="SAPBEXHLevel1X 36 6" xfId="15559" xr:uid="{00000000-0005-0000-0000-0000A9610000}"/>
    <cellStyle name="SAPBEXHLevel1X 36 7" xfId="18257" xr:uid="{00000000-0005-0000-0000-0000AA610000}"/>
    <cellStyle name="SAPBEXHLevel1X 36 8" xfId="20255" xr:uid="{00000000-0005-0000-0000-0000AB610000}"/>
    <cellStyle name="SAPBEXHLevel1X 36 9" xfId="22838" xr:uid="{00000000-0005-0000-0000-0000AC610000}"/>
    <cellStyle name="SAPBEXHLevel1X 37" xfId="4373" xr:uid="{00000000-0005-0000-0000-0000AD610000}"/>
    <cellStyle name="SAPBEXHLevel1X 37 2" xfId="6911" xr:uid="{00000000-0005-0000-0000-0000AE610000}"/>
    <cellStyle name="SAPBEXHLevel1X 37 3" xfId="8800" xr:uid="{00000000-0005-0000-0000-0000AF610000}"/>
    <cellStyle name="SAPBEXHLevel1X 37 4" xfId="12063" xr:uid="{00000000-0005-0000-0000-0000B0610000}"/>
    <cellStyle name="SAPBEXHLevel1X 37 5" xfId="14543" xr:uid="{00000000-0005-0000-0000-0000B1610000}"/>
    <cellStyle name="SAPBEXHLevel1X 37 6" xfId="12807" xr:uid="{00000000-0005-0000-0000-0000B2610000}"/>
    <cellStyle name="SAPBEXHLevel1X 37 7" xfId="19239" xr:uid="{00000000-0005-0000-0000-0000B3610000}"/>
    <cellStyle name="SAPBEXHLevel1X 37 8" xfId="17503" xr:uid="{00000000-0005-0000-0000-0000B4610000}"/>
    <cellStyle name="SAPBEXHLevel1X 37 9" xfId="23735" xr:uid="{00000000-0005-0000-0000-0000B5610000}"/>
    <cellStyle name="SAPBEXHLevel1X 38" xfId="4487" xr:uid="{00000000-0005-0000-0000-0000B6610000}"/>
    <cellStyle name="SAPBEXHLevel1X 38 2" xfId="7025" xr:uid="{00000000-0005-0000-0000-0000B7610000}"/>
    <cellStyle name="SAPBEXHLevel1X 38 3" xfId="9817" xr:uid="{00000000-0005-0000-0000-0000B8610000}"/>
    <cellStyle name="SAPBEXHLevel1X 38 4" xfId="11377" xr:uid="{00000000-0005-0000-0000-0000B9610000}"/>
    <cellStyle name="SAPBEXHLevel1X 38 5" xfId="13791" xr:uid="{00000000-0005-0000-0000-0000BA610000}"/>
    <cellStyle name="SAPBEXHLevel1X 38 6" xfId="15109" xr:uid="{00000000-0005-0000-0000-0000BB610000}"/>
    <cellStyle name="SAPBEXHLevel1X 38 7" xfId="18487" xr:uid="{00000000-0005-0000-0000-0000BC610000}"/>
    <cellStyle name="SAPBEXHLevel1X 38 8" xfId="19805" xr:uid="{00000000-0005-0000-0000-0000BD610000}"/>
    <cellStyle name="SAPBEXHLevel1X 38 9" xfId="23051" xr:uid="{00000000-0005-0000-0000-0000BE610000}"/>
    <cellStyle name="SAPBEXHLevel1X 39" xfId="4570" xr:uid="{00000000-0005-0000-0000-0000BF610000}"/>
    <cellStyle name="SAPBEXHLevel1X 39 2" xfId="7108" xr:uid="{00000000-0005-0000-0000-0000C0610000}"/>
    <cellStyle name="SAPBEXHLevel1X 39 3" xfId="10052" xr:uid="{00000000-0005-0000-0000-0000C1610000}"/>
    <cellStyle name="SAPBEXHLevel1X 39 4" xfId="11039" xr:uid="{00000000-0005-0000-0000-0000C2610000}"/>
    <cellStyle name="SAPBEXHLevel1X 39 5" xfId="13422" xr:uid="{00000000-0005-0000-0000-0000C3610000}"/>
    <cellStyle name="SAPBEXHLevel1X 39 6" xfId="15387" xr:uid="{00000000-0005-0000-0000-0000C4610000}"/>
    <cellStyle name="SAPBEXHLevel1X 39 7" xfId="18118" xr:uid="{00000000-0005-0000-0000-0000C5610000}"/>
    <cellStyle name="SAPBEXHLevel1X 39 8" xfId="20083" xr:uid="{00000000-0005-0000-0000-0000C6610000}"/>
    <cellStyle name="SAPBEXHLevel1X 39 9" xfId="22712" xr:uid="{00000000-0005-0000-0000-0000C7610000}"/>
    <cellStyle name="SAPBEXHLevel1X 4" xfId="3056" xr:uid="{00000000-0005-0000-0000-0000C8610000}"/>
    <cellStyle name="SAPBEXHLevel1X 4 2" xfId="5595" xr:uid="{00000000-0005-0000-0000-0000C9610000}"/>
    <cellStyle name="SAPBEXHLevel1X 4 3" xfId="8671" xr:uid="{00000000-0005-0000-0000-0000CA610000}"/>
    <cellStyle name="SAPBEXHLevel1X 4 4" xfId="10448" xr:uid="{00000000-0005-0000-0000-0000CB610000}"/>
    <cellStyle name="SAPBEXHLevel1X 4 5" xfId="12776" xr:uid="{00000000-0005-0000-0000-0000CC610000}"/>
    <cellStyle name="SAPBEXHLevel1X 4 6" xfId="16534" xr:uid="{00000000-0005-0000-0000-0000CD610000}"/>
    <cellStyle name="SAPBEXHLevel1X 4 7" xfId="17472" xr:uid="{00000000-0005-0000-0000-0000CE610000}"/>
    <cellStyle name="SAPBEXHLevel1X 4 8" xfId="21230" xr:uid="{00000000-0005-0000-0000-0000CF610000}"/>
    <cellStyle name="SAPBEXHLevel1X 4 9" xfId="22119" xr:uid="{00000000-0005-0000-0000-0000D0610000}"/>
    <cellStyle name="SAPBEXHLevel1X 40" xfId="4476" xr:uid="{00000000-0005-0000-0000-0000D1610000}"/>
    <cellStyle name="SAPBEXHLevel1X 40 2" xfId="7014" xr:uid="{00000000-0005-0000-0000-0000D2610000}"/>
    <cellStyle name="SAPBEXHLevel1X 40 3" xfId="8530" xr:uid="{00000000-0005-0000-0000-0000D3610000}"/>
    <cellStyle name="SAPBEXHLevel1X 40 4" xfId="12136" xr:uid="{00000000-0005-0000-0000-0000D4610000}"/>
    <cellStyle name="SAPBEXHLevel1X 40 5" xfId="14619" xr:uid="{00000000-0005-0000-0000-0000D5610000}"/>
    <cellStyle name="SAPBEXHLevel1X 40 6" xfId="15535" xr:uid="{00000000-0005-0000-0000-0000D6610000}"/>
    <cellStyle name="SAPBEXHLevel1X 40 7" xfId="19315" xr:uid="{00000000-0005-0000-0000-0000D7610000}"/>
    <cellStyle name="SAPBEXHLevel1X 40 8" xfId="20231" xr:uid="{00000000-0005-0000-0000-0000D8610000}"/>
    <cellStyle name="SAPBEXHLevel1X 40 9" xfId="23810" xr:uid="{00000000-0005-0000-0000-0000D9610000}"/>
    <cellStyle name="SAPBEXHLevel1X 41" xfId="4558" xr:uid="{00000000-0005-0000-0000-0000DA610000}"/>
    <cellStyle name="SAPBEXHLevel1X 41 2" xfId="7096" xr:uid="{00000000-0005-0000-0000-0000DB610000}"/>
    <cellStyle name="SAPBEXHLevel1X 41 3" xfId="8195" xr:uid="{00000000-0005-0000-0000-0000DC610000}"/>
    <cellStyle name="SAPBEXHLevel1X 41 4" xfId="10888" xr:uid="{00000000-0005-0000-0000-0000DD610000}"/>
    <cellStyle name="SAPBEXHLevel1X 41 5" xfId="13256" xr:uid="{00000000-0005-0000-0000-0000DE610000}"/>
    <cellStyle name="SAPBEXHLevel1X 41 6" xfId="16173" xr:uid="{00000000-0005-0000-0000-0000DF610000}"/>
    <cellStyle name="SAPBEXHLevel1X 41 7" xfId="17952" xr:uid="{00000000-0005-0000-0000-0000E0610000}"/>
    <cellStyle name="SAPBEXHLevel1X 41 8" xfId="20869" xr:uid="{00000000-0005-0000-0000-0000E1610000}"/>
    <cellStyle name="SAPBEXHLevel1X 41 9" xfId="22559" xr:uid="{00000000-0005-0000-0000-0000E2610000}"/>
    <cellStyle name="SAPBEXHLevel1X 42" xfId="4496" xr:uid="{00000000-0005-0000-0000-0000E3610000}"/>
    <cellStyle name="SAPBEXHLevel1X 42 2" xfId="7034" xr:uid="{00000000-0005-0000-0000-0000E4610000}"/>
    <cellStyle name="SAPBEXHLevel1X 42 3" xfId="5425" xr:uid="{00000000-0005-0000-0000-0000E5610000}"/>
    <cellStyle name="SAPBEXHLevel1X 42 4" xfId="11632" xr:uid="{00000000-0005-0000-0000-0000E6610000}"/>
    <cellStyle name="SAPBEXHLevel1X 42 5" xfId="13924" xr:uid="{00000000-0005-0000-0000-0000E7610000}"/>
    <cellStyle name="SAPBEXHLevel1X 42 6" xfId="12779" xr:uid="{00000000-0005-0000-0000-0000E8610000}"/>
    <cellStyle name="SAPBEXHLevel1X 42 7" xfId="18620" xr:uid="{00000000-0005-0000-0000-0000E9610000}"/>
    <cellStyle name="SAPBEXHLevel1X 42 8" xfId="17475" xr:uid="{00000000-0005-0000-0000-0000EA610000}"/>
    <cellStyle name="SAPBEXHLevel1X 42 9" xfId="23172" xr:uid="{00000000-0005-0000-0000-0000EB610000}"/>
    <cellStyle name="SAPBEXHLevel1X 43" xfId="4485" xr:uid="{00000000-0005-0000-0000-0000EC610000}"/>
    <cellStyle name="SAPBEXHLevel1X 43 2" xfId="7023" xr:uid="{00000000-0005-0000-0000-0000ED610000}"/>
    <cellStyle name="SAPBEXHLevel1X 43 3" xfId="7941" xr:uid="{00000000-0005-0000-0000-0000EE610000}"/>
    <cellStyle name="SAPBEXHLevel1X 43 4" xfId="11431" xr:uid="{00000000-0005-0000-0000-0000EF610000}"/>
    <cellStyle name="SAPBEXHLevel1X 43 5" xfId="13849" xr:uid="{00000000-0005-0000-0000-0000F0610000}"/>
    <cellStyle name="SAPBEXHLevel1X 43 6" xfId="16399" xr:uid="{00000000-0005-0000-0000-0000F1610000}"/>
    <cellStyle name="SAPBEXHLevel1X 43 7" xfId="18545" xr:uid="{00000000-0005-0000-0000-0000F2610000}"/>
    <cellStyle name="SAPBEXHLevel1X 43 8" xfId="21095" xr:uid="{00000000-0005-0000-0000-0000F3610000}"/>
    <cellStyle name="SAPBEXHLevel1X 43 9" xfId="23106" xr:uid="{00000000-0005-0000-0000-0000F4610000}"/>
    <cellStyle name="SAPBEXHLevel1X 44" xfId="4767" xr:uid="{00000000-0005-0000-0000-0000F5610000}"/>
    <cellStyle name="SAPBEXHLevel1X 44 2" xfId="7305" xr:uid="{00000000-0005-0000-0000-0000F6610000}"/>
    <cellStyle name="SAPBEXHLevel1X 44 3" xfId="8709" xr:uid="{00000000-0005-0000-0000-0000F7610000}"/>
    <cellStyle name="SAPBEXHLevel1X 44 4" xfId="8596" xr:uid="{00000000-0005-0000-0000-0000F8610000}"/>
    <cellStyle name="SAPBEXHLevel1X 44 5" xfId="14933" xr:uid="{00000000-0005-0000-0000-0000F9610000}"/>
    <cellStyle name="SAPBEXHLevel1X 44 6" xfId="16235" xr:uid="{00000000-0005-0000-0000-0000FA610000}"/>
    <cellStyle name="SAPBEXHLevel1X 44 7" xfId="19629" xr:uid="{00000000-0005-0000-0000-0000FB610000}"/>
    <cellStyle name="SAPBEXHLevel1X 44 8" xfId="20931" xr:uid="{00000000-0005-0000-0000-0000FC610000}"/>
    <cellStyle name="SAPBEXHLevel1X 44 9" xfId="24096" xr:uid="{00000000-0005-0000-0000-0000FD610000}"/>
    <cellStyle name="SAPBEXHLevel1X 45" xfId="4503" xr:uid="{00000000-0005-0000-0000-0000FE610000}"/>
    <cellStyle name="SAPBEXHLevel1X 45 2" xfId="7041" xr:uid="{00000000-0005-0000-0000-0000FF610000}"/>
    <cellStyle name="SAPBEXHLevel1X 45 3" xfId="9866" xr:uid="{00000000-0005-0000-0000-000000620000}"/>
    <cellStyle name="SAPBEXHLevel1X 45 4" xfId="12253" xr:uid="{00000000-0005-0000-0000-000001620000}"/>
    <cellStyle name="SAPBEXHLevel1X 45 5" xfId="14723" xr:uid="{00000000-0005-0000-0000-000002620000}"/>
    <cellStyle name="SAPBEXHLevel1X 45 6" xfId="16800" xr:uid="{00000000-0005-0000-0000-000003620000}"/>
    <cellStyle name="SAPBEXHLevel1X 45 7" xfId="19419" xr:uid="{00000000-0005-0000-0000-000004620000}"/>
    <cellStyle name="SAPBEXHLevel1X 45 8" xfId="21496" xr:uid="{00000000-0005-0000-0000-000005620000}"/>
    <cellStyle name="SAPBEXHLevel1X 45 9" xfId="23909" xr:uid="{00000000-0005-0000-0000-000006620000}"/>
    <cellStyle name="SAPBEXHLevel1X 46" xfId="4784" xr:uid="{00000000-0005-0000-0000-000007620000}"/>
    <cellStyle name="SAPBEXHLevel1X 46 2" xfId="7322" xr:uid="{00000000-0005-0000-0000-000008620000}"/>
    <cellStyle name="SAPBEXHLevel1X 46 3" xfId="9212" xr:uid="{00000000-0005-0000-0000-000009620000}"/>
    <cellStyle name="SAPBEXHLevel1X 46 4" xfId="11487" xr:uid="{00000000-0005-0000-0000-00000A620000}"/>
    <cellStyle name="SAPBEXHLevel1X 46 5" xfId="13912" xr:uid="{00000000-0005-0000-0000-00000B620000}"/>
    <cellStyle name="SAPBEXHLevel1X 46 6" xfId="16848" xr:uid="{00000000-0005-0000-0000-00000C620000}"/>
    <cellStyle name="SAPBEXHLevel1X 46 7" xfId="18608" xr:uid="{00000000-0005-0000-0000-00000D620000}"/>
    <cellStyle name="SAPBEXHLevel1X 46 8" xfId="21544" xr:uid="{00000000-0005-0000-0000-00000E620000}"/>
    <cellStyle name="SAPBEXHLevel1X 46 9" xfId="23162" xr:uid="{00000000-0005-0000-0000-00000F620000}"/>
    <cellStyle name="SAPBEXHLevel1X 47" xfId="4683" xr:uid="{00000000-0005-0000-0000-000010620000}"/>
    <cellStyle name="SAPBEXHLevel1X 47 2" xfId="7221" xr:uid="{00000000-0005-0000-0000-000011620000}"/>
    <cellStyle name="SAPBEXHLevel1X 47 3" xfId="7817" xr:uid="{00000000-0005-0000-0000-000012620000}"/>
    <cellStyle name="SAPBEXHLevel1X 47 4" xfId="11642" xr:uid="{00000000-0005-0000-0000-000013620000}"/>
    <cellStyle name="SAPBEXHLevel1X 47 5" xfId="14086" xr:uid="{00000000-0005-0000-0000-000014620000}"/>
    <cellStyle name="SAPBEXHLevel1X 47 6" xfId="15662" xr:uid="{00000000-0005-0000-0000-000015620000}"/>
    <cellStyle name="SAPBEXHLevel1X 47 7" xfId="18782" xr:uid="{00000000-0005-0000-0000-000016620000}"/>
    <cellStyle name="SAPBEXHLevel1X 47 8" xfId="20358" xr:uid="{00000000-0005-0000-0000-000017620000}"/>
    <cellStyle name="SAPBEXHLevel1X 47 9" xfId="23317" xr:uid="{00000000-0005-0000-0000-000018620000}"/>
    <cellStyle name="SAPBEXHLevel1X 48" xfId="4891" xr:uid="{00000000-0005-0000-0000-000019620000}"/>
    <cellStyle name="SAPBEXHLevel1X 48 2" xfId="7429" xr:uid="{00000000-0005-0000-0000-00001A620000}"/>
    <cellStyle name="SAPBEXHLevel1X 48 3" xfId="9279" xr:uid="{00000000-0005-0000-0000-00001B620000}"/>
    <cellStyle name="SAPBEXHLevel1X 48 4" xfId="10384" xr:uid="{00000000-0005-0000-0000-00001C620000}"/>
    <cellStyle name="SAPBEXHLevel1X 48 5" xfId="14440" xr:uid="{00000000-0005-0000-0000-00001D620000}"/>
    <cellStyle name="SAPBEXHLevel1X 48 6" xfId="16535" xr:uid="{00000000-0005-0000-0000-00001E620000}"/>
    <cellStyle name="SAPBEXHLevel1X 48 7" xfId="19136" xr:uid="{00000000-0005-0000-0000-00001F620000}"/>
    <cellStyle name="SAPBEXHLevel1X 48 8" xfId="21231" xr:uid="{00000000-0005-0000-0000-000020620000}"/>
    <cellStyle name="SAPBEXHLevel1X 48 9" xfId="23639" xr:uid="{00000000-0005-0000-0000-000021620000}"/>
    <cellStyle name="SAPBEXHLevel1X 49" xfId="4851" xr:uid="{00000000-0005-0000-0000-000022620000}"/>
    <cellStyle name="SAPBEXHLevel1X 49 2" xfId="7389" xr:uid="{00000000-0005-0000-0000-000023620000}"/>
    <cellStyle name="SAPBEXHLevel1X 49 3" xfId="8901" xr:uid="{00000000-0005-0000-0000-000024620000}"/>
    <cellStyle name="SAPBEXHLevel1X 49 4" xfId="11922" xr:uid="{00000000-0005-0000-0000-000025620000}"/>
    <cellStyle name="SAPBEXHLevel1X 49 5" xfId="14394" xr:uid="{00000000-0005-0000-0000-000026620000}"/>
    <cellStyle name="SAPBEXHLevel1X 49 6" xfId="15182" xr:uid="{00000000-0005-0000-0000-000027620000}"/>
    <cellStyle name="SAPBEXHLevel1X 49 7" xfId="19090" xr:uid="{00000000-0005-0000-0000-000028620000}"/>
    <cellStyle name="SAPBEXHLevel1X 49 8" xfId="19878" xr:uid="{00000000-0005-0000-0000-000029620000}"/>
    <cellStyle name="SAPBEXHLevel1X 49 9" xfId="23597" xr:uid="{00000000-0005-0000-0000-00002A620000}"/>
    <cellStyle name="SAPBEXHLevel1X 5" xfId="3109" xr:uid="{00000000-0005-0000-0000-00002B620000}"/>
    <cellStyle name="SAPBEXHLevel1X 5 2" xfId="5647" xr:uid="{00000000-0005-0000-0000-00002C620000}"/>
    <cellStyle name="SAPBEXHLevel1X 5 3" xfId="9940" xr:uid="{00000000-0005-0000-0000-00002D620000}"/>
    <cellStyle name="SAPBEXHLevel1X 5 4" xfId="11208" xr:uid="{00000000-0005-0000-0000-00002E620000}"/>
    <cellStyle name="SAPBEXHLevel1X 5 5" xfId="13610" xr:uid="{00000000-0005-0000-0000-00002F620000}"/>
    <cellStyle name="SAPBEXHLevel1X 5 6" xfId="15151" xr:uid="{00000000-0005-0000-0000-000030620000}"/>
    <cellStyle name="SAPBEXHLevel1X 5 7" xfId="18306" xr:uid="{00000000-0005-0000-0000-000031620000}"/>
    <cellStyle name="SAPBEXHLevel1X 5 8" xfId="19847" xr:uid="{00000000-0005-0000-0000-000032620000}"/>
    <cellStyle name="SAPBEXHLevel1X 5 9" xfId="22883" xr:uid="{00000000-0005-0000-0000-000033620000}"/>
    <cellStyle name="SAPBEXHLevel1X 50" xfId="4723" xr:uid="{00000000-0005-0000-0000-000034620000}"/>
    <cellStyle name="SAPBEXHLevel1X 50 2" xfId="7261" xr:uid="{00000000-0005-0000-0000-000035620000}"/>
    <cellStyle name="SAPBEXHLevel1X 50 3" xfId="10063" xr:uid="{00000000-0005-0000-0000-000036620000}"/>
    <cellStyle name="SAPBEXHLevel1X 50 4" xfId="11331" xr:uid="{00000000-0005-0000-0000-000037620000}"/>
    <cellStyle name="SAPBEXHLevel1X 50 5" xfId="13740" xr:uid="{00000000-0005-0000-0000-000038620000}"/>
    <cellStyle name="SAPBEXHLevel1X 50 6" xfId="15843" xr:uid="{00000000-0005-0000-0000-000039620000}"/>
    <cellStyle name="SAPBEXHLevel1X 50 7" xfId="18436" xr:uid="{00000000-0005-0000-0000-00003A620000}"/>
    <cellStyle name="SAPBEXHLevel1X 50 8" xfId="20539" xr:uid="{00000000-0005-0000-0000-00003B620000}"/>
    <cellStyle name="SAPBEXHLevel1X 50 9" xfId="23005" xr:uid="{00000000-0005-0000-0000-00003C620000}"/>
    <cellStyle name="SAPBEXHLevel1X 51" xfId="4949" xr:uid="{00000000-0005-0000-0000-00003D620000}"/>
    <cellStyle name="SAPBEXHLevel1X 51 2" xfId="7487" xr:uid="{00000000-0005-0000-0000-00003E620000}"/>
    <cellStyle name="SAPBEXHLevel1X 51 3" xfId="8301" xr:uid="{00000000-0005-0000-0000-00003F620000}"/>
    <cellStyle name="SAPBEXHLevel1X 51 4" xfId="11110" xr:uid="{00000000-0005-0000-0000-000040620000}"/>
    <cellStyle name="SAPBEXHLevel1X 51 5" xfId="13504" xr:uid="{00000000-0005-0000-0000-000041620000}"/>
    <cellStyle name="SAPBEXHLevel1X 51 6" xfId="16467" xr:uid="{00000000-0005-0000-0000-000042620000}"/>
    <cellStyle name="SAPBEXHLevel1X 51 7" xfId="18200" xr:uid="{00000000-0005-0000-0000-000043620000}"/>
    <cellStyle name="SAPBEXHLevel1X 51 8" xfId="21163" xr:uid="{00000000-0005-0000-0000-000044620000}"/>
    <cellStyle name="SAPBEXHLevel1X 51 9" xfId="22783" xr:uid="{00000000-0005-0000-0000-000045620000}"/>
    <cellStyle name="SAPBEXHLevel1X 52" xfId="4920" xr:uid="{00000000-0005-0000-0000-000046620000}"/>
    <cellStyle name="SAPBEXHLevel1X 52 2" xfId="7458" xr:uid="{00000000-0005-0000-0000-000047620000}"/>
    <cellStyle name="SAPBEXHLevel1X 52 3" xfId="8391" xr:uid="{00000000-0005-0000-0000-000048620000}"/>
    <cellStyle name="SAPBEXHLevel1X 52 4" xfId="11817" xr:uid="{00000000-0005-0000-0000-000049620000}"/>
    <cellStyle name="SAPBEXHLevel1X 52 5" xfId="14274" xr:uid="{00000000-0005-0000-0000-00004A620000}"/>
    <cellStyle name="SAPBEXHLevel1X 52 6" xfId="16071" xr:uid="{00000000-0005-0000-0000-00004B620000}"/>
    <cellStyle name="SAPBEXHLevel1X 52 7" xfId="18970" xr:uid="{00000000-0005-0000-0000-00004C620000}"/>
    <cellStyle name="SAPBEXHLevel1X 52 8" xfId="20767" xr:uid="{00000000-0005-0000-0000-00004D620000}"/>
    <cellStyle name="SAPBEXHLevel1X 52 9" xfId="23492" xr:uid="{00000000-0005-0000-0000-00004E620000}"/>
    <cellStyle name="SAPBEXHLevel1X 53" xfId="4901" xr:uid="{00000000-0005-0000-0000-00004F620000}"/>
    <cellStyle name="SAPBEXHLevel1X 53 2" xfId="7439" xr:uid="{00000000-0005-0000-0000-000050620000}"/>
    <cellStyle name="SAPBEXHLevel1X 53 3" xfId="9941" xr:uid="{00000000-0005-0000-0000-000051620000}"/>
    <cellStyle name="SAPBEXHLevel1X 53 4" xfId="10282" xr:uid="{00000000-0005-0000-0000-000052620000}"/>
    <cellStyle name="SAPBEXHLevel1X 53 5" xfId="12594" xr:uid="{00000000-0005-0000-0000-000053620000}"/>
    <cellStyle name="SAPBEXHLevel1X 53 6" xfId="15073" xr:uid="{00000000-0005-0000-0000-000054620000}"/>
    <cellStyle name="SAPBEXHLevel1X 53 7" xfId="17290" xr:uid="{00000000-0005-0000-0000-000055620000}"/>
    <cellStyle name="SAPBEXHLevel1X 53 8" xfId="19769" xr:uid="{00000000-0005-0000-0000-000056620000}"/>
    <cellStyle name="SAPBEXHLevel1X 53 9" xfId="21952" xr:uid="{00000000-0005-0000-0000-000057620000}"/>
    <cellStyle name="SAPBEXHLevel1X 54" xfId="5145" xr:uid="{00000000-0005-0000-0000-000058620000}"/>
    <cellStyle name="SAPBEXHLevel1X 54 2" xfId="7683" xr:uid="{00000000-0005-0000-0000-000059620000}"/>
    <cellStyle name="SAPBEXHLevel1X 54 3" xfId="8574" xr:uid="{00000000-0005-0000-0000-00005A620000}"/>
    <cellStyle name="SAPBEXHLevel1X 54 4" xfId="11247" xr:uid="{00000000-0005-0000-0000-00005B620000}"/>
    <cellStyle name="SAPBEXHLevel1X 54 5" xfId="13652" xr:uid="{00000000-0005-0000-0000-00005C620000}"/>
    <cellStyle name="SAPBEXHLevel1X 54 6" xfId="16263" xr:uid="{00000000-0005-0000-0000-00005D620000}"/>
    <cellStyle name="SAPBEXHLevel1X 54 7" xfId="18348" xr:uid="{00000000-0005-0000-0000-00005E620000}"/>
    <cellStyle name="SAPBEXHLevel1X 54 8" xfId="20959" xr:uid="{00000000-0005-0000-0000-00005F620000}"/>
    <cellStyle name="SAPBEXHLevel1X 54 9" xfId="22921" xr:uid="{00000000-0005-0000-0000-000060620000}"/>
    <cellStyle name="SAPBEXHLevel1X 55" xfId="5214" xr:uid="{00000000-0005-0000-0000-000061620000}"/>
    <cellStyle name="SAPBEXHLevel1X 55 2" xfId="7753" xr:uid="{00000000-0005-0000-0000-000062620000}"/>
    <cellStyle name="SAPBEXHLevel1X 55 3" xfId="9924" xr:uid="{00000000-0005-0000-0000-000063620000}"/>
    <cellStyle name="SAPBEXHLevel1X 55 4" xfId="11354" xr:uid="{00000000-0005-0000-0000-000064620000}"/>
    <cellStyle name="SAPBEXHLevel1X 55 5" xfId="13766" xr:uid="{00000000-0005-0000-0000-000065620000}"/>
    <cellStyle name="SAPBEXHLevel1X 55 6" xfId="15384" xr:uid="{00000000-0005-0000-0000-000066620000}"/>
    <cellStyle name="SAPBEXHLevel1X 55 7" xfId="18462" xr:uid="{00000000-0005-0000-0000-000067620000}"/>
    <cellStyle name="SAPBEXHLevel1X 55 8" xfId="20080" xr:uid="{00000000-0005-0000-0000-000068620000}"/>
    <cellStyle name="SAPBEXHLevel1X 55 9" xfId="23028" xr:uid="{00000000-0005-0000-0000-000069620000}"/>
    <cellStyle name="SAPBEXHLevel1X 56" xfId="5252" xr:uid="{00000000-0005-0000-0000-00006A620000}"/>
    <cellStyle name="SAPBEXHLevel1X 56 2" xfId="10195" xr:uid="{00000000-0005-0000-0000-00006B620000}"/>
    <cellStyle name="SAPBEXHLevel1X 56 3" xfId="10923" xr:uid="{00000000-0005-0000-0000-00006C620000}"/>
    <cellStyle name="SAPBEXHLevel1X 56 4" xfId="13293" xr:uid="{00000000-0005-0000-0000-00006D620000}"/>
    <cellStyle name="SAPBEXHLevel1X 56 5" xfId="16213" xr:uid="{00000000-0005-0000-0000-00006E620000}"/>
    <cellStyle name="SAPBEXHLevel1X 56 6" xfId="17989" xr:uid="{00000000-0005-0000-0000-00006F620000}"/>
    <cellStyle name="SAPBEXHLevel1X 56 7" xfId="20909" xr:uid="{00000000-0005-0000-0000-000070620000}"/>
    <cellStyle name="SAPBEXHLevel1X 56 8" xfId="22594" xr:uid="{00000000-0005-0000-0000-000071620000}"/>
    <cellStyle name="SAPBEXHLevel1X 57" xfId="8355" xr:uid="{00000000-0005-0000-0000-000072620000}"/>
    <cellStyle name="SAPBEXHLevel1X 58" xfId="11195" xr:uid="{00000000-0005-0000-0000-000073620000}"/>
    <cellStyle name="SAPBEXHLevel1X 59" xfId="13596" xr:uid="{00000000-0005-0000-0000-000074620000}"/>
    <cellStyle name="SAPBEXHLevel1X 6" xfId="3006" xr:uid="{00000000-0005-0000-0000-000075620000}"/>
    <cellStyle name="SAPBEXHLevel1X 6 2" xfId="5545" xr:uid="{00000000-0005-0000-0000-000076620000}"/>
    <cellStyle name="SAPBEXHLevel1X 6 3" xfId="8417" xr:uid="{00000000-0005-0000-0000-000077620000}"/>
    <cellStyle name="SAPBEXHLevel1X 6 4" xfId="11047" xr:uid="{00000000-0005-0000-0000-000078620000}"/>
    <cellStyle name="SAPBEXHLevel1X 6 5" xfId="13431" xr:uid="{00000000-0005-0000-0000-000079620000}"/>
    <cellStyle name="SAPBEXHLevel1X 6 6" xfId="16050" xr:uid="{00000000-0005-0000-0000-00007A620000}"/>
    <cellStyle name="SAPBEXHLevel1X 6 7" xfId="18127" xr:uid="{00000000-0005-0000-0000-00007B620000}"/>
    <cellStyle name="SAPBEXHLevel1X 6 8" xfId="20746" xr:uid="{00000000-0005-0000-0000-00007C620000}"/>
    <cellStyle name="SAPBEXHLevel1X 6 9" xfId="22720" xr:uid="{00000000-0005-0000-0000-00007D620000}"/>
    <cellStyle name="SAPBEXHLevel1X 60" xfId="16572" xr:uid="{00000000-0005-0000-0000-00007E620000}"/>
    <cellStyle name="SAPBEXHLevel1X 61" xfId="18292" xr:uid="{00000000-0005-0000-0000-00007F620000}"/>
    <cellStyle name="SAPBEXHLevel1X 62" xfId="21268" xr:uid="{00000000-0005-0000-0000-000080620000}"/>
    <cellStyle name="SAPBEXHLevel1X 63" xfId="22870" xr:uid="{00000000-0005-0000-0000-000081620000}"/>
    <cellStyle name="SAPBEXHLevel1X 64" xfId="32671" xr:uid="{99A0FBBF-0749-49E1-B09E-842275AA9A70}"/>
    <cellStyle name="SAPBEXHLevel1X 7" xfId="3019" xr:uid="{00000000-0005-0000-0000-000082620000}"/>
    <cellStyle name="SAPBEXHLevel1X 7 2" xfId="5558" xr:uid="{00000000-0005-0000-0000-000083620000}"/>
    <cellStyle name="SAPBEXHLevel1X 7 3" xfId="9395" xr:uid="{00000000-0005-0000-0000-000084620000}"/>
    <cellStyle name="SAPBEXHLevel1X 7 4" xfId="11139" xr:uid="{00000000-0005-0000-0000-000085620000}"/>
    <cellStyle name="SAPBEXHLevel1X 7 5" xfId="13535" xr:uid="{00000000-0005-0000-0000-000086620000}"/>
    <cellStyle name="SAPBEXHLevel1X 7 6" xfId="16552" xr:uid="{00000000-0005-0000-0000-000087620000}"/>
    <cellStyle name="SAPBEXHLevel1X 7 7" xfId="18231" xr:uid="{00000000-0005-0000-0000-000088620000}"/>
    <cellStyle name="SAPBEXHLevel1X 7 8" xfId="21248" xr:uid="{00000000-0005-0000-0000-000089620000}"/>
    <cellStyle name="SAPBEXHLevel1X 7 9" xfId="22812" xr:uid="{00000000-0005-0000-0000-00008A620000}"/>
    <cellStyle name="SAPBEXHLevel1X 8" xfId="3015" xr:uid="{00000000-0005-0000-0000-00008B620000}"/>
    <cellStyle name="SAPBEXHLevel1X 8 2" xfId="5554" xr:uid="{00000000-0005-0000-0000-00008C620000}"/>
    <cellStyle name="SAPBEXHLevel1X 8 3" xfId="9511" xr:uid="{00000000-0005-0000-0000-00008D620000}"/>
    <cellStyle name="SAPBEXHLevel1X 8 4" xfId="11770" xr:uid="{00000000-0005-0000-0000-00008E620000}"/>
    <cellStyle name="SAPBEXHLevel1X 8 5" xfId="14223" xr:uid="{00000000-0005-0000-0000-00008F620000}"/>
    <cellStyle name="SAPBEXHLevel1X 8 6" xfId="15206" xr:uid="{00000000-0005-0000-0000-000090620000}"/>
    <cellStyle name="SAPBEXHLevel1X 8 7" xfId="18919" xr:uid="{00000000-0005-0000-0000-000091620000}"/>
    <cellStyle name="SAPBEXHLevel1X 8 8" xfId="19902" xr:uid="{00000000-0005-0000-0000-000092620000}"/>
    <cellStyle name="SAPBEXHLevel1X 8 9" xfId="23444" xr:uid="{00000000-0005-0000-0000-000093620000}"/>
    <cellStyle name="SAPBEXHLevel1X 9" xfId="3010" xr:uid="{00000000-0005-0000-0000-000094620000}"/>
    <cellStyle name="SAPBEXHLevel1X 9 2" xfId="5549" xr:uid="{00000000-0005-0000-0000-000095620000}"/>
    <cellStyle name="SAPBEXHLevel1X 9 3" xfId="5423" xr:uid="{00000000-0005-0000-0000-000096620000}"/>
    <cellStyle name="SAPBEXHLevel1X 9 4" xfId="11330" xr:uid="{00000000-0005-0000-0000-000097620000}"/>
    <cellStyle name="SAPBEXHLevel1X 9 5" xfId="13739" xr:uid="{00000000-0005-0000-0000-000098620000}"/>
    <cellStyle name="SAPBEXHLevel1X 9 6" xfId="15435" xr:uid="{00000000-0005-0000-0000-000099620000}"/>
    <cellStyle name="SAPBEXHLevel1X 9 7" xfId="18435" xr:uid="{00000000-0005-0000-0000-00009A620000}"/>
    <cellStyle name="SAPBEXHLevel1X 9 8" xfId="20131" xr:uid="{00000000-0005-0000-0000-00009B620000}"/>
    <cellStyle name="SAPBEXHLevel1X 9 9" xfId="23004" xr:uid="{00000000-0005-0000-0000-00009C620000}"/>
    <cellStyle name="SAPBEXHLevel2" xfId="2965" xr:uid="{00000000-0005-0000-0000-00009D620000}"/>
    <cellStyle name="SAPBEXHLevel2 10" xfId="3326" xr:uid="{00000000-0005-0000-0000-00009E620000}"/>
    <cellStyle name="SAPBEXHLevel2 10 2" xfId="5864" xr:uid="{00000000-0005-0000-0000-00009F620000}"/>
    <cellStyle name="SAPBEXHLevel2 10 3" xfId="9655" xr:uid="{00000000-0005-0000-0000-0000A0620000}"/>
    <cellStyle name="SAPBEXHLevel2 10 4" xfId="11743" xr:uid="{00000000-0005-0000-0000-0000A1620000}"/>
    <cellStyle name="SAPBEXHLevel2 10 5" xfId="13847" xr:uid="{00000000-0005-0000-0000-0000A2620000}"/>
    <cellStyle name="SAPBEXHLevel2 10 6" xfId="14986" xr:uid="{00000000-0005-0000-0000-0000A3620000}"/>
    <cellStyle name="SAPBEXHLevel2 10 7" xfId="18543" xr:uid="{00000000-0005-0000-0000-0000A4620000}"/>
    <cellStyle name="SAPBEXHLevel2 10 8" xfId="19682" xr:uid="{00000000-0005-0000-0000-0000A5620000}"/>
    <cellStyle name="SAPBEXHLevel2 10 9" xfId="23104" xr:uid="{00000000-0005-0000-0000-0000A6620000}"/>
    <cellStyle name="SAPBEXHLevel2 11" xfId="3461" xr:uid="{00000000-0005-0000-0000-0000A7620000}"/>
    <cellStyle name="SAPBEXHLevel2 11 2" xfId="5999" xr:uid="{00000000-0005-0000-0000-0000A8620000}"/>
    <cellStyle name="SAPBEXHLevel2 11 2 2" xfId="25935" xr:uid="{00000000-0005-0000-0000-0000A9620000}"/>
    <cellStyle name="SAPBEXHLevel2 11 3" xfId="9949" xr:uid="{00000000-0005-0000-0000-0000AA620000}"/>
    <cellStyle name="SAPBEXHLevel2 11 4" xfId="10277" xr:uid="{00000000-0005-0000-0000-0000AB620000}"/>
    <cellStyle name="SAPBEXHLevel2 11 5" xfId="12587" xr:uid="{00000000-0005-0000-0000-0000AC620000}"/>
    <cellStyle name="SAPBEXHLevel2 11 6" xfId="16993" xr:uid="{00000000-0005-0000-0000-0000AD620000}"/>
    <cellStyle name="SAPBEXHLevel2 11 7" xfId="17283" xr:uid="{00000000-0005-0000-0000-0000AE620000}"/>
    <cellStyle name="SAPBEXHLevel2 11 8" xfId="21689" xr:uid="{00000000-0005-0000-0000-0000AF620000}"/>
    <cellStyle name="SAPBEXHLevel2 11 9" xfId="21946" xr:uid="{00000000-0005-0000-0000-0000B0620000}"/>
    <cellStyle name="SAPBEXHLevel2 12" xfId="3476" xr:uid="{00000000-0005-0000-0000-0000B1620000}"/>
    <cellStyle name="SAPBEXHLevel2 12 2" xfId="6014" xr:uid="{00000000-0005-0000-0000-0000B2620000}"/>
    <cellStyle name="SAPBEXHLevel2 12 2 2" xfId="25936" xr:uid="{00000000-0005-0000-0000-0000B3620000}"/>
    <cellStyle name="SAPBEXHLevel2 12 3" xfId="8723" xr:uid="{00000000-0005-0000-0000-0000B4620000}"/>
    <cellStyle name="SAPBEXHLevel2 12 4" xfId="11197" xr:uid="{00000000-0005-0000-0000-0000B5620000}"/>
    <cellStyle name="SAPBEXHLevel2 12 5" xfId="13598" xr:uid="{00000000-0005-0000-0000-0000B6620000}"/>
    <cellStyle name="SAPBEXHLevel2 12 6" xfId="16839" xr:uid="{00000000-0005-0000-0000-0000B7620000}"/>
    <cellStyle name="SAPBEXHLevel2 12 7" xfId="18294" xr:uid="{00000000-0005-0000-0000-0000B8620000}"/>
    <cellStyle name="SAPBEXHLevel2 12 8" xfId="21535" xr:uid="{00000000-0005-0000-0000-0000B9620000}"/>
    <cellStyle name="SAPBEXHLevel2 12 9" xfId="22872" xr:uid="{00000000-0005-0000-0000-0000BA620000}"/>
    <cellStyle name="SAPBEXHLevel2 13" xfId="3137" xr:uid="{00000000-0005-0000-0000-0000BB620000}"/>
    <cellStyle name="SAPBEXHLevel2 13 2" xfId="5675" xr:uid="{00000000-0005-0000-0000-0000BC620000}"/>
    <cellStyle name="SAPBEXHLevel2 13 3" xfId="7998" xr:uid="{00000000-0005-0000-0000-0000BD620000}"/>
    <cellStyle name="SAPBEXHLevel2 13 4" xfId="12277" xr:uid="{00000000-0005-0000-0000-0000BE620000}"/>
    <cellStyle name="SAPBEXHLevel2 13 5" xfId="13364" xr:uid="{00000000-0005-0000-0000-0000BF620000}"/>
    <cellStyle name="SAPBEXHLevel2 13 6" xfId="15245" xr:uid="{00000000-0005-0000-0000-0000C0620000}"/>
    <cellStyle name="SAPBEXHLevel2 13 7" xfId="18060" xr:uid="{00000000-0005-0000-0000-0000C1620000}"/>
    <cellStyle name="SAPBEXHLevel2 13 8" xfId="19941" xr:uid="{00000000-0005-0000-0000-0000C2620000}"/>
    <cellStyle name="SAPBEXHLevel2 13 9" xfId="22663" xr:uid="{00000000-0005-0000-0000-0000C3620000}"/>
    <cellStyle name="SAPBEXHLevel2 14" xfId="3556" xr:uid="{00000000-0005-0000-0000-0000C4620000}"/>
    <cellStyle name="SAPBEXHLevel2 14 2" xfId="6094" xr:uid="{00000000-0005-0000-0000-0000C5620000}"/>
    <cellStyle name="SAPBEXHLevel2 14 3" xfId="9893" xr:uid="{00000000-0005-0000-0000-0000C6620000}"/>
    <cellStyle name="SAPBEXHLevel2 14 4" xfId="11883" xr:uid="{00000000-0005-0000-0000-0000C7620000}"/>
    <cellStyle name="SAPBEXHLevel2 14 5" xfId="14349" xr:uid="{00000000-0005-0000-0000-0000C8620000}"/>
    <cellStyle name="SAPBEXHLevel2 14 6" xfId="14332" xr:uid="{00000000-0005-0000-0000-0000C9620000}"/>
    <cellStyle name="SAPBEXHLevel2 14 7" xfId="19045" xr:uid="{00000000-0005-0000-0000-0000CA620000}"/>
    <cellStyle name="SAPBEXHLevel2 14 8" xfId="19028" xr:uid="{00000000-0005-0000-0000-0000CB620000}"/>
    <cellStyle name="SAPBEXHLevel2 14 9" xfId="23559" xr:uid="{00000000-0005-0000-0000-0000CC620000}"/>
    <cellStyle name="SAPBEXHLevel2 15" xfId="3672" xr:uid="{00000000-0005-0000-0000-0000CD620000}"/>
    <cellStyle name="SAPBEXHLevel2 15 2" xfId="6210" xr:uid="{00000000-0005-0000-0000-0000CE620000}"/>
    <cellStyle name="SAPBEXHLevel2 15 3" xfId="8701" xr:uid="{00000000-0005-0000-0000-0000CF620000}"/>
    <cellStyle name="SAPBEXHLevel2 15 4" xfId="12301" xr:uid="{00000000-0005-0000-0000-0000D0620000}"/>
    <cellStyle name="SAPBEXHLevel2 15 5" xfId="12358" xr:uid="{00000000-0005-0000-0000-0000D1620000}"/>
    <cellStyle name="SAPBEXHLevel2 15 6" xfId="15581" xr:uid="{00000000-0005-0000-0000-0000D2620000}"/>
    <cellStyle name="SAPBEXHLevel2 15 7" xfId="17054" xr:uid="{00000000-0005-0000-0000-0000D3620000}"/>
    <cellStyle name="SAPBEXHLevel2 15 8" xfId="20277" xr:uid="{00000000-0005-0000-0000-0000D4620000}"/>
    <cellStyle name="SAPBEXHLevel2 15 9" xfId="21745" xr:uid="{00000000-0005-0000-0000-0000D5620000}"/>
    <cellStyle name="SAPBEXHLevel2 16" xfId="3734" xr:uid="{00000000-0005-0000-0000-0000D6620000}"/>
    <cellStyle name="SAPBEXHLevel2 16 2" xfId="6272" xr:uid="{00000000-0005-0000-0000-0000D7620000}"/>
    <cellStyle name="SAPBEXHLevel2 16 3" xfId="9636" xr:uid="{00000000-0005-0000-0000-0000D8620000}"/>
    <cellStyle name="SAPBEXHLevel2 16 4" xfId="11040" xr:uid="{00000000-0005-0000-0000-0000D9620000}"/>
    <cellStyle name="SAPBEXHLevel2 16 5" xfId="13424" xr:uid="{00000000-0005-0000-0000-0000DA620000}"/>
    <cellStyle name="SAPBEXHLevel2 16 6" xfId="15624" xr:uid="{00000000-0005-0000-0000-0000DB620000}"/>
    <cellStyle name="SAPBEXHLevel2 16 7" xfId="18120" xr:uid="{00000000-0005-0000-0000-0000DC620000}"/>
    <cellStyle name="SAPBEXHLevel2 16 8" xfId="20320" xr:uid="{00000000-0005-0000-0000-0000DD620000}"/>
    <cellStyle name="SAPBEXHLevel2 16 9" xfId="22713" xr:uid="{00000000-0005-0000-0000-0000DE620000}"/>
    <cellStyle name="SAPBEXHLevel2 17" xfId="3669" xr:uid="{00000000-0005-0000-0000-0000DF620000}"/>
    <cellStyle name="SAPBEXHLevel2 17 2" xfId="6207" xr:uid="{00000000-0005-0000-0000-0000E0620000}"/>
    <cellStyle name="SAPBEXHLevel2 17 3" xfId="8844" xr:uid="{00000000-0005-0000-0000-0000E1620000}"/>
    <cellStyle name="SAPBEXHLevel2 17 4" xfId="5495" xr:uid="{00000000-0005-0000-0000-0000E2620000}"/>
    <cellStyle name="SAPBEXHLevel2 17 5" xfId="12532" xr:uid="{00000000-0005-0000-0000-0000E3620000}"/>
    <cellStyle name="SAPBEXHLevel2 17 6" xfId="16566" xr:uid="{00000000-0005-0000-0000-0000E4620000}"/>
    <cellStyle name="SAPBEXHLevel2 17 7" xfId="17228" xr:uid="{00000000-0005-0000-0000-0000E5620000}"/>
    <cellStyle name="SAPBEXHLevel2 17 8" xfId="21262" xr:uid="{00000000-0005-0000-0000-0000E6620000}"/>
    <cellStyle name="SAPBEXHLevel2 17 9" xfId="21896" xr:uid="{00000000-0005-0000-0000-0000E7620000}"/>
    <cellStyle name="SAPBEXHLevel2 18" xfId="3846" xr:uid="{00000000-0005-0000-0000-0000E8620000}"/>
    <cellStyle name="SAPBEXHLevel2 18 2" xfId="6384" xr:uid="{00000000-0005-0000-0000-0000E9620000}"/>
    <cellStyle name="SAPBEXHLevel2 18 3" xfId="8213" xr:uid="{00000000-0005-0000-0000-0000EA620000}"/>
    <cellStyle name="SAPBEXHLevel2 18 4" xfId="11366" xr:uid="{00000000-0005-0000-0000-0000EB620000}"/>
    <cellStyle name="SAPBEXHLevel2 18 5" xfId="13779" xr:uid="{00000000-0005-0000-0000-0000EC620000}"/>
    <cellStyle name="SAPBEXHLevel2 18 6" xfId="16714" xr:uid="{00000000-0005-0000-0000-0000ED620000}"/>
    <cellStyle name="SAPBEXHLevel2 18 7" xfId="18475" xr:uid="{00000000-0005-0000-0000-0000EE620000}"/>
    <cellStyle name="SAPBEXHLevel2 18 8" xfId="21410" xr:uid="{00000000-0005-0000-0000-0000EF620000}"/>
    <cellStyle name="SAPBEXHLevel2 18 9" xfId="23040" xr:uid="{00000000-0005-0000-0000-0000F0620000}"/>
    <cellStyle name="SAPBEXHLevel2 19" xfId="3775" xr:uid="{00000000-0005-0000-0000-0000F1620000}"/>
    <cellStyle name="SAPBEXHLevel2 19 2" xfId="6313" xr:uid="{00000000-0005-0000-0000-0000F2620000}"/>
    <cellStyle name="SAPBEXHLevel2 19 3" xfId="9523" xr:uid="{00000000-0005-0000-0000-0000F3620000}"/>
    <cellStyle name="SAPBEXHLevel2 19 4" xfId="12008" xr:uid="{00000000-0005-0000-0000-0000F4620000}"/>
    <cellStyle name="SAPBEXHLevel2 19 5" xfId="14488" xr:uid="{00000000-0005-0000-0000-0000F5620000}"/>
    <cellStyle name="SAPBEXHLevel2 19 6" xfId="15305" xr:uid="{00000000-0005-0000-0000-0000F6620000}"/>
    <cellStyle name="SAPBEXHLevel2 19 7" xfId="19184" xr:uid="{00000000-0005-0000-0000-0000F7620000}"/>
    <cellStyle name="SAPBEXHLevel2 19 8" xfId="20001" xr:uid="{00000000-0005-0000-0000-0000F8620000}"/>
    <cellStyle name="SAPBEXHLevel2 19 9" xfId="23683" xr:uid="{00000000-0005-0000-0000-0000F9620000}"/>
    <cellStyle name="SAPBEXHLevel2 2" xfId="3084" xr:uid="{00000000-0005-0000-0000-0000FA620000}"/>
    <cellStyle name="SAPBEXHLevel2 2 10" xfId="32760" xr:uid="{0574C751-AA1D-4229-AA69-2D2D6BB42E51}"/>
    <cellStyle name="SAPBEXHLevel2 2 2" xfId="5622" xr:uid="{00000000-0005-0000-0000-0000FB620000}"/>
    <cellStyle name="SAPBEXHLevel2 2 2 2" xfId="42057" xr:uid="{7220052B-9C4E-400B-91D7-2C40DBD23FC7}"/>
    <cellStyle name="SAPBEXHLevel2 2 3" xfId="9294" xr:uid="{00000000-0005-0000-0000-0000FC620000}"/>
    <cellStyle name="SAPBEXHLevel2 2 4" xfId="12225" xr:uid="{00000000-0005-0000-0000-0000FD620000}"/>
    <cellStyle name="SAPBEXHLevel2 2 5" xfId="14813" xr:uid="{00000000-0005-0000-0000-0000FE620000}"/>
    <cellStyle name="SAPBEXHLevel2 2 6" xfId="15419" xr:uid="{00000000-0005-0000-0000-0000FF620000}"/>
    <cellStyle name="SAPBEXHLevel2 2 7" xfId="19509" xr:uid="{00000000-0005-0000-0000-000000630000}"/>
    <cellStyle name="SAPBEXHLevel2 2 8" xfId="20115" xr:uid="{00000000-0005-0000-0000-000001630000}"/>
    <cellStyle name="SAPBEXHLevel2 2 9" xfId="23997" xr:uid="{00000000-0005-0000-0000-000002630000}"/>
    <cellStyle name="SAPBEXHLevel2 20" xfId="3887" xr:uid="{00000000-0005-0000-0000-000003630000}"/>
    <cellStyle name="SAPBEXHLevel2 20 2" xfId="6425" xr:uid="{00000000-0005-0000-0000-000004630000}"/>
    <cellStyle name="SAPBEXHLevel2 20 3" xfId="8087" xr:uid="{00000000-0005-0000-0000-000005630000}"/>
    <cellStyle name="SAPBEXHLevel2 20 4" xfId="11339" xr:uid="{00000000-0005-0000-0000-000006630000}"/>
    <cellStyle name="SAPBEXHLevel2 20 5" xfId="13749" xr:uid="{00000000-0005-0000-0000-000007630000}"/>
    <cellStyle name="SAPBEXHLevel2 20 6" xfId="15944" xr:uid="{00000000-0005-0000-0000-000008630000}"/>
    <cellStyle name="SAPBEXHLevel2 20 7" xfId="18445" xr:uid="{00000000-0005-0000-0000-000009630000}"/>
    <cellStyle name="SAPBEXHLevel2 20 8" xfId="20640" xr:uid="{00000000-0005-0000-0000-00000A630000}"/>
    <cellStyle name="SAPBEXHLevel2 20 9" xfId="23013" xr:uid="{00000000-0005-0000-0000-00000B630000}"/>
    <cellStyle name="SAPBEXHLevel2 21" xfId="3994" xr:uid="{00000000-0005-0000-0000-00000C630000}"/>
    <cellStyle name="SAPBEXHLevel2 21 2" xfId="6532" xr:uid="{00000000-0005-0000-0000-00000D630000}"/>
    <cellStyle name="SAPBEXHLevel2 21 3" xfId="5437" xr:uid="{00000000-0005-0000-0000-00000E630000}"/>
    <cellStyle name="SAPBEXHLevel2 21 4" xfId="10323" xr:uid="{00000000-0005-0000-0000-00000F630000}"/>
    <cellStyle name="SAPBEXHLevel2 21 5" xfId="12640" xr:uid="{00000000-0005-0000-0000-000010630000}"/>
    <cellStyle name="SAPBEXHLevel2 21 6" xfId="15580" xr:uid="{00000000-0005-0000-0000-000011630000}"/>
    <cellStyle name="SAPBEXHLevel2 21 7" xfId="17336" xr:uid="{00000000-0005-0000-0000-000012630000}"/>
    <cellStyle name="SAPBEXHLevel2 21 8" xfId="20276" xr:uid="{00000000-0005-0000-0000-000013630000}"/>
    <cellStyle name="SAPBEXHLevel2 21 9" xfId="21994" xr:uid="{00000000-0005-0000-0000-000014630000}"/>
    <cellStyle name="SAPBEXHLevel2 22" xfId="4041" xr:uid="{00000000-0005-0000-0000-000015630000}"/>
    <cellStyle name="SAPBEXHLevel2 22 2" xfId="6579" xr:uid="{00000000-0005-0000-0000-000016630000}"/>
    <cellStyle name="SAPBEXHLevel2 22 3" xfId="9456" xr:uid="{00000000-0005-0000-0000-000017630000}"/>
    <cellStyle name="SAPBEXHLevel2 22 4" xfId="10819" xr:uid="{00000000-0005-0000-0000-000018630000}"/>
    <cellStyle name="SAPBEXHLevel2 22 5" xfId="13182" xr:uid="{00000000-0005-0000-0000-000019630000}"/>
    <cellStyle name="SAPBEXHLevel2 22 6" xfId="15034" xr:uid="{00000000-0005-0000-0000-00001A630000}"/>
    <cellStyle name="SAPBEXHLevel2 22 7" xfId="17878" xr:uid="{00000000-0005-0000-0000-00001B630000}"/>
    <cellStyle name="SAPBEXHLevel2 22 8" xfId="19730" xr:uid="{00000000-0005-0000-0000-00001C630000}"/>
    <cellStyle name="SAPBEXHLevel2 22 9" xfId="22490" xr:uid="{00000000-0005-0000-0000-00001D630000}"/>
    <cellStyle name="SAPBEXHLevel2 23" xfId="4059" xr:uid="{00000000-0005-0000-0000-00001E630000}"/>
    <cellStyle name="SAPBEXHLevel2 23 2" xfId="6597" xr:uid="{00000000-0005-0000-0000-00001F630000}"/>
    <cellStyle name="SAPBEXHLevel2 23 3" xfId="8020" xr:uid="{00000000-0005-0000-0000-000020630000}"/>
    <cellStyle name="SAPBEXHLevel2 23 4" xfId="9336" xr:uid="{00000000-0005-0000-0000-000021630000}"/>
    <cellStyle name="SAPBEXHLevel2 23 5" xfId="12392" xr:uid="{00000000-0005-0000-0000-000022630000}"/>
    <cellStyle name="SAPBEXHLevel2 23 6" xfId="16134" xr:uid="{00000000-0005-0000-0000-000023630000}"/>
    <cellStyle name="SAPBEXHLevel2 23 7" xfId="17088" xr:uid="{00000000-0005-0000-0000-000024630000}"/>
    <cellStyle name="SAPBEXHLevel2 23 8" xfId="20830" xr:uid="{00000000-0005-0000-0000-000025630000}"/>
    <cellStyle name="SAPBEXHLevel2 23 9" xfId="21777" xr:uid="{00000000-0005-0000-0000-000026630000}"/>
    <cellStyle name="SAPBEXHLevel2 24" xfId="4016" xr:uid="{00000000-0005-0000-0000-000027630000}"/>
    <cellStyle name="SAPBEXHLevel2 24 2" xfId="6554" xr:uid="{00000000-0005-0000-0000-000028630000}"/>
    <cellStyle name="SAPBEXHLevel2 24 3" xfId="9123" xr:uid="{00000000-0005-0000-0000-000029630000}"/>
    <cellStyle name="SAPBEXHLevel2 24 4" xfId="10355" xr:uid="{00000000-0005-0000-0000-00002A630000}"/>
    <cellStyle name="SAPBEXHLevel2 24 5" xfId="12677" xr:uid="{00000000-0005-0000-0000-00002B630000}"/>
    <cellStyle name="SAPBEXHLevel2 24 6" xfId="16508" xr:uid="{00000000-0005-0000-0000-00002C630000}"/>
    <cellStyle name="SAPBEXHLevel2 24 7" xfId="17373" xr:uid="{00000000-0005-0000-0000-00002D630000}"/>
    <cellStyle name="SAPBEXHLevel2 24 8" xfId="21204" xr:uid="{00000000-0005-0000-0000-00002E630000}"/>
    <cellStyle name="SAPBEXHLevel2 24 9" xfId="22026" xr:uid="{00000000-0005-0000-0000-00002F630000}"/>
    <cellStyle name="SAPBEXHLevel2 25" xfId="4089" xr:uid="{00000000-0005-0000-0000-000030630000}"/>
    <cellStyle name="SAPBEXHLevel2 25 2" xfId="6627" xr:uid="{00000000-0005-0000-0000-000031630000}"/>
    <cellStyle name="SAPBEXHLevel2 25 3" xfId="8289" xr:uid="{00000000-0005-0000-0000-000032630000}"/>
    <cellStyle name="SAPBEXHLevel2 25 4" xfId="11707" xr:uid="{00000000-0005-0000-0000-000033630000}"/>
    <cellStyle name="SAPBEXHLevel2 25 5" xfId="14156" xr:uid="{00000000-0005-0000-0000-000034630000}"/>
    <cellStyle name="SAPBEXHLevel2 25 6" xfId="16592" xr:uid="{00000000-0005-0000-0000-000035630000}"/>
    <cellStyle name="SAPBEXHLevel2 25 7" xfId="18852" xr:uid="{00000000-0005-0000-0000-000036630000}"/>
    <cellStyle name="SAPBEXHLevel2 25 8" xfId="21288" xr:uid="{00000000-0005-0000-0000-000037630000}"/>
    <cellStyle name="SAPBEXHLevel2 25 9" xfId="23381" xr:uid="{00000000-0005-0000-0000-000038630000}"/>
    <cellStyle name="SAPBEXHLevel2 26" xfId="4062" xr:uid="{00000000-0005-0000-0000-000039630000}"/>
    <cellStyle name="SAPBEXHLevel2 26 2" xfId="6600" xr:uid="{00000000-0005-0000-0000-00003A630000}"/>
    <cellStyle name="SAPBEXHLevel2 26 3" xfId="9498" xr:uid="{00000000-0005-0000-0000-00003B630000}"/>
    <cellStyle name="SAPBEXHLevel2 26 4" xfId="11917" xr:uid="{00000000-0005-0000-0000-00003C630000}"/>
    <cellStyle name="SAPBEXHLevel2 26 5" xfId="14389" xr:uid="{00000000-0005-0000-0000-00003D630000}"/>
    <cellStyle name="SAPBEXHLevel2 26 6" xfId="16922" xr:uid="{00000000-0005-0000-0000-00003E630000}"/>
    <cellStyle name="SAPBEXHLevel2 26 7" xfId="19085" xr:uid="{00000000-0005-0000-0000-00003F630000}"/>
    <cellStyle name="SAPBEXHLevel2 26 8" xfId="21618" xr:uid="{00000000-0005-0000-0000-000040630000}"/>
    <cellStyle name="SAPBEXHLevel2 26 9" xfId="23592" xr:uid="{00000000-0005-0000-0000-000041630000}"/>
    <cellStyle name="SAPBEXHLevel2 27" xfId="4161" xr:uid="{00000000-0005-0000-0000-000042630000}"/>
    <cellStyle name="SAPBEXHLevel2 27 2" xfId="6699" xr:uid="{00000000-0005-0000-0000-000043630000}"/>
    <cellStyle name="SAPBEXHLevel2 27 3" xfId="8302" xr:uid="{00000000-0005-0000-0000-000044630000}"/>
    <cellStyle name="SAPBEXHLevel2 27 4" xfId="10528" xr:uid="{00000000-0005-0000-0000-000045630000}"/>
    <cellStyle name="SAPBEXHLevel2 27 5" xfId="12869" xr:uid="{00000000-0005-0000-0000-000046630000}"/>
    <cellStyle name="SAPBEXHLevel2 27 6" xfId="15859" xr:uid="{00000000-0005-0000-0000-000047630000}"/>
    <cellStyle name="SAPBEXHLevel2 27 7" xfId="17565" xr:uid="{00000000-0005-0000-0000-000048630000}"/>
    <cellStyle name="SAPBEXHLevel2 27 8" xfId="20555" xr:uid="{00000000-0005-0000-0000-000049630000}"/>
    <cellStyle name="SAPBEXHLevel2 27 9" xfId="22199" xr:uid="{00000000-0005-0000-0000-00004A630000}"/>
    <cellStyle name="SAPBEXHLevel2 28" xfId="4065" xr:uid="{00000000-0005-0000-0000-00004B630000}"/>
    <cellStyle name="SAPBEXHLevel2 28 2" xfId="6603" xr:uid="{00000000-0005-0000-0000-00004C630000}"/>
    <cellStyle name="SAPBEXHLevel2 28 3" xfId="9828" xr:uid="{00000000-0005-0000-0000-00004D630000}"/>
    <cellStyle name="SAPBEXHLevel2 28 4" xfId="5527" xr:uid="{00000000-0005-0000-0000-00004E630000}"/>
    <cellStyle name="SAPBEXHLevel2 28 5" xfId="12427" xr:uid="{00000000-0005-0000-0000-00004F630000}"/>
    <cellStyle name="SAPBEXHLevel2 28 6" xfId="15885" xr:uid="{00000000-0005-0000-0000-000050630000}"/>
    <cellStyle name="SAPBEXHLevel2 28 7" xfId="17123" xr:uid="{00000000-0005-0000-0000-000051630000}"/>
    <cellStyle name="SAPBEXHLevel2 28 8" xfId="20581" xr:uid="{00000000-0005-0000-0000-000052630000}"/>
    <cellStyle name="SAPBEXHLevel2 28 9" xfId="21807" xr:uid="{00000000-0005-0000-0000-000053630000}"/>
    <cellStyle name="SAPBEXHLevel2 29" xfId="4251" xr:uid="{00000000-0005-0000-0000-000054630000}"/>
    <cellStyle name="SAPBEXHLevel2 29 2" xfId="6789" xr:uid="{00000000-0005-0000-0000-000055630000}"/>
    <cellStyle name="SAPBEXHLevel2 29 3" xfId="9916" xr:uid="{00000000-0005-0000-0000-000056630000}"/>
    <cellStyle name="SAPBEXHLevel2 29 4" xfId="11958" xr:uid="{00000000-0005-0000-0000-000057630000}"/>
    <cellStyle name="SAPBEXHLevel2 29 5" xfId="14434" xr:uid="{00000000-0005-0000-0000-000058630000}"/>
    <cellStyle name="SAPBEXHLevel2 29 6" xfId="16875" xr:uid="{00000000-0005-0000-0000-000059630000}"/>
    <cellStyle name="SAPBEXHLevel2 29 7" xfId="19130" xr:uid="{00000000-0005-0000-0000-00005A630000}"/>
    <cellStyle name="SAPBEXHLevel2 29 8" xfId="21571" xr:uid="{00000000-0005-0000-0000-00005B630000}"/>
    <cellStyle name="SAPBEXHLevel2 29 9" xfId="23633" xr:uid="{00000000-0005-0000-0000-00005C630000}"/>
    <cellStyle name="SAPBEXHLevel2 3" xfId="3130" xr:uid="{00000000-0005-0000-0000-00005D630000}"/>
    <cellStyle name="SAPBEXHLevel2 3 10" xfId="42129" xr:uid="{0CBE3058-E76C-4467-B6B3-EE4F365FAD22}"/>
    <cellStyle name="SAPBEXHLevel2 3 2" xfId="5668" xr:uid="{00000000-0005-0000-0000-00005E630000}"/>
    <cellStyle name="SAPBEXHLevel2 3 3" xfId="8402" xr:uid="{00000000-0005-0000-0000-00005F630000}"/>
    <cellStyle name="SAPBEXHLevel2 3 4" xfId="9534" xr:uid="{00000000-0005-0000-0000-000060630000}"/>
    <cellStyle name="SAPBEXHLevel2 3 5" xfId="14950" xr:uid="{00000000-0005-0000-0000-000061630000}"/>
    <cellStyle name="SAPBEXHLevel2 3 6" xfId="16430" xr:uid="{00000000-0005-0000-0000-000062630000}"/>
    <cellStyle name="SAPBEXHLevel2 3 7" xfId="19646" xr:uid="{00000000-0005-0000-0000-000063630000}"/>
    <cellStyle name="SAPBEXHLevel2 3 8" xfId="21126" xr:uid="{00000000-0005-0000-0000-000064630000}"/>
    <cellStyle name="SAPBEXHLevel2 3 9" xfId="24112" xr:uid="{00000000-0005-0000-0000-000065630000}"/>
    <cellStyle name="SAPBEXHLevel2 30" xfId="4294" xr:uid="{00000000-0005-0000-0000-000066630000}"/>
    <cellStyle name="SAPBEXHLevel2 30 2" xfId="6832" xr:uid="{00000000-0005-0000-0000-000067630000}"/>
    <cellStyle name="SAPBEXHLevel2 30 3" xfId="7718" xr:uid="{00000000-0005-0000-0000-000068630000}"/>
    <cellStyle name="SAPBEXHLevel2 30 4" xfId="9699" xr:uid="{00000000-0005-0000-0000-000069630000}"/>
    <cellStyle name="SAPBEXHLevel2 30 5" xfId="14604" xr:uid="{00000000-0005-0000-0000-00006A630000}"/>
    <cellStyle name="SAPBEXHLevel2 30 6" xfId="16988" xr:uid="{00000000-0005-0000-0000-00006B630000}"/>
    <cellStyle name="SAPBEXHLevel2 30 7" xfId="19300" xr:uid="{00000000-0005-0000-0000-00006C630000}"/>
    <cellStyle name="SAPBEXHLevel2 30 8" xfId="21684" xr:uid="{00000000-0005-0000-0000-00006D630000}"/>
    <cellStyle name="SAPBEXHLevel2 30 9" xfId="23796" xr:uid="{00000000-0005-0000-0000-00006E630000}"/>
    <cellStyle name="SAPBEXHLevel2 31" xfId="4337" xr:uid="{00000000-0005-0000-0000-00006F630000}"/>
    <cellStyle name="SAPBEXHLevel2 31 2" xfId="6875" xr:uid="{00000000-0005-0000-0000-000070630000}"/>
    <cellStyle name="SAPBEXHLevel2 31 3" xfId="9677" xr:uid="{00000000-0005-0000-0000-000071630000}"/>
    <cellStyle name="SAPBEXHLevel2 31 4" xfId="11145" xr:uid="{00000000-0005-0000-0000-000072630000}"/>
    <cellStyle name="SAPBEXHLevel2 31 5" xfId="13228" xr:uid="{00000000-0005-0000-0000-000073630000}"/>
    <cellStyle name="SAPBEXHLevel2 31 6" xfId="15193" xr:uid="{00000000-0005-0000-0000-000074630000}"/>
    <cellStyle name="SAPBEXHLevel2 31 7" xfId="17924" xr:uid="{00000000-0005-0000-0000-000075630000}"/>
    <cellStyle name="SAPBEXHLevel2 31 8" xfId="19889" xr:uid="{00000000-0005-0000-0000-000076630000}"/>
    <cellStyle name="SAPBEXHLevel2 31 9" xfId="22534" xr:uid="{00000000-0005-0000-0000-000077630000}"/>
    <cellStyle name="SAPBEXHLevel2 32" xfId="4470" xr:uid="{00000000-0005-0000-0000-000078630000}"/>
    <cellStyle name="SAPBEXHLevel2 32 2" xfId="7008" xr:uid="{00000000-0005-0000-0000-000079630000}"/>
    <cellStyle name="SAPBEXHLevel2 32 3" xfId="9397" xr:uid="{00000000-0005-0000-0000-00007A630000}"/>
    <cellStyle name="SAPBEXHLevel2 32 4" xfId="10371" xr:uid="{00000000-0005-0000-0000-00007B630000}"/>
    <cellStyle name="SAPBEXHLevel2 32 5" xfId="12693" xr:uid="{00000000-0005-0000-0000-00007C630000}"/>
    <cellStyle name="SAPBEXHLevel2 32 6" xfId="15115" xr:uid="{00000000-0005-0000-0000-00007D630000}"/>
    <cellStyle name="SAPBEXHLevel2 32 7" xfId="17389" xr:uid="{00000000-0005-0000-0000-00007E630000}"/>
    <cellStyle name="SAPBEXHLevel2 32 8" xfId="19811" xr:uid="{00000000-0005-0000-0000-00007F630000}"/>
    <cellStyle name="SAPBEXHLevel2 32 9" xfId="22042" xr:uid="{00000000-0005-0000-0000-000080630000}"/>
    <cellStyle name="SAPBEXHLevel2 33" xfId="4488" xr:uid="{00000000-0005-0000-0000-000081630000}"/>
    <cellStyle name="SAPBEXHLevel2 33 2" xfId="7026" xr:uid="{00000000-0005-0000-0000-000082630000}"/>
    <cellStyle name="SAPBEXHLevel2 33 3" xfId="9593" xr:uid="{00000000-0005-0000-0000-000083630000}"/>
    <cellStyle name="SAPBEXHLevel2 33 4" xfId="10290" xr:uid="{00000000-0005-0000-0000-000084630000}"/>
    <cellStyle name="SAPBEXHLevel2 33 5" xfId="12603" xr:uid="{00000000-0005-0000-0000-000085630000}"/>
    <cellStyle name="SAPBEXHLevel2 33 6" xfId="16423" xr:uid="{00000000-0005-0000-0000-000086630000}"/>
    <cellStyle name="SAPBEXHLevel2 33 7" xfId="17299" xr:uid="{00000000-0005-0000-0000-000087630000}"/>
    <cellStyle name="SAPBEXHLevel2 33 8" xfId="21119" xr:uid="{00000000-0005-0000-0000-000088630000}"/>
    <cellStyle name="SAPBEXHLevel2 33 9" xfId="21960" xr:uid="{00000000-0005-0000-0000-000089630000}"/>
    <cellStyle name="SAPBEXHLevel2 34" xfId="4571" xr:uid="{00000000-0005-0000-0000-00008A630000}"/>
    <cellStyle name="SAPBEXHLevel2 34 2" xfId="7109" xr:uid="{00000000-0005-0000-0000-00008B630000}"/>
    <cellStyle name="SAPBEXHLevel2 34 3" xfId="8184" xr:uid="{00000000-0005-0000-0000-00008C630000}"/>
    <cellStyle name="SAPBEXHLevel2 34 4" xfId="11561" xr:uid="{00000000-0005-0000-0000-00008D630000}"/>
    <cellStyle name="SAPBEXHLevel2 34 5" xfId="13996" xr:uid="{00000000-0005-0000-0000-00008E630000}"/>
    <cellStyle name="SAPBEXHLevel2 34 6" xfId="15739" xr:uid="{00000000-0005-0000-0000-00008F630000}"/>
    <cellStyle name="SAPBEXHLevel2 34 7" xfId="18692" xr:uid="{00000000-0005-0000-0000-000090630000}"/>
    <cellStyle name="SAPBEXHLevel2 34 8" xfId="20435" xr:uid="{00000000-0005-0000-0000-000091630000}"/>
    <cellStyle name="SAPBEXHLevel2 34 9" xfId="23235" xr:uid="{00000000-0005-0000-0000-000092630000}"/>
    <cellStyle name="SAPBEXHLevel2 35" xfId="4342" xr:uid="{00000000-0005-0000-0000-000093630000}"/>
    <cellStyle name="SAPBEXHLevel2 35 2" xfId="6880" xr:uid="{00000000-0005-0000-0000-000094630000}"/>
    <cellStyle name="SAPBEXHLevel2 35 3" xfId="8006" xr:uid="{00000000-0005-0000-0000-000095630000}"/>
    <cellStyle name="SAPBEXHLevel2 35 4" xfId="12190" xr:uid="{00000000-0005-0000-0000-000096630000}"/>
    <cellStyle name="SAPBEXHLevel2 35 5" xfId="14675" xr:uid="{00000000-0005-0000-0000-000097630000}"/>
    <cellStyle name="SAPBEXHLevel2 35 6" xfId="16439" xr:uid="{00000000-0005-0000-0000-000098630000}"/>
    <cellStyle name="SAPBEXHLevel2 35 7" xfId="19371" xr:uid="{00000000-0005-0000-0000-000099630000}"/>
    <cellStyle name="SAPBEXHLevel2 35 8" xfId="21135" xr:uid="{00000000-0005-0000-0000-00009A630000}"/>
    <cellStyle name="SAPBEXHLevel2 35 9" xfId="23864" xr:uid="{00000000-0005-0000-0000-00009B630000}"/>
    <cellStyle name="SAPBEXHLevel2 36" xfId="4551" xr:uid="{00000000-0005-0000-0000-00009C630000}"/>
    <cellStyle name="SAPBEXHLevel2 36 2" xfId="7089" xr:uid="{00000000-0005-0000-0000-00009D630000}"/>
    <cellStyle name="SAPBEXHLevel2 36 3" xfId="8139" xr:uid="{00000000-0005-0000-0000-00009E630000}"/>
    <cellStyle name="SAPBEXHLevel2 36 4" xfId="11809" xr:uid="{00000000-0005-0000-0000-00009F630000}"/>
    <cellStyle name="SAPBEXHLevel2 36 5" xfId="14266" xr:uid="{00000000-0005-0000-0000-0000A0630000}"/>
    <cellStyle name="SAPBEXHLevel2 36 6" xfId="15798" xr:uid="{00000000-0005-0000-0000-0000A1630000}"/>
    <cellStyle name="SAPBEXHLevel2 36 7" xfId="18962" xr:uid="{00000000-0005-0000-0000-0000A2630000}"/>
    <cellStyle name="SAPBEXHLevel2 36 8" xfId="20494" xr:uid="{00000000-0005-0000-0000-0000A3630000}"/>
    <cellStyle name="SAPBEXHLevel2 36 9" xfId="23484" xr:uid="{00000000-0005-0000-0000-0000A4630000}"/>
    <cellStyle name="SAPBEXHLevel2 37" xfId="4595" xr:uid="{00000000-0005-0000-0000-0000A5630000}"/>
    <cellStyle name="SAPBEXHLevel2 37 2" xfId="7133" xr:uid="{00000000-0005-0000-0000-0000A6630000}"/>
    <cellStyle name="SAPBEXHLevel2 37 3" xfId="9763" xr:uid="{00000000-0005-0000-0000-0000A7630000}"/>
    <cellStyle name="SAPBEXHLevel2 37 4" xfId="11717" xr:uid="{00000000-0005-0000-0000-0000A8630000}"/>
    <cellStyle name="SAPBEXHLevel2 37 5" xfId="14168" xr:uid="{00000000-0005-0000-0000-0000A9630000}"/>
    <cellStyle name="SAPBEXHLevel2 37 6" xfId="15955" xr:uid="{00000000-0005-0000-0000-0000AA630000}"/>
    <cellStyle name="SAPBEXHLevel2 37 7" xfId="18864" xr:uid="{00000000-0005-0000-0000-0000AB630000}"/>
    <cellStyle name="SAPBEXHLevel2 37 8" xfId="20651" xr:uid="{00000000-0005-0000-0000-0000AC630000}"/>
    <cellStyle name="SAPBEXHLevel2 37 9" xfId="23391" xr:uid="{00000000-0005-0000-0000-0000AD630000}"/>
    <cellStyle name="SAPBEXHLevel2 38" xfId="4742" xr:uid="{00000000-0005-0000-0000-0000AE630000}"/>
    <cellStyle name="SAPBEXHLevel2 38 2" xfId="7280" xr:uid="{00000000-0005-0000-0000-0000AF630000}"/>
    <cellStyle name="SAPBEXHLevel2 38 3" xfId="8756" xr:uid="{00000000-0005-0000-0000-0000B0630000}"/>
    <cellStyle name="SAPBEXHLevel2 38 4" xfId="11395" xr:uid="{00000000-0005-0000-0000-0000B1630000}"/>
    <cellStyle name="SAPBEXHLevel2 38 5" xfId="13810" xr:uid="{00000000-0005-0000-0000-0000B2630000}"/>
    <cellStyle name="SAPBEXHLevel2 38 6" xfId="15469" xr:uid="{00000000-0005-0000-0000-0000B3630000}"/>
    <cellStyle name="SAPBEXHLevel2 38 7" xfId="18506" xr:uid="{00000000-0005-0000-0000-0000B4630000}"/>
    <cellStyle name="SAPBEXHLevel2 38 8" xfId="20165" xr:uid="{00000000-0005-0000-0000-0000B5630000}"/>
    <cellStyle name="SAPBEXHLevel2 38 9" xfId="23069" xr:uid="{00000000-0005-0000-0000-0000B6630000}"/>
    <cellStyle name="SAPBEXHLevel2 39" xfId="4735" xr:uid="{00000000-0005-0000-0000-0000B7630000}"/>
    <cellStyle name="SAPBEXHLevel2 39 2" xfId="7273" xr:uid="{00000000-0005-0000-0000-0000B8630000}"/>
    <cellStyle name="SAPBEXHLevel2 39 3" xfId="8962" xr:uid="{00000000-0005-0000-0000-0000B9630000}"/>
    <cellStyle name="SAPBEXHLevel2 39 4" xfId="10340" xr:uid="{00000000-0005-0000-0000-0000BA630000}"/>
    <cellStyle name="SAPBEXHLevel2 39 5" xfId="12661" xr:uid="{00000000-0005-0000-0000-0000BB630000}"/>
    <cellStyle name="SAPBEXHLevel2 39 6" xfId="16765" xr:uid="{00000000-0005-0000-0000-0000BC630000}"/>
    <cellStyle name="SAPBEXHLevel2 39 7" xfId="17357" xr:uid="{00000000-0005-0000-0000-0000BD630000}"/>
    <cellStyle name="SAPBEXHLevel2 39 8" xfId="21461" xr:uid="{00000000-0005-0000-0000-0000BE630000}"/>
    <cellStyle name="SAPBEXHLevel2 39 9" xfId="22011" xr:uid="{00000000-0005-0000-0000-0000BF630000}"/>
    <cellStyle name="SAPBEXHLevel2 4" xfId="3057" xr:uid="{00000000-0005-0000-0000-0000C0630000}"/>
    <cellStyle name="SAPBEXHLevel2 4 2" xfId="5596" xr:uid="{00000000-0005-0000-0000-0000C1630000}"/>
    <cellStyle name="SAPBEXHLevel2 4 3" xfId="8001" xr:uid="{00000000-0005-0000-0000-0000C2630000}"/>
    <cellStyle name="SAPBEXHLevel2 4 4" xfId="11456" xr:uid="{00000000-0005-0000-0000-0000C3630000}"/>
    <cellStyle name="SAPBEXHLevel2 4 5" xfId="13877" xr:uid="{00000000-0005-0000-0000-0000C4630000}"/>
    <cellStyle name="SAPBEXHLevel2 4 6" xfId="16414" xr:uid="{00000000-0005-0000-0000-0000C5630000}"/>
    <cellStyle name="SAPBEXHLevel2 4 7" xfId="18573" xr:uid="{00000000-0005-0000-0000-0000C6630000}"/>
    <cellStyle name="SAPBEXHLevel2 4 8" xfId="21110" xr:uid="{00000000-0005-0000-0000-0000C7630000}"/>
    <cellStyle name="SAPBEXHLevel2 4 9" xfId="23131" xr:uid="{00000000-0005-0000-0000-0000C8630000}"/>
    <cellStyle name="SAPBEXHLevel2 40" xfId="4783" xr:uid="{00000000-0005-0000-0000-0000C9630000}"/>
    <cellStyle name="SAPBEXHLevel2 40 2" xfId="7321" xr:uid="{00000000-0005-0000-0000-0000CA630000}"/>
    <cellStyle name="SAPBEXHLevel2 40 3" xfId="9282" xr:uid="{00000000-0005-0000-0000-0000CB630000}"/>
    <cellStyle name="SAPBEXHLevel2 40 4" xfId="10938" xr:uid="{00000000-0005-0000-0000-0000CC630000}"/>
    <cellStyle name="SAPBEXHLevel2 40 5" xfId="13309" xr:uid="{00000000-0005-0000-0000-0000CD630000}"/>
    <cellStyle name="SAPBEXHLevel2 40 6" xfId="15972" xr:uid="{00000000-0005-0000-0000-0000CE630000}"/>
    <cellStyle name="SAPBEXHLevel2 40 7" xfId="18005" xr:uid="{00000000-0005-0000-0000-0000CF630000}"/>
    <cellStyle name="SAPBEXHLevel2 40 8" xfId="20668" xr:uid="{00000000-0005-0000-0000-0000D0630000}"/>
    <cellStyle name="SAPBEXHLevel2 40 9" xfId="22609" xr:uid="{00000000-0005-0000-0000-0000D1630000}"/>
    <cellStyle name="SAPBEXHLevel2 41" xfId="4875" xr:uid="{00000000-0005-0000-0000-0000D2630000}"/>
    <cellStyle name="SAPBEXHLevel2 41 2" xfId="7413" xr:uid="{00000000-0005-0000-0000-0000D3630000}"/>
    <cellStyle name="SAPBEXHLevel2 41 3" xfId="10156" xr:uid="{00000000-0005-0000-0000-0000D4630000}"/>
    <cellStyle name="SAPBEXHLevel2 41 4" xfId="10971" xr:uid="{00000000-0005-0000-0000-0000D5630000}"/>
    <cellStyle name="SAPBEXHLevel2 41 5" xfId="13343" xr:uid="{00000000-0005-0000-0000-0000D6630000}"/>
    <cellStyle name="SAPBEXHLevel2 41 6" xfId="15724" xr:uid="{00000000-0005-0000-0000-0000D7630000}"/>
    <cellStyle name="SAPBEXHLevel2 41 7" xfId="18039" xr:uid="{00000000-0005-0000-0000-0000D8630000}"/>
    <cellStyle name="SAPBEXHLevel2 41 8" xfId="20420" xr:uid="{00000000-0005-0000-0000-0000D9630000}"/>
    <cellStyle name="SAPBEXHLevel2 41 9" xfId="22642" xr:uid="{00000000-0005-0000-0000-0000DA630000}"/>
    <cellStyle name="SAPBEXHLevel2 42" xfId="4892" xr:uid="{00000000-0005-0000-0000-0000DB630000}"/>
    <cellStyle name="SAPBEXHLevel2 42 2" xfId="7430" xr:uid="{00000000-0005-0000-0000-0000DC630000}"/>
    <cellStyle name="SAPBEXHLevel2 42 3" xfId="9799" xr:uid="{00000000-0005-0000-0000-0000DD630000}"/>
    <cellStyle name="SAPBEXHLevel2 42 4" xfId="10508" xr:uid="{00000000-0005-0000-0000-0000DE630000}"/>
    <cellStyle name="SAPBEXHLevel2 42 5" xfId="14599" xr:uid="{00000000-0005-0000-0000-0000DF630000}"/>
    <cellStyle name="SAPBEXHLevel2 42 6" xfId="15391" xr:uid="{00000000-0005-0000-0000-0000E0630000}"/>
    <cellStyle name="SAPBEXHLevel2 42 7" xfId="19295" xr:uid="{00000000-0005-0000-0000-0000E1630000}"/>
    <cellStyle name="SAPBEXHLevel2 42 8" xfId="20087" xr:uid="{00000000-0005-0000-0000-0000E2630000}"/>
    <cellStyle name="SAPBEXHLevel2 42 9" xfId="23791" xr:uid="{00000000-0005-0000-0000-0000E3630000}"/>
    <cellStyle name="SAPBEXHLevel2 43" xfId="4967" xr:uid="{00000000-0005-0000-0000-0000E4630000}"/>
    <cellStyle name="SAPBEXHLevel2 43 2" xfId="7505" xr:uid="{00000000-0005-0000-0000-0000E5630000}"/>
    <cellStyle name="SAPBEXHLevel2 43 3" xfId="8255" xr:uid="{00000000-0005-0000-0000-0000E6630000}"/>
    <cellStyle name="SAPBEXHLevel2 43 4" xfId="11547" xr:uid="{00000000-0005-0000-0000-0000E7630000}"/>
    <cellStyle name="SAPBEXHLevel2 43 5" xfId="13981" xr:uid="{00000000-0005-0000-0000-0000E8630000}"/>
    <cellStyle name="SAPBEXHLevel2 43 6" xfId="16525" xr:uid="{00000000-0005-0000-0000-0000E9630000}"/>
    <cellStyle name="SAPBEXHLevel2 43 7" xfId="18677" xr:uid="{00000000-0005-0000-0000-0000EA630000}"/>
    <cellStyle name="SAPBEXHLevel2 43 8" xfId="21221" xr:uid="{00000000-0005-0000-0000-0000EB630000}"/>
    <cellStyle name="SAPBEXHLevel2 43 9" xfId="23221" xr:uid="{00000000-0005-0000-0000-0000EC630000}"/>
    <cellStyle name="SAPBEXHLevel2 44" xfId="4883" xr:uid="{00000000-0005-0000-0000-0000ED630000}"/>
    <cellStyle name="SAPBEXHLevel2 44 2" xfId="7421" xr:uid="{00000000-0005-0000-0000-0000EE630000}"/>
    <cellStyle name="SAPBEXHLevel2 44 3" xfId="9512" xr:uid="{00000000-0005-0000-0000-0000EF630000}"/>
    <cellStyle name="SAPBEXHLevel2 44 4" xfId="10843" xr:uid="{00000000-0005-0000-0000-0000F0630000}"/>
    <cellStyle name="SAPBEXHLevel2 44 5" xfId="13208" xr:uid="{00000000-0005-0000-0000-0000F1630000}"/>
    <cellStyle name="SAPBEXHLevel2 44 6" xfId="16270" xr:uid="{00000000-0005-0000-0000-0000F2630000}"/>
    <cellStyle name="SAPBEXHLevel2 44 7" xfId="17904" xr:uid="{00000000-0005-0000-0000-0000F3630000}"/>
    <cellStyle name="SAPBEXHLevel2 44 8" xfId="20966" xr:uid="{00000000-0005-0000-0000-0000F4630000}"/>
    <cellStyle name="SAPBEXHLevel2 44 9" xfId="22514" xr:uid="{00000000-0005-0000-0000-0000F5630000}"/>
    <cellStyle name="SAPBEXHLevel2 45" xfId="4957" xr:uid="{00000000-0005-0000-0000-0000F6630000}"/>
    <cellStyle name="SAPBEXHLevel2 45 2" xfId="7495" xr:uid="{00000000-0005-0000-0000-0000F7630000}"/>
    <cellStyle name="SAPBEXHLevel2 45 3" xfId="5602" xr:uid="{00000000-0005-0000-0000-0000F8630000}"/>
    <cellStyle name="SAPBEXHLevel2 45 4" xfId="11740" xr:uid="{00000000-0005-0000-0000-0000F9630000}"/>
    <cellStyle name="SAPBEXHLevel2 45 5" xfId="14191" xr:uid="{00000000-0005-0000-0000-0000FA630000}"/>
    <cellStyle name="SAPBEXHLevel2 45 6" xfId="16522" xr:uid="{00000000-0005-0000-0000-0000FB630000}"/>
    <cellStyle name="SAPBEXHLevel2 45 7" xfId="18887" xr:uid="{00000000-0005-0000-0000-0000FC630000}"/>
    <cellStyle name="SAPBEXHLevel2 45 8" xfId="21218" xr:uid="{00000000-0005-0000-0000-0000FD630000}"/>
    <cellStyle name="SAPBEXHLevel2 45 9" xfId="23414" xr:uid="{00000000-0005-0000-0000-0000FE630000}"/>
    <cellStyle name="SAPBEXHLevel2 46" xfId="4988" xr:uid="{00000000-0005-0000-0000-0000FF630000}"/>
    <cellStyle name="SAPBEXHLevel2 46 2" xfId="7526" xr:uid="{00000000-0005-0000-0000-000000640000}"/>
    <cellStyle name="SAPBEXHLevel2 46 3" xfId="8604" xr:uid="{00000000-0005-0000-0000-000001640000}"/>
    <cellStyle name="SAPBEXHLevel2 46 4" xfId="12120" xr:uid="{00000000-0005-0000-0000-000002640000}"/>
    <cellStyle name="SAPBEXHLevel2 46 5" xfId="13275" xr:uid="{00000000-0005-0000-0000-000003640000}"/>
    <cellStyle name="SAPBEXHLevel2 46 6" xfId="14162" xr:uid="{00000000-0005-0000-0000-000004640000}"/>
    <cellStyle name="SAPBEXHLevel2 46 7" xfId="17971" xr:uid="{00000000-0005-0000-0000-000005640000}"/>
    <cellStyle name="SAPBEXHLevel2 46 8" xfId="18858" xr:uid="{00000000-0005-0000-0000-000006640000}"/>
    <cellStyle name="SAPBEXHLevel2 46 9" xfId="22576" xr:uid="{00000000-0005-0000-0000-000007640000}"/>
    <cellStyle name="SAPBEXHLevel2 47" xfId="5026" xr:uid="{00000000-0005-0000-0000-000008640000}"/>
    <cellStyle name="SAPBEXHLevel2 47 2" xfId="7564" xr:uid="{00000000-0005-0000-0000-000009640000}"/>
    <cellStyle name="SAPBEXHLevel2 47 3" xfId="9581" xr:uid="{00000000-0005-0000-0000-00000A640000}"/>
    <cellStyle name="SAPBEXHLevel2 47 4" xfId="10500" xr:uid="{00000000-0005-0000-0000-00000B640000}"/>
    <cellStyle name="SAPBEXHLevel2 47 5" xfId="12838" xr:uid="{00000000-0005-0000-0000-00000C640000}"/>
    <cellStyle name="SAPBEXHLevel2 47 6" xfId="15757" xr:uid="{00000000-0005-0000-0000-00000D640000}"/>
    <cellStyle name="SAPBEXHLevel2 47 7" xfId="17534" xr:uid="{00000000-0005-0000-0000-00000E640000}"/>
    <cellStyle name="SAPBEXHLevel2 47 8" xfId="20453" xr:uid="{00000000-0005-0000-0000-00000F640000}"/>
    <cellStyle name="SAPBEXHLevel2 47 9" xfId="22171" xr:uid="{00000000-0005-0000-0000-000010640000}"/>
    <cellStyle name="SAPBEXHLevel2 48" xfId="5146" xr:uid="{00000000-0005-0000-0000-000011640000}"/>
    <cellStyle name="SAPBEXHLevel2 48 2" xfId="7684" xr:uid="{00000000-0005-0000-0000-000012640000}"/>
    <cellStyle name="SAPBEXHLevel2 48 3" xfId="5451" xr:uid="{00000000-0005-0000-0000-000013640000}"/>
    <cellStyle name="SAPBEXHLevel2 48 4" xfId="12047" xr:uid="{00000000-0005-0000-0000-000014640000}"/>
    <cellStyle name="SAPBEXHLevel2 48 5" xfId="13759" xr:uid="{00000000-0005-0000-0000-000015640000}"/>
    <cellStyle name="SAPBEXHLevel2 48 6" xfId="13976" xr:uid="{00000000-0005-0000-0000-000016640000}"/>
    <cellStyle name="SAPBEXHLevel2 48 7" xfId="18455" xr:uid="{00000000-0005-0000-0000-000017640000}"/>
    <cellStyle name="SAPBEXHLevel2 48 8" xfId="18672" xr:uid="{00000000-0005-0000-0000-000018640000}"/>
    <cellStyle name="SAPBEXHLevel2 48 9" xfId="23021" xr:uid="{00000000-0005-0000-0000-000019640000}"/>
    <cellStyle name="SAPBEXHLevel2 49" xfId="5215" xr:uid="{00000000-0005-0000-0000-00001A640000}"/>
    <cellStyle name="SAPBEXHLevel2 49 2" xfId="7754" xr:uid="{00000000-0005-0000-0000-00001B640000}"/>
    <cellStyle name="SAPBEXHLevel2 49 3" xfId="9175" xr:uid="{00000000-0005-0000-0000-00001C640000}"/>
    <cellStyle name="SAPBEXHLevel2 49 4" xfId="11641" xr:uid="{00000000-0005-0000-0000-00001D640000}"/>
    <cellStyle name="SAPBEXHLevel2 49 5" xfId="14085" xr:uid="{00000000-0005-0000-0000-00001E640000}"/>
    <cellStyle name="SAPBEXHLevel2 49 6" xfId="16845" xr:uid="{00000000-0005-0000-0000-00001F640000}"/>
    <cellStyle name="SAPBEXHLevel2 49 7" xfId="18781" xr:uid="{00000000-0005-0000-0000-000020640000}"/>
    <cellStyle name="SAPBEXHLevel2 49 8" xfId="21541" xr:uid="{00000000-0005-0000-0000-000021640000}"/>
    <cellStyle name="SAPBEXHLevel2 49 9" xfId="23316" xr:uid="{00000000-0005-0000-0000-000022640000}"/>
    <cellStyle name="SAPBEXHLevel2 5" xfId="3032" xr:uid="{00000000-0005-0000-0000-000023640000}"/>
    <cellStyle name="SAPBEXHLevel2 5 2" xfId="5571" xr:uid="{00000000-0005-0000-0000-000024640000}"/>
    <cellStyle name="SAPBEXHLevel2 5 3" xfId="8260" xr:uid="{00000000-0005-0000-0000-000025640000}"/>
    <cellStyle name="SAPBEXHLevel2 5 4" xfId="12072" xr:uid="{00000000-0005-0000-0000-000026640000}"/>
    <cellStyle name="SAPBEXHLevel2 5 5" xfId="14552" xr:uid="{00000000-0005-0000-0000-000027640000}"/>
    <cellStyle name="SAPBEXHLevel2 5 6" xfId="14001" xr:uid="{00000000-0005-0000-0000-000028640000}"/>
    <cellStyle name="SAPBEXHLevel2 5 7" xfId="19248" xr:uid="{00000000-0005-0000-0000-000029640000}"/>
    <cellStyle name="SAPBEXHLevel2 5 8" xfId="18697" xr:uid="{00000000-0005-0000-0000-00002A640000}"/>
    <cellStyle name="SAPBEXHLevel2 5 9" xfId="23744" xr:uid="{00000000-0005-0000-0000-00002B640000}"/>
    <cellStyle name="SAPBEXHLevel2 50" xfId="5253" xr:uid="{00000000-0005-0000-0000-00002C640000}"/>
    <cellStyle name="SAPBEXHLevel2 50 2" xfId="9520" xr:uid="{00000000-0005-0000-0000-00002D640000}"/>
    <cellStyle name="SAPBEXHLevel2 50 3" xfId="10046" xr:uid="{00000000-0005-0000-0000-00002E640000}"/>
    <cellStyle name="SAPBEXHLevel2 50 4" xfId="14917" xr:uid="{00000000-0005-0000-0000-00002F640000}"/>
    <cellStyle name="SAPBEXHLevel2 50 5" xfId="16670" xr:uid="{00000000-0005-0000-0000-000030640000}"/>
    <cellStyle name="SAPBEXHLevel2 50 6" xfId="19613" xr:uid="{00000000-0005-0000-0000-000031640000}"/>
    <cellStyle name="SAPBEXHLevel2 50 7" xfId="21366" xr:uid="{00000000-0005-0000-0000-000032640000}"/>
    <cellStyle name="SAPBEXHLevel2 50 8" xfId="24081" xr:uid="{00000000-0005-0000-0000-000033640000}"/>
    <cellStyle name="SAPBEXHLevel2 51" xfId="8100" xr:uid="{00000000-0005-0000-0000-000034640000}"/>
    <cellStyle name="SAPBEXHLevel2 52" xfId="8839" xr:uid="{00000000-0005-0000-0000-000035640000}"/>
    <cellStyle name="SAPBEXHLevel2 53" xfId="14859" xr:uid="{00000000-0005-0000-0000-000036640000}"/>
    <cellStyle name="SAPBEXHLevel2 54" xfId="16941" xr:uid="{00000000-0005-0000-0000-000037640000}"/>
    <cellStyle name="SAPBEXHLevel2 55" xfId="19555" xr:uid="{00000000-0005-0000-0000-000038640000}"/>
    <cellStyle name="SAPBEXHLevel2 56" xfId="21637" xr:uid="{00000000-0005-0000-0000-000039640000}"/>
    <cellStyle name="SAPBEXHLevel2 57" xfId="24031" xr:uid="{00000000-0005-0000-0000-00003A640000}"/>
    <cellStyle name="SAPBEXHLevel2 6" xfId="3154" xr:uid="{00000000-0005-0000-0000-00003B640000}"/>
    <cellStyle name="SAPBEXHLevel2 6 2" xfId="5692" xr:uid="{00000000-0005-0000-0000-00003C640000}"/>
    <cellStyle name="SAPBEXHLevel2 6 3" xfId="9341" xr:uid="{00000000-0005-0000-0000-00003D640000}"/>
    <cellStyle name="SAPBEXHLevel2 6 4" xfId="10607" xr:uid="{00000000-0005-0000-0000-00003E640000}"/>
    <cellStyle name="SAPBEXHLevel2 6 5" xfId="12955" xr:uid="{00000000-0005-0000-0000-00003F640000}"/>
    <cellStyle name="SAPBEXHLevel2 6 6" xfId="16710" xr:uid="{00000000-0005-0000-0000-000040640000}"/>
    <cellStyle name="SAPBEXHLevel2 6 7" xfId="17651" xr:uid="{00000000-0005-0000-0000-000041640000}"/>
    <cellStyle name="SAPBEXHLevel2 6 8" xfId="21406" xr:uid="{00000000-0005-0000-0000-000042640000}"/>
    <cellStyle name="SAPBEXHLevel2 6 9" xfId="22280" xr:uid="{00000000-0005-0000-0000-000043640000}"/>
    <cellStyle name="SAPBEXHLevel2 7" xfId="3197" xr:uid="{00000000-0005-0000-0000-000044640000}"/>
    <cellStyle name="SAPBEXHLevel2 7 2" xfId="5735" xr:uid="{00000000-0005-0000-0000-000045640000}"/>
    <cellStyle name="SAPBEXHLevel2 7 3" xfId="10110" xr:uid="{00000000-0005-0000-0000-000046640000}"/>
    <cellStyle name="SAPBEXHLevel2 7 4" xfId="11292" xr:uid="{00000000-0005-0000-0000-000047640000}"/>
    <cellStyle name="SAPBEXHLevel2 7 5" xfId="13698" xr:uid="{00000000-0005-0000-0000-000048640000}"/>
    <cellStyle name="SAPBEXHLevel2 7 6" xfId="16095" xr:uid="{00000000-0005-0000-0000-000049640000}"/>
    <cellStyle name="SAPBEXHLevel2 7 7" xfId="18394" xr:uid="{00000000-0005-0000-0000-00004A640000}"/>
    <cellStyle name="SAPBEXHLevel2 7 8" xfId="20791" xr:uid="{00000000-0005-0000-0000-00004B640000}"/>
    <cellStyle name="SAPBEXHLevel2 7 9" xfId="22966" xr:uid="{00000000-0005-0000-0000-00004C640000}"/>
    <cellStyle name="SAPBEXHLevel2 8" xfId="3240" xr:uid="{00000000-0005-0000-0000-00004D640000}"/>
    <cellStyle name="SAPBEXHLevel2 8 2" xfId="5778" xr:uid="{00000000-0005-0000-0000-00004E640000}"/>
    <cellStyle name="SAPBEXHLevel2 8 3" xfId="8490" xr:uid="{00000000-0005-0000-0000-00004F640000}"/>
    <cellStyle name="SAPBEXHLevel2 8 4" xfId="10322" xr:uid="{00000000-0005-0000-0000-000050640000}"/>
    <cellStyle name="SAPBEXHLevel2 8 5" xfId="12639" xr:uid="{00000000-0005-0000-0000-000051640000}"/>
    <cellStyle name="SAPBEXHLevel2 8 6" xfId="16196" xr:uid="{00000000-0005-0000-0000-000052640000}"/>
    <cellStyle name="SAPBEXHLevel2 8 7" xfId="17335" xr:uid="{00000000-0005-0000-0000-000053640000}"/>
    <cellStyle name="SAPBEXHLevel2 8 8" xfId="20892" xr:uid="{00000000-0005-0000-0000-000054640000}"/>
    <cellStyle name="SAPBEXHLevel2 8 9" xfId="21993" xr:uid="{00000000-0005-0000-0000-000055640000}"/>
    <cellStyle name="SAPBEXHLevel2 9" xfId="3283" xr:uid="{00000000-0005-0000-0000-000056640000}"/>
    <cellStyle name="SAPBEXHLevel2 9 2" xfId="5821" xr:uid="{00000000-0005-0000-0000-000057640000}"/>
    <cellStyle name="SAPBEXHLevel2 9 3" xfId="8920" xr:uid="{00000000-0005-0000-0000-000058640000}"/>
    <cellStyle name="SAPBEXHLevel2 9 4" xfId="11933" xr:uid="{00000000-0005-0000-0000-000059640000}"/>
    <cellStyle name="SAPBEXHLevel2 9 5" xfId="14406" xr:uid="{00000000-0005-0000-0000-00005A640000}"/>
    <cellStyle name="SAPBEXHLevel2 9 6" xfId="15241" xr:uid="{00000000-0005-0000-0000-00005B640000}"/>
    <cellStyle name="SAPBEXHLevel2 9 7" xfId="19102" xr:uid="{00000000-0005-0000-0000-00005C640000}"/>
    <cellStyle name="SAPBEXHLevel2 9 8" xfId="19937" xr:uid="{00000000-0005-0000-0000-00005D640000}"/>
    <cellStyle name="SAPBEXHLevel2 9 9" xfId="23608" xr:uid="{00000000-0005-0000-0000-00005E640000}"/>
    <cellStyle name="SAPBEXHLevel2X" xfId="2966" xr:uid="{00000000-0005-0000-0000-00005F640000}"/>
    <cellStyle name="SAPBEXHLevel2X 10" xfId="3432" xr:uid="{00000000-0005-0000-0000-000060640000}"/>
    <cellStyle name="SAPBEXHLevel2X 10 2" xfId="5970" xr:uid="{00000000-0005-0000-0000-000061640000}"/>
    <cellStyle name="SAPBEXHLevel2X 10 3" xfId="8739" xr:uid="{00000000-0005-0000-0000-000062640000}"/>
    <cellStyle name="SAPBEXHLevel2X 10 4" xfId="12016" xr:uid="{00000000-0005-0000-0000-000063640000}"/>
    <cellStyle name="SAPBEXHLevel2X 10 5" xfId="14496" xr:uid="{00000000-0005-0000-0000-000064640000}"/>
    <cellStyle name="SAPBEXHLevel2X 10 6" xfId="14670" xr:uid="{00000000-0005-0000-0000-000065640000}"/>
    <cellStyle name="SAPBEXHLevel2X 10 7" xfId="19192" xr:uid="{00000000-0005-0000-0000-000066640000}"/>
    <cellStyle name="SAPBEXHLevel2X 10 8" xfId="19366" xr:uid="{00000000-0005-0000-0000-000067640000}"/>
    <cellStyle name="SAPBEXHLevel2X 10 9" xfId="23691" xr:uid="{00000000-0005-0000-0000-000068640000}"/>
    <cellStyle name="SAPBEXHLevel2X 11" xfId="3502" xr:uid="{00000000-0005-0000-0000-000069640000}"/>
    <cellStyle name="SAPBEXHLevel2X 11 2" xfId="6040" xr:uid="{00000000-0005-0000-0000-00006A640000}"/>
    <cellStyle name="SAPBEXHLevel2X 11 3" xfId="8702" xr:uid="{00000000-0005-0000-0000-00006B640000}"/>
    <cellStyle name="SAPBEXHLevel2X 11 4" xfId="10517" xr:uid="{00000000-0005-0000-0000-00006C640000}"/>
    <cellStyle name="SAPBEXHLevel2X 11 5" xfId="12857" xr:uid="{00000000-0005-0000-0000-00006D640000}"/>
    <cellStyle name="SAPBEXHLevel2X 11 6" xfId="16569" xr:uid="{00000000-0005-0000-0000-00006E640000}"/>
    <cellStyle name="SAPBEXHLevel2X 11 7" xfId="17553" xr:uid="{00000000-0005-0000-0000-00006F640000}"/>
    <cellStyle name="SAPBEXHLevel2X 11 8" xfId="21265" xr:uid="{00000000-0005-0000-0000-000070640000}"/>
    <cellStyle name="SAPBEXHLevel2X 11 9" xfId="22188" xr:uid="{00000000-0005-0000-0000-000071640000}"/>
    <cellStyle name="SAPBEXHLevel2X 12" xfId="3518" xr:uid="{00000000-0005-0000-0000-000072640000}"/>
    <cellStyle name="SAPBEXHLevel2X 12 2" xfId="6056" xr:uid="{00000000-0005-0000-0000-000073640000}"/>
    <cellStyle name="SAPBEXHLevel2X 12 3" xfId="8944" xr:uid="{00000000-0005-0000-0000-000074640000}"/>
    <cellStyle name="SAPBEXHLevel2X 12 4" xfId="11810" xr:uid="{00000000-0005-0000-0000-000075640000}"/>
    <cellStyle name="SAPBEXHLevel2X 12 5" xfId="14017" xr:uid="{00000000-0005-0000-0000-000076640000}"/>
    <cellStyle name="SAPBEXHLevel2X 12 6" xfId="16775" xr:uid="{00000000-0005-0000-0000-000077640000}"/>
    <cellStyle name="SAPBEXHLevel2X 12 7" xfId="18713" xr:uid="{00000000-0005-0000-0000-000078640000}"/>
    <cellStyle name="SAPBEXHLevel2X 12 8" xfId="21471" xr:uid="{00000000-0005-0000-0000-000079640000}"/>
    <cellStyle name="SAPBEXHLevel2X 12 9" xfId="23254" xr:uid="{00000000-0005-0000-0000-00007A640000}"/>
    <cellStyle name="SAPBEXHLevel2X 13" xfId="3561" xr:uid="{00000000-0005-0000-0000-00007B640000}"/>
    <cellStyle name="SAPBEXHLevel2X 13 2" xfId="6099" xr:uid="{00000000-0005-0000-0000-00007C640000}"/>
    <cellStyle name="SAPBEXHLevel2X 13 3" xfId="8939" xr:uid="{00000000-0005-0000-0000-00007D640000}"/>
    <cellStyle name="SAPBEXHLevel2X 13 4" xfId="11998" xr:uid="{00000000-0005-0000-0000-00007E640000}"/>
    <cellStyle name="SAPBEXHLevel2X 13 5" xfId="12584" xr:uid="{00000000-0005-0000-0000-00007F640000}"/>
    <cellStyle name="SAPBEXHLevel2X 13 6" xfId="16551" xr:uid="{00000000-0005-0000-0000-000080640000}"/>
    <cellStyle name="SAPBEXHLevel2X 13 7" xfId="17280" xr:uid="{00000000-0005-0000-0000-000081640000}"/>
    <cellStyle name="SAPBEXHLevel2X 13 8" xfId="21247" xr:uid="{00000000-0005-0000-0000-000082640000}"/>
    <cellStyle name="SAPBEXHLevel2X 13 9" xfId="21943" xr:uid="{00000000-0005-0000-0000-000083640000}"/>
    <cellStyle name="SAPBEXHLevel2X 14" xfId="3604" xr:uid="{00000000-0005-0000-0000-000084640000}"/>
    <cellStyle name="SAPBEXHLevel2X 14 2" xfId="6142" xr:uid="{00000000-0005-0000-0000-000085640000}"/>
    <cellStyle name="SAPBEXHLevel2X 14 3" xfId="9888" xr:uid="{00000000-0005-0000-0000-000086640000}"/>
    <cellStyle name="SAPBEXHLevel2X 14 4" xfId="11572" xr:uid="{00000000-0005-0000-0000-000087640000}"/>
    <cellStyle name="SAPBEXHLevel2X 14 5" xfId="14009" xr:uid="{00000000-0005-0000-0000-000088640000}"/>
    <cellStyle name="SAPBEXHLevel2X 14 6" xfId="16773" xr:uid="{00000000-0005-0000-0000-000089640000}"/>
    <cellStyle name="SAPBEXHLevel2X 14 7" xfId="18705" xr:uid="{00000000-0005-0000-0000-00008A640000}"/>
    <cellStyle name="SAPBEXHLevel2X 14 8" xfId="21469" xr:uid="{00000000-0005-0000-0000-00008B640000}"/>
    <cellStyle name="SAPBEXHLevel2X 14 9" xfId="23246" xr:uid="{00000000-0005-0000-0000-00008C640000}"/>
    <cellStyle name="SAPBEXHLevel2X 15" xfId="3630" xr:uid="{00000000-0005-0000-0000-00008D640000}"/>
    <cellStyle name="SAPBEXHLevel2X 15 2" xfId="6168" xr:uid="{00000000-0005-0000-0000-00008E640000}"/>
    <cellStyle name="SAPBEXHLevel2X 15 3" xfId="8290" xr:uid="{00000000-0005-0000-0000-00008F640000}"/>
    <cellStyle name="SAPBEXHLevel2X 15 4" xfId="10293" xr:uid="{00000000-0005-0000-0000-000090640000}"/>
    <cellStyle name="SAPBEXHLevel2X 15 5" xfId="12606" xr:uid="{00000000-0005-0000-0000-000091640000}"/>
    <cellStyle name="SAPBEXHLevel2X 15 6" xfId="15841" xr:uid="{00000000-0005-0000-0000-000092640000}"/>
    <cellStyle name="SAPBEXHLevel2X 15 7" xfId="17302" xr:uid="{00000000-0005-0000-0000-000093640000}"/>
    <cellStyle name="SAPBEXHLevel2X 15 8" xfId="20537" xr:uid="{00000000-0005-0000-0000-000094640000}"/>
    <cellStyle name="SAPBEXHLevel2X 15 9" xfId="21963" xr:uid="{00000000-0005-0000-0000-000095640000}"/>
    <cellStyle name="SAPBEXHLevel2X 16" xfId="3673" xr:uid="{00000000-0005-0000-0000-000096640000}"/>
    <cellStyle name="SAPBEXHLevel2X 16 2" xfId="6211" xr:uid="{00000000-0005-0000-0000-000097640000}"/>
    <cellStyle name="SAPBEXHLevel2X 16 3" xfId="8831" xr:uid="{00000000-0005-0000-0000-000098640000}"/>
    <cellStyle name="SAPBEXHLevel2X 16 4" xfId="10860" xr:uid="{00000000-0005-0000-0000-000099640000}"/>
    <cellStyle name="SAPBEXHLevel2X 16 5" xfId="13225" xr:uid="{00000000-0005-0000-0000-00009A640000}"/>
    <cellStyle name="SAPBEXHLevel2X 16 6" xfId="15229" xr:uid="{00000000-0005-0000-0000-00009B640000}"/>
    <cellStyle name="SAPBEXHLevel2X 16 7" xfId="17921" xr:uid="{00000000-0005-0000-0000-00009C640000}"/>
    <cellStyle name="SAPBEXHLevel2X 16 8" xfId="19925" xr:uid="{00000000-0005-0000-0000-00009D640000}"/>
    <cellStyle name="SAPBEXHLevel2X 16 9" xfId="22531" xr:uid="{00000000-0005-0000-0000-00009E640000}"/>
    <cellStyle name="SAPBEXHLevel2X 17" xfId="3668" xr:uid="{00000000-0005-0000-0000-00009F640000}"/>
    <cellStyle name="SAPBEXHLevel2X 17 2" xfId="6206" xr:uid="{00000000-0005-0000-0000-0000A0640000}"/>
    <cellStyle name="SAPBEXHLevel2X 17 3" xfId="10054" xr:uid="{00000000-0005-0000-0000-0000A1640000}"/>
    <cellStyle name="SAPBEXHLevel2X 17 4" xfId="10431" xr:uid="{00000000-0005-0000-0000-0000A2640000}"/>
    <cellStyle name="SAPBEXHLevel2X 17 5" xfId="12757" xr:uid="{00000000-0005-0000-0000-0000A3640000}"/>
    <cellStyle name="SAPBEXHLevel2X 17 6" xfId="16201" xr:uid="{00000000-0005-0000-0000-0000A4640000}"/>
    <cellStyle name="SAPBEXHLevel2X 17 7" xfId="17453" xr:uid="{00000000-0005-0000-0000-0000A5640000}"/>
    <cellStyle name="SAPBEXHLevel2X 17 8" xfId="20897" xr:uid="{00000000-0005-0000-0000-0000A6640000}"/>
    <cellStyle name="SAPBEXHLevel2X 17 9" xfId="22102" xr:uid="{00000000-0005-0000-0000-0000A7640000}"/>
    <cellStyle name="SAPBEXHLevel2X 18" xfId="3735" xr:uid="{00000000-0005-0000-0000-0000A8640000}"/>
    <cellStyle name="SAPBEXHLevel2X 18 2" xfId="6273" xr:uid="{00000000-0005-0000-0000-0000A9640000}"/>
    <cellStyle name="SAPBEXHLevel2X 18 3" xfId="7948" xr:uid="{00000000-0005-0000-0000-0000AA640000}"/>
    <cellStyle name="SAPBEXHLevel2X 18 4" xfId="10173" xr:uid="{00000000-0005-0000-0000-0000AB640000}"/>
    <cellStyle name="SAPBEXHLevel2X 18 5" xfId="12429" xr:uid="{00000000-0005-0000-0000-0000AC640000}"/>
    <cellStyle name="SAPBEXHLevel2X 18 6" xfId="15908" xr:uid="{00000000-0005-0000-0000-0000AD640000}"/>
    <cellStyle name="SAPBEXHLevel2X 18 7" xfId="17125" xr:uid="{00000000-0005-0000-0000-0000AE640000}"/>
    <cellStyle name="SAPBEXHLevel2X 18 8" xfId="20604" xr:uid="{00000000-0005-0000-0000-0000AF640000}"/>
    <cellStyle name="SAPBEXHLevel2X 18 9" xfId="21809" xr:uid="{00000000-0005-0000-0000-0000B0640000}"/>
    <cellStyle name="SAPBEXHLevel2X 19" xfId="3730" xr:uid="{00000000-0005-0000-0000-0000B1640000}"/>
    <cellStyle name="SAPBEXHLevel2X 19 2" xfId="6268" xr:uid="{00000000-0005-0000-0000-0000B2640000}"/>
    <cellStyle name="SAPBEXHLevel2X 19 3" xfId="8580" xr:uid="{00000000-0005-0000-0000-0000B3640000}"/>
    <cellStyle name="SAPBEXHLevel2X 19 4" xfId="10620" xr:uid="{00000000-0005-0000-0000-0000B4640000}"/>
    <cellStyle name="SAPBEXHLevel2X 19 5" xfId="12310" xr:uid="{00000000-0005-0000-0000-0000B5640000}"/>
    <cellStyle name="SAPBEXHLevel2X 19 6" xfId="12870" xr:uid="{00000000-0005-0000-0000-0000B6640000}"/>
    <cellStyle name="SAPBEXHLevel2X 19 7" xfId="17006" xr:uid="{00000000-0005-0000-0000-0000B7640000}"/>
    <cellStyle name="SAPBEXHLevel2X 19 8" xfId="17566" xr:uid="{00000000-0005-0000-0000-0000B8640000}"/>
    <cellStyle name="SAPBEXHLevel2X 19 9" xfId="21701" xr:uid="{00000000-0005-0000-0000-0000B9640000}"/>
    <cellStyle name="SAPBEXHLevel2X 2" xfId="3085" xr:uid="{00000000-0005-0000-0000-0000BA640000}"/>
    <cellStyle name="SAPBEXHLevel2X 2 10" xfId="32759" xr:uid="{36645C41-A594-41FC-AD8D-4C790C29F5EC}"/>
    <cellStyle name="SAPBEXHLevel2X 2 2" xfId="5623" xr:uid="{00000000-0005-0000-0000-0000BB640000}"/>
    <cellStyle name="SAPBEXHLevel2X 2 2 2" xfId="42385" xr:uid="{0DB73A20-1BB8-4983-A993-7C287EBAD71B}"/>
    <cellStyle name="SAPBEXHLevel2X 2 3" xfId="9879" xr:uid="{00000000-0005-0000-0000-0000BC640000}"/>
    <cellStyle name="SAPBEXHLevel2X 2 4" xfId="10373" xr:uid="{00000000-0005-0000-0000-0000BD640000}"/>
    <cellStyle name="SAPBEXHLevel2X 2 5" xfId="12695" xr:uid="{00000000-0005-0000-0000-0000BE640000}"/>
    <cellStyle name="SAPBEXHLevel2X 2 6" xfId="15074" xr:uid="{00000000-0005-0000-0000-0000BF640000}"/>
    <cellStyle name="SAPBEXHLevel2X 2 7" xfId="17391" xr:uid="{00000000-0005-0000-0000-0000C0640000}"/>
    <cellStyle name="SAPBEXHLevel2X 2 8" xfId="19770" xr:uid="{00000000-0005-0000-0000-0000C1640000}"/>
    <cellStyle name="SAPBEXHLevel2X 2 9" xfId="22044" xr:uid="{00000000-0005-0000-0000-0000C2640000}"/>
    <cellStyle name="SAPBEXHLevel2X 20" xfId="3636" xr:uid="{00000000-0005-0000-0000-0000C3640000}"/>
    <cellStyle name="SAPBEXHLevel2X 20 2" xfId="6174" xr:uid="{00000000-0005-0000-0000-0000C4640000}"/>
    <cellStyle name="SAPBEXHLevel2X 20 3" xfId="8990" xr:uid="{00000000-0005-0000-0000-0000C5640000}"/>
    <cellStyle name="SAPBEXHLevel2X 20 4" xfId="11627" xr:uid="{00000000-0005-0000-0000-0000C6640000}"/>
    <cellStyle name="SAPBEXHLevel2X 20 5" xfId="14070" xr:uid="{00000000-0005-0000-0000-0000C7640000}"/>
    <cellStyle name="SAPBEXHLevel2X 20 6" xfId="15004" xr:uid="{00000000-0005-0000-0000-0000C8640000}"/>
    <cellStyle name="SAPBEXHLevel2X 20 7" xfId="18766" xr:uid="{00000000-0005-0000-0000-0000C9640000}"/>
    <cellStyle name="SAPBEXHLevel2X 20 8" xfId="19700" xr:uid="{00000000-0005-0000-0000-0000CA640000}"/>
    <cellStyle name="SAPBEXHLevel2X 20 9" xfId="23302" xr:uid="{00000000-0005-0000-0000-0000CB640000}"/>
    <cellStyle name="SAPBEXHLevel2X 21" xfId="3847" xr:uid="{00000000-0005-0000-0000-0000CC640000}"/>
    <cellStyle name="SAPBEXHLevel2X 21 2" xfId="6385" xr:uid="{00000000-0005-0000-0000-0000CD640000}"/>
    <cellStyle name="SAPBEXHLevel2X 21 3" xfId="8773" xr:uid="{00000000-0005-0000-0000-0000CE640000}"/>
    <cellStyle name="SAPBEXHLevel2X 21 4" xfId="11599" xr:uid="{00000000-0005-0000-0000-0000CF640000}"/>
    <cellStyle name="SAPBEXHLevel2X 21 5" xfId="14037" xr:uid="{00000000-0005-0000-0000-0000D0640000}"/>
    <cellStyle name="SAPBEXHLevel2X 21 6" xfId="16098" xr:uid="{00000000-0005-0000-0000-0000D1640000}"/>
    <cellStyle name="SAPBEXHLevel2X 21 7" xfId="18733" xr:uid="{00000000-0005-0000-0000-0000D2640000}"/>
    <cellStyle name="SAPBEXHLevel2X 21 8" xfId="20794" xr:uid="{00000000-0005-0000-0000-0000D3640000}"/>
    <cellStyle name="SAPBEXHLevel2X 21 9" xfId="23273" xr:uid="{00000000-0005-0000-0000-0000D4640000}"/>
    <cellStyle name="SAPBEXHLevel2X 22" xfId="3842" xr:uid="{00000000-0005-0000-0000-0000D5640000}"/>
    <cellStyle name="SAPBEXHLevel2X 22 2" xfId="6380" xr:uid="{00000000-0005-0000-0000-0000D6640000}"/>
    <cellStyle name="SAPBEXHLevel2X 22 3" xfId="8303" xr:uid="{00000000-0005-0000-0000-0000D7640000}"/>
    <cellStyle name="SAPBEXHLevel2X 22 4" xfId="10255" xr:uid="{00000000-0005-0000-0000-0000D8640000}"/>
    <cellStyle name="SAPBEXHLevel2X 22 5" xfId="12563" xr:uid="{00000000-0005-0000-0000-0000D9640000}"/>
    <cellStyle name="SAPBEXHLevel2X 22 6" xfId="15652" xr:uid="{00000000-0005-0000-0000-0000DA640000}"/>
    <cellStyle name="SAPBEXHLevel2X 22 7" xfId="17259" xr:uid="{00000000-0005-0000-0000-0000DB640000}"/>
    <cellStyle name="SAPBEXHLevel2X 22 8" xfId="20348" xr:uid="{00000000-0005-0000-0000-0000DC640000}"/>
    <cellStyle name="SAPBEXHLevel2X 22 9" xfId="21924" xr:uid="{00000000-0005-0000-0000-0000DD640000}"/>
    <cellStyle name="SAPBEXHLevel2X 23" xfId="3909" xr:uid="{00000000-0005-0000-0000-0000DE640000}"/>
    <cellStyle name="SAPBEXHLevel2X 23 2" xfId="6447" xr:uid="{00000000-0005-0000-0000-0000DF640000}"/>
    <cellStyle name="SAPBEXHLevel2X 23 3" xfId="8191" xr:uid="{00000000-0005-0000-0000-0000E0640000}"/>
    <cellStyle name="SAPBEXHLevel2X 23 4" xfId="12230" xr:uid="{00000000-0005-0000-0000-0000E1640000}"/>
    <cellStyle name="SAPBEXHLevel2X 23 5" xfId="14202" xr:uid="{00000000-0005-0000-0000-0000E2640000}"/>
    <cellStyle name="SAPBEXHLevel2X 23 6" xfId="15065" xr:uid="{00000000-0005-0000-0000-0000E3640000}"/>
    <cellStyle name="SAPBEXHLevel2X 23 7" xfId="18898" xr:uid="{00000000-0005-0000-0000-0000E4640000}"/>
    <cellStyle name="SAPBEXHLevel2X 23 8" xfId="19761" xr:uid="{00000000-0005-0000-0000-0000E5640000}"/>
    <cellStyle name="SAPBEXHLevel2X 23 9" xfId="23425" xr:uid="{00000000-0005-0000-0000-0000E6640000}"/>
    <cellStyle name="SAPBEXHLevel2X 24" xfId="3952" xr:uid="{00000000-0005-0000-0000-0000E7640000}"/>
    <cellStyle name="SAPBEXHLevel2X 24 2" xfId="6490" xr:uid="{00000000-0005-0000-0000-0000E8640000}"/>
    <cellStyle name="SAPBEXHLevel2X 24 3" xfId="9898" xr:uid="{00000000-0005-0000-0000-0000E9640000}"/>
    <cellStyle name="SAPBEXHLevel2X 24 4" xfId="12160" xr:uid="{00000000-0005-0000-0000-0000EA640000}"/>
    <cellStyle name="SAPBEXHLevel2X 24 5" xfId="14643" xr:uid="{00000000-0005-0000-0000-0000EB640000}"/>
    <cellStyle name="SAPBEXHLevel2X 24 6" xfId="12646" xr:uid="{00000000-0005-0000-0000-0000EC640000}"/>
    <cellStyle name="SAPBEXHLevel2X 24 7" xfId="19339" xr:uid="{00000000-0005-0000-0000-0000ED640000}"/>
    <cellStyle name="SAPBEXHLevel2X 24 8" xfId="17342" xr:uid="{00000000-0005-0000-0000-0000EE640000}"/>
    <cellStyle name="SAPBEXHLevel2X 24 9" xfId="23834" xr:uid="{00000000-0005-0000-0000-0000EF640000}"/>
    <cellStyle name="SAPBEXHLevel2X 25" xfId="3995" xr:uid="{00000000-0005-0000-0000-0000F0640000}"/>
    <cellStyle name="SAPBEXHLevel2X 25 2" xfId="6533" xr:uid="{00000000-0005-0000-0000-0000F1640000}"/>
    <cellStyle name="SAPBEXHLevel2X 25 3" xfId="10113" xr:uid="{00000000-0005-0000-0000-0000F2640000}"/>
    <cellStyle name="SAPBEXHLevel2X 25 4" xfId="11350" xr:uid="{00000000-0005-0000-0000-0000F3640000}"/>
    <cellStyle name="SAPBEXHLevel2X 25 5" xfId="13762" xr:uid="{00000000-0005-0000-0000-0000F4640000}"/>
    <cellStyle name="SAPBEXHLevel2X 25 6" xfId="16718" xr:uid="{00000000-0005-0000-0000-0000F5640000}"/>
    <cellStyle name="SAPBEXHLevel2X 25 7" xfId="18458" xr:uid="{00000000-0005-0000-0000-0000F6640000}"/>
    <cellStyle name="SAPBEXHLevel2X 25 8" xfId="21414" xr:uid="{00000000-0005-0000-0000-0000F7640000}"/>
    <cellStyle name="SAPBEXHLevel2X 25 9" xfId="23024" xr:uid="{00000000-0005-0000-0000-0000F8640000}"/>
    <cellStyle name="SAPBEXHLevel2X 26" xfId="3990" xr:uid="{00000000-0005-0000-0000-0000F9640000}"/>
    <cellStyle name="SAPBEXHLevel2X 26 2" xfId="6528" xr:uid="{00000000-0005-0000-0000-0000FA640000}"/>
    <cellStyle name="SAPBEXHLevel2X 26 3" xfId="8838" xr:uid="{00000000-0005-0000-0000-0000FB640000}"/>
    <cellStyle name="SAPBEXHLevel2X 26 4" xfId="11058" xr:uid="{00000000-0005-0000-0000-0000FC640000}"/>
    <cellStyle name="SAPBEXHLevel2X 26 5" xfId="13445" xr:uid="{00000000-0005-0000-0000-0000FD640000}"/>
    <cellStyle name="SAPBEXHLevel2X 26 6" xfId="15396" xr:uid="{00000000-0005-0000-0000-0000FE640000}"/>
    <cellStyle name="SAPBEXHLevel2X 26 7" xfId="18141" xr:uid="{00000000-0005-0000-0000-0000FF640000}"/>
    <cellStyle name="SAPBEXHLevel2X 26 8" xfId="20092" xr:uid="{00000000-0005-0000-0000-000000650000}"/>
    <cellStyle name="SAPBEXHLevel2X 26 9" xfId="22731" xr:uid="{00000000-0005-0000-0000-000001650000}"/>
    <cellStyle name="SAPBEXHLevel2X 27" xfId="4043" xr:uid="{00000000-0005-0000-0000-000002650000}"/>
    <cellStyle name="SAPBEXHLevel2X 27 2" xfId="6581" xr:uid="{00000000-0005-0000-0000-000003650000}"/>
    <cellStyle name="SAPBEXHLevel2X 27 3" xfId="9708" xr:uid="{00000000-0005-0000-0000-000004650000}"/>
    <cellStyle name="SAPBEXHLevel2X 27 4" xfId="10574" xr:uid="{00000000-0005-0000-0000-000005650000}"/>
    <cellStyle name="SAPBEXHLevel2X 27 5" xfId="12920" xr:uid="{00000000-0005-0000-0000-000006650000}"/>
    <cellStyle name="SAPBEXHLevel2X 27 6" xfId="15119" xr:uid="{00000000-0005-0000-0000-000007650000}"/>
    <cellStyle name="SAPBEXHLevel2X 27 7" xfId="17616" xr:uid="{00000000-0005-0000-0000-000008650000}"/>
    <cellStyle name="SAPBEXHLevel2X 27 8" xfId="19815" xr:uid="{00000000-0005-0000-0000-000009650000}"/>
    <cellStyle name="SAPBEXHLevel2X 27 9" xfId="22246" xr:uid="{00000000-0005-0000-0000-00000A650000}"/>
    <cellStyle name="SAPBEXHLevel2X 28" xfId="4100" xr:uid="{00000000-0005-0000-0000-00000B650000}"/>
    <cellStyle name="SAPBEXHLevel2X 28 2" xfId="6638" xr:uid="{00000000-0005-0000-0000-00000C650000}"/>
    <cellStyle name="SAPBEXHLevel2X 28 3" xfId="8529" xr:uid="{00000000-0005-0000-0000-00000D650000}"/>
    <cellStyle name="SAPBEXHLevel2X 28 4" xfId="5450" xr:uid="{00000000-0005-0000-0000-00000E650000}"/>
    <cellStyle name="SAPBEXHLevel2X 28 5" xfId="12366" xr:uid="{00000000-0005-0000-0000-00000F650000}"/>
    <cellStyle name="SAPBEXHLevel2X 28 6" xfId="16842" xr:uid="{00000000-0005-0000-0000-000010650000}"/>
    <cellStyle name="SAPBEXHLevel2X 28 7" xfId="17062" xr:uid="{00000000-0005-0000-0000-000011650000}"/>
    <cellStyle name="SAPBEXHLevel2X 28 8" xfId="21538" xr:uid="{00000000-0005-0000-0000-000012650000}"/>
    <cellStyle name="SAPBEXHLevel2X 28 9" xfId="21752" xr:uid="{00000000-0005-0000-0000-000013650000}"/>
    <cellStyle name="SAPBEXHLevel2X 29" xfId="4143" xr:uid="{00000000-0005-0000-0000-000014650000}"/>
    <cellStyle name="SAPBEXHLevel2X 29 2" xfId="6681" xr:uid="{00000000-0005-0000-0000-000015650000}"/>
    <cellStyle name="SAPBEXHLevel2X 29 3" xfId="9124" xr:uid="{00000000-0005-0000-0000-000016650000}"/>
    <cellStyle name="SAPBEXHLevel2X 29 4" xfId="11443" xr:uid="{00000000-0005-0000-0000-000017650000}"/>
    <cellStyle name="SAPBEXHLevel2X 29 5" xfId="13862" xr:uid="{00000000-0005-0000-0000-000018650000}"/>
    <cellStyle name="SAPBEXHLevel2X 29 6" xfId="16787" xr:uid="{00000000-0005-0000-0000-000019650000}"/>
    <cellStyle name="SAPBEXHLevel2X 29 7" xfId="18558" xr:uid="{00000000-0005-0000-0000-00001A650000}"/>
    <cellStyle name="SAPBEXHLevel2X 29 8" xfId="21483" xr:uid="{00000000-0005-0000-0000-00001B650000}"/>
    <cellStyle name="SAPBEXHLevel2X 29 9" xfId="23118" xr:uid="{00000000-0005-0000-0000-00001C650000}"/>
    <cellStyle name="SAPBEXHLevel2X 3" xfId="3131" xr:uid="{00000000-0005-0000-0000-00001D650000}"/>
    <cellStyle name="SAPBEXHLevel2X 3 10" xfId="42313" xr:uid="{9DB46612-749E-465D-BD28-AE932F98DB0C}"/>
    <cellStyle name="SAPBEXHLevel2X 3 2" xfId="5669" xr:uid="{00000000-0005-0000-0000-00001E650000}"/>
    <cellStyle name="SAPBEXHLevel2X 3 3" xfId="10209" xr:uid="{00000000-0005-0000-0000-00001F650000}"/>
    <cellStyle name="SAPBEXHLevel2X 3 4" xfId="9813" xr:uid="{00000000-0005-0000-0000-000020650000}"/>
    <cellStyle name="SAPBEXHLevel2X 3 5" xfId="12365" xr:uid="{00000000-0005-0000-0000-000021650000}"/>
    <cellStyle name="SAPBEXHLevel2X 3 6" xfId="15455" xr:uid="{00000000-0005-0000-0000-000022650000}"/>
    <cellStyle name="SAPBEXHLevel2X 3 7" xfId="17061" xr:uid="{00000000-0005-0000-0000-000023650000}"/>
    <cellStyle name="SAPBEXHLevel2X 3 8" xfId="20151" xr:uid="{00000000-0005-0000-0000-000024650000}"/>
    <cellStyle name="SAPBEXHLevel2X 3 9" xfId="21751" xr:uid="{00000000-0005-0000-0000-000025650000}"/>
    <cellStyle name="SAPBEXHLevel2X 30" xfId="4186" xr:uid="{00000000-0005-0000-0000-000026650000}"/>
    <cellStyle name="SAPBEXHLevel2X 30 2" xfId="6724" xr:uid="{00000000-0005-0000-0000-000027650000}"/>
    <cellStyle name="SAPBEXHLevel2X 30 3" xfId="9629" xr:uid="{00000000-0005-0000-0000-000028650000}"/>
    <cellStyle name="SAPBEXHLevel2X 30 4" xfId="11290" xr:uid="{00000000-0005-0000-0000-000029650000}"/>
    <cellStyle name="SAPBEXHLevel2X 30 5" xfId="13696" xr:uid="{00000000-0005-0000-0000-00002A650000}"/>
    <cellStyle name="SAPBEXHLevel2X 30 6" xfId="15438" xr:uid="{00000000-0005-0000-0000-00002B650000}"/>
    <cellStyle name="SAPBEXHLevel2X 30 7" xfId="18392" xr:uid="{00000000-0005-0000-0000-00002C650000}"/>
    <cellStyle name="SAPBEXHLevel2X 30 8" xfId="20134" xr:uid="{00000000-0005-0000-0000-00002D650000}"/>
    <cellStyle name="SAPBEXHLevel2X 30 9" xfId="22964" xr:uid="{00000000-0005-0000-0000-00002E650000}"/>
    <cellStyle name="SAPBEXHLevel2X 31" xfId="4123" xr:uid="{00000000-0005-0000-0000-00002F650000}"/>
    <cellStyle name="SAPBEXHLevel2X 31 2" xfId="6661" xr:uid="{00000000-0005-0000-0000-000030650000}"/>
    <cellStyle name="SAPBEXHLevel2X 31 3" xfId="8924" xr:uid="{00000000-0005-0000-0000-000031650000}"/>
    <cellStyle name="SAPBEXHLevel2X 31 4" xfId="10264" xr:uid="{00000000-0005-0000-0000-000032650000}"/>
    <cellStyle name="SAPBEXHLevel2X 31 5" xfId="12574" xr:uid="{00000000-0005-0000-0000-000033650000}"/>
    <cellStyle name="SAPBEXHLevel2X 31 6" xfId="16681" xr:uid="{00000000-0005-0000-0000-000034650000}"/>
    <cellStyle name="SAPBEXHLevel2X 31 7" xfId="17270" xr:uid="{00000000-0005-0000-0000-000035650000}"/>
    <cellStyle name="SAPBEXHLevel2X 31 8" xfId="21377" xr:uid="{00000000-0005-0000-0000-000036650000}"/>
    <cellStyle name="SAPBEXHLevel2X 31 9" xfId="21933" xr:uid="{00000000-0005-0000-0000-000037650000}"/>
    <cellStyle name="SAPBEXHLevel2X 32" xfId="4271" xr:uid="{00000000-0005-0000-0000-000038650000}"/>
    <cellStyle name="SAPBEXHLevel2X 32 2" xfId="6809" xr:uid="{00000000-0005-0000-0000-000039650000}"/>
    <cellStyle name="SAPBEXHLevel2X 32 3" xfId="9297" xr:uid="{00000000-0005-0000-0000-00003A650000}"/>
    <cellStyle name="SAPBEXHLevel2X 32 4" xfId="10432" xr:uid="{00000000-0005-0000-0000-00003B650000}"/>
    <cellStyle name="SAPBEXHLevel2X 32 5" xfId="12758" xr:uid="{00000000-0005-0000-0000-00003C650000}"/>
    <cellStyle name="SAPBEXHLevel2X 32 6" xfId="15694" xr:uid="{00000000-0005-0000-0000-00003D650000}"/>
    <cellStyle name="SAPBEXHLevel2X 32 7" xfId="17454" xr:uid="{00000000-0005-0000-0000-00003E650000}"/>
    <cellStyle name="SAPBEXHLevel2X 32 8" xfId="20390" xr:uid="{00000000-0005-0000-0000-00003F650000}"/>
    <cellStyle name="SAPBEXHLevel2X 32 9" xfId="22103" xr:uid="{00000000-0005-0000-0000-000040650000}"/>
    <cellStyle name="SAPBEXHLevel2X 33" xfId="4314" xr:uid="{00000000-0005-0000-0000-000041650000}"/>
    <cellStyle name="SAPBEXHLevel2X 33 2" xfId="6852" xr:uid="{00000000-0005-0000-0000-000042650000}"/>
    <cellStyle name="SAPBEXHLevel2X 33 3" xfId="10104" xr:uid="{00000000-0005-0000-0000-000043650000}"/>
    <cellStyle name="SAPBEXHLevel2X 33 4" xfId="11718" xr:uid="{00000000-0005-0000-0000-000044650000}"/>
    <cellStyle name="SAPBEXHLevel2X 33 5" xfId="14169" xr:uid="{00000000-0005-0000-0000-000045650000}"/>
    <cellStyle name="SAPBEXHLevel2X 33 6" xfId="12874" xr:uid="{00000000-0005-0000-0000-000046650000}"/>
    <cellStyle name="SAPBEXHLevel2X 33 7" xfId="18865" xr:uid="{00000000-0005-0000-0000-000047650000}"/>
    <cellStyle name="SAPBEXHLevel2X 33 8" xfId="17570" xr:uid="{00000000-0005-0000-0000-000048650000}"/>
    <cellStyle name="SAPBEXHLevel2X 33 9" xfId="23392" xr:uid="{00000000-0005-0000-0000-000049650000}"/>
    <cellStyle name="SAPBEXHLevel2X 34" xfId="4357" xr:uid="{00000000-0005-0000-0000-00004A650000}"/>
    <cellStyle name="SAPBEXHLevel2X 34 2" xfId="6895" xr:uid="{00000000-0005-0000-0000-00004B650000}"/>
    <cellStyle name="SAPBEXHLevel2X 34 3" xfId="8846" xr:uid="{00000000-0005-0000-0000-00004C650000}"/>
    <cellStyle name="SAPBEXHLevel2X 34 4" xfId="10411" xr:uid="{00000000-0005-0000-0000-00004D650000}"/>
    <cellStyle name="SAPBEXHLevel2X 34 5" xfId="12735" xr:uid="{00000000-0005-0000-0000-00004E650000}"/>
    <cellStyle name="SAPBEXHLevel2X 34 6" xfId="16145" xr:uid="{00000000-0005-0000-0000-00004F650000}"/>
    <cellStyle name="SAPBEXHLevel2X 34 7" xfId="17431" xr:uid="{00000000-0005-0000-0000-000050650000}"/>
    <cellStyle name="SAPBEXHLevel2X 34 8" xfId="20841" xr:uid="{00000000-0005-0000-0000-000051650000}"/>
    <cellStyle name="SAPBEXHLevel2X 34 9" xfId="22082" xr:uid="{00000000-0005-0000-0000-000052650000}"/>
    <cellStyle name="SAPBEXHLevel2X 35" xfId="4400" xr:uid="{00000000-0005-0000-0000-000053650000}"/>
    <cellStyle name="SAPBEXHLevel2X 35 2" xfId="6938" xr:uid="{00000000-0005-0000-0000-000054650000}"/>
    <cellStyle name="SAPBEXHLevel2X 35 3" xfId="9283" xr:uid="{00000000-0005-0000-0000-000055650000}"/>
    <cellStyle name="SAPBEXHLevel2X 35 4" xfId="10454" xr:uid="{00000000-0005-0000-0000-000056650000}"/>
    <cellStyle name="SAPBEXHLevel2X 35 5" xfId="12785" xr:uid="{00000000-0005-0000-0000-000057650000}"/>
    <cellStyle name="SAPBEXHLevel2X 35 6" xfId="16583" xr:uid="{00000000-0005-0000-0000-000058650000}"/>
    <cellStyle name="SAPBEXHLevel2X 35 7" xfId="17481" xr:uid="{00000000-0005-0000-0000-000059650000}"/>
    <cellStyle name="SAPBEXHLevel2X 35 8" xfId="21279" xr:uid="{00000000-0005-0000-0000-00005A650000}"/>
    <cellStyle name="SAPBEXHLevel2X 35 9" xfId="22125" xr:uid="{00000000-0005-0000-0000-00005B650000}"/>
    <cellStyle name="SAPBEXHLevel2X 36" xfId="4443" xr:uid="{00000000-0005-0000-0000-00005C650000}"/>
    <cellStyle name="SAPBEXHLevel2X 36 2" xfId="6981" xr:uid="{00000000-0005-0000-0000-00005D650000}"/>
    <cellStyle name="SAPBEXHLevel2X 36 3" xfId="10155" xr:uid="{00000000-0005-0000-0000-00005E650000}"/>
    <cellStyle name="SAPBEXHLevel2X 36 4" xfId="11089" xr:uid="{00000000-0005-0000-0000-00005F650000}"/>
    <cellStyle name="SAPBEXHLevel2X 36 5" xfId="13480" xr:uid="{00000000-0005-0000-0000-000060650000}"/>
    <cellStyle name="SAPBEXHLevel2X 36 6" xfId="15015" xr:uid="{00000000-0005-0000-0000-000061650000}"/>
    <cellStyle name="SAPBEXHLevel2X 36 7" xfId="18176" xr:uid="{00000000-0005-0000-0000-000062650000}"/>
    <cellStyle name="SAPBEXHLevel2X 36 8" xfId="19711" xr:uid="{00000000-0005-0000-0000-000063650000}"/>
    <cellStyle name="SAPBEXHLevel2X 36 9" xfId="22762" xr:uid="{00000000-0005-0000-0000-000064650000}"/>
    <cellStyle name="SAPBEXHLevel2X 37" xfId="4472" xr:uid="{00000000-0005-0000-0000-000065650000}"/>
    <cellStyle name="SAPBEXHLevel2X 37 2" xfId="7010" xr:uid="{00000000-0005-0000-0000-000066650000}"/>
    <cellStyle name="SAPBEXHLevel2X 37 3" xfId="8641" xr:uid="{00000000-0005-0000-0000-000067650000}"/>
    <cellStyle name="SAPBEXHLevel2X 37 4" xfId="11993" xr:uid="{00000000-0005-0000-0000-000068650000}"/>
    <cellStyle name="SAPBEXHLevel2X 37 5" xfId="14471" xr:uid="{00000000-0005-0000-0000-000069650000}"/>
    <cellStyle name="SAPBEXHLevel2X 37 6" xfId="16186" xr:uid="{00000000-0005-0000-0000-00006A650000}"/>
    <cellStyle name="SAPBEXHLevel2X 37 7" xfId="19167" xr:uid="{00000000-0005-0000-0000-00006B650000}"/>
    <cellStyle name="SAPBEXHLevel2X 37 8" xfId="20882" xr:uid="{00000000-0005-0000-0000-00006C650000}"/>
    <cellStyle name="SAPBEXHLevel2X 37 9" xfId="23668" xr:uid="{00000000-0005-0000-0000-00006D650000}"/>
    <cellStyle name="SAPBEXHLevel2X 38" xfId="4529" xr:uid="{00000000-0005-0000-0000-00006E650000}"/>
    <cellStyle name="SAPBEXHLevel2X 38 2" xfId="7067" xr:uid="{00000000-0005-0000-0000-00006F650000}"/>
    <cellStyle name="SAPBEXHLevel2X 38 3" xfId="10202" xr:uid="{00000000-0005-0000-0000-000070650000}"/>
    <cellStyle name="SAPBEXHLevel2X 38 4" xfId="11002" xr:uid="{00000000-0005-0000-0000-000071650000}"/>
    <cellStyle name="SAPBEXHLevel2X 38 5" xfId="13377" xr:uid="{00000000-0005-0000-0000-000072650000}"/>
    <cellStyle name="SAPBEXHLevel2X 38 6" xfId="16582" xr:uid="{00000000-0005-0000-0000-000073650000}"/>
    <cellStyle name="SAPBEXHLevel2X 38 7" xfId="18073" xr:uid="{00000000-0005-0000-0000-000074650000}"/>
    <cellStyle name="SAPBEXHLevel2X 38 8" xfId="21278" xr:uid="{00000000-0005-0000-0000-000075650000}"/>
    <cellStyle name="SAPBEXHLevel2X 38 9" xfId="22675" xr:uid="{00000000-0005-0000-0000-000076650000}"/>
    <cellStyle name="SAPBEXHLevel2X 39" xfId="4572" xr:uid="{00000000-0005-0000-0000-000077650000}"/>
    <cellStyle name="SAPBEXHLevel2X 39 2" xfId="7110" xr:uid="{00000000-0005-0000-0000-000078650000}"/>
    <cellStyle name="SAPBEXHLevel2X 39 3" xfId="9139" xr:uid="{00000000-0005-0000-0000-000079650000}"/>
    <cellStyle name="SAPBEXHLevel2X 39 4" xfId="10693" xr:uid="{00000000-0005-0000-0000-00007A650000}"/>
    <cellStyle name="SAPBEXHLevel2X 39 5" xfId="13045" xr:uid="{00000000-0005-0000-0000-00007B650000}"/>
    <cellStyle name="SAPBEXHLevel2X 39 6" xfId="15982" xr:uid="{00000000-0005-0000-0000-00007C650000}"/>
    <cellStyle name="SAPBEXHLevel2X 39 7" xfId="17741" xr:uid="{00000000-0005-0000-0000-00007D650000}"/>
    <cellStyle name="SAPBEXHLevel2X 39 8" xfId="20678" xr:uid="{00000000-0005-0000-0000-00007E650000}"/>
    <cellStyle name="SAPBEXHLevel2X 39 9" xfId="22366" xr:uid="{00000000-0005-0000-0000-00007F650000}"/>
    <cellStyle name="SAPBEXHLevel2X 4" xfId="3174" xr:uid="{00000000-0005-0000-0000-000080650000}"/>
    <cellStyle name="SAPBEXHLevel2X 4 2" xfId="5712" xr:uid="{00000000-0005-0000-0000-000081650000}"/>
    <cellStyle name="SAPBEXHLevel2X 4 3" xfId="5484" xr:uid="{00000000-0005-0000-0000-000082650000}"/>
    <cellStyle name="SAPBEXHLevel2X 4 4" xfId="11660" xr:uid="{00000000-0005-0000-0000-000083650000}"/>
    <cellStyle name="SAPBEXHLevel2X 4 5" xfId="14107" xr:uid="{00000000-0005-0000-0000-000084650000}"/>
    <cellStyle name="SAPBEXHLevel2X 4 6" xfId="15588" xr:uid="{00000000-0005-0000-0000-000085650000}"/>
    <cellStyle name="SAPBEXHLevel2X 4 7" xfId="18803" xr:uid="{00000000-0005-0000-0000-000086650000}"/>
    <cellStyle name="SAPBEXHLevel2X 4 8" xfId="20284" xr:uid="{00000000-0005-0000-0000-000087650000}"/>
    <cellStyle name="SAPBEXHLevel2X 4 9" xfId="23335" xr:uid="{00000000-0005-0000-0000-000088650000}"/>
    <cellStyle name="SAPBEXHLevel2X 40" xfId="4615" xr:uid="{00000000-0005-0000-0000-000089650000}"/>
    <cellStyle name="SAPBEXHLevel2X 40 2" xfId="7153" xr:uid="{00000000-0005-0000-0000-00008A650000}"/>
    <cellStyle name="SAPBEXHLevel2X 40 3" xfId="9041" xr:uid="{00000000-0005-0000-0000-00008B650000}"/>
    <cellStyle name="SAPBEXHLevel2X 40 4" xfId="12299" xr:uid="{00000000-0005-0000-0000-00008C650000}"/>
    <cellStyle name="SAPBEXHLevel2X 40 5" xfId="14647" xr:uid="{00000000-0005-0000-0000-00008D650000}"/>
    <cellStyle name="SAPBEXHLevel2X 40 6" xfId="16739" xr:uid="{00000000-0005-0000-0000-00008E650000}"/>
    <cellStyle name="SAPBEXHLevel2X 40 7" xfId="19343" xr:uid="{00000000-0005-0000-0000-00008F650000}"/>
    <cellStyle name="SAPBEXHLevel2X 40 8" xfId="21435" xr:uid="{00000000-0005-0000-0000-000090650000}"/>
    <cellStyle name="SAPBEXHLevel2X 40 9" xfId="23838" xr:uid="{00000000-0005-0000-0000-000091650000}"/>
    <cellStyle name="SAPBEXHLevel2X 41" xfId="4658" xr:uid="{00000000-0005-0000-0000-000092650000}"/>
    <cellStyle name="SAPBEXHLevel2X 41 2" xfId="7196" xr:uid="{00000000-0005-0000-0000-000093650000}"/>
    <cellStyle name="SAPBEXHLevel2X 41 3" xfId="8955" xr:uid="{00000000-0005-0000-0000-000094650000}"/>
    <cellStyle name="SAPBEXHLevel2X 41 4" xfId="12278" xr:uid="{00000000-0005-0000-0000-000095650000}"/>
    <cellStyle name="SAPBEXHLevel2X 41 5" xfId="13483" xr:uid="{00000000-0005-0000-0000-000096650000}"/>
    <cellStyle name="SAPBEXHLevel2X 41 6" xfId="16003" xr:uid="{00000000-0005-0000-0000-000097650000}"/>
    <cellStyle name="SAPBEXHLevel2X 41 7" xfId="18179" xr:uid="{00000000-0005-0000-0000-000098650000}"/>
    <cellStyle name="SAPBEXHLevel2X 41 8" xfId="20699" xr:uid="{00000000-0005-0000-0000-000099650000}"/>
    <cellStyle name="SAPBEXHLevel2X 41 9" xfId="22765" xr:uid="{00000000-0005-0000-0000-00009A650000}"/>
    <cellStyle name="SAPBEXHLevel2X 42" xfId="4700" xr:uid="{00000000-0005-0000-0000-00009B650000}"/>
    <cellStyle name="SAPBEXHLevel2X 42 2" xfId="7238" xr:uid="{00000000-0005-0000-0000-00009C650000}"/>
    <cellStyle name="SAPBEXHLevel2X 42 3" xfId="9398" xr:uid="{00000000-0005-0000-0000-00009D650000}"/>
    <cellStyle name="SAPBEXHLevel2X 42 4" xfId="10939" xr:uid="{00000000-0005-0000-0000-00009E650000}"/>
    <cellStyle name="SAPBEXHLevel2X 42 5" xfId="14901" xr:uid="{00000000-0005-0000-0000-00009F650000}"/>
    <cellStyle name="SAPBEXHLevel2X 42 6" xfId="15170" xr:uid="{00000000-0005-0000-0000-0000A0650000}"/>
    <cellStyle name="SAPBEXHLevel2X 42 7" xfId="19597" xr:uid="{00000000-0005-0000-0000-0000A1650000}"/>
    <cellStyle name="SAPBEXHLevel2X 42 8" xfId="19866" xr:uid="{00000000-0005-0000-0000-0000A2650000}"/>
    <cellStyle name="SAPBEXHLevel2X 42 9" xfId="24066" xr:uid="{00000000-0005-0000-0000-0000A3650000}"/>
    <cellStyle name="SAPBEXHLevel2X 43" xfId="4743" xr:uid="{00000000-0005-0000-0000-0000A4650000}"/>
    <cellStyle name="SAPBEXHLevel2X 43 2" xfId="7281" xr:uid="{00000000-0005-0000-0000-0000A5650000}"/>
    <cellStyle name="SAPBEXHLevel2X 43 3" xfId="8879" xr:uid="{00000000-0005-0000-0000-0000A6650000}"/>
    <cellStyle name="SAPBEXHLevel2X 43 4" xfId="11808" xr:uid="{00000000-0005-0000-0000-0000A7650000}"/>
    <cellStyle name="SAPBEXHLevel2X 43 5" xfId="14265" xr:uid="{00000000-0005-0000-0000-0000A8650000}"/>
    <cellStyle name="SAPBEXHLevel2X 43 6" xfId="15907" xr:uid="{00000000-0005-0000-0000-0000A9650000}"/>
    <cellStyle name="SAPBEXHLevel2X 43 7" xfId="18961" xr:uid="{00000000-0005-0000-0000-0000AA650000}"/>
    <cellStyle name="SAPBEXHLevel2X 43 8" xfId="20603" xr:uid="{00000000-0005-0000-0000-0000AB650000}"/>
    <cellStyle name="SAPBEXHLevel2X 43 9" xfId="23483" xr:uid="{00000000-0005-0000-0000-0000AC650000}"/>
    <cellStyle name="SAPBEXHLevel2X 44" xfId="4738" xr:uid="{00000000-0005-0000-0000-0000AD650000}"/>
    <cellStyle name="SAPBEXHLevel2X 44 2" xfId="7276" xr:uid="{00000000-0005-0000-0000-0000AE650000}"/>
    <cellStyle name="SAPBEXHLevel2X 44 3" xfId="7712" xr:uid="{00000000-0005-0000-0000-0000AF650000}"/>
    <cellStyle name="SAPBEXHLevel2X 44 4" xfId="11673" xr:uid="{00000000-0005-0000-0000-0000B0650000}"/>
    <cellStyle name="SAPBEXHLevel2X 44 5" xfId="14120" xr:uid="{00000000-0005-0000-0000-0000B1650000}"/>
    <cellStyle name="SAPBEXHLevel2X 44 6" xfId="16222" xr:uid="{00000000-0005-0000-0000-0000B2650000}"/>
    <cellStyle name="SAPBEXHLevel2X 44 7" xfId="18816" xr:uid="{00000000-0005-0000-0000-0000B3650000}"/>
    <cellStyle name="SAPBEXHLevel2X 44 8" xfId="20918" xr:uid="{00000000-0005-0000-0000-0000B4650000}"/>
    <cellStyle name="SAPBEXHLevel2X 44 9" xfId="23347" xr:uid="{00000000-0005-0000-0000-0000B5650000}"/>
    <cellStyle name="SAPBEXHLevel2X 45" xfId="4805" xr:uid="{00000000-0005-0000-0000-0000B6650000}"/>
    <cellStyle name="SAPBEXHLevel2X 45 2" xfId="7343" xr:uid="{00000000-0005-0000-0000-0000B7650000}"/>
    <cellStyle name="SAPBEXHLevel2X 45 3" xfId="9582" xr:uid="{00000000-0005-0000-0000-0000B8650000}"/>
    <cellStyle name="SAPBEXHLevel2X 45 4" xfId="9766" xr:uid="{00000000-0005-0000-0000-0000B9650000}"/>
    <cellStyle name="SAPBEXHLevel2X 45 5" xfId="12521" xr:uid="{00000000-0005-0000-0000-0000BA650000}"/>
    <cellStyle name="SAPBEXHLevel2X 45 6" xfId="15607" xr:uid="{00000000-0005-0000-0000-0000BB650000}"/>
    <cellStyle name="SAPBEXHLevel2X 45 7" xfId="17217" xr:uid="{00000000-0005-0000-0000-0000BC650000}"/>
    <cellStyle name="SAPBEXHLevel2X 45 8" xfId="20303" xr:uid="{00000000-0005-0000-0000-0000BD650000}"/>
    <cellStyle name="SAPBEXHLevel2X 45 9" xfId="21888" xr:uid="{00000000-0005-0000-0000-0000BE650000}"/>
    <cellStyle name="SAPBEXHLevel2X 46" xfId="4848" xr:uid="{00000000-0005-0000-0000-0000BF650000}"/>
    <cellStyle name="SAPBEXHLevel2X 46 2" xfId="7386" xr:uid="{00000000-0005-0000-0000-0000C0650000}"/>
    <cellStyle name="SAPBEXHLevel2X 46 3" xfId="9755" xr:uid="{00000000-0005-0000-0000-0000C1650000}"/>
    <cellStyle name="SAPBEXHLevel2X 46 4" xfId="10764" xr:uid="{00000000-0005-0000-0000-0000C2650000}"/>
    <cellStyle name="SAPBEXHLevel2X 46 5" xfId="13119" xr:uid="{00000000-0005-0000-0000-0000C3650000}"/>
    <cellStyle name="SAPBEXHLevel2X 46 6" xfId="16956" xr:uid="{00000000-0005-0000-0000-0000C4650000}"/>
    <cellStyle name="SAPBEXHLevel2X 46 7" xfId="17815" xr:uid="{00000000-0005-0000-0000-0000C5650000}"/>
    <cellStyle name="SAPBEXHLevel2X 46 8" xfId="21652" xr:uid="{00000000-0005-0000-0000-0000C6650000}"/>
    <cellStyle name="SAPBEXHLevel2X 46 9" xfId="22436" xr:uid="{00000000-0005-0000-0000-0000C7650000}"/>
    <cellStyle name="SAPBEXHLevel2X 47" xfId="4877" xr:uid="{00000000-0005-0000-0000-0000C8650000}"/>
    <cellStyle name="SAPBEXHLevel2X 47 2" xfId="7415" xr:uid="{00000000-0005-0000-0000-0000C9650000}"/>
    <cellStyle name="SAPBEXHLevel2X 47 3" xfId="9238" xr:uid="{00000000-0005-0000-0000-0000CA650000}"/>
    <cellStyle name="SAPBEXHLevel2X 47 4" xfId="11410" xr:uid="{00000000-0005-0000-0000-0000CB650000}"/>
    <cellStyle name="SAPBEXHLevel2X 47 5" xfId="13826" xr:uid="{00000000-0005-0000-0000-0000CC650000}"/>
    <cellStyle name="SAPBEXHLevel2X 47 6" xfId="16181" xr:uid="{00000000-0005-0000-0000-0000CD650000}"/>
    <cellStyle name="SAPBEXHLevel2X 47 7" xfId="18522" xr:uid="{00000000-0005-0000-0000-0000CE650000}"/>
    <cellStyle name="SAPBEXHLevel2X 47 8" xfId="20877" xr:uid="{00000000-0005-0000-0000-0000CF650000}"/>
    <cellStyle name="SAPBEXHLevel2X 47 9" xfId="23084" xr:uid="{00000000-0005-0000-0000-0000D0650000}"/>
    <cellStyle name="SAPBEXHLevel2X 48" xfId="4929" xr:uid="{00000000-0005-0000-0000-0000D1650000}"/>
    <cellStyle name="SAPBEXHLevel2X 48 2" xfId="7467" xr:uid="{00000000-0005-0000-0000-0000D2650000}"/>
    <cellStyle name="SAPBEXHLevel2X 48 3" xfId="7932" xr:uid="{00000000-0005-0000-0000-0000D3650000}"/>
    <cellStyle name="SAPBEXHLevel2X 48 4" xfId="8319" xr:uid="{00000000-0005-0000-0000-0000D4650000}"/>
    <cellStyle name="SAPBEXHLevel2X 48 5" xfId="12539" xr:uid="{00000000-0005-0000-0000-0000D5650000}"/>
    <cellStyle name="SAPBEXHLevel2X 48 6" xfId="16131" xr:uid="{00000000-0005-0000-0000-0000D6650000}"/>
    <cellStyle name="SAPBEXHLevel2X 48 7" xfId="17235" xr:uid="{00000000-0005-0000-0000-0000D7650000}"/>
    <cellStyle name="SAPBEXHLevel2X 48 8" xfId="20827" xr:uid="{00000000-0005-0000-0000-0000D8650000}"/>
    <cellStyle name="SAPBEXHLevel2X 48 9" xfId="21903" xr:uid="{00000000-0005-0000-0000-0000D9650000}"/>
    <cellStyle name="SAPBEXHLevel2X 49" xfId="4968" xr:uid="{00000000-0005-0000-0000-0000DA650000}"/>
    <cellStyle name="SAPBEXHLevel2X 49 2" xfId="7506" xr:uid="{00000000-0005-0000-0000-0000DB650000}"/>
    <cellStyle name="SAPBEXHLevel2X 49 3" xfId="8103" xr:uid="{00000000-0005-0000-0000-0000DC650000}"/>
    <cellStyle name="SAPBEXHLevel2X 49 4" xfId="11201" xr:uid="{00000000-0005-0000-0000-0000DD650000}"/>
    <cellStyle name="SAPBEXHLevel2X 49 5" xfId="13602" xr:uid="{00000000-0005-0000-0000-0000DE650000}"/>
    <cellStyle name="SAPBEXHLevel2X 49 6" xfId="16119" xr:uid="{00000000-0005-0000-0000-0000DF650000}"/>
    <cellStyle name="SAPBEXHLevel2X 49 7" xfId="18298" xr:uid="{00000000-0005-0000-0000-0000E0650000}"/>
    <cellStyle name="SAPBEXHLevel2X 49 8" xfId="20815" xr:uid="{00000000-0005-0000-0000-0000E1650000}"/>
    <cellStyle name="SAPBEXHLevel2X 49 9" xfId="22876" xr:uid="{00000000-0005-0000-0000-0000E2650000}"/>
    <cellStyle name="SAPBEXHLevel2X 5" xfId="3217" xr:uid="{00000000-0005-0000-0000-0000E3650000}"/>
    <cellStyle name="SAPBEXHLevel2X 5 2" xfId="5755" xr:uid="{00000000-0005-0000-0000-0000E4650000}"/>
    <cellStyle name="SAPBEXHLevel2X 5 3" xfId="8933" xr:uid="{00000000-0005-0000-0000-0000E5650000}"/>
    <cellStyle name="SAPBEXHLevel2X 5 4" xfId="11177" xr:uid="{00000000-0005-0000-0000-0000E6650000}"/>
    <cellStyle name="SAPBEXHLevel2X 5 5" xfId="13574" xr:uid="{00000000-0005-0000-0000-0000E7650000}"/>
    <cellStyle name="SAPBEXHLevel2X 5 6" xfId="15363" xr:uid="{00000000-0005-0000-0000-0000E8650000}"/>
    <cellStyle name="SAPBEXHLevel2X 5 7" xfId="18270" xr:uid="{00000000-0005-0000-0000-0000E9650000}"/>
    <cellStyle name="SAPBEXHLevel2X 5 8" xfId="20059" xr:uid="{00000000-0005-0000-0000-0000EA650000}"/>
    <cellStyle name="SAPBEXHLevel2X 5 9" xfId="22850" xr:uid="{00000000-0005-0000-0000-0000EB650000}"/>
    <cellStyle name="SAPBEXHLevel2X 50" xfId="5006" xr:uid="{00000000-0005-0000-0000-0000EC650000}"/>
    <cellStyle name="SAPBEXHLevel2X 50 2" xfId="7544" xr:uid="{00000000-0005-0000-0000-0000ED650000}"/>
    <cellStyle name="SAPBEXHLevel2X 50 3" xfId="8869" xr:uid="{00000000-0005-0000-0000-0000EE650000}"/>
    <cellStyle name="SAPBEXHLevel2X 50 4" xfId="11687" xr:uid="{00000000-0005-0000-0000-0000EF650000}"/>
    <cellStyle name="SAPBEXHLevel2X 50 5" xfId="14135" xr:uid="{00000000-0005-0000-0000-0000F0650000}"/>
    <cellStyle name="SAPBEXHLevel2X 50 6" xfId="16021" xr:uid="{00000000-0005-0000-0000-0000F1650000}"/>
    <cellStyle name="SAPBEXHLevel2X 50 7" xfId="18831" xr:uid="{00000000-0005-0000-0000-0000F2650000}"/>
    <cellStyle name="SAPBEXHLevel2X 50 8" xfId="20717" xr:uid="{00000000-0005-0000-0000-0000F3650000}"/>
    <cellStyle name="SAPBEXHLevel2X 50 9" xfId="23361" xr:uid="{00000000-0005-0000-0000-0000F4650000}"/>
    <cellStyle name="SAPBEXHLevel2X 51" xfId="5043" xr:uid="{00000000-0005-0000-0000-0000F5650000}"/>
    <cellStyle name="SAPBEXHLevel2X 51 2" xfId="7581" xr:uid="{00000000-0005-0000-0000-0000F6650000}"/>
    <cellStyle name="SAPBEXHLevel2X 51 3" xfId="8766" xr:uid="{00000000-0005-0000-0000-0000F7650000}"/>
    <cellStyle name="SAPBEXHLevel2X 51 4" xfId="10557" xr:uid="{00000000-0005-0000-0000-0000F8650000}"/>
    <cellStyle name="SAPBEXHLevel2X 51 5" xfId="12900" xr:uid="{00000000-0005-0000-0000-0000F9650000}"/>
    <cellStyle name="SAPBEXHLevel2X 51 6" xfId="16153" xr:uid="{00000000-0005-0000-0000-0000FA650000}"/>
    <cellStyle name="SAPBEXHLevel2X 51 7" xfId="17596" xr:uid="{00000000-0005-0000-0000-0000FB650000}"/>
    <cellStyle name="SAPBEXHLevel2X 51 8" xfId="20849" xr:uid="{00000000-0005-0000-0000-0000FC650000}"/>
    <cellStyle name="SAPBEXHLevel2X 51 9" xfId="22228" xr:uid="{00000000-0005-0000-0000-0000FD650000}"/>
    <cellStyle name="SAPBEXHLevel2X 52" xfId="5073" xr:uid="{00000000-0005-0000-0000-0000FE650000}"/>
    <cellStyle name="SAPBEXHLevel2X 52 2" xfId="7611" xr:uid="{00000000-0005-0000-0000-0000FF650000}"/>
    <cellStyle name="SAPBEXHLevel2X 52 3" xfId="10021" xr:uid="{00000000-0005-0000-0000-000000660000}"/>
    <cellStyle name="SAPBEXHLevel2X 52 4" xfId="12079" xr:uid="{00000000-0005-0000-0000-000001660000}"/>
    <cellStyle name="SAPBEXHLevel2X 52 5" xfId="14559" xr:uid="{00000000-0005-0000-0000-000002660000}"/>
    <cellStyle name="SAPBEXHLevel2X 52 6" xfId="15412" xr:uid="{00000000-0005-0000-0000-000003660000}"/>
    <cellStyle name="SAPBEXHLevel2X 52 7" xfId="19255" xr:uid="{00000000-0005-0000-0000-000004660000}"/>
    <cellStyle name="SAPBEXHLevel2X 52 8" xfId="20108" xr:uid="{00000000-0005-0000-0000-000005660000}"/>
    <cellStyle name="SAPBEXHLevel2X 52 9" xfId="23751" xr:uid="{00000000-0005-0000-0000-000006660000}"/>
    <cellStyle name="SAPBEXHLevel2X 53" xfId="5099" xr:uid="{00000000-0005-0000-0000-000007660000}"/>
    <cellStyle name="SAPBEXHLevel2X 53 2" xfId="7637" xr:uid="{00000000-0005-0000-0000-000008660000}"/>
    <cellStyle name="SAPBEXHLevel2X 53 3" xfId="9403" xr:uid="{00000000-0005-0000-0000-000009660000}"/>
    <cellStyle name="SAPBEXHLevel2X 53 4" xfId="11455" xr:uid="{00000000-0005-0000-0000-00000A660000}"/>
    <cellStyle name="SAPBEXHLevel2X 53 5" xfId="13876" xr:uid="{00000000-0005-0000-0000-00000B660000}"/>
    <cellStyle name="SAPBEXHLevel2X 53 6" xfId="16157" xr:uid="{00000000-0005-0000-0000-00000C660000}"/>
    <cellStyle name="SAPBEXHLevel2X 53 7" xfId="18572" xr:uid="{00000000-0005-0000-0000-00000D660000}"/>
    <cellStyle name="SAPBEXHLevel2X 53 8" xfId="20853" xr:uid="{00000000-0005-0000-0000-00000E660000}"/>
    <cellStyle name="SAPBEXHLevel2X 53 9" xfId="23130" xr:uid="{00000000-0005-0000-0000-00000F660000}"/>
    <cellStyle name="SAPBEXHLevel2X 54" xfId="5147" xr:uid="{00000000-0005-0000-0000-000010660000}"/>
    <cellStyle name="SAPBEXHLevel2X 54 2" xfId="7685" xr:uid="{00000000-0005-0000-0000-000011660000}"/>
    <cellStyle name="SAPBEXHLevel2X 54 3" xfId="8979" xr:uid="{00000000-0005-0000-0000-000012660000}"/>
    <cellStyle name="SAPBEXHLevel2X 54 4" xfId="12239" xr:uid="{00000000-0005-0000-0000-000013660000}"/>
    <cellStyle name="SAPBEXHLevel2X 54 5" xfId="14601" xr:uid="{00000000-0005-0000-0000-000014660000}"/>
    <cellStyle name="SAPBEXHLevel2X 54 6" xfId="15679" xr:uid="{00000000-0005-0000-0000-000015660000}"/>
    <cellStyle name="SAPBEXHLevel2X 54 7" xfId="19297" xr:uid="{00000000-0005-0000-0000-000016660000}"/>
    <cellStyle name="SAPBEXHLevel2X 54 8" xfId="20375" xr:uid="{00000000-0005-0000-0000-000017660000}"/>
    <cellStyle name="SAPBEXHLevel2X 54 9" xfId="23793" xr:uid="{00000000-0005-0000-0000-000018660000}"/>
    <cellStyle name="SAPBEXHLevel2X 55" xfId="5216" xr:uid="{00000000-0005-0000-0000-000019660000}"/>
    <cellStyle name="SAPBEXHLevel2X 55 2" xfId="7755" xr:uid="{00000000-0005-0000-0000-00001A660000}"/>
    <cellStyle name="SAPBEXHLevel2X 55 3" xfId="9489" xr:uid="{00000000-0005-0000-0000-00001B660000}"/>
    <cellStyle name="SAPBEXHLevel2X 55 4" xfId="11108" xr:uid="{00000000-0005-0000-0000-00001C660000}"/>
    <cellStyle name="SAPBEXHLevel2X 55 5" xfId="13502" xr:uid="{00000000-0005-0000-0000-00001D660000}"/>
    <cellStyle name="SAPBEXHLevel2X 55 6" xfId="15137" xr:uid="{00000000-0005-0000-0000-00001E660000}"/>
    <cellStyle name="SAPBEXHLevel2X 55 7" xfId="18198" xr:uid="{00000000-0005-0000-0000-00001F660000}"/>
    <cellStyle name="SAPBEXHLevel2X 55 8" xfId="19833" xr:uid="{00000000-0005-0000-0000-000020660000}"/>
    <cellStyle name="SAPBEXHLevel2X 55 9" xfId="22781" xr:uid="{00000000-0005-0000-0000-000021660000}"/>
    <cellStyle name="SAPBEXHLevel2X 56" xfId="5254" xr:uid="{00000000-0005-0000-0000-000022660000}"/>
    <cellStyle name="SAPBEXHLevel2X 56 2" xfId="8957" xr:uid="{00000000-0005-0000-0000-000023660000}"/>
    <cellStyle name="SAPBEXHLevel2X 56 3" xfId="11831" xr:uid="{00000000-0005-0000-0000-000024660000}"/>
    <cellStyle name="SAPBEXHLevel2X 56 4" xfId="14289" xr:uid="{00000000-0005-0000-0000-000025660000}"/>
    <cellStyle name="SAPBEXHLevel2X 56 5" xfId="15332" xr:uid="{00000000-0005-0000-0000-000026660000}"/>
    <cellStyle name="SAPBEXHLevel2X 56 6" xfId="18985" xr:uid="{00000000-0005-0000-0000-000027660000}"/>
    <cellStyle name="SAPBEXHLevel2X 56 7" xfId="20028" xr:uid="{00000000-0005-0000-0000-000028660000}"/>
    <cellStyle name="SAPBEXHLevel2X 56 8" xfId="23506" xr:uid="{00000000-0005-0000-0000-000029660000}"/>
    <cellStyle name="SAPBEXHLevel2X 57" xfId="5447" xr:uid="{00000000-0005-0000-0000-00002A660000}"/>
    <cellStyle name="SAPBEXHLevel2X 58" xfId="10248" xr:uid="{00000000-0005-0000-0000-00002B660000}"/>
    <cellStyle name="SAPBEXHLevel2X 59" xfId="12556" xr:uid="{00000000-0005-0000-0000-00002C660000}"/>
    <cellStyle name="SAPBEXHLevel2X 6" xfId="3260" xr:uid="{00000000-0005-0000-0000-00002D660000}"/>
    <cellStyle name="SAPBEXHLevel2X 6 2" xfId="5798" xr:uid="{00000000-0005-0000-0000-00002E660000}"/>
    <cellStyle name="SAPBEXHLevel2X 6 3" xfId="8771" xr:uid="{00000000-0005-0000-0000-00002F660000}"/>
    <cellStyle name="SAPBEXHLevel2X 6 4" xfId="12036" xr:uid="{00000000-0005-0000-0000-000030660000}"/>
    <cellStyle name="SAPBEXHLevel2X 6 5" xfId="14518" xr:uid="{00000000-0005-0000-0000-000031660000}"/>
    <cellStyle name="SAPBEXHLevel2X 6 6" xfId="13407" xr:uid="{00000000-0005-0000-0000-000032660000}"/>
    <cellStyle name="SAPBEXHLevel2X 6 7" xfId="19214" xr:uid="{00000000-0005-0000-0000-000033660000}"/>
    <cellStyle name="SAPBEXHLevel2X 6 8" xfId="18103" xr:uid="{00000000-0005-0000-0000-000034660000}"/>
    <cellStyle name="SAPBEXHLevel2X 6 9" xfId="23711" xr:uid="{00000000-0005-0000-0000-000035660000}"/>
    <cellStyle name="SAPBEXHLevel2X 60" xfId="15505" xr:uid="{00000000-0005-0000-0000-000036660000}"/>
    <cellStyle name="SAPBEXHLevel2X 61" xfId="17252" xr:uid="{00000000-0005-0000-0000-000037660000}"/>
    <cellStyle name="SAPBEXHLevel2X 62" xfId="20201" xr:uid="{00000000-0005-0000-0000-000038660000}"/>
    <cellStyle name="SAPBEXHLevel2X 63" xfId="21917" xr:uid="{00000000-0005-0000-0000-000039660000}"/>
    <cellStyle name="SAPBEXHLevel2X 64" xfId="32672" xr:uid="{6CFCD5C2-D057-4D3A-A84E-73836772C43C}"/>
    <cellStyle name="SAPBEXHLevel2X 7" xfId="3303" xr:uid="{00000000-0005-0000-0000-00003A660000}"/>
    <cellStyle name="SAPBEXHLevel2X 7 2" xfId="5841" xr:uid="{00000000-0005-0000-0000-00003B660000}"/>
    <cellStyle name="SAPBEXHLevel2X 7 3" xfId="10045" xr:uid="{00000000-0005-0000-0000-00003C660000}"/>
    <cellStyle name="SAPBEXHLevel2X 7 4" xfId="11745" xr:uid="{00000000-0005-0000-0000-00003D660000}"/>
    <cellStyle name="SAPBEXHLevel2X 7 5" xfId="14196" xr:uid="{00000000-0005-0000-0000-00003E660000}"/>
    <cellStyle name="SAPBEXHLevel2X 7 6" xfId="16496" xr:uid="{00000000-0005-0000-0000-00003F660000}"/>
    <cellStyle name="SAPBEXHLevel2X 7 7" xfId="18892" xr:uid="{00000000-0005-0000-0000-000040660000}"/>
    <cellStyle name="SAPBEXHLevel2X 7 8" xfId="21192" xr:uid="{00000000-0005-0000-0000-000041660000}"/>
    <cellStyle name="SAPBEXHLevel2X 7 9" xfId="23419" xr:uid="{00000000-0005-0000-0000-000042660000}"/>
    <cellStyle name="SAPBEXHLevel2X 8" xfId="3346" xr:uid="{00000000-0005-0000-0000-000043660000}"/>
    <cellStyle name="SAPBEXHLevel2X 8 2" xfId="5884" xr:uid="{00000000-0005-0000-0000-000044660000}"/>
    <cellStyle name="SAPBEXHLevel2X 8 3" xfId="8135" xr:uid="{00000000-0005-0000-0000-000045660000}"/>
    <cellStyle name="SAPBEXHLevel2X 8 4" xfId="12074" xr:uid="{00000000-0005-0000-0000-000046660000}"/>
    <cellStyle name="SAPBEXHLevel2X 8 5" xfId="14554" xr:uid="{00000000-0005-0000-0000-000047660000}"/>
    <cellStyle name="SAPBEXHLevel2X 8 6" xfId="15228" xr:uid="{00000000-0005-0000-0000-000048660000}"/>
    <cellStyle name="SAPBEXHLevel2X 8 7" xfId="19250" xr:uid="{00000000-0005-0000-0000-000049660000}"/>
    <cellStyle name="SAPBEXHLevel2X 8 8" xfId="19924" xr:uid="{00000000-0005-0000-0000-00004A660000}"/>
    <cellStyle name="SAPBEXHLevel2X 8 9" xfId="23746" xr:uid="{00000000-0005-0000-0000-00004B660000}"/>
    <cellStyle name="SAPBEXHLevel2X 9" xfId="3389" xr:uid="{00000000-0005-0000-0000-00004C660000}"/>
    <cellStyle name="SAPBEXHLevel2X 9 2" xfId="5927" xr:uid="{00000000-0005-0000-0000-00004D660000}"/>
    <cellStyle name="SAPBEXHLevel2X 9 3" xfId="9418" xr:uid="{00000000-0005-0000-0000-00004E660000}"/>
    <cellStyle name="SAPBEXHLevel2X 9 4" xfId="10864" xr:uid="{00000000-0005-0000-0000-00004F660000}"/>
    <cellStyle name="SAPBEXHLevel2X 9 5" xfId="13229" xr:uid="{00000000-0005-0000-0000-000050660000}"/>
    <cellStyle name="SAPBEXHLevel2X 9 6" xfId="15313" xr:uid="{00000000-0005-0000-0000-000051660000}"/>
    <cellStyle name="SAPBEXHLevel2X 9 7" xfId="17925" xr:uid="{00000000-0005-0000-0000-000052660000}"/>
    <cellStyle name="SAPBEXHLevel2X 9 8" xfId="20009" xr:uid="{00000000-0005-0000-0000-000053660000}"/>
    <cellStyle name="SAPBEXHLevel2X 9 9" xfId="22535" xr:uid="{00000000-0005-0000-0000-000054660000}"/>
    <cellStyle name="SAPBEXHLevel3" xfId="2967" xr:uid="{00000000-0005-0000-0000-000055660000}"/>
    <cellStyle name="SAPBEXHLevel3 10" xfId="3433" xr:uid="{00000000-0005-0000-0000-000056660000}"/>
    <cellStyle name="SAPBEXHLevel3 10 2" xfId="5971" xr:uid="{00000000-0005-0000-0000-000057660000}"/>
    <cellStyle name="SAPBEXHLevel3 10 3" xfId="8789" xr:uid="{00000000-0005-0000-0000-000058660000}"/>
    <cellStyle name="SAPBEXHLevel3 10 4" xfId="11722" xr:uid="{00000000-0005-0000-0000-000059660000}"/>
    <cellStyle name="SAPBEXHLevel3 10 5" xfId="14173" xr:uid="{00000000-0005-0000-0000-00005A660000}"/>
    <cellStyle name="SAPBEXHLevel3 10 6" xfId="14993" xr:uid="{00000000-0005-0000-0000-00005B660000}"/>
    <cellStyle name="SAPBEXHLevel3 10 7" xfId="18869" xr:uid="{00000000-0005-0000-0000-00005C660000}"/>
    <cellStyle name="SAPBEXHLevel3 10 8" xfId="19689" xr:uid="{00000000-0005-0000-0000-00005D660000}"/>
    <cellStyle name="SAPBEXHLevel3 10 9" xfId="23396" xr:uid="{00000000-0005-0000-0000-00005E660000}"/>
    <cellStyle name="SAPBEXHLevel3 11" xfId="3503" xr:uid="{00000000-0005-0000-0000-00005F660000}"/>
    <cellStyle name="SAPBEXHLevel3 11 2" xfId="6041" xr:uid="{00000000-0005-0000-0000-000060660000}"/>
    <cellStyle name="SAPBEXHLevel3 11 3" xfId="9531" xr:uid="{00000000-0005-0000-0000-000061660000}"/>
    <cellStyle name="SAPBEXHLevel3 11 4" xfId="10532" xr:uid="{00000000-0005-0000-0000-000062660000}"/>
    <cellStyle name="SAPBEXHLevel3 11 5" xfId="12875" xr:uid="{00000000-0005-0000-0000-000063660000}"/>
    <cellStyle name="SAPBEXHLevel3 11 6" xfId="16043" xr:uid="{00000000-0005-0000-0000-000064660000}"/>
    <cellStyle name="SAPBEXHLevel3 11 7" xfId="17571" xr:uid="{00000000-0005-0000-0000-000065660000}"/>
    <cellStyle name="SAPBEXHLevel3 11 8" xfId="20739" xr:uid="{00000000-0005-0000-0000-000066660000}"/>
    <cellStyle name="SAPBEXHLevel3 11 9" xfId="22203" xr:uid="{00000000-0005-0000-0000-000067660000}"/>
    <cellStyle name="SAPBEXHLevel3 12" xfId="3519" xr:uid="{00000000-0005-0000-0000-000068660000}"/>
    <cellStyle name="SAPBEXHLevel3 12 2" xfId="6057" xr:uid="{00000000-0005-0000-0000-000069660000}"/>
    <cellStyle name="SAPBEXHLevel3 12 3" xfId="8192" xr:uid="{00000000-0005-0000-0000-00006A660000}"/>
    <cellStyle name="SAPBEXHLevel3 12 4" xfId="11767" xr:uid="{00000000-0005-0000-0000-00006B660000}"/>
    <cellStyle name="SAPBEXHLevel3 12 5" xfId="14219" xr:uid="{00000000-0005-0000-0000-00006C660000}"/>
    <cellStyle name="SAPBEXHLevel3 12 6" xfId="15613" xr:uid="{00000000-0005-0000-0000-00006D660000}"/>
    <cellStyle name="SAPBEXHLevel3 12 7" xfId="18915" xr:uid="{00000000-0005-0000-0000-00006E660000}"/>
    <cellStyle name="SAPBEXHLevel3 12 8" xfId="20309" xr:uid="{00000000-0005-0000-0000-00006F660000}"/>
    <cellStyle name="SAPBEXHLevel3 12 9" xfId="23441" xr:uid="{00000000-0005-0000-0000-000070660000}"/>
    <cellStyle name="SAPBEXHLevel3 13" xfId="3609" xr:uid="{00000000-0005-0000-0000-000071660000}"/>
    <cellStyle name="SAPBEXHLevel3 13 2" xfId="6147" xr:uid="{00000000-0005-0000-0000-000072660000}"/>
    <cellStyle name="SAPBEXHLevel3 13 3" xfId="9078" xr:uid="{00000000-0005-0000-0000-000073660000}"/>
    <cellStyle name="SAPBEXHLevel3 13 4" xfId="12060" xr:uid="{00000000-0005-0000-0000-000074660000}"/>
    <cellStyle name="SAPBEXHLevel3 13 5" xfId="14540" xr:uid="{00000000-0005-0000-0000-000075660000}"/>
    <cellStyle name="SAPBEXHLevel3 13 6" xfId="14229" xr:uid="{00000000-0005-0000-0000-000076660000}"/>
    <cellStyle name="SAPBEXHLevel3 13 7" xfId="19236" xr:uid="{00000000-0005-0000-0000-000077660000}"/>
    <cellStyle name="SAPBEXHLevel3 13 8" xfId="18925" xr:uid="{00000000-0005-0000-0000-000078660000}"/>
    <cellStyle name="SAPBEXHLevel3 13 9" xfId="23732" xr:uid="{00000000-0005-0000-0000-000079660000}"/>
    <cellStyle name="SAPBEXHLevel3 14" xfId="3631" xr:uid="{00000000-0005-0000-0000-00007A660000}"/>
    <cellStyle name="SAPBEXHLevel3 14 2" xfId="6169" xr:uid="{00000000-0005-0000-0000-00007B660000}"/>
    <cellStyle name="SAPBEXHLevel3 14 3" xfId="9281" xr:uid="{00000000-0005-0000-0000-00007C660000}"/>
    <cellStyle name="SAPBEXHLevel3 14 4" xfId="10378" xr:uid="{00000000-0005-0000-0000-00007D660000}"/>
    <cellStyle name="SAPBEXHLevel3 14 5" xfId="12700" xr:uid="{00000000-0005-0000-0000-00007E660000}"/>
    <cellStyle name="SAPBEXHLevel3 14 6" xfId="16395" xr:uid="{00000000-0005-0000-0000-00007F660000}"/>
    <cellStyle name="SAPBEXHLevel3 14 7" xfId="17396" xr:uid="{00000000-0005-0000-0000-000080660000}"/>
    <cellStyle name="SAPBEXHLevel3 14 8" xfId="21091" xr:uid="{00000000-0005-0000-0000-000081660000}"/>
    <cellStyle name="SAPBEXHLevel3 14 9" xfId="22049" xr:uid="{00000000-0005-0000-0000-000082660000}"/>
    <cellStyle name="SAPBEXHLevel3 15" xfId="3670" xr:uid="{00000000-0005-0000-0000-000083660000}"/>
    <cellStyle name="SAPBEXHLevel3 15 2" xfId="6208" xr:uid="{00000000-0005-0000-0000-000084660000}"/>
    <cellStyle name="SAPBEXHLevel3 15 3" xfId="9835" xr:uid="{00000000-0005-0000-0000-000085660000}"/>
    <cellStyle name="SAPBEXHLevel3 15 4" xfId="11945" xr:uid="{00000000-0005-0000-0000-000086660000}"/>
    <cellStyle name="SAPBEXHLevel3 15 5" xfId="14418" xr:uid="{00000000-0005-0000-0000-000087660000}"/>
    <cellStyle name="SAPBEXHLevel3 15 6" xfId="15272" xr:uid="{00000000-0005-0000-0000-000088660000}"/>
    <cellStyle name="SAPBEXHLevel3 15 7" xfId="19114" xr:uid="{00000000-0005-0000-0000-000089660000}"/>
    <cellStyle name="SAPBEXHLevel3 15 8" xfId="19968" xr:uid="{00000000-0005-0000-0000-00008A660000}"/>
    <cellStyle name="SAPBEXHLevel3 15 9" xfId="23620" xr:uid="{00000000-0005-0000-0000-00008B660000}"/>
    <cellStyle name="SAPBEXHLevel3 16" xfId="3732" xr:uid="{00000000-0005-0000-0000-00008C660000}"/>
    <cellStyle name="SAPBEXHLevel3 16 2" xfId="6270" xr:uid="{00000000-0005-0000-0000-00008D660000}"/>
    <cellStyle name="SAPBEXHLevel3 16 3" xfId="9565" xr:uid="{00000000-0005-0000-0000-00008E660000}"/>
    <cellStyle name="SAPBEXHLevel3 16 4" xfId="12175" xr:uid="{00000000-0005-0000-0000-00008F660000}"/>
    <cellStyle name="SAPBEXHLevel3 16 5" xfId="12323" xr:uid="{00000000-0005-0000-0000-000090660000}"/>
    <cellStyle name="SAPBEXHLevel3 16 6" xfId="13174" xr:uid="{00000000-0005-0000-0000-000091660000}"/>
    <cellStyle name="SAPBEXHLevel3 16 7" xfId="17019" xr:uid="{00000000-0005-0000-0000-000092660000}"/>
    <cellStyle name="SAPBEXHLevel3 16 8" xfId="17870" xr:uid="{00000000-0005-0000-0000-000093660000}"/>
    <cellStyle name="SAPBEXHLevel3 16 9" xfId="21713" xr:uid="{00000000-0005-0000-0000-000094660000}"/>
    <cellStyle name="SAPBEXHLevel3 17" xfId="3822" xr:uid="{00000000-0005-0000-0000-000095660000}"/>
    <cellStyle name="SAPBEXHLevel3 17 2" xfId="6360" xr:uid="{00000000-0005-0000-0000-000096660000}"/>
    <cellStyle name="SAPBEXHLevel3 17 3" xfId="8567" xr:uid="{00000000-0005-0000-0000-000097660000}"/>
    <cellStyle name="SAPBEXHLevel3 17 4" xfId="11971" xr:uid="{00000000-0005-0000-0000-000098660000}"/>
    <cellStyle name="SAPBEXHLevel3 17 5" xfId="14448" xr:uid="{00000000-0005-0000-0000-000099660000}"/>
    <cellStyle name="SAPBEXHLevel3 17 6" xfId="16998" xr:uid="{00000000-0005-0000-0000-00009A660000}"/>
    <cellStyle name="SAPBEXHLevel3 17 7" xfId="19144" xr:uid="{00000000-0005-0000-0000-00009B660000}"/>
    <cellStyle name="SAPBEXHLevel3 17 8" xfId="21694" xr:uid="{00000000-0005-0000-0000-00009C660000}"/>
    <cellStyle name="SAPBEXHLevel3 17 9" xfId="23646" xr:uid="{00000000-0005-0000-0000-00009D660000}"/>
    <cellStyle name="SAPBEXHLevel3 18" xfId="3844" xr:uid="{00000000-0005-0000-0000-00009E660000}"/>
    <cellStyle name="SAPBEXHLevel3 18 2" xfId="6382" xr:uid="{00000000-0005-0000-0000-00009F660000}"/>
    <cellStyle name="SAPBEXHLevel3 18 3" xfId="8224" xr:uid="{00000000-0005-0000-0000-0000A0660000}"/>
    <cellStyle name="SAPBEXHLevel3 18 4" xfId="10765" xr:uid="{00000000-0005-0000-0000-0000A1660000}"/>
    <cellStyle name="SAPBEXHLevel3 18 5" xfId="13120" xr:uid="{00000000-0005-0000-0000-0000A2660000}"/>
    <cellStyle name="SAPBEXHLevel3 18 6" xfId="15602" xr:uid="{00000000-0005-0000-0000-0000A3660000}"/>
    <cellStyle name="SAPBEXHLevel3 18 7" xfId="17816" xr:uid="{00000000-0005-0000-0000-0000A4660000}"/>
    <cellStyle name="SAPBEXHLevel3 18 8" xfId="20298" xr:uid="{00000000-0005-0000-0000-0000A5660000}"/>
    <cellStyle name="SAPBEXHLevel3 18 9" xfId="22437" xr:uid="{00000000-0005-0000-0000-0000A6660000}"/>
    <cellStyle name="SAPBEXHLevel3 19" xfId="3910" xr:uid="{00000000-0005-0000-0000-0000A7660000}"/>
    <cellStyle name="SAPBEXHLevel3 19 2" xfId="6448" xr:uid="{00000000-0005-0000-0000-0000A8660000}"/>
    <cellStyle name="SAPBEXHLevel3 19 3" xfId="8764" xr:uid="{00000000-0005-0000-0000-0000A9660000}"/>
    <cellStyle name="SAPBEXHLevel3 19 4" xfId="10540" xr:uid="{00000000-0005-0000-0000-0000AA660000}"/>
    <cellStyle name="SAPBEXHLevel3 19 5" xfId="12883" xr:uid="{00000000-0005-0000-0000-0000AB660000}"/>
    <cellStyle name="SAPBEXHLevel3 19 6" xfId="15440" xr:uid="{00000000-0005-0000-0000-0000AC660000}"/>
    <cellStyle name="SAPBEXHLevel3 19 7" xfId="17579" xr:uid="{00000000-0005-0000-0000-0000AD660000}"/>
    <cellStyle name="SAPBEXHLevel3 19 8" xfId="20136" xr:uid="{00000000-0005-0000-0000-0000AE660000}"/>
    <cellStyle name="SAPBEXHLevel3 19 9" xfId="22211" xr:uid="{00000000-0005-0000-0000-0000AF660000}"/>
    <cellStyle name="SAPBEXHLevel3 2" xfId="3086" xr:uid="{00000000-0005-0000-0000-0000B0660000}"/>
    <cellStyle name="SAPBEXHLevel3 2 10" xfId="32758" xr:uid="{6E074423-333E-4F29-A712-94B1E31E1D5C}"/>
    <cellStyle name="SAPBEXHLevel3 2 2" xfId="5624" xr:uid="{00000000-0005-0000-0000-0000B1660000}"/>
    <cellStyle name="SAPBEXHLevel3 2 2 2" xfId="42030" xr:uid="{DDB5A4F5-783B-4964-9BE1-D6B8D3670D6C}"/>
    <cellStyle name="SAPBEXHLevel3 2 3" xfId="9073" xr:uid="{00000000-0005-0000-0000-0000B2660000}"/>
    <cellStyle name="SAPBEXHLevel3 2 4" xfId="11662" xr:uid="{00000000-0005-0000-0000-0000B3660000}"/>
    <cellStyle name="SAPBEXHLevel3 2 5" xfId="14109" xr:uid="{00000000-0005-0000-0000-0000B4660000}"/>
    <cellStyle name="SAPBEXHLevel3 2 6" xfId="12482" xr:uid="{00000000-0005-0000-0000-0000B5660000}"/>
    <cellStyle name="SAPBEXHLevel3 2 7" xfId="18805" xr:uid="{00000000-0005-0000-0000-0000B6660000}"/>
    <cellStyle name="SAPBEXHLevel3 2 8" xfId="17178" xr:uid="{00000000-0005-0000-0000-0000B7660000}"/>
    <cellStyle name="SAPBEXHLevel3 2 9" xfId="23337" xr:uid="{00000000-0005-0000-0000-0000B8660000}"/>
    <cellStyle name="SAPBEXHLevel3 20" xfId="3953" xr:uid="{00000000-0005-0000-0000-0000B9660000}"/>
    <cellStyle name="SAPBEXHLevel3 20 2" xfId="6491" xr:uid="{00000000-0005-0000-0000-0000BA660000}"/>
    <cellStyle name="SAPBEXHLevel3 20 3" xfId="8354" xr:uid="{00000000-0005-0000-0000-0000BB660000}"/>
    <cellStyle name="SAPBEXHLevel3 20 4" xfId="10453" xr:uid="{00000000-0005-0000-0000-0000BC660000}"/>
    <cellStyle name="SAPBEXHLevel3 20 5" xfId="12784" xr:uid="{00000000-0005-0000-0000-0000BD660000}"/>
    <cellStyle name="SAPBEXHLevel3 20 6" xfId="15449" xr:uid="{00000000-0005-0000-0000-0000BE660000}"/>
    <cellStyle name="SAPBEXHLevel3 20 7" xfId="17480" xr:uid="{00000000-0005-0000-0000-0000BF660000}"/>
    <cellStyle name="SAPBEXHLevel3 20 8" xfId="20145" xr:uid="{00000000-0005-0000-0000-0000C0660000}"/>
    <cellStyle name="SAPBEXHLevel3 20 9" xfId="22124" xr:uid="{00000000-0005-0000-0000-0000C1660000}"/>
    <cellStyle name="SAPBEXHLevel3 21" xfId="3992" xr:uid="{00000000-0005-0000-0000-0000C2660000}"/>
    <cellStyle name="SAPBEXHLevel3 21 2" xfId="6530" xr:uid="{00000000-0005-0000-0000-0000C3660000}"/>
    <cellStyle name="SAPBEXHLevel3 21 3" xfId="9955" xr:uid="{00000000-0005-0000-0000-0000C4660000}"/>
    <cellStyle name="SAPBEXHLevel3 21 4" xfId="10274" xr:uid="{00000000-0005-0000-0000-0000C5660000}"/>
    <cellStyle name="SAPBEXHLevel3 21 5" xfId="13922" xr:uid="{00000000-0005-0000-0000-0000C6660000}"/>
    <cellStyle name="SAPBEXHLevel3 21 6" xfId="16341" xr:uid="{00000000-0005-0000-0000-0000C7660000}"/>
    <cellStyle name="SAPBEXHLevel3 21 7" xfId="18618" xr:uid="{00000000-0005-0000-0000-0000C8660000}"/>
    <cellStyle name="SAPBEXHLevel3 21 8" xfId="21037" xr:uid="{00000000-0005-0000-0000-0000C9660000}"/>
    <cellStyle name="SAPBEXHLevel3 21 9" xfId="23170" xr:uid="{00000000-0005-0000-0000-0000CA660000}"/>
    <cellStyle name="SAPBEXHLevel3 22" xfId="4085" xr:uid="{00000000-0005-0000-0000-0000CB660000}"/>
    <cellStyle name="SAPBEXHLevel3 22 2" xfId="6623" xr:uid="{00000000-0005-0000-0000-0000CC660000}"/>
    <cellStyle name="SAPBEXHLevel3 22 3" xfId="8081" xr:uid="{00000000-0005-0000-0000-0000CD660000}"/>
    <cellStyle name="SAPBEXHLevel3 22 4" xfId="11983" xr:uid="{00000000-0005-0000-0000-0000CE660000}"/>
    <cellStyle name="SAPBEXHLevel3 22 5" xfId="14461" xr:uid="{00000000-0005-0000-0000-0000CF660000}"/>
    <cellStyle name="SAPBEXHLevel3 22 6" xfId="14975" xr:uid="{00000000-0005-0000-0000-0000D0660000}"/>
    <cellStyle name="SAPBEXHLevel3 22 7" xfId="19157" xr:uid="{00000000-0005-0000-0000-0000D1660000}"/>
    <cellStyle name="SAPBEXHLevel3 22 8" xfId="19671" xr:uid="{00000000-0005-0000-0000-0000D2660000}"/>
    <cellStyle name="SAPBEXHLevel3 22 9" xfId="23658" xr:uid="{00000000-0005-0000-0000-0000D3660000}"/>
    <cellStyle name="SAPBEXHLevel3 23" xfId="4101" xr:uid="{00000000-0005-0000-0000-0000D4660000}"/>
    <cellStyle name="SAPBEXHLevel3 23 2" xfId="6639" xr:uid="{00000000-0005-0000-0000-0000D5660000}"/>
    <cellStyle name="SAPBEXHLevel3 23 3" xfId="9724" xr:uid="{00000000-0005-0000-0000-0000D6660000}"/>
    <cellStyle name="SAPBEXHLevel3 23 4" xfId="9434" xr:uid="{00000000-0005-0000-0000-0000D7660000}"/>
    <cellStyle name="SAPBEXHLevel3 23 5" xfId="12385" xr:uid="{00000000-0005-0000-0000-0000D8660000}"/>
    <cellStyle name="SAPBEXHLevel3 23 6" xfId="16123" xr:uid="{00000000-0005-0000-0000-0000D9660000}"/>
    <cellStyle name="SAPBEXHLevel3 23 7" xfId="17081" xr:uid="{00000000-0005-0000-0000-0000DA660000}"/>
    <cellStyle name="SAPBEXHLevel3 23 8" xfId="20819" xr:uid="{00000000-0005-0000-0000-0000DB660000}"/>
    <cellStyle name="SAPBEXHLevel3 23 9" xfId="21770" xr:uid="{00000000-0005-0000-0000-0000DC660000}"/>
    <cellStyle name="SAPBEXHLevel3 24" xfId="4144" xr:uid="{00000000-0005-0000-0000-0000DD660000}"/>
    <cellStyle name="SAPBEXHLevel3 24 2" xfId="6682" xr:uid="{00000000-0005-0000-0000-0000DE660000}"/>
    <cellStyle name="SAPBEXHLevel3 24 3" xfId="5523" xr:uid="{00000000-0005-0000-0000-0000DF660000}"/>
    <cellStyle name="SAPBEXHLevel3 24 4" xfId="11981" xr:uid="{00000000-0005-0000-0000-0000E0660000}"/>
    <cellStyle name="SAPBEXHLevel3 24 5" xfId="14459" xr:uid="{00000000-0005-0000-0000-0000E1660000}"/>
    <cellStyle name="SAPBEXHLevel3 24 6" xfId="15862" xr:uid="{00000000-0005-0000-0000-0000E2660000}"/>
    <cellStyle name="SAPBEXHLevel3 24 7" xfId="19155" xr:uid="{00000000-0005-0000-0000-0000E3660000}"/>
    <cellStyle name="SAPBEXHLevel3 24 8" xfId="20558" xr:uid="{00000000-0005-0000-0000-0000E4660000}"/>
    <cellStyle name="SAPBEXHLevel3 24 9" xfId="23656" xr:uid="{00000000-0005-0000-0000-0000E5660000}"/>
    <cellStyle name="SAPBEXHLevel3 25" xfId="4187" xr:uid="{00000000-0005-0000-0000-0000E6660000}"/>
    <cellStyle name="SAPBEXHLevel3 25 2" xfId="6725" xr:uid="{00000000-0005-0000-0000-0000E7660000}"/>
    <cellStyle name="SAPBEXHLevel3 25 3" xfId="10235" xr:uid="{00000000-0005-0000-0000-0000E8660000}"/>
    <cellStyle name="SAPBEXHLevel3 25 4" xfId="12091" xr:uid="{00000000-0005-0000-0000-0000E9660000}"/>
    <cellStyle name="SAPBEXHLevel3 25 5" xfId="14571" xr:uid="{00000000-0005-0000-0000-0000EA660000}"/>
    <cellStyle name="SAPBEXHLevel3 25 6" xfId="15973" xr:uid="{00000000-0005-0000-0000-0000EB660000}"/>
    <cellStyle name="SAPBEXHLevel3 25 7" xfId="19267" xr:uid="{00000000-0005-0000-0000-0000EC660000}"/>
    <cellStyle name="SAPBEXHLevel3 25 8" xfId="20669" xr:uid="{00000000-0005-0000-0000-0000ED660000}"/>
    <cellStyle name="SAPBEXHLevel3 25 9" xfId="23763" xr:uid="{00000000-0005-0000-0000-0000EE660000}"/>
    <cellStyle name="SAPBEXHLevel3 26" xfId="4229" xr:uid="{00000000-0005-0000-0000-0000EF660000}"/>
    <cellStyle name="SAPBEXHLevel3 26 2" xfId="6767" xr:uid="{00000000-0005-0000-0000-0000F0660000}"/>
    <cellStyle name="SAPBEXHLevel3 26 3" xfId="7953" xr:uid="{00000000-0005-0000-0000-0000F1660000}"/>
    <cellStyle name="SAPBEXHLevel3 26 4" xfId="11232" xr:uid="{00000000-0005-0000-0000-0000F2660000}"/>
    <cellStyle name="SAPBEXHLevel3 26 5" xfId="13637" xr:uid="{00000000-0005-0000-0000-0000F3660000}"/>
    <cellStyle name="SAPBEXHLevel3 26 6" xfId="16432" xr:uid="{00000000-0005-0000-0000-0000F4660000}"/>
    <cellStyle name="SAPBEXHLevel3 26 7" xfId="18333" xr:uid="{00000000-0005-0000-0000-0000F5660000}"/>
    <cellStyle name="SAPBEXHLevel3 26 8" xfId="21128" xr:uid="{00000000-0005-0000-0000-0000F6660000}"/>
    <cellStyle name="SAPBEXHLevel3 26 9" xfId="22906" xr:uid="{00000000-0005-0000-0000-0000F7660000}"/>
    <cellStyle name="SAPBEXHLevel3 27" xfId="4272" xr:uid="{00000000-0005-0000-0000-0000F8660000}"/>
    <cellStyle name="SAPBEXHLevel3 27 2" xfId="6810" xr:uid="{00000000-0005-0000-0000-0000F9660000}"/>
    <cellStyle name="SAPBEXHLevel3 27 3" xfId="8328" xr:uid="{00000000-0005-0000-0000-0000FA660000}"/>
    <cellStyle name="SAPBEXHLevel3 27 4" xfId="11570" xr:uid="{00000000-0005-0000-0000-0000FB660000}"/>
    <cellStyle name="SAPBEXHLevel3 27 5" xfId="14007" xr:uid="{00000000-0005-0000-0000-0000FC660000}"/>
    <cellStyle name="SAPBEXHLevel3 27 6" xfId="16476" xr:uid="{00000000-0005-0000-0000-0000FD660000}"/>
    <cellStyle name="SAPBEXHLevel3 27 7" xfId="18703" xr:uid="{00000000-0005-0000-0000-0000FE660000}"/>
    <cellStyle name="SAPBEXHLevel3 27 8" xfId="21172" xr:uid="{00000000-0005-0000-0000-0000FF660000}"/>
    <cellStyle name="SAPBEXHLevel3 27 9" xfId="23244" xr:uid="{00000000-0005-0000-0000-000000670000}"/>
    <cellStyle name="SAPBEXHLevel3 28" xfId="4315" xr:uid="{00000000-0005-0000-0000-000001670000}"/>
    <cellStyle name="SAPBEXHLevel3 28 2" xfId="6853" xr:uid="{00000000-0005-0000-0000-000002670000}"/>
    <cellStyle name="SAPBEXHLevel3 28 3" xfId="9557" xr:uid="{00000000-0005-0000-0000-000003670000}"/>
    <cellStyle name="SAPBEXHLevel3 28 4" xfId="10333" xr:uid="{00000000-0005-0000-0000-000004670000}"/>
    <cellStyle name="SAPBEXHLevel3 28 5" xfId="12652" xr:uid="{00000000-0005-0000-0000-000005670000}"/>
    <cellStyle name="SAPBEXHLevel3 28 6" xfId="15599" xr:uid="{00000000-0005-0000-0000-000006670000}"/>
    <cellStyle name="SAPBEXHLevel3 28 7" xfId="17348" xr:uid="{00000000-0005-0000-0000-000007670000}"/>
    <cellStyle name="SAPBEXHLevel3 28 8" xfId="20295" xr:uid="{00000000-0005-0000-0000-000008670000}"/>
    <cellStyle name="SAPBEXHLevel3 28 9" xfId="22004" xr:uid="{00000000-0005-0000-0000-000009670000}"/>
    <cellStyle name="SAPBEXHLevel3 29" xfId="4358" xr:uid="{00000000-0005-0000-0000-00000A670000}"/>
    <cellStyle name="SAPBEXHLevel3 29 2" xfId="6896" xr:uid="{00000000-0005-0000-0000-00000B670000}"/>
    <cellStyle name="SAPBEXHLevel3 29 3" xfId="9177" xr:uid="{00000000-0005-0000-0000-00000C670000}"/>
    <cellStyle name="SAPBEXHLevel3 29 4" xfId="11179" xr:uid="{00000000-0005-0000-0000-00000D670000}"/>
    <cellStyle name="SAPBEXHLevel3 29 5" xfId="13577" xr:uid="{00000000-0005-0000-0000-00000E670000}"/>
    <cellStyle name="SAPBEXHLevel3 29 6" xfId="15064" xr:uid="{00000000-0005-0000-0000-00000F670000}"/>
    <cellStyle name="SAPBEXHLevel3 29 7" xfId="18273" xr:uid="{00000000-0005-0000-0000-000010670000}"/>
    <cellStyle name="SAPBEXHLevel3 29 8" xfId="19760" xr:uid="{00000000-0005-0000-0000-000011670000}"/>
    <cellStyle name="SAPBEXHLevel3 29 9" xfId="22852" xr:uid="{00000000-0005-0000-0000-000012670000}"/>
    <cellStyle name="SAPBEXHLevel3 3" xfId="3132" xr:uid="{00000000-0005-0000-0000-000013670000}"/>
    <cellStyle name="SAPBEXHLevel3 3 10" xfId="42105" xr:uid="{71D90E4B-5760-4E18-BF85-EBBDA6DBF2AC}"/>
    <cellStyle name="SAPBEXHLevel3 3 2" xfId="5670" xr:uid="{00000000-0005-0000-0000-000014670000}"/>
    <cellStyle name="SAPBEXHLevel3 3 3" xfId="8972" xr:uid="{00000000-0005-0000-0000-000015670000}"/>
    <cellStyle name="SAPBEXHLevel3 3 4" xfId="10014" xr:uid="{00000000-0005-0000-0000-000016670000}"/>
    <cellStyle name="SAPBEXHLevel3 3 5" xfId="14913" xr:uid="{00000000-0005-0000-0000-000017670000}"/>
    <cellStyle name="SAPBEXHLevel3 3 6" xfId="15686" xr:uid="{00000000-0005-0000-0000-000018670000}"/>
    <cellStyle name="SAPBEXHLevel3 3 7" xfId="19609" xr:uid="{00000000-0005-0000-0000-000019670000}"/>
    <cellStyle name="SAPBEXHLevel3 3 8" xfId="20382" xr:uid="{00000000-0005-0000-0000-00001A670000}"/>
    <cellStyle name="SAPBEXHLevel3 3 9" xfId="24077" xr:uid="{00000000-0005-0000-0000-00001B670000}"/>
    <cellStyle name="SAPBEXHLevel3 30" xfId="4401" xr:uid="{00000000-0005-0000-0000-00001C670000}"/>
    <cellStyle name="SAPBEXHLevel3 30 2" xfId="6939" xr:uid="{00000000-0005-0000-0000-00001D670000}"/>
    <cellStyle name="SAPBEXHLevel3 30 3" xfId="9204" xr:uid="{00000000-0005-0000-0000-00001E670000}"/>
    <cellStyle name="SAPBEXHLevel3 30 4" xfId="10747" xr:uid="{00000000-0005-0000-0000-00001F670000}"/>
    <cellStyle name="SAPBEXHLevel3 30 5" xfId="12655" xr:uid="{00000000-0005-0000-0000-000020670000}"/>
    <cellStyle name="SAPBEXHLevel3 30 6" xfId="16154" xr:uid="{00000000-0005-0000-0000-000021670000}"/>
    <cellStyle name="SAPBEXHLevel3 30 7" xfId="17351" xr:uid="{00000000-0005-0000-0000-000022670000}"/>
    <cellStyle name="SAPBEXHLevel3 30 8" xfId="20850" xr:uid="{00000000-0005-0000-0000-000023670000}"/>
    <cellStyle name="SAPBEXHLevel3 30 9" xfId="22007" xr:uid="{00000000-0005-0000-0000-000024670000}"/>
    <cellStyle name="SAPBEXHLevel3 31" xfId="4444" xr:uid="{00000000-0005-0000-0000-000025670000}"/>
    <cellStyle name="SAPBEXHLevel3 31 2" xfId="6982" xr:uid="{00000000-0005-0000-0000-000026670000}"/>
    <cellStyle name="SAPBEXHLevel3 31 3" xfId="9377" xr:uid="{00000000-0005-0000-0000-000027670000}"/>
    <cellStyle name="SAPBEXHLevel3 31 4" xfId="11231" xr:uid="{00000000-0005-0000-0000-000028670000}"/>
    <cellStyle name="SAPBEXHLevel3 31 5" xfId="13636" xr:uid="{00000000-0005-0000-0000-000029670000}"/>
    <cellStyle name="SAPBEXHLevel3 31 6" xfId="15365" xr:uid="{00000000-0005-0000-0000-00002A670000}"/>
    <cellStyle name="SAPBEXHLevel3 31 7" xfId="18332" xr:uid="{00000000-0005-0000-0000-00002B670000}"/>
    <cellStyle name="SAPBEXHLevel3 31 8" xfId="20061" xr:uid="{00000000-0005-0000-0000-00002C670000}"/>
    <cellStyle name="SAPBEXHLevel3 31 9" xfId="22905" xr:uid="{00000000-0005-0000-0000-00002D670000}"/>
    <cellStyle name="SAPBEXHLevel3 32" xfId="4514" xr:uid="{00000000-0005-0000-0000-00002E670000}"/>
    <cellStyle name="SAPBEXHLevel3 32 2" xfId="7052" xr:uid="{00000000-0005-0000-0000-00002F670000}"/>
    <cellStyle name="SAPBEXHLevel3 32 3" xfId="10115" xr:uid="{00000000-0005-0000-0000-000030670000}"/>
    <cellStyle name="SAPBEXHLevel3 32 4" xfId="11519" xr:uid="{00000000-0005-0000-0000-000031670000}"/>
    <cellStyle name="SAPBEXHLevel3 32 5" xfId="13947" xr:uid="{00000000-0005-0000-0000-000032670000}"/>
    <cellStyle name="SAPBEXHLevel3 32 6" xfId="16675" xr:uid="{00000000-0005-0000-0000-000033670000}"/>
    <cellStyle name="SAPBEXHLevel3 32 7" xfId="18643" xr:uid="{00000000-0005-0000-0000-000034670000}"/>
    <cellStyle name="SAPBEXHLevel3 32 8" xfId="21371" xr:uid="{00000000-0005-0000-0000-000035670000}"/>
    <cellStyle name="SAPBEXHLevel3 32 9" xfId="23193" xr:uid="{00000000-0005-0000-0000-000036670000}"/>
    <cellStyle name="SAPBEXHLevel3 33" xfId="4530" xr:uid="{00000000-0005-0000-0000-000037670000}"/>
    <cellStyle name="SAPBEXHLevel3 33 2" xfId="7068" xr:uid="{00000000-0005-0000-0000-000038670000}"/>
    <cellStyle name="SAPBEXHLevel3 33 3" xfId="9742" xr:uid="{00000000-0005-0000-0000-000039670000}"/>
    <cellStyle name="SAPBEXHLevel3 33 4" xfId="11738" xr:uid="{00000000-0005-0000-0000-00003A670000}"/>
    <cellStyle name="SAPBEXHLevel3 33 5" xfId="14189" xr:uid="{00000000-0005-0000-0000-00003B670000}"/>
    <cellStyle name="SAPBEXHLevel3 33 6" xfId="16158" xr:uid="{00000000-0005-0000-0000-00003C670000}"/>
    <cellStyle name="SAPBEXHLevel3 33 7" xfId="18885" xr:uid="{00000000-0005-0000-0000-00003D670000}"/>
    <cellStyle name="SAPBEXHLevel3 33 8" xfId="20854" xr:uid="{00000000-0005-0000-0000-00003E670000}"/>
    <cellStyle name="SAPBEXHLevel3 33 9" xfId="23412" xr:uid="{00000000-0005-0000-0000-00003F670000}"/>
    <cellStyle name="SAPBEXHLevel3 34" xfId="4573" xr:uid="{00000000-0005-0000-0000-000040670000}"/>
    <cellStyle name="SAPBEXHLevel3 34 2" xfId="7111" xr:uid="{00000000-0005-0000-0000-000041670000}"/>
    <cellStyle name="SAPBEXHLevel3 34 3" xfId="9343" xr:uid="{00000000-0005-0000-0000-000042670000}"/>
    <cellStyle name="SAPBEXHLevel3 34 4" xfId="11062" xr:uid="{00000000-0005-0000-0000-000043670000}"/>
    <cellStyle name="SAPBEXHLevel3 34 5" xfId="13129" xr:uid="{00000000-0005-0000-0000-000044670000}"/>
    <cellStyle name="SAPBEXHLevel3 34 6" xfId="15732" xr:uid="{00000000-0005-0000-0000-000045670000}"/>
    <cellStyle name="SAPBEXHLevel3 34 7" xfId="17825" xr:uid="{00000000-0005-0000-0000-000046670000}"/>
    <cellStyle name="SAPBEXHLevel3 34 8" xfId="20428" xr:uid="{00000000-0005-0000-0000-000047670000}"/>
    <cellStyle name="SAPBEXHLevel3 34 9" xfId="22446" xr:uid="{00000000-0005-0000-0000-000048670000}"/>
    <cellStyle name="SAPBEXHLevel3 35" xfId="4616" xr:uid="{00000000-0005-0000-0000-000049670000}"/>
    <cellStyle name="SAPBEXHLevel3 35 2" xfId="7154" xr:uid="{00000000-0005-0000-0000-00004A670000}"/>
    <cellStyle name="SAPBEXHLevel3 35 3" xfId="9769" xr:uid="{00000000-0005-0000-0000-00004B670000}"/>
    <cellStyle name="SAPBEXHLevel3 35 4" xfId="11596" xr:uid="{00000000-0005-0000-0000-00004C670000}"/>
    <cellStyle name="SAPBEXHLevel3 35 5" xfId="14034" xr:uid="{00000000-0005-0000-0000-00004D670000}"/>
    <cellStyle name="SAPBEXHLevel3 35 6" xfId="14832" xr:uid="{00000000-0005-0000-0000-00004E670000}"/>
    <cellStyle name="SAPBEXHLevel3 35 7" xfId="18730" xr:uid="{00000000-0005-0000-0000-00004F670000}"/>
    <cellStyle name="SAPBEXHLevel3 35 8" xfId="19528" xr:uid="{00000000-0005-0000-0000-000050670000}"/>
    <cellStyle name="SAPBEXHLevel3 35 9" xfId="23270" xr:uid="{00000000-0005-0000-0000-000051670000}"/>
    <cellStyle name="SAPBEXHLevel3 36" xfId="4659" xr:uid="{00000000-0005-0000-0000-000052670000}"/>
    <cellStyle name="SAPBEXHLevel3 36 2" xfId="7197" xr:uid="{00000000-0005-0000-0000-000053670000}"/>
    <cellStyle name="SAPBEXHLevel3 36 3" xfId="5512" xr:uid="{00000000-0005-0000-0000-000054670000}"/>
    <cellStyle name="SAPBEXHLevel3 36 4" xfId="11747" xr:uid="{00000000-0005-0000-0000-000055670000}"/>
    <cellStyle name="SAPBEXHLevel3 36 5" xfId="12754" xr:uid="{00000000-0005-0000-0000-000056670000}"/>
    <cellStyle name="SAPBEXHLevel3 36 6" xfId="15517" xr:uid="{00000000-0005-0000-0000-000057670000}"/>
    <cellStyle name="SAPBEXHLevel3 36 7" xfId="17450" xr:uid="{00000000-0005-0000-0000-000058670000}"/>
    <cellStyle name="SAPBEXHLevel3 36 8" xfId="20213" xr:uid="{00000000-0005-0000-0000-000059670000}"/>
    <cellStyle name="SAPBEXHLevel3 36 9" xfId="22099" xr:uid="{00000000-0005-0000-0000-00005A670000}"/>
    <cellStyle name="SAPBEXHLevel3 37" xfId="4701" xr:uid="{00000000-0005-0000-0000-00005B670000}"/>
    <cellStyle name="SAPBEXHLevel3 37 2" xfId="7239" xr:uid="{00000000-0005-0000-0000-00005C670000}"/>
    <cellStyle name="SAPBEXHLevel3 37 3" xfId="8056" xr:uid="{00000000-0005-0000-0000-00005D670000}"/>
    <cellStyle name="SAPBEXHLevel3 37 4" xfId="11072" xr:uid="{00000000-0005-0000-0000-00005E670000}"/>
    <cellStyle name="SAPBEXHLevel3 37 5" xfId="13460" xr:uid="{00000000-0005-0000-0000-00005F670000}"/>
    <cellStyle name="SAPBEXHLevel3 37 6" xfId="15089" xr:uid="{00000000-0005-0000-0000-000060670000}"/>
    <cellStyle name="SAPBEXHLevel3 37 7" xfId="18156" xr:uid="{00000000-0005-0000-0000-000061670000}"/>
    <cellStyle name="SAPBEXHLevel3 37 8" xfId="19785" xr:uid="{00000000-0005-0000-0000-000062670000}"/>
    <cellStyle name="SAPBEXHLevel3 37 9" xfId="22745" xr:uid="{00000000-0005-0000-0000-000063670000}"/>
    <cellStyle name="SAPBEXHLevel3 38" xfId="4740" xr:uid="{00000000-0005-0000-0000-000064670000}"/>
    <cellStyle name="SAPBEXHLevel3 38 2" xfId="7278" xr:uid="{00000000-0005-0000-0000-000065670000}"/>
    <cellStyle name="SAPBEXHLevel3 38 3" xfId="10026" xr:uid="{00000000-0005-0000-0000-000066670000}"/>
    <cellStyle name="SAPBEXHLevel3 38 4" xfId="10061" xr:uid="{00000000-0005-0000-0000-000067670000}"/>
    <cellStyle name="SAPBEXHLevel3 38 5" xfId="12471" xr:uid="{00000000-0005-0000-0000-000068670000}"/>
    <cellStyle name="SAPBEXHLevel3 38 6" xfId="16373" xr:uid="{00000000-0005-0000-0000-000069670000}"/>
    <cellStyle name="SAPBEXHLevel3 38 7" xfId="17167" xr:uid="{00000000-0005-0000-0000-00006A670000}"/>
    <cellStyle name="SAPBEXHLevel3 38 8" xfId="21069" xr:uid="{00000000-0005-0000-0000-00006B670000}"/>
    <cellStyle name="SAPBEXHLevel3 38 9" xfId="21846" xr:uid="{00000000-0005-0000-0000-00006C670000}"/>
    <cellStyle name="SAPBEXHLevel3 39" xfId="4806" xr:uid="{00000000-0005-0000-0000-00006D670000}"/>
    <cellStyle name="SAPBEXHLevel3 39 2" xfId="7344" xr:uid="{00000000-0005-0000-0000-00006E670000}"/>
    <cellStyle name="SAPBEXHLevel3 39 3" xfId="9630" xr:uid="{00000000-0005-0000-0000-00006F670000}"/>
    <cellStyle name="SAPBEXHLevel3 39 4" xfId="11400" xr:uid="{00000000-0005-0000-0000-000070670000}"/>
    <cellStyle name="SAPBEXHLevel3 39 5" xfId="13815" xr:uid="{00000000-0005-0000-0000-000071670000}"/>
    <cellStyle name="SAPBEXHLevel3 39 6" xfId="15422" xr:uid="{00000000-0005-0000-0000-000072670000}"/>
    <cellStyle name="SAPBEXHLevel3 39 7" xfId="18511" xr:uid="{00000000-0005-0000-0000-000073670000}"/>
    <cellStyle name="SAPBEXHLevel3 39 8" xfId="20118" xr:uid="{00000000-0005-0000-0000-000074670000}"/>
    <cellStyle name="SAPBEXHLevel3 39 9" xfId="23074" xr:uid="{00000000-0005-0000-0000-000075670000}"/>
    <cellStyle name="SAPBEXHLevel3 4" xfId="3175" xr:uid="{00000000-0005-0000-0000-000076670000}"/>
    <cellStyle name="SAPBEXHLevel3 4 2" xfId="5713" xr:uid="{00000000-0005-0000-0000-000077670000}"/>
    <cellStyle name="SAPBEXHLevel3 4 3" xfId="8121" xr:uid="{00000000-0005-0000-0000-000078670000}"/>
    <cellStyle name="SAPBEXHLevel3 4 4" xfId="12168" xr:uid="{00000000-0005-0000-0000-000079670000}"/>
    <cellStyle name="SAPBEXHLevel3 4 5" xfId="14651" xr:uid="{00000000-0005-0000-0000-00007A670000}"/>
    <cellStyle name="SAPBEXHLevel3 4 6" xfId="15533" xr:uid="{00000000-0005-0000-0000-00007B670000}"/>
    <cellStyle name="SAPBEXHLevel3 4 7" xfId="19347" xr:uid="{00000000-0005-0000-0000-00007C670000}"/>
    <cellStyle name="SAPBEXHLevel3 4 8" xfId="20229" xr:uid="{00000000-0005-0000-0000-00007D670000}"/>
    <cellStyle name="SAPBEXHLevel3 4 9" xfId="23842" xr:uid="{00000000-0005-0000-0000-00007E670000}"/>
    <cellStyle name="SAPBEXHLevel3 40" xfId="4849" xr:uid="{00000000-0005-0000-0000-00007F670000}"/>
    <cellStyle name="SAPBEXHLevel3 40 2" xfId="7387" xr:uid="{00000000-0005-0000-0000-000080670000}"/>
    <cellStyle name="SAPBEXHLevel3 40 3" xfId="8528" xr:uid="{00000000-0005-0000-0000-000081670000}"/>
    <cellStyle name="SAPBEXHLevel3 40 4" xfId="10389" xr:uid="{00000000-0005-0000-0000-000082670000}"/>
    <cellStyle name="SAPBEXHLevel3 40 5" xfId="12712" xr:uid="{00000000-0005-0000-0000-000083670000}"/>
    <cellStyle name="SAPBEXHLevel3 40 6" xfId="15923" xr:uid="{00000000-0005-0000-0000-000084670000}"/>
    <cellStyle name="SAPBEXHLevel3 40 7" xfId="17408" xr:uid="{00000000-0005-0000-0000-000085670000}"/>
    <cellStyle name="SAPBEXHLevel3 40 8" xfId="20619" xr:uid="{00000000-0005-0000-0000-000086670000}"/>
    <cellStyle name="SAPBEXHLevel3 40 9" xfId="22060" xr:uid="{00000000-0005-0000-0000-000087670000}"/>
    <cellStyle name="SAPBEXHLevel3 41" xfId="4914" xr:uid="{00000000-0005-0000-0000-000088670000}"/>
    <cellStyle name="SAPBEXHLevel3 41 2" xfId="7452" xr:uid="{00000000-0005-0000-0000-000089670000}"/>
    <cellStyle name="SAPBEXHLevel3 41 3" xfId="9516" xr:uid="{00000000-0005-0000-0000-00008A670000}"/>
    <cellStyle name="SAPBEXHLevel3 41 4" xfId="12238" xr:uid="{00000000-0005-0000-0000-00008B670000}"/>
    <cellStyle name="SAPBEXHLevel3 41 5" xfId="14505" xr:uid="{00000000-0005-0000-0000-00008C670000}"/>
    <cellStyle name="SAPBEXHLevel3 41 6" xfId="15253" xr:uid="{00000000-0005-0000-0000-00008D670000}"/>
    <cellStyle name="SAPBEXHLevel3 41 7" xfId="19201" xr:uid="{00000000-0005-0000-0000-00008E670000}"/>
    <cellStyle name="SAPBEXHLevel3 41 8" xfId="19949" xr:uid="{00000000-0005-0000-0000-00008F670000}"/>
    <cellStyle name="SAPBEXHLevel3 41 9" xfId="23700" xr:uid="{00000000-0005-0000-0000-000090670000}"/>
    <cellStyle name="SAPBEXHLevel3 42" xfId="4930" xr:uid="{00000000-0005-0000-0000-000091670000}"/>
    <cellStyle name="SAPBEXHLevel3 42 2" xfId="7468" xr:uid="{00000000-0005-0000-0000-000092670000}"/>
    <cellStyle name="SAPBEXHLevel3 42 3" xfId="9825" xr:uid="{00000000-0005-0000-0000-000093670000}"/>
    <cellStyle name="SAPBEXHLevel3 42 4" xfId="11114" xr:uid="{00000000-0005-0000-0000-000094670000}"/>
    <cellStyle name="SAPBEXHLevel3 42 5" xfId="12412" xr:uid="{00000000-0005-0000-0000-000095670000}"/>
    <cellStyle name="SAPBEXHLevel3 42 6" xfId="15594" xr:uid="{00000000-0005-0000-0000-000096670000}"/>
    <cellStyle name="SAPBEXHLevel3 42 7" xfId="17108" xr:uid="{00000000-0005-0000-0000-000097670000}"/>
    <cellStyle name="SAPBEXHLevel3 42 8" xfId="20290" xr:uid="{00000000-0005-0000-0000-000098670000}"/>
    <cellStyle name="SAPBEXHLevel3 42 9" xfId="21793" xr:uid="{00000000-0005-0000-0000-000099670000}"/>
    <cellStyle name="SAPBEXHLevel3 43" xfId="4969" xr:uid="{00000000-0005-0000-0000-00009A670000}"/>
    <cellStyle name="SAPBEXHLevel3 43 2" xfId="7507" xr:uid="{00000000-0005-0000-0000-00009B670000}"/>
    <cellStyle name="SAPBEXHLevel3 43 3" xfId="9226" xr:uid="{00000000-0005-0000-0000-00009C670000}"/>
    <cellStyle name="SAPBEXHLevel3 43 4" xfId="11511" xr:uid="{00000000-0005-0000-0000-00009D670000}"/>
    <cellStyle name="SAPBEXHLevel3 43 5" xfId="13938" xr:uid="{00000000-0005-0000-0000-00009E670000}"/>
    <cellStyle name="SAPBEXHLevel3 43 6" xfId="15943" xr:uid="{00000000-0005-0000-0000-00009F670000}"/>
    <cellStyle name="SAPBEXHLevel3 43 7" xfId="18634" xr:uid="{00000000-0005-0000-0000-0000A0670000}"/>
    <cellStyle name="SAPBEXHLevel3 43 8" xfId="20639" xr:uid="{00000000-0005-0000-0000-0000A1670000}"/>
    <cellStyle name="SAPBEXHLevel3 43 9" xfId="23185" xr:uid="{00000000-0005-0000-0000-0000A2670000}"/>
    <cellStyle name="SAPBEXHLevel3 44" xfId="5007" xr:uid="{00000000-0005-0000-0000-0000A3670000}"/>
    <cellStyle name="SAPBEXHLevel3 44 2" xfId="7545" xr:uid="{00000000-0005-0000-0000-0000A4670000}"/>
    <cellStyle name="SAPBEXHLevel3 44 3" xfId="9110" xr:uid="{00000000-0005-0000-0000-0000A5670000}"/>
    <cellStyle name="SAPBEXHLevel3 44 4" xfId="12203" xr:uid="{00000000-0005-0000-0000-0000A6670000}"/>
    <cellStyle name="SAPBEXHLevel3 44 5" xfId="12424" xr:uid="{00000000-0005-0000-0000-0000A7670000}"/>
    <cellStyle name="SAPBEXHLevel3 44 6" xfId="13261" xr:uid="{00000000-0005-0000-0000-0000A8670000}"/>
    <cellStyle name="SAPBEXHLevel3 44 7" xfId="17120" xr:uid="{00000000-0005-0000-0000-0000A9670000}"/>
    <cellStyle name="SAPBEXHLevel3 44 8" xfId="17957" xr:uid="{00000000-0005-0000-0000-0000AA670000}"/>
    <cellStyle name="SAPBEXHLevel3 44 9" xfId="21804" xr:uid="{00000000-0005-0000-0000-0000AB670000}"/>
    <cellStyle name="SAPBEXHLevel3 45" xfId="5044" xr:uid="{00000000-0005-0000-0000-0000AC670000}"/>
    <cellStyle name="SAPBEXHLevel3 45 2" xfId="7582" xr:uid="{00000000-0005-0000-0000-0000AD670000}"/>
    <cellStyle name="SAPBEXHLevel3 45 3" xfId="8623" xr:uid="{00000000-0005-0000-0000-0000AE670000}"/>
    <cellStyle name="SAPBEXHLevel3 45 4" xfId="11791" xr:uid="{00000000-0005-0000-0000-0000AF670000}"/>
    <cellStyle name="SAPBEXHLevel3 45 5" xfId="14248" xr:uid="{00000000-0005-0000-0000-0000B0670000}"/>
    <cellStyle name="SAPBEXHLevel3 45 6" xfId="16237" xr:uid="{00000000-0005-0000-0000-0000B1670000}"/>
    <cellStyle name="SAPBEXHLevel3 45 7" xfId="18944" xr:uid="{00000000-0005-0000-0000-0000B2670000}"/>
    <cellStyle name="SAPBEXHLevel3 45 8" xfId="20933" xr:uid="{00000000-0005-0000-0000-0000B3670000}"/>
    <cellStyle name="SAPBEXHLevel3 45 9" xfId="23466" xr:uid="{00000000-0005-0000-0000-0000B4670000}"/>
    <cellStyle name="SAPBEXHLevel3 46" xfId="5074" xr:uid="{00000000-0005-0000-0000-0000B5670000}"/>
    <cellStyle name="SAPBEXHLevel3 46 2" xfId="7612" xr:uid="{00000000-0005-0000-0000-0000B6670000}"/>
    <cellStyle name="SAPBEXHLevel3 46 3" xfId="8693" xr:uid="{00000000-0005-0000-0000-0000B7670000}"/>
    <cellStyle name="SAPBEXHLevel3 46 4" xfId="10722" xr:uid="{00000000-0005-0000-0000-0000B8670000}"/>
    <cellStyle name="SAPBEXHLevel3 46 5" xfId="13077" xr:uid="{00000000-0005-0000-0000-0000B9670000}"/>
    <cellStyle name="SAPBEXHLevel3 46 6" xfId="16521" xr:uid="{00000000-0005-0000-0000-0000BA670000}"/>
    <cellStyle name="SAPBEXHLevel3 46 7" xfId="17773" xr:uid="{00000000-0005-0000-0000-0000BB670000}"/>
    <cellStyle name="SAPBEXHLevel3 46 8" xfId="21217" xr:uid="{00000000-0005-0000-0000-0000BC670000}"/>
    <cellStyle name="SAPBEXHLevel3 46 9" xfId="22395" xr:uid="{00000000-0005-0000-0000-0000BD670000}"/>
    <cellStyle name="SAPBEXHLevel3 47" xfId="5100" xr:uid="{00000000-0005-0000-0000-0000BE670000}"/>
    <cellStyle name="SAPBEXHLevel3 47 2" xfId="7638" xr:uid="{00000000-0005-0000-0000-0000BF670000}"/>
    <cellStyle name="SAPBEXHLevel3 47 3" xfId="7653" xr:uid="{00000000-0005-0000-0000-0000C0670000}"/>
    <cellStyle name="SAPBEXHLevel3 47 4" xfId="12102" xr:uid="{00000000-0005-0000-0000-0000C1670000}"/>
    <cellStyle name="SAPBEXHLevel3 47 5" xfId="14735" xr:uid="{00000000-0005-0000-0000-0000C2670000}"/>
    <cellStyle name="SAPBEXHLevel3 47 6" xfId="16356" xr:uid="{00000000-0005-0000-0000-0000C3670000}"/>
    <cellStyle name="SAPBEXHLevel3 47 7" xfId="19431" xr:uid="{00000000-0005-0000-0000-0000C4670000}"/>
    <cellStyle name="SAPBEXHLevel3 47 8" xfId="21052" xr:uid="{00000000-0005-0000-0000-0000C5670000}"/>
    <cellStyle name="SAPBEXHLevel3 47 9" xfId="23921" xr:uid="{00000000-0005-0000-0000-0000C6670000}"/>
    <cellStyle name="SAPBEXHLevel3 48" xfId="5148" xr:uid="{00000000-0005-0000-0000-0000C7670000}"/>
    <cellStyle name="SAPBEXHLevel3 48 2" xfId="7686" xr:uid="{00000000-0005-0000-0000-0000C8670000}"/>
    <cellStyle name="SAPBEXHLevel3 48 3" xfId="8232" xr:uid="{00000000-0005-0000-0000-0000C9670000}"/>
    <cellStyle name="SAPBEXHLevel3 48 4" xfId="11359" xr:uid="{00000000-0005-0000-0000-0000CA670000}"/>
    <cellStyle name="SAPBEXHLevel3 48 5" xfId="13772" xr:uid="{00000000-0005-0000-0000-0000CB670000}"/>
    <cellStyle name="SAPBEXHLevel3 48 6" xfId="15643" xr:uid="{00000000-0005-0000-0000-0000CC670000}"/>
    <cellStyle name="SAPBEXHLevel3 48 7" xfId="18468" xr:uid="{00000000-0005-0000-0000-0000CD670000}"/>
    <cellStyle name="SAPBEXHLevel3 48 8" xfId="20339" xr:uid="{00000000-0005-0000-0000-0000CE670000}"/>
    <cellStyle name="SAPBEXHLevel3 48 9" xfId="23033" xr:uid="{00000000-0005-0000-0000-0000CF670000}"/>
    <cellStyle name="SAPBEXHLevel3 49" xfId="5217" xr:uid="{00000000-0005-0000-0000-0000D0670000}"/>
    <cellStyle name="SAPBEXHLevel3 49 2" xfId="7756" xr:uid="{00000000-0005-0000-0000-0000D1670000}"/>
    <cellStyle name="SAPBEXHLevel3 49 3" xfId="9958" xr:uid="{00000000-0005-0000-0000-0000D2670000}"/>
    <cellStyle name="SAPBEXHLevel3 49 4" xfId="10632" xr:uid="{00000000-0005-0000-0000-0000D3670000}"/>
    <cellStyle name="SAPBEXHLevel3 49 5" xfId="12981" xr:uid="{00000000-0005-0000-0000-0000D4670000}"/>
    <cellStyle name="SAPBEXHLevel3 49 6" xfId="16445" xr:uid="{00000000-0005-0000-0000-0000D5670000}"/>
    <cellStyle name="SAPBEXHLevel3 49 7" xfId="17677" xr:uid="{00000000-0005-0000-0000-0000D6670000}"/>
    <cellStyle name="SAPBEXHLevel3 49 8" xfId="21141" xr:uid="{00000000-0005-0000-0000-0000D7670000}"/>
    <cellStyle name="SAPBEXHLevel3 49 9" xfId="22305" xr:uid="{00000000-0005-0000-0000-0000D8670000}"/>
    <cellStyle name="SAPBEXHLevel3 5" xfId="3218" xr:uid="{00000000-0005-0000-0000-0000D9670000}"/>
    <cellStyle name="SAPBEXHLevel3 5 2" xfId="5756" xr:uid="{00000000-0005-0000-0000-0000DA670000}"/>
    <cellStyle name="SAPBEXHLevel3 5 3" xfId="7939" xr:uid="{00000000-0005-0000-0000-0000DB670000}"/>
    <cellStyle name="SAPBEXHLevel3 5 4" xfId="10894" xr:uid="{00000000-0005-0000-0000-0000DC670000}"/>
    <cellStyle name="SAPBEXHLevel3 5 5" xfId="13263" xr:uid="{00000000-0005-0000-0000-0000DD670000}"/>
    <cellStyle name="SAPBEXHLevel3 5 6" xfId="16772" xr:uid="{00000000-0005-0000-0000-0000DE670000}"/>
    <cellStyle name="SAPBEXHLevel3 5 7" xfId="17959" xr:uid="{00000000-0005-0000-0000-0000DF670000}"/>
    <cellStyle name="SAPBEXHLevel3 5 8" xfId="21468" xr:uid="{00000000-0005-0000-0000-0000E0670000}"/>
    <cellStyle name="SAPBEXHLevel3 5 9" xfId="22565" xr:uid="{00000000-0005-0000-0000-0000E1670000}"/>
    <cellStyle name="SAPBEXHLevel3 50" xfId="5255" xr:uid="{00000000-0005-0000-0000-0000E2670000}"/>
    <cellStyle name="SAPBEXHLevel3 50 2" xfId="5430" xr:uid="{00000000-0005-0000-0000-0000E3670000}"/>
    <cellStyle name="SAPBEXHLevel3 50 3" xfId="10312" xr:uid="{00000000-0005-0000-0000-0000E4670000}"/>
    <cellStyle name="SAPBEXHLevel3 50 4" xfId="12628" xr:uid="{00000000-0005-0000-0000-0000E5670000}"/>
    <cellStyle name="SAPBEXHLevel3 50 5" xfId="15926" xr:uid="{00000000-0005-0000-0000-0000E6670000}"/>
    <cellStyle name="SAPBEXHLevel3 50 6" xfId="17324" xr:uid="{00000000-0005-0000-0000-0000E7670000}"/>
    <cellStyle name="SAPBEXHLevel3 50 7" xfId="20622" xr:uid="{00000000-0005-0000-0000-0000E8670000}"/>
    <cellStyle name="SAPBEXHLevel3 50 8" xfId="21983" xr:uid="{00000000-0005-0000-0000-0000E9670000}"/>
    <cellStyle name="SAPBEXHLevel3 51" xfId="8643" xr:uid="{00000000-0005-0000-0000-0000EA670000}"/>
    <cellStyle name="SAPBEXHLevel3 52" xfId="10366" xr:uid="{00000000-0005-0000-0000-0000EB670000}"/>
    <cellStyle name="SAPBEXHLevel3 53" xfId="12688" xr:uid="{00000000-0005-0000-0000-0000EC670000}"/>
    <cellStyle name="SAPBEXHLevel3 54" xfId="16124" xr:uid="{00000000-0005-0000-0000-0000ED670000}"/>
    <cellStyle name="SAPBEXHLevel3 55" xfId="17384" xr:uid="{00000000-0005-0000-0000-0000EE670000}"/>
    <cellStyle name="SAPBEXHLevel3 56" xfId="20820" xr:uid="{00000000-0005-0000-0000-0000EF670000}"/>
    <cellStyle name="SAPBEXHLevel3 57" xfId="22037" xr:uid="{00000000-0005-0000-0000-0000F0670000}"/>
    <cellStyle name="SAPBEXHLevel3 58" xfId="32673" xr:uid="{352EA0CE-F665-4C06-8E25-68C097FA0797}"/>
    <cellStyle name="SAPBEXHLevel3 6" xfId="3261" xr:uid="{00000000-0005-0000-0000-0000F1670000}"/>
    <cellStyle name="SAPBEXHLevel3 6 2" xfId="5799" xr:uid="{00000000-0005-0000-0000-0000F2670000}"/>
    <cellStyle name="SAPBEXHLevel3 6 3" xfId="8547" xr:uid="{00000000-0005-0000-0000-0000F3670000}"/>
    <cellStyle name="SAPBEXHLevel3 6 4" xfId="11235" xr:uid="{00000000-0005-0000-0000-0000F4670000}"/>
    <cellStyle name="SAPBEXHLevel3 6 5" xfId="13640" xr:uid="{00000000-0005-0000-0000-0000F5670000}"/>
    <cellStyle name="SAPBEXHLevel3 6 6" xfId="16230" xr:uid="{00000000-0005-0000-0000-0000F6670000}"/>
    <cellStyle name="SAPBEXHLevel3 6 7" xfId="18336" xr:uid="{00000000-0005-0000-0000-0000F7670000}"/>
    <cellStyle name="SAPBEXHLevel3 6 8" xfId="20926" xr:uid="{00000000-0005-0000-0000-0000F8670000}"/>
    <cellStyle name="SAPBEXHLevel3 6 9" xfId="22909" xr:uid="{00000000-0005-0000-0000-0000F9670000}"/>
    <cellStyle name="SAPBEXHLevel3 7" xfId="3304" xr:uid="{00000000-0005-0000-0000-0000FA670000}"/>
    <cellStyle name="SAPBEXHLevel3 7 2" xfId="5842" xr:uid="{00000000-0005-0000-0000-0000FB670000}"/>
    <cellStyle name="SAPBEXHLevel3 7 3" xfId="9021" xr:uid="{00000000-0005-0000-0000-0000FC670000}"/>
    <cellStyle name="SAPBEXHLevel3 7 4" xfId="10439" xr:uid="{00000000-0005-0000-0000-0000FD670000}"/>
    <cellStyle name="SAPBEXHLevel3 7 5" xfId="12765" xr:uid="{00000000-0005-0000-0000-0000FE670000}"/>
    <cellStyle name="SAPBEXHLevel3 7 6" xfId="15941" xr:uid="{00000000-0005-0000-0000-0000FF670000}"/>
    <cellStyle name="SAPBEXHLevel3 7 7" xfId="17461" xr:uid="{00000000-0005-0000-0000-000000680000}"/>
    <cellStyle name="SAPBEXHLevel3 7 8" xfId="20637" xr:uid="{00000000-0005-0000-0000-000001680000}"/>
    <cellStyle name="SAPBEXHLevel3 7 9" xfId="22110" xr:uid="{00000000-0005-0000-0000-000002680000}"/>
    <cellStyle name="SAPBEXHLevel3 8" xfId="3347" xr:uid="{00000000-0005-0000-0000-000003680000}"/>
    <cellStyle name="SAPBEXHLevel3 8 2" xfId="5885" xr:uid="{00000000-0005-0000-0000-000004680000}"/>
    <cellStyle name="SAPBEXHLevel3 8 3" xfId="9214" xr:uid="{00000000-0005-0000-0000-000005680000}"/>
    <cellStyle name="SAPBEXHLevel3 8 4" xfId="12035" xr:uid="{00000000-0005-0000-0000-000006680000}"/>
    <cellStyle name="SAPBEXHLevel3 8 5" xfId="14517" xr:uid="{00000000-0005-0000-0000-000007680000}"/>
    <cellStyle name="SAPBEXHLevel3 8 6" xfId="13904" xr:uid="{00000000-0005-0000-0000-000008680000}"/>
    <cellStyle name="SAPBEXHLevel3 8 7" xfId="19213" xr:uid="{00000000-0005-0000-0000-000009680000}"/>
    <cellStyle name="SAPBEXHLevel3 8 8" xfId="18600" xr:uid="{00000000-0005-0000-0000-00000A680000}"/>
    <cellStyle name="SAPBEXHLevel3 8 9" xfId="23710" xr:uid="{00000000-0005-0000-0000-00000B680000}"/>
    <cellStyle name="SAPBEXHLevel3 9" xfId="3390" xr:uid="{00000000-0005-0000-0000-00000C680000}"/>
    <cellStyle name="SAPBEXHLevel3 9 2" xfId="5928" xr:uid="{00000000-0005-0000-0000-00000D680000}"/>
    <cellStyle name="SAPBEXHLevel3 9 3" xfId="8679" xr:uid="{00000000-0005-0000-0000-00000E680000}"/>
    <cellStyle name="SAPBEXHLevel3 9 4" xfId="8363" xr:uid="{00000000-0005-0000-0000-00000F680000}"/>
    <cellStyle name="SAPBEXHLevel3 9 5" xfId="12395" xr:uid="{00000000-0005-0000-0000-000010680000}"/>
    <cellStyle name="SAPBEXHLevel3 9 6" xfId="14995" xr:uid="{00000000-0005-0000-0000-000011680000}"/>
    <cellStyle name="SAPBEXHLevel3 9 7" xfId="17091" xr:uid="{00000000-0005-0000-0000-000012680000}"/>
    <cellStyle name="SAPBEXHLevel3 9 8" xfId="19691" xr:uid="{00000000-0005-0000-0000-000013680000}"/>
    <cellStyle name="SAPBEXHLevel3 9 9" xfId="21780" xr:uid="{00000000-0005-0000-0000-000014680000}"/>
    <cellStyle name="SAPBEXHLevel3X" xfId="2968" xr:uid="{00000000-0005-0000-0000-000015680000}"/>
    <cellStyle name="SAPBEXHLevel3X 10" xfId="3434" xr:uid="{00000000-0005-0000-0000-000016680000}"/>
    <cellStyle name="SAPBEXHLevel3X 10 2" xfId="5972" xr:uid="{00000000-0005-0000-0000-000017680000}"/>
    <cellStyle name="SAPBEXHLevel3X 10 3" xfId="8850" xr:uid="{00000000-0005-0000-0000-000018680000}"/>
    <cellStyle name="SAPBEXHLevel3X 10 4" xfId="9686" xr:uid="{00000000-0005-0000-0000-000019680000}"/>
    <cellStyle name="SAPBEXHLevel3X 10 5" xfId="12436" xr:uid="{00000000-0005-0000-0000-00001A680000}"/>
    <cellStyle name="SAPBEXHLevel3X 10 6" xfId="16197" xr:uid="{00000000-0005-0000-0000-00001B680000}"/>
    <cellStyle name="SAPBEXHLevel3X 10 7" xfId="17132" xr:uid="{00000000-0005-0000-0000-00001C680000}"/>
    <cellStyle name="SAPBEXHLevel3X 10 8" xfId="20893" xr:uid="{00000000-0005-0000-0000-00001D680000}"/>
    <cellStyle name="SAPBEXHLevel3X 10 9" xfId="21816" xr:uid="{00000000-0005-0000-0000-00001E680000}"/>
    <cellStyle name="SAPBEXHLevel3X 11" xfId="3501" xr:uid="{00000000-0005-0000-0000-00001F680000}"/>
    <cellStyle name="SAPBEXHLevel3X 11 2" xfId="6039" xr:uid="{00000000-0005-0000-0000-000020680000}"/>
    <cellStyle name="SAPBEXHLevel3X 11 3" xfId="8750" xr:uid="{00000000-0005-0000-0000-000021680000}"/>
    <cellStyle name="SAPBEXHLevel3X 11 4" xfId="10404" xr:uid="{00000000-0005-0000-0000-000022680000}"/>
    <cellStyle name="SAPBEXHLevel3X 11 5" xfId="12727" xr:uid="{00000000-0005-0000-0000-000023680000}"/>
    <cellStyle name="SAPBEXHLevel3X 11 6" xfId="15737" xr:uid="{00000000-0005-0000-0000-000024680000}"/>
    <cellStyle name="SAPBEXHLevel3X 11 7" xfId="17423" xr:uid="{00000000-0005-0000-0000-000025680000}"/>
    <cellStyle name="SAPBEXHLevel3X 11 8" xfId="20433" xr:uid="{00000000-0005-0000-0000-000026680000}"/>
    <cellStyle name="SAPBEXHLevel3X 11 9" xfId="22075" xr:uid="{00000000-0005-0000-0000-000027680000}"/>
    <cellStyle name="SAPBEXHLevel3X 12" xfId="3520" xr:uid="{00000000-0005-0000-0000-000028680000}"/>
    <cellStyle name="SAPBEXHLevel3X 12 2" xfId="6058" xr:uid="{00000000-0005-0000-0000-000029680000}"/>
    <cellStyle name="SAPBEXHLevel3X 12 3" xfId="9725" xr:uid="{00000000-0005-0000-0000-00002A680000}"/>
    <cellStyle name="SAPBEXHLevel3X 12 4" xfId="11388" xr:uid="{00000000-0005-0000-0000-00002B680000}"/>
    <cellStyle name="SAPBEXHLevel3X 12 5" xfId="13803" xr:uid="{00000000-0005-0000-0000-00002C680000}"/>
    <cellStyle name="SAPBEXHLevel3X 12 6" xfId="14980" xr:uid="{00000000-0005-0000-0000-00002D680000}"/>
    <cellStyle name="SAPBEXHLevel3X 12 7" xfId="18499" xr:uid="{00000000-0005-0000-0000-00002E680000}"/>
    <cellStyle name="SAPBEXHLevel3X 12 8" xfId="19676" xr:uid="{00000000-0005-0000-0000-00002F680000}"/>
    <cellStyle name="SAPBEXHLevel3X 12 9" xfId="23062" xr:uid="{00000000-0005-0000-0000-000030680000}"/>
    <cellStyle name="SAPBEXHLevel3X 13" xfId="3563" xr:uid="{00000000-0005-0000-0000-000031680000}"/>
    <cellStyle name="SAPBEXHLevel3X 13 2" xfId="6101" xr:uid="{00000000-0005-0000-0000-000032680000}"/>
    <cellStyle name="SAPBEXHLevel3X 13 3" xfId="10013" xr:uid="{00000000-0005-0000-0000-000033680000}"/>
    <cellStyle name="SAPBEXHLevel3X 13 4" xfId="10579" xr:uid="{00000000-0005-0000-0000-000034680000}"/>
    <cellStyle name="SAPBEXHLevel3X 13 5" xfId="12925" xr:uid="{00000000-0005-0000-0000-000035680000}"/>
    <cellStyle name="SAPBEXHLevel3X 13 6" xfId="15719" xr:uid="{00000000-0005-0000-0000-000036680000}"/>
    <cellStyle name="SAPBEXHLevel3X 13 7" xfId="17621" xr:uid="{00000000-0005-0000-0000-000037680000}"/>
    <cellStyle name="SAPBEXHLevel3X 13 8" xfId="20415" xr:uid="{00000000-0005-0000-0000-000038680000}"/>
    <cellStyle name="SAPBEXHLevel3X 13 9" xfId="22251" xr:uid="{00000000-0005-0000-0000-000039680000}"/>
    <cellStyle name="SAPBEXHLevel3X 14" xfId="3605" xr:uid="{00000000-0005-0000-0000-00003A680000}"/>
    <cellStyle name="SAPBEXHLevel3X 14 2" xfId="6143" xr:uid="{00000000-0005-0000-0000-00003B680000}"/>
    <cellStyle name="SAPBEXHLevel3X 14 3" xfId="8678" xr:uid="{00000000-0005-0000-0000-00003C680000}"/>
    <cellStyle name="SAPBEXHLevel3X 14 4" xfId="11491" xr:uid="{00000000-0005-0000-0000-00003D680000}"/>
    <cellStyle name="SAPBEXHLevel3X 14 5" xfId="13918" xr:uid="{00000000-0005-0000-0000-00003E680000}"/>
    <cellStyle name="SAPBEXHLevel3X 14 6" xfId="15460" xr:uid="{00000000-0005-0000-0000-00003F680000}"/>
    <cellStyle name="SAPBEXHLevel3X 14 7" xfId="18614" xr:uid="{00000000-0005-0000-0000-000040680000}"/>
    <cellStyle name="SAPBEXHLevel3X 14 8" xfId="20156" xr:uid="{00000000-0005-0000-0000-000041680000}"/>
    <cellStyle name="SAPBEXHLevel3X 14 9" xfId="23166" xr:uid="{00000000-0005-0000-0000-000042680000}"/>
    <cellStyle name="SAPBEXHLevel3X 15" xfId="3632" xr:uid="{00000000-0005-0000-0000-000043680000}"/>
    <cellStyle name="SAPBEXHLevel3X 15 2" xfId="6170" xr:uid="{00000000-0005-0000-0000-000044680000}"/>
    <cellStyle name="SAPBEXHLevel3X 15 3" xfId="8855" xr:uid="{00000000-0005-0000-0000-000045680000}"/>
    <cellStyle name="SAPBEXHLevel3X 15 4" xfId="11736" xr:uid="{00000000-0005-0000-0000-000046680000}"/>
    <cellStyle name="SAPBEXHLevel3X 15 5" xfId="14187" xr:uid="{00000000-0005-0000-0000-000047680000}"/>
    <cellStyle name="SAPBEXHLevel3X 15 6" xfId="15146" xr:uid="{00000000-0005-0000-0000-000048680000}"/>
    <cellStyle name="SAPBEXHLevel3X 15 7" xfId="18883" xr:uid="{00000000-0005-0000-0000-000049680000}"/>
    <cellStyle name="SAPBEXHLevel3X 15 8" xfId="19842" xr:uid="{00000000-0005-0000-0000-00004A680000}"/>
    <cellStyle name="SAPBEXHLevel3X 15 9" xfId="23410" xr:uid="{00000000-0005-0000-0000-00004B680000}"/>
    <cellStyle name="SAPBEXHLevel3X 16" xfId="3675" xr:uid="{00000000-0005-0000-0000-00004C680000}"/>
    <cellStyle name="SAPBEXHLevel3X 16 2" xfId="6213" xr:uid="{00000000-0005-0000-0000-00004D680000}"/>
    <cellStyle name="SAPBEXHLevel3X 16 3" xfId="8345" xr:uid="{00000000-0005-0000-0000-00004E680000}"/>
    <cellStyle name="SAPBEXHLevel3X 16 4" xfId="8263" xr:uid="{00000000-0005-0000-0000-00004F680000}"/>
    <cellStyle name="SAPBEXHLevel3X 16 5" xfId="12361" xr:uid="{00000000-0005-0000-0000-000050680000}"/>
    <cellStyle name="SAPBEXHLevel3X 16 6" xfId="16256" xr:uid="{00000000-0005-0000-0000-000051680000}"/>
    <cellStyle name="SAPBEXHLevel3X 16 7" xfId="17057" xr:uid="{00000000-0005-0000-0000-000052680000}"/>
    <cellStyle name="SAPBEXHLevel3X 16 8" xfId="20952" xr:uid="{00000000-0005-0000-0000-000053680000}"/>
    <cellStyle name="SAPBEXHLevel3X 16 9" xfId="21748" xr:uid="{00000000-0005-0000-0000-000054680000}"/>
    <cellStyle name="SAPBEXHLevel3X 17" xfId="3671" xr:uid="{00000000-0005-0000-0000-000055680000}"/>
    <cellStyle name="SAPBEXHLevel3X 17 2" xfId="6209" xr:uid="{00000000-0005-0000-0000-000056680000}"/>
    <cellStyle name="SAPBEXHLevel3X 17 3" xfId="9504" xr:uid="{00000000-0005-0000-0000-000057680000}"/>
    <cellStyle name="SAPBEXHLevel3X 17 4" xfId="11911" xr:uid="{00000000-0005-0000-0000-000058680000}"/>
    <cellStyle name="SAPBEXHLevel3X 17 5" xfId="14383" xr:uid="{00000000-0005-0000-0000-000059680000}"/>
    <cellStyle name="SAPBEXHLevel3X 17 6" xfId="16741" xr:uid="{00000000-0005-0000-0000-00005A680000}"/>
    <cellStyle name="SAPBEXHLevel3X 17 7" xfId="19079" xr:uid="{00000000-0005-0000-0000-00005B680000}"/>
    <cellStyle name="SAPBEXHLevel3X 17 8" xfId="21437" xr:uid="{00000000-0005-0000-0000-00005C680000}"/>
    <cellStyle name="SAPBEXHLevel3X 17 9" xfId="23586" xr:uid="{00000000-0005-0000-0000-00005D680000}"/>
    <cellStyle name="SAPBEXHLevel3X 18" xfId="3737" xr:uid="{00000000-0005-0000-0000-00005E680000}"/>
    <cellStyle name="SAPBEXHLevel3X 18 2" xfId="6275" xr:uid="{00000000-0005-0000-0000-00005F680000}"/>
    <cellStyle name="SAPBEXHLevel3X 18 3" xfId="9286" xr:uid="{00000000-0005-0000-0000-000060680000}"/>
    <cellStyle name="SAPBEXHLevel3X 18 4" xfId="11890" xr:uid="{00000000-0005-0000-0000-000061680000}"/>
    <cellStyle name="SAPBEXHLevel3X 18 5" xfId="14357" xr:uid="{00000000-0005-0000-0000-000062680000}"/>
    <cellStyle name="SAPBEXHLevel3X 18 6" xfId="16612" xr:uid="{00000000-0005-0000-0000-000063680000}"/>
    <cellStyle name="SAPBEXHLevel3X 18 7" xfId="19053" xr:uid="{00000000-0005-0000-0000-000064680000}"/>
    <cellStyle name="SAPBEXHLevel3X 18 8" xfId="21308" xr:uid="{00000000-0005-0000-0000-000065680000}"/>
    <cellStyle name="SAPBEXHLevel3X 18 9" xfId="23566" xr:uid="{00000000-0005-0000-0000-000066680000}"/>
    <cellStyle name="SAPBEXHLevel3X 19" xfId="3733" xr:uid="{00000000-0005-0000-0000-000067680000}"/>
    <cellStyle name="SAPBEXHLevel3X 19 2" xfId="6271" xr:uid="{00000000-0005-0000-0000-000068680000}"/>
    <cellStyle name="SAPBEXHLevel3X 19 3" xfId="8207" xr:uid="{00000000-0005-0000-0000-000069680000}"/>
    <cellStyle name="SAPBEXHLevel3X 19 4" xfId="10997" xr:uid="{00000000-0005-0000-0000-00006A680000}"/>
    <cellStyle name="SAPBEXHLevel3X 19 5" xfId="13372" xr:uid="{00000000-0005-0000-0000-00006B680000}"/>
    <cellStyle name="SAPBEXHLevel3X 19 6" xfId="15832" xr:uid="{00000000-0005-0000-0000-00006C680000}"/>
    <cellStyle name="SAPBEXHLevel3X 19 7" xfId="18068" xr:uid="{00000000-0005-0000-0000-00006D680000}"/>
    <cellStyle name="SAPBEXHLevel3X 19 8" xfId="20528" xr:uid="{00000000-0005-0000-0000-00006E680000}"/>
    <cellStyle name="SAPBEXHLevel3X 19 9" xfId="22670" xr:uid="{00000000-0005-0000-0000-00006F680000}"/>
    <cellStyle name="SAPBEXHLevel3X 2" xfId="3087" xr:uid="{00000000-0005-0000-0000-000070680000}"/>
    <cellStyle name="SAPBEXHLevel3X 2 10" xfId="32757" xr:uid="{4E214C96-81C3-4957-B4C6-302E7DEAF7FC}"/>
    <cellStyle name="SAPBEXHLevel3X 2 2" xfId="5625" xr:uid="{00000000-0005-0000-0000-000071680000}"/>
    <cellStyle name="SAPBEXHLevel3X 2 2 2" xfId="42288" xr:uid="{3015E03F-1F1A-4722-AC25-904D18847D10}"/>
    <cellStyle name="SAPBEXHLevel3X 2 3" xfId="10194" xr:uid="{00000000-0005-0000-0000-000072680000}"/>
    <cellStyle name="SAPBEXHLevel3X 2 4" xfId="11685" xr:uid="{00000000-0005-0000-0000-000073680000}"/>
    <cellStyle name="SAPBEXHLevel3X 2 5" xfId="14133" xr:uid="{00000000-0005-0000-0000-000074680000}"/>
    <cellStyle name="SAPBEXHLevel3X 2 6" xfId="16465" xr:uid="{00000000-0005-0000-0000-000075680000}"/>
    <cellStyle name="SAPBEXHLevel3X 2 7" xfId="18829" xr:uid="{00000000-0005-0000-0000-000076680000}"/>
    <cellStyle name="SAPBEXHLevel3X 2 8" xfId="21161" xr:uid="{00000000-0005-0000-0000-000077680000}"/>
    <cellStyle name="SAPBEXHLevel3X 2 9" xfId="23359" xr:uid="{00000000-0005-0000-0000-000078680000}"/>
    <cellStyle name="SAPBEXHLevel3X 20" xfId="3827" xr:uid="{00000000-0005-0000-0000-000079680000}"/>
    <cellStyle name="SAPBEXHLevel3X 20 2" xfId="6365" xr:uid="{00000000-0005-0000-0000-00007A680000}"/>
    <cellStyle name="SAPBEXHLevel3X 20 3" xfId="8462" xr:uid="{00000000-0005-0000-0000-00007B680000}"/>
    <cellStyle name="SAPBEXHLevel3X 20 4" xfId="10005" xr:uid="{00000000-0005-0000-0000-00007C680000}"/>
    <cellStyle name="SAPBEXHLevel3X 20 5" xfId="14912" xr:uid="{00000000-0005-0000-0000-00007D680000}"/>
    <cellStyle name="SAPBEXHLevel3X 20 6" xfId="15497" xr:uid="{00000000-0005-0000-0000-00007E680000}"/>
    <cellStyle name="SAPBEXHLevel3X 20 7" xfId="19608" xr:uid="{00000000-0005-0000-0000-00007F680000}"/>
    <cellStyle name="SAPBEXHLevel3X 20 8" xfId="20193" xr:uid="{00000000-0005-0000-0000-000080680000}"/>
    <cellStyle name="SAPBEXHLevel3X 20 9" xfId="24076" xr:uid="{00000000-0005-0000-0000-000081680000}"/>
    <cellStyle name="SAPBEXHLevel3X 21" xfId="3849" xr:uid="{00000000-0005-0000-0000-000082680000}"/>
    <cellStyle name="SAPBEXHLevel3X 21 2" xfId="6387" xr:uid="{00000000-0005-0000-0000-000083680000}"/>
    <cellStyle name="SAPBEXHLevel3X 21 3" xfId="5506" xr:uid="{00000000-0005-0000-0000-000084680000}"/>
    <cellStyle name="SAPBEXHLevel3X 21 4" xfId="12284" xr:uid="{00000000-0005-0000-0000-000085680000}"/>
    <cellStyle name="SAPBEXHLevel3X 21 5" xfId="13767" xr:uid="{00000000-0005-0000-0000-000086680000}"/>
    <cellStyle name="SAPBEXHLevel3X 21 6" xfId="16155" xr:uid="{00000000-0005-0000-0000-000087680000}"/>
    <cellStyle name="SAPBEXHLevel3X 21 7" xfId="18463" xr:uid="{00000000-0005-0000-0000-000088680000}"/>
    <cellStyle name="SAPBEXHLevel3X 21 8" xfId="20851" xr:uid="{00000000-0005-0000-0000-000089680000}"/>
    <cellStyle name="SAPBEXHLevel3X 21 9" xfId="23029" xr:uid="{00000000-0005-0000-0000-00008A680000}"/>
    <cellStyle name="SAPBEXHLevel3X 22" xfId="3845" xr:uid="{00000000-0005-0000-0000-00008B680000}"/>
    <cellStyle name="SAPBEXHLevel3X 22 2" xfId="6383" xr:uid="{00000000-0005-0000-0000-00008C680000}"/>
    <cellStyle name="SAPBEXHLevel3X 22 3" xfId="9364" xr:uid="{00000000-0005-0000-0000-00008D680000}"/>
    <cellStyle name="SAPBEXHLevel3X 22 4" xfId="12148" xr:uid="{00000000-0005-0000-0000-00008E680000}"/>
    <cellStyle name="SAPBEXHLevel3X 22 5" xfId="14631" xr:uid="{00000000-0005-0000-0000-00008F680000}"/>
    <cellStyle name="SAPBEXHLevel3X 22 6" xfId="16715" xr:uid="{00000000-0005-0000-0000-000090680000}"/>
    <cellStyle name="SAPBEXHLevel3X 22 7" xfId="19327" xr:uid="{00000000-0005-0000-0000-000091680000}"/>
    <cellStyle name="SAPBEXHLevel3X 22 8" xfId="21411" xr:uid="{00000000-0005-0000-0000-000092680000}"/>
    <cellStyle name="SAPBEXHLevel3X 22 9" xfId="23822" xr:uid="{00000000-0005-0000-0000-000093680000}"/>
    <cellStyle name="SAPBEXHLevel3X 23" xfId="3911" xr:uid="{00000000-0005-0000-0000-000094680000}"/>
    <cellStyle name="SAPBEXHLevel3X 23 2" xfId="6449" xr:uid="{00000000-0005-0000-0000-000095680000}"/>
    <cellStyle name="SAPBEXHLevel3X 23 3" xfId="8272" xr:uid="{00000000-0005-0000-0000-000096680000}"/>
    <cellStyle name="SAPBEXHLevel3X 23 4" xfId="10553" xr:uid="{00000000-0005-0000-0000-000097680000}"/>
    <cellStyle name="SAPBEXHLevel3X 23 5" xfId="12896" xr:uid="{00000000-0005-0000-0000-000098680000}"/>
    <cellStyle name="SAPBEXHLevel3X 23 6" xfId="15699" xr:uid="{00000000-0005-0000-0000-000099680000}"/>
    <cellStyle name="SAPBEXHLevel3X 23 7" xfId="17592" xr:uid="{00000000-0005-0000-0000-00009A680000}"/>
    <cellStyle name="SAPBEXHLevel3X 23 8" xfId="20395" xr:uid="{00000000-0005-0000-0000-00009B680000}"/>
    <cellStyle name="SAPBEXHLevel3X 23 9" xfId="22224" xr:uid="{00000000-0005-0000-0000-00009C680000}"/>
    <cellStyle name="SAPBEXHLevel3X 24" xfId="3954" xr:uid="{00000000-0005-0000-0000-00009D680000}"/>
    <cellStyle name="SAPBEXHLevel3X 24 2" xfId="6492" xr:uid="{00000000-0005-0000-0000-00009E680000}"/>
    <cellStyle name="SAPBEXHLevel3X 24 3" xfId="9001" xr:uid="{00000000-0005-0000-0000-00009F680000}"/>
    <cellStyle name="SAPBEXHLevel3X 24 4" xfId="11755" xr:uid="{00000000-0005-0000-0000-0000A0680000}"/>
    <cellStyle name="SAPBEXHLevel3X 24 5" xfId="13865" xr:uid="{00000000-0005-0000-0000-0000A1680000}"/>
    <cellStyle name="SAPBEXHLevel3X 24 6" xfId="15587" xr:uid="{00000000-0005-0000-0000-0000A2680000}"/>
    <cellStyle name="SAPBEXHLevel3X 24 7" xfId="18561" xr:uid="{00000000-0005-0000-0000-0000A3680000}"/>
    <cellStyle name="SAPBEXHLevel3X 24 8" xfId="20283" xr:uid="{00000000-0005-0000-0000-0000A4680000}"/>
    <cellStyle name="SAPBEXHLevel3X 24 9" xfId="23121" xr:uid="{00000000-0005-0000-0000-0000A5680000}"/>
    <cellStyle name="SAPBEXHLevel3X 25" xfId="3997" xr:uid="{00000000-0005-0000-0000-0000A6680000}"/>
    <cellStyle name="SAPBEXHLevel3X 25 2" xfId="6535" xr:uid="{00000000-0005-0000-0000-0000A7680000}"/>
    <cellStyle name="SAPBEXHLevel3X 25 3" xfId="9684" xr:uid="{00000000-0005-0000-0000-0000A8680000}"/>
    <cellStyle name="SAPBEXHLevel3X 25 4" xfId="10892" xr:uid="{00000000-0005-0000-0000-0000A9680000}"/>
    <cellStyle name="SAPBEXHLevel3X 25 5" xfId="13260" xr:uid="{00000000-0005-0000-0000-0000AA680000}"/>
    <cellStyle name="SAPBEXHLevel3X 25 6" xfId="13166" xr:uid="{00000000-0005-0000-0000-0000AB680000}"/>
    <cellStyle name="SAPBEXHLevel3X 25 7" xfId="17956" xr:uid="{00000000-0005-0000-0000-0000AC680000}"/>
    <cellStyle name="SAPBEXHLevel3X 25 8" xfId="17862" xr:uid="{00000000-0005-0000-0000-0000AD680000}"/>
    <cellStyle name="SAPBEXHLevel3X 25 9" xfId="22563" xr:uid="{00000000-0005-0000-0000-0000AE680000}"/>
    <cellStyle name="SAPBEXHLevel3X 26" xfId="3993" xr:uid="{00000000-0005-0000-0000-0000AF680000}"/>
    <cellStyle name="SAPBEXHLevel3X 26 2" xfId="6531" xr:uid="{00000000-0005-0000-0000-0000B0680000}"/>
    <cellStyle name="SAPBEXHLevel3X 26 3" xfId="5465" xr:uid="{00000000-0005-0000-0000-0000B1680000}"/>
    <cellStyle name="SAPBEXHLevel3X 26 4" xfId="10712" xr:uid="{00000000-0005-0000-0000-0000B2680000}"/>
    <cellStyle name="SAPBEXHLevel3X 26 5" xfId="13066" xr:uid="{00000000-0005-0000-0000-0000B3680000}"/>
    <cellStyle name="SAPBEXHLevel3X 26 6" xfId="15043" xr:uid="{00000000-0005-0000-0000-0000B4680000}"/>
    <cellStyle name="SAPBEXHLevel3X 26 7" xfId="17762" xr:uid="{00000000-0005-0000-0000-0000B5680000}"/>
    <cellStyle name="SAPBEXHLevel3X 26 8" xfId="19739" xr:uid="{00000000-0005-0000-0000-0000B6680000}"/>
    <cellStyle name="SAPBEXHLevel3X 26 9" xfId="22385" xr:uid="{00000000-0005-0000-0000-0000B7680000}"/>
    <cellStyle name="SAPBEXHLevel3X 27" xfId="4086" xr:uid="{00000000-0005-0000-0000-0000B8680000}"/>
    <cellStyle name="SAPBEXHLevel3X 27 2" xfId="6624" xr:uid="{00000000-0005-0000-0000-0000B9680000}"/>
    <cellStyle name="SAPBEXHLevel3X 27 3" xfId="9783" xr:uid="{00000000-0005-0000-0000-0000BA680000}"/>
    <cellStyle name="SAPBEXHLevel3X 27 4" xfId="10496" xr:uid="{00000000-0005-0000-0000-0000BB680000}"/>
    <cellStyle name="SAPBEXHLevel3X 27 5" xfId="12832" xr:uid="{00000000-0005-0000-0000-0000BC680000}"/>
    <cellStyle name="SAPBEXHLevel3X 27 6" xfId="15280" xr:uid="{00000000-0005-0000-0000-0000BD680000}"/>
    <cellStyle name="SAPBEXHLevel3X 27 7" xfId="17528" xr:uid="{00000000-0005-0000-0000-0000BE680000}"/>
    <cellStyle name="SAPBEXHLevel3X 27 8" xfId="19976" xr:uid="{00000000-0005-0000-0000-0000BF680000}"/>
    <cellStyle name="SAPBEXHLevel3X 27 9" xfId="22166" xr:uid="{00000000-0005-0000-0000-0000C0680000}"/>
    <cellStyle name="SAPBEXHLevel3X 28" xfId="4102" xr:uid="{00000000-0005-0000-0000-0000C1680000}"/>
    <cellStyle name="SAPBEXHLevel3X 28 2" xfId="6640" xr:uid="{00000000-0005-0000-0000-0000C2680000}"/>
    <cellStyle name="SAPBEXHLevel3X 28 3" xfId="9386" xr:uid="{00000000-0005-0000-0000-0000C3680000}"/>
    <cellStyle name="SAPBEXHLevel3X 28 4" xfId="10664" xr:uid="{00000000-0005-0000-0000-0000C4680000}"/>
    <cellStyle name="SAPBEXHLevel3X 28 5" xfId="13013" xr:uid="{00000000-0005-0000-0000-0000C5680000}"/>
    <cellStyle name="SAPBEXHLevel3X 28 6" xfId="16954" xr:uid="{00000000-0005-0000-0000-0000C6680000}"/>
    <cellStyle name="SAPBEXHLevel3X 28 7" xfId="17709" xr:uid="{00000000-0005-0000-0000-0000C7680000}"/>
    <cellStyle name="SAPBEXHLevel3X 28 8" xfId="21650" xr:uid="{00000000-0005-0000-0000-0000C8680000}"/>
    <cellStyle name="SAPBEXHLevel3X 28 9" xfId="22337" xr:uid="{00000000-0005-0000-0000-0000C9680000}"/>
    <cellStyle name="SAPBEXHLevel3X 29" xfId="4145" xr:uid="{00000000-0005-0000-0000-0000CA680000}"/>
    <cellStyle name="SAPBEXHLevel3X 29 2" xfId="6683" xr:uid="{00000000-0005-0000-0000-0000CB680000}"/>
    <cellStyle name="SAPBEXHLevel3X 29 3" xfId="9500" xr:uid="{00000000-0005-0000-0000-0000CC680000}"/>
    <cellStyle name="SAPBEXHLevel3X 29 4" xfId="10919" xr:uid="{00000000-0005-0000-0000-0000CD680000}"/>
    <cellStyle name="SAPBEXHLevel3X 29 5" xfId="13289" xr:uid="{00000000-0005-0000-0000-0000CE680000}"/>
    <cellStyle name="SAPBEXHLevel3X 29 6" xfId="16443" xr:uid="{00000000-0005-0000-0000-0000CF680000}"/>
    <cellStyle name="SAPBEXHLevel3X 29 7" xfId="17985" xr:uid="{00000000-0005-0000-0000-0000D0680000}"/>
    <cellStyle name="SAPBEXHLevel3X 29 8" xfId="21139" xr:uid="{00000000-0005-0000-0000-0000D1680000}"/>
    <cellStyle name="SAPBEXHLevel3X 29 9" xfId="22590" xr:uid="{00000000-0005-0000-0000-0000D2680000}"/>
    <cellStyle name="SAPBEXHLevel3X 3" xfId="3133" xr:uid="{00000000-0005-0000-0000-0000D3680000}"/>
    <cellStyle name="SAPBEXHLevel3X 3 10" xfId="41993" xr:uid="{0E040CD5-4FA1-4919-96F0-33190BBAF959}"/>
    <cellStyle name="SAPBEXHLevel3X 3 2" xfId="5671" xr:uid="{00000000-0005-0000-0000-0000D4680000}"/>
    <cellStyle name="SAPBEXHLevel3X 3 3" xfId="9600" xr:uid="{00000000-0005-0000-0000-0000D5680000}"/>
    <cellStyle name="SAPBEXHLevel3X 3 4" xfId="12291" xr:uid="{00000000-0005-0000-0000-0000D6680000}"/>
    <cellStyle name="SAPBEXHLevel3X 3 5" xfId="12468" xr:uid="{00000000-0005-0000-0000-0000D7680000}"/>
    <cellStyle name="SAPBEXHLevel3X 3 6" xfId="16229" xr:uid="{00000000-0005-0000-0000-0000D8680000}"/>
    <cellStyle name="SAPBEXHLevel3X 3 7" xfId="17164" xr:uid="{00000000-0005-0000-0000-0000D9680000}"/>
    <cellStyle name="SAPBEXHLevel3X 3 8" xfId="20925" xr:uid="{00000000-0005-0000-0000-0000DA680000}"/>
    <cellStyle name="SAPBEXHLevel3X 3 9" xfId="21844" xr:uid="{00000000-0005-0000-0000-0000DB680000}"/>
    <cellStyle name="SAPBEXHLevel3X 30" xfId="4188" xr:uid="{00000000-0005-0000-0000-0000DC680000}"/>
    <cellStyle name="SAPBEXHLevel3X 30 2" xfId="6726" xr:uid="{00000000-0005-0000-0000-0000DD680000}"/>
    <cellStyle name="SAPBEXHLevel3X 30 3" xfId="9950" xr:uid="{00000000-0005-0000-0000-0000DE680000}"/>
    <cellStyle name="SAPBEXHLevel3X 30 4" xfId="10782" xr:uid="{00000000-0005-0000-0000-0000DF680000}"/>
    <cellStyle name="SAPBEXHLevel3X 30 5" xfId="13138" xr:uid="{00000000-0005-0000-0000-0000E0680000}"/>
    <cellStyle name="SAPBEXHLevel3X 30 6" xfId="15248" xr:uid="{00000000-0005-0000-0000-0000E1680000}"/>
    <cellStyle name="SAPBEXHLevel3X 30 7" xfId="17834" xr:uid="{00000000-0005-0000-0000-0000E2680000}"/>
    <cellStyle name="SAPBEXHLevel3X 30 8" xfId="19944" xr:uid="{00000000-0005-0000-0000-0000E3680000}"/>
    <cellStyle name="SAPBEXHLevel3X 30 9" xfId="22453" xr:uid="{00000000-0005-0000-0000-0000E4680000}"/>
    <cellStyle name="SAPBEXHLevel3X 31" xfId="4230" xr:uid="{00000000-0005-0000-0000-0000E5680000}"/>
    <cellStyle name="SAPBEXHLevel3X 31 2" xfId="6768" xr:uid="{00000000-0005-0000-0000-0000E6680000}"/>
    <cellStyle name="SAPBEXHLevel3X 31 3" xfId="9485" xr:uid="{00000000-0005-0000-0000-0000E7680000}"/>
    <cellStyle name="SAPBEXHLevel3X 31 4" xfId="10725" xr:uid="{00000000-0005-0000-0000-0000E8680000}"/>
    <cellStyle name="SAPBEXHLevel3X 31 5" xfId="13080" xr:uid="{00000000-0005-0000-0000-0000E9680000}"/>
    <cellStyle name="SAPBEXHLevel3X 31 6" xfId="15967" xr:uid="{00000000-0005-0000-0000-0000EA680000}"/>
    <cellStyle name="SAPBEXHLevel3X 31 7" xfId="17776" xr:uid="{00000000-0005-0000-0000-0000EB680000}"/>
    <cellStyle name="SAPBEXHLevel3X 31 8" xfId="20663" xr:uid="{00000000-0005-0000-0000-0000EC680000}"/>
    <cellStyle name="SAPBEXHLevel3X 31 9" xfId="22398" xr:uid="{00000000-0005-0000-0000-0000ED680000}"/>
    <cellStyle name="SAPBEXHLevel3X 32" xfId="4273" xr:uid="{00000000-0005-0000-0000-0000EE680000}"/>
    <cellStyle name="SAPBEXHLevel3X 32 2" xfId="6811" xr:uid="{00000000-0005-0000-0000-0000EF680000}"/>
    <cellStyle name="SAPBEXHLevel3X 32 3" xfId="8381" xr:uid="{00000000-0005-0000-0000-0000F0680000}"/>
    <cellStyle name="SAPBEXHLevel3X 32 4" xfId="11111" xr:uid="{00000000-0005-0000-0000-0000F1680000}"/>
    <cellStyle name="SAPBEXHLevel3X 32 5" xfId="13505" xr:uid="{00000000-0005-0000-0000-0000F2680000}"/>
    <cellStyle name="SAPBEXHLevel3X 32 6" xfId="14848" xr:uid="{00000000-0005-0000-0000-0000F3680000}"/>
    <cellStyle name="SAPBEXHLevel3X 32 7" xfId="18201" xr:uid="{00000000-0005-0000-0000-0000F4680000}"/>
    <cellStyle name="SAPBEXHLevel3X 32 8" xfId="19544" xr:uid="{00000000-0005-0000-0000-0000F5680000}"/>
    <cellStyle name="SAPBEXHLevel3X 32 9" xfId="22784" xr:uid="{00000000-0005-0000-0000-0000F6680000}"/>
    <cellStyle name="SAPBEXHLevel3X 33" xfId="4316" xr:uid="{00000000-0005-0000-0000-0000F7680000}"/>
    <cellStyle name="SAPBEXHLevel3X 33 2" xfId="6854" xr:uid="{00000000-0005-0000-0000-0000F8680000}"/>
    <cellStyle name="SAPBEXHLevel3X 33 3" xfId="8439" xr:uid="{00000000-0005-0000-0000-0000F9680000}"/>
    <cellStyle name="SAPBEXHLevel3X 33 4" xfId="8394" xr:uid="{00000000-0005-0000-0000-0000FA680000}"/>
    <cellStyle name="SAPBEXHLevel3X 33 5" xfId="12523" xr:uid="{00000000-0005-0000-0000-0000FB680000}"/>
    <cellStyle name="SAPBEXHLevel3X 33 6" xfId="16777" xr:uid="{00000000-0005-0000-0000-0000FC680000}"/>
    <cellStyle name="SAPBEXHLevel3X 33 7" xfId="17219" xr:uid="{00000000-0005-0000-0000-0000FD680000}"/>
    <cellStyle name="SAPBEXHLevel3X 33 8" xfId="21473" xr:uid="{00000000-0005-0000-0000-0000FE680000}"/>
    <cellStyle name="SAPBEXHLevel3X 33 9" xfId="21890" xr:uid="{00000000-0005-0000-0000-0000FF680000}"/>
    <cellStyle name="SAPBEXHLevel3X 34" xfId="4359" xr:uid="{00000000-0005-0000-0000-000000690000}"/>
    <cellStyle name="SAPBEXHLevel3X 34 2" xfId="6897" xr:uid="{00000000-0005-0000-0000-000001690000}"/>
    <cellStyle name="SAPBEXHLevel3X 34 3" xfId="10105" xr:uid="{00000000-0005-0000-0000-000002690000}"/>
    <cellStyle name="SAPBEXHLevel3X 34 4" xfId="10383" xr:uid="{00000000-0005-0000-0000-000003690000}"/>
    <cellStyle name="SAPBEXHLevel3X 34 5" xfId="12705" xr:uid="{00000000-0005-0000-0000-000004690000}"/>
    <cellStyle name="SAPBEXHLevel3X 34 6" xfId="16851" xr:uid="{00000000-0005-0000-0000-000005690000}"/>
    <cellStyle name="SAPBEXHLevel3X 34 7" xfId="17401" xr:uid="{00000000-0005-0000-0000-000006690000}"/>
    <cellStyle name="SAPBEXHLevel3X 34 8" xfId="21547" xr:uid="{00000000-0005-0000-0000-000007690000}"/>
    <cellStyle name="SAPBEXHLevel3X 34 9" xfId="22054" xr:uid="{00000000-0005-0000-0000-000008690000}"/>
    <cellStyle name="SAPBEXHLevel3X 35" xfId="4402" xr:uid="{00000000-0005-0000-0000-000009690000}"/>
    <cellStyle name="SAPBEXHLevel3X 35 2" xfId="6940" xr:uid="{00000000-0005-0000-0000-00000A690000}"/>
    <cellStyle name="SAPBEXHLevel3X 35 3" xfId="8461" xr:uid="{00000000-0005-0000-0000-00000B690000}"/>
    <cellStyle name="SAPBEXHLevel3X 35 4" xfId="11893" xr:uid="{00000000-0005-0000-0000-00000C690000}"/>
    <cellStyle name="SAPBEXHLevel3X 35 5" xfId="14361" xr:uid="{00000000-0005-0000-0000-00000D690000}"/>
    <cellStyle name="SAPBEXHLevel3X 35 6" xfId="15148" xr:uid="{00000000-0005-0000-0000-00000E690000}"/>
    <cellStyle name="SAPBEXHLevel3X 35 7" xfId="19057" xr:uid="{00000000-0005-0000-0000-00000F690000}"/>
    <cellStyle name="SAPBEXHLevel3X 35 8" xfId="19844" xr:uid="{00000000-0005-0000-0000-000010690000}"/>
    <cellStyle name="SAPBEXHLevel3X 35 9" xfId="23569" xr:uid="{00000000-0005-0000-0000-000011690000}"/>
    <cellStyle name="SAPBEXHLevel3X 36" xfId="4445" xr:uid="{00000000-0005-0000-0000-000012690000}"/>
    <cellStyle name="SAPBEXHLevel3X 36 2" xfId="6983" xr:uid="{00000000-0005-0000-0000-000013690000}"/>
    <cellStyle name="SAPBEXHLevel3X 36 3" xfId="9543" xr:uid="{00000000-0005-0000-0000-000014690000}"/>
    <cellStyle name="SAPBEXHLevel3X 36 4" xfId="10818" xr:uid="{00000000-0005-0000-0000-000015690000}"/>
    <cellStyle name="SAPBEXHLevel3X 36 5" xfId="13181" xr:uid="{00000000-0005-0000-0000-000016690000}"/>
    <cellStyle name="SAPBEXHLevel3X 36 6" xfId="15984" xr:uid="{00000000-0005-0000-0000-000017690000}"/>
    <cellStyle name="SAPBEXHLevel3X 36 7" xfId="17877" xr:uid="{00000000-0005-0000-0000-000018690000}"/>
    <cellStyle name="SAPBEXHLevel3X 36 8" xfId="20680" xr:uid="{00000000-0005-0000-0000-000019690000}"/>
    <cellStyle name="SAPBEXHLevel3X 36 9" xfId="22489" xr:uid="{00000000-0005-0000-0000-00001A690000}"/>
    <cellStyle name="SAPBEXHLevel3X 37" xfId="4515" xr:uid="{00000000-0005-0000-0000-00001B690000}"/>
    <cellStyle name="SAPBEXHLevel3X 37 2" xfId="7053" xr:uid="{00000000-0005-0000-0000-00001C690000}"/>
    <cellStyle name="SAPBEXHLevel3X 37 3" xfId="8456" xr:uid="{00000000-0005-0000-0000-00001D690000}"/>
    <cellStyle name="SAPBEXHLevel3X 37 4" xfId="10642" xr:uid="{00000000-0005-0000-0000-00001E690000}"/>
    <cellStyle name="SAPBEXHLevel3X 37 5" xfId="12991" xr:uid="{00000000-0005-0000-0000-00001F690000}"/>
    <cellStyle name="SAPBEXHLevel3X 37 6" xfId="15976" xr:uid="{00000000-0005-0000-0000-000020690000}"/>
    <cellStyle name="SAPBEXHLevel3X 37 7" xfId="17687" xr:uid="{00000000-0005-0000-0000-000021690000}"/>
    <cellStyle name="SAPBEXHLevel3X 37 8" xfId="20672" xr:uid="{00000000-0005-0000-0000-000022690000}"/>
    <cellStyle name="SAPBEXHLevel3X 37 9" xfId="22315" xr:uid="{00000000-0005-0000-0000-000023690000}"/>
    <cellStyle name="SAPBEXHLevel3X 38" xfId="4531" xr:uid="{00000000-0005-0000-0000-000024690000}"/>
    <cellStyle name="SAPBEXHLevel3X 38 2" xfId="7069" xr:uid="{00000000-0005-0000-0000-000025690000}"/>
    <cellStyle name="SAPBEXHLevel3X 38 3" xfId="8308" xr:uid="{00000000-0005-0000-0000-000026690000}"/>
    <cellStyle name="SAPBEXHLevel3X 38 4" xfId="12195" xr:uid="{00000000-0005-0000-0000-000027690000}"/>
    <cellStyle name="SAPBEXHLevel3X 38 5" xfId="12312" xr:uid="{00000000-0005-0000-0000-000028690000}"/>
    <cellStyle name="SAPBEXHLevel3X 38 6" xfId="16343" xr:uid="{00000000-0005-0000-0000-000029690000}"/>
    <cellStyle name="SAPBEXHLevel3X 38 7" xfId="17008" xr:uid="{00000000-0005-0000-0000-00002A690000}"/>
    <cellStyle name="SAPBEXHLevel3X 38 8" xfId="21039" xr:uid="{00000000-0005-0000-0000-00002B690000}"/>
    <cellStyle name="SAPBEXHLevel3X 38 9" xfId="21703" xr:uid="{00000000-0005-0000-0000-00002C690000}"/>
    <cellStyle name="SAPBEXHLevel3X 39" xfId="4574" xr:uid="{00000000-0005-0000-0000-00002D690000}"/>
    <cellStyle name="SAPBEXHLevel3X 39 2" xfId="7112" xr:uid="{00000000-0005-0000-0000-00002E690000}"/>
    <cellStyle name="SAPBEXHLevel3X 39 3" xfId="8368" xr:uid="{00000000-0005-0000-0000-00002F690000}"/>
    <cellStyle name="SAPBEXHLevel3X 39 4" xfId="10435" xr:uid="{00000000-0005-0000-0000-000030690000}"/>
    <cellStyle name="SAPBEXHLevel3X 39 5" xfId="12761" xr:uid="{00000000-0005-0000-0000-000031690000}"/>
    <cellStyle name="SAPBEXHLevel3X 39 6" xfId="13236" xr:uid="{00000000-0005-0000-0000-000032690000}"/>
    <cellStyle name="SAPBEXHLevel3X 39 7" xfId="17457" xr:uid="{00000000-0005-0000-0000-000033690000}"/>
    <cellStyle name="SAPBEXHLevel3X 39 8" xfId="17932" xr:uid="{00000000-0005-0000-0000-000034690000}"/>
    <cellStyle name="SAPBEXHLevel3X 39 9" xfId="22106" xr:uid="{00000000-0005-0000-0000-000035690000}"/>
    <cellStyle name="SAPBEXHLevel3X 4" xfId="3176" xr:uid="{00000000-0005-0000-0000-000036690000}"/>
    <cellStyle name="SAPBEXHLevel3X 4 2" xfId="5714" xr:uid="{00000000-0005-0000-0000-000037690000}"/>
    <cellStyle name="SAPBEXHLevel3X 4 3" xfId="8608" xr:uid="{00000000-0005-0000-0000-000038690000}"/>
    <cellStyle name="SAPBEXHLevel3X 4 4" xfId="11118" xr:uid="{00000000-0005-0000-0000-000039690000}"/>
    <cellStyle name="SAPBEXHLevel3X 4 5" xfId="13512" xr:uid="{00000000-0005-0000-0000-00003A690000}"/>
    <cellStyle name="SAPBEXHLevel3X 4 6" xfId="16366" xr:uid="{00000000-0005-0000-0000-00003B690000}"/>
    <cellStyle name="SAPBEXHLevel3X 4 7" xfId="18208" xr:uid="{00000000-0005-0000-0000-00003C690000}"/>
    <cellStyle name="SAPBEXHLevel3X 4 8" xfId="21062" xr:uid="{00000000-0005-0000-0000-00003D690000}"/>
    <cellStyle name="SAPBEXHLevel3X 4 9" xfId="22791" xr:uid="{00000000-0005-0000-0000-00003E690000}"/>
    <cellStyle name="SAPBEXHLevel3X 40" xfId="4617" xr:uid="{00000000-0005-0000-0000-00003F690000}"/>
    <cellStyle name="SAPBEXHLevel3X 40 2" xfId="7155" xr:uid="{00000000-0005-0000-0000-000040690000}"/>
    <cellStyle name="SAPBEXHLevel3X 40 3" xfId="9301" xr:uid="{00000000-0005-0000-0000-000041690000}"/>
    <cellStyle name="SAPBEXHLevel3X 40 4" xfId="11370" xr:uid="{00000000-0005-0000-0000-000042690000}"/>
    <cellStyle name="SAPBEXHLevel3X 40 5" xfId="13784" xr:uid="{00000000-0005-0000-0000-000043690000}"/>
    <cellStyle name="SAPBEXHLevel3X 40 6" xfId="15097" xr:uid="{00000000-0005-0000-0000-000044690000}"/>
    <cellStyle name="SAPBEXHLevel3X 40 7" xfId="18480" xr:uid="{00000000-0005-0000-0000-000045690000}"/>
    <cellStyle name="SAPBEXHLevel3X 40 8" xfId="19793" xr:uid="{00000000-0005-0000-0000-000046690000}"/>
    <cellStyle name="SAPBEXHLevel3X 40 9" xfId="23044" xr:uid="{00000000-0005-0000-0000-000047690000}"/>
    <cellStyle name="SAPBEXHLevel3X 41" xfId="4660" xr:uid="{00000000-0005-0000-0000-000048690000}"/>
    <cellStyle name="SAPBEXHLevel3X 41 2" xfId="7198" xr:uid="{00000000-0005-0000-0000-000049690000}"/>
    <cellStyle name="SAPBEXHLevel3X 41 3" xfId="9240" xr:uid="{00000000-0005-0000-0000-00004A690000}"/>
    <cellStyle name="SAPBEXHLevel3X 41 4" xfId="11286" xr:uid="{00000000-0005-0000-0000-00004B690000}"/>
    <cellStyle name="SAPBEXHLevel3X 41 5" xfId="13692" xr:uid="{00000000-0005-0000-0000-00004C690000}"/>
    <cellStyle name="SAPBEXHLevel3X 41 6" xfId="15687" xr:uid="{00000000-0005-0000-0000-00004D690000}"/>
    <cellStyle name="SAPBEXHLevel3X 41 7" xfId="18388" xr:uid="{00000000-0005-0000-0000-00004E690000}"/>
    <cellStyle name="SAPBEXHLevel3X 41 8" xfId="20383" xr:uid="{00000000-0005-0000-0000-00004F690000}"/>
    <cellStyle name="SAPBEXHLevel3X 41 9" xfId="22960" xr:uid="{00000000-0005-0000-0000-000050690000}"/>
    <cellStyle name="SAPBEXHLevel3X 42" xfId="4702" xr:uid="{00000000-0005-0000-0000-000051690000}"/>
    <cellStyle name="SAPBEXHLevel3X 42 2" xfId="7240" xr:uid="{00000000-0005-0000-0000-000052690000}"/>
    <cellStyle name="SAPBEXHLevel3X 42 3" xfId="8730" xr:uid="{00000000-0005-0000-0000-000053690000}"/>
    <cellStyle name="SAPBEXHLevel3X 42 4" xfId="10326" xr:uid="{00000000-0005-0000-0000-000054690000}"/>
    <cellStyle name="SAPBEXHLevel3X 42 5" xfId="12643" xr:uid="{00000000-0005-0000-0000-000055690000}"/>
    <cellStyle name="SAPBEXHLevel3X 42 6" xfId="14998" xr:uid="{00000000-0005-0000-0000-000056690000}"/>
    <cellStyle name="SAPBEXHLevel3X 42 7" xfId="17339" xr:uid="{00000000-0005-0000-0000-000057690000}"/>
    <cellStyle name="SAPBEXHLevel3X 42 8" xfId="19694" xr:uid="{00000000-0005-0000-0000-000058690000}"/>
    <cellStyle name="SAPBEXHLevel3X 42 9" xfId="21997" xr:uid="{00000000-0005-0000-0000-000059690000}"/>
    <cellStyle name="SAPBEXHLevel3X 43" xfId="4745" xr:uid="{00000000-0005-0000-0000-00005A690000}"/>
    <cellStyle name="SAPBEXHLevel3X 43 2" xfId="7283" xr:uid="{00000000-0005-0000-0000-00005B690000}"/>
    <cellStyle name="SAPBEXHLevel3X 43 3" xfId="8909" xr:uid="{00000000-0005-0000-0000-00005C690000}"/>
    <cellStyle name="SAPBEXHLevel3X 43 4" xfId="10744" xr:uid="{00000000-0005-0000-0000-00005D690000}"/>
    <cellStyle name="SAPBEXHLevel3X 43 5" xfId="13099" xr:uid="{00000000-0005-0000-0000-00005E690000}"/>
    <cellStyle name="SAPBEXHLevel3X 43 6" xfId="16018" xr:uid="{00000000-0005-0000-0000-00005F690000}"/>
    <cellStyle name="SAPBEXHLevel3X 43 7" xfId="17795" xr:uid="{00000000-0005-0000-0000-000060690000}"/>
    <cellStyle name="SAPBEXHLevel3X 43 8" xfId="20714" xr:uid="{00000000-0005-0000-0000-000061690000}"/>
    <cellStyle name="SAPBEXHLevel3X 43 9" xfId="22417" xr:uid="{00000000-0005-0000-0000-000062690000}"/>
    <cellStyle name="SAPBEXHLevel3X 44" xfId="4741" xr:uid="{00000000-0005-0000-0000-000063690000}"/>
    <cellStyle name="SAPBEXHLevel3X 44 2" xfId="7279" xr:uid="{00000000-0005-0000-0000-000064690000}"/>
    <cellStyle name="SAPBEXHLevel3X 44 3" xfId="8628" xr:uid="{00000000-0005-0000-0000-000065690000}"/>
    <cellStyle name="SAPBEXHLevel3X 44 4" xfId="12007" xr:uid="{00000000-0005-0000-0000-000066690000}"/>
    <cellStyle name="SAPBEXHLevel3X 44 5" xfId="14487" xr:uid="{00000000-0005-0000-0000-000067690000}"/>
    <cellStyle name="SAPBEXHLevel3X 44 6" xfId="16509" xr:uid="{00000000-0005-0000-0000-000068690000}"/>
    <cellStyle name="SAPBEXHLevel3X 44 7" xfId="19183" xr:uid="{00000000-0005-0000-0000-000069690000}"/>
    <cellStyle name="SAPBEXHLevel3X 44 8" xfId="21205" xr:uid="{00000000-0005-0000-0000-00006A690000}"/>
    <cellStyle name="SAPBEXHLevel3X 44 9" xfId="23682" xr:uid="{00000000-0005-0000-0000-00006B690000}"/>
    <cellStyle name="SAPBEXHLevel3X 45" xfId="4807" xr:uid="{00000000-0005-0000-0000-00006C690000}"/>
    <cellStyle name="SAPBEXHLevel3X 45 2" xfId="7345" xr:uid="{00000000-0005-0000-0000-00006D690000}"/>
    <cellStyle name="SAPBEXHLevel3X 45 3" xfId="8745" xr:uid="{00000000-0005-0000-0000-00006E690000}"/>
    <cellStyle name="SAPBEXHLevel3X 45 4" xfId="11617" xr:uid="{00000000-0005-0000-0000-00006F690000}"/>
    <cellStyle name="SAPBEXHLevel3X 45 5" xfId="14058" xr:uid="{00000000-0005-0000-0000-000070690000}"/>
    <cellStyle name="SAPBEXHLevel3X 45 6" xfId="15660" xr:uid="{00000000-0005-0000-0000-000071690000}"/>
    <cellStyle name="SAPBEXHLevel3X 45 7" xfId="18754" xr:uid="{00000000-0005-0000-0000-000072690000}"/>
    <cellStyle name="SAPBEXHLevel3X 45 8" xfId="20356" xr:uid="{00000000-0005-0000-0000-000073690000}"/>
    <cellStyle name="SAPBEXHLevel3X 45 9" xfId="23292" xr:uid="{00000000-0005-0000-0000-000074690000}"/>
    <cellStyle name="SAPBEXHLevel3X 46" xfId="4850" xr:uid="{00000000-0005-0000-0000-000075690000}"/>
    <cellStyle name="SAPBEXHLevel3X 46 2" xfId="7388" xr:uid="{00000000-0005-0000-0000-000076690000}"/>
    <cellStyle name="SAPBEXHLevel3X 46 3" xfId="8799" xr:uid="{00000000-0005-0000-0000-000077690000}"/>
    <cellStyle name="SAPBEXHLevel3X 46 4" xfId="10481" xr:uid="{00000000-0005-0000-0000-000078690000}"/>
    <cellStyle name="SAPBEXHLevel3X 46 5" xfId="12815" xr:uid="{00000000-0005-0000-0000-000079690000}"/>
    <cellStyle name="SAPBEXHLevel3X 46 6" xfId="16162" xr:uid="{00000000-0005-0000-0000-00007A690000}"/>
    <cellStyle name="SAPBEXHLevel3X 46 7" xfId="17511" xr:uid="{00000000-0005-0000-0000-00007B690000}"/>
    <cellStyle name="SAPBEXHLevel3X 46 8" xfId="20858" xr:uid="{00000000-0005-0000-0000-00007C690000}"/>
    <cellStyle name="SAPBEXHLevel3X 46 9" xfId="22151" xr:uid="{00000000-0005-0000-0000-00007D690000}"/>
    <cellStyle name="SAPBEXHLevel3X 47" xfId="4915" xr:uid="{00000000-0005-0000-0000-00007E690000}"/>
    <cellStyle name="SAPBEXHLevel3X 47 2" xfId="7453" xr:uid="{00000000-0005-0000-0000-00007F690000}"/>
    <cellStyle name="SAPBEXHLevel3X 47 3" xfId="9604" xr:uid="{00000000-0005-0000-0000-000080690000}"/>
    <cellStyle name="SAPBEXHLevel3X 47 4" xfId="11055" xr:uid="{00000000-0005-0000-0000-000081690000}"/>
    <cellStyle name="SAPBEXHLevel3X 47 5" xfId="13440" xr:uid="{00000000-0005-0000-0000-000082690000}"/>
    <cellStyle name="SAPBEXHLevel3X 47 6" xfId="16032" xr:uid="{00000000-0005-0000-0000-000083690000}"/>
    <cellStyle name="SAPBEXHLevel3X 47 7" xfId="18136" xr:uid="{00000000-0005-0000-0000-000084690000}"/>
    <cellStyle name="SAPBEXHLevel3X 47 8" xfId="20728" xr:uid="{00000000-0005-0000-0000-000085690000}"/>
    <cellStyle name="SAPBEXHLevel3X 47 9" xfId="22728" xr:uid="{00000000-0005-0000-0000-000086690000}"/>
    <cellStyle name="SAPBEXHLevel3X 48" xfId="4931" xr:uid="{00000000-0005-0000-0000-000087690000}"/>
    <cellStyle name="SAPBEXHLevel3X 48 2" xfId="7469" xr:uid="{00000000-0005-0000-0000-000088690000}"/>
    <cellStyle name="SAPBEXHLevel3X 48 3" xfId="9216" xr:uid="{00000000-0005-0000-0000-000089690000}"/>
    <cellStyle name="SAPBEXHLevel3X 48 4" xfId="11352" xr:uid="{00000000-0005-0000-0000-00008A690000}"/>
    <cellStyle name="SAPBEXHLevel3X 48 5" xfId="13764" xr:uid="{00000000-0005-0000-0000-00008B690000}"/>
    <cellStyle name="SAPBEXHLevel3X 48 6" xfId="16040" xr:uid="{00000000-0005-0000-0000-00008C690000}"/>
    <cellStyle name="SAPBEXHLevel3X 48 7" xfId="18460" xr:uid="{00000000-0005-0000-0000-00008D690000}"/>
    <cellStyle name="SAPBEXHLevel3X 48 8" xfId="20736" xr:uid="{00000000-0005-0000-0000-00008E690000}"/>
    <cellStyle name="SAPBEXHLevel3X 48 9" xfId="23026" xr:uid="{00000000-0005-0000-0000-00008F690000}"/>
    <cellStyle name="SAPBEXHLevel3X 49" xfId="4970" xr:uid="{00000000-0005-0000-0000-000090690000}"/>
    <cellStyle name="SAPBEXHLevel3X 49 2" xfId="7508" xr:uid="{00000000-0005-0000-0000-000091690000}"/>
    <cellStyle name="SAPBEXHLevel3X 49 3" xfId="9396" xr:uid="{00000000-0005-0000-0000-000092690000}"/>
    <cellStyle name="SAPBEXHLevel3X 49 4" xfId="10711" xr:uid="{00000000-0005-0000-0000-000093690000}"/>
    <cellStyle name="SAPBEXHLevel3X 49 5" xfId="13065" xr:uid="{00000000-0005-0000-0000-000094690000}"/>
    <cellStyle name="SAPBEXHLevel3X 49 6" xfId="15640" xr:uid="{00000000-0005-0000-0000-000095690000}"/>
    <cellStyle name="SAPBEXHLevel3X 49 7" xfId="17761" xr:uid="{00000000-0005-0000-0000-000096690000}"/>
    <cellStyle name="SAPBEXHLevel3X 49 8" xfId="20336" xr:uid="{00000000-0005-0000-0000-000097690000}"/>
    <cellStyle name="SAPBEXHLevel3X 49 9" xfId="22384" xr:uid="{00000000-0005-0000-0000-000098690000}"/>
    <cellStyle name="SAPBEXHLevel3X 5" xfId="3219" xr:uid="{00000000-0005-0000-0000-000099690000}"/>
    <cellStyle name="SAPBEXHLevel3X 5 2" xfId="5757" xr:uid="{00000000-0005-0000-0000-00009A690000}"/>
    <cellStyle name="SAPBEXHLevel3X 5 3" xfId="5524" xr:uid="{00000000-0005-0000-0000-00009B690000}"/>
    <cellStyle name="SAPBEXHLevel3X 5 4" xfId="11892" xr:uid="{00000000-0005-0000-0000-00009C690000}"/>
    <cellStyle name="SAPBEXHLevel3X 5 5" xfId="14360" xr:uid="{00000000-0005-0000-0000-00009D690000}"/>
    <cellStyle name="SAPBEXHLevel3X 5 6" xfId="15173" xr:uid="{00000000-0005-0000-0000-00009E690000}"/>
    <cellStyle name="SAPBEXHLevel3X 5 7" xfId="19056" xr:uid="{00000000-0005-0000-0000-00009F690000}"/>
    <cellStyle name="SAPBEXHLevel3X 5 8" xfId="19869" xr:uid="{00000000-0005-0000-0000-0000A0690000}"/>
    <cellStyle name="SAPBEXHLevel3X 5 9" xfId="23568" xr:uid="{00000000-0005-0000-0000-0000A1690000}"/>
    <cellStyle name="SAPBEXHLevel3X 50" xfId="5008" xr:uid="{00000000-0005-0000-0000-0000A2690000}"/>
    <cellStyle name="SAPBEXHLevel3X 50 2" xfId="7546" xr:uid="{00000000-0005-0000-0000-0000A3690000}"/>
    <cellStyle name="SAPBEXHLevel3X 50 3" xfId="10159" xr:uid="{00000000-0005-0000-0000-0000A4690000}"/>
    <cellStyle name="SAPBEXHLevel3X 50 4" xfId="12242" xr:uid="{00000000-0005-0000-0000-0000A5690000}"/>
    <cellStyle name="SAPBEXHLevel3X 50 5" xfId="12752" xr:uid="{00000000-0005-0000-0000-0000A6690000}"/>
    <cellStyle name="SAPBEXHLevel3X 50 6" xfId="13949" xr:uid="{00000000-0005-0000-0000-0000A7690000}"/>
    <cellStyle name="SAPBEXHLevel3X 50 7" xfId="17448" xr:uid="{00000000-0005-0000-0000-0000A8690000}"/>
    <cellStyle name="SAPBEXHLevel3X 50 8" xfId="18645" xr:uid="{00000000-0005-0000-0000-0000A9690000}"/>
    <cellStyle name="SAPBEXHLevel3X 50 9" xfId="22097" xr:uid="{00000000-0005-0000-0000-0000AA690000}"/>
    <cellStyle name="SAPBEXHLevel3X 51" xfId="5045" xr:uid="{00000000-0005-0000-0000-0000AB690000}"/>
    <cellStyle name="SAPBEXHLevel3X 51 2" xfId="7583" xr:uid="{00000000-0005-0000-0000-0000AC690000}"/>
    <cellStyle name="SAPBEXHLevel3X 51 3" xfId="9784" xr:uid="{00000000-0005-0000-0000-0000AD690000}"/>
    <cellStyle name="SAPBEXHLevel3X 51 4" xfId="12083" xr:uid="{00000000-0005-0000-0000-0000AE690000}"/>
    <cellStyle name="SAPBEXHLevel3X 51 5" xfId="14563" xr:uid="{00000000-0005-0000-0000-0000AF690000}"/>
    <cellStyle name="SAPBEXHLevel3X 51 6" xfId="14358" xr:uid="{00000000-0005-0000-0000-0000B0690000}"/>
    <cellStyle name="SAPBEXHLevel3X 51 7" xfId="19259" xr:uid="{00000000-0005-0000-0000-0000B1690000}"/>
    <cellStyle name="SAPBEXHLevel3X 51 8" xfId="19054" xr:uid="{00000000-0005-0000-0000-0000B2690000}"/>
    <cellStyle name="SAPBEXHLevel3X 51 9" xfId="23755" xr:uid="{00000000-0005-0000-0000-0000B3690000}"/>
    <cellStyle name="SAPBEXHLevel3X 52" xfId="5075" xr:uid="{00000000-0005-0000-0000-0000B4690000}"/>
    <cellStyle name="SAPBEXHLevel3X 52 2" xfId="7613" xr:uid="{00000000-0005-0000-0000-0000B5690000}"/>
    <cellStyle name="SAPBEXHLevel3X 52 3" xfId="8564" xr:uid="{00000000-0005-0000-0000-0000B6690000}"/>
    <cellStyle name="SAPBEXHLevel3X 52 4" xfId="10310" xr:uid="{00000000-0005-0000-0000-0000B7690000}"/>
    <cellStyle name="SAPBEXHLevel3X 52 5" xfId="12625" xr:uid="{00000000-0005-0000-0000-0000B8690000}"/>
    <cellStyle name="SAPBEXHLevel3X 52 6" xfId="15502" xr:uid="{00000000-0005-0000-0000-0000B9690000}"/>
    <cellStyle name="SAPBEXHLevel3X 52 7" xfId="17321" xr:uid="{00000000-0005-0000-0000-0000BA690000}"/>
    <cellStyle name="SAPBEXHLevel3X 52 8" xfId="20198" xr:uid="{00000000-0005-0000-0000-0000BB690000}"/>
    <cellStyle name="SAPBEXHLevel3X 52 9" xfId="21980" xr:uid="{00000000-0005-0000-0000-0000BC690000}"/>
    <cellStyle name="SAPBEXHLevel3X 53" xfId="5101" xr:uid="{00000000-0005-0000-0000-0000BD690000}"/>
    <cellStyle name="SAPBEXHLevel3X 53 2" xfId="7639" xr:uid="{00000000-0005-0000-0000-0000BE690000}"/>
    <cellStyle name="SAPBEXHLevel3X 53 3" xfId="8316" xr:uid="{00000000-0005-0000-0000-0000BF690000}"/>
    <cellStyle name="SAPBEXHLevel3X 53 4" xfId="9680" xr:uid="{00000000-0005-0000-0000-0000C0690000}"/>
    <cellStyle name="SAPBEXHLevel3X 53 5" xfId="12386" xr:uid="{00000000-0005-0000-0000-0000C1690000}"/>
    <cellStyle name="SAPBEXHLevel3X 53 6" xfId="15539" xr:uid="{00000000-0005-0000-0000-0000C2690000}"/>
    <cellStyle name="SAPBEXHLevel3X 53 7" xfId="17082" xr:uid="{00000000-0005-0000-0000-0000C3690000}"/>
    <cellStyle name="SAPBEXHLevel3X 53 8" xfId="20235" xr:uid="{00000000-0005-0000-0000-0000C4690000}"/>
    <cellStyle name="SAPBEXHLevel3X 53 9" xfId="21771" xr:uid="{00000000-0005-0000-0000-0000C5690000}"/>
    <cellStyle name="SAPBEXHLevel3X 54" xfId="5149" xr:uid="{00000000-0005-0000-0000-0000C6690000}"/>
    <cellStyle name="SAPBEXHLevel3X 54 2" xfId="7687" xr:uid="{00000000-0005-0000-0000-0000C7690000}"/>
    <cellStyle name="SAPBEXHLevel3X 54 3" xfId="8499" xr:uid="{00000000-0005-0000-0000-0000C8690000}"/>
    <cellStyle name="SAPBEXHLevel3X 54 4" xfId="11752" xr:uid="{00000000-0005-0000-0000-0000C9690000}"/>
    <cellStyle name="SAPBEXHLevel3X 54 5" xfId="14875" xr:uid="{00000000-0005-0000-0000-0000CA690000}"/>
    <cellStyle name="SAPBEXHLevel3X 54 6" xfId="16702" xr:uid="{00000000-0005-0000-0000-0000CB690000}"/>
    <cellStyle name="SAPBEXHLevel3X 54 7" xfId="19571" xr:uid="{00000000-0005-0000-0000-0000CC690000}"/>
    <cellStyle name="SAPBEXHLevel3X 54 8" xfId="21398" xr:uid="{00000000-0005-0000-0000-0000CD690000}"/>
    <cellStyle name="SAPBEXHLevel3X 54 9" xfId="24045" xr:uid="{00000000-0005-0000-0000-0000CE690000}"/>
    <cellStyle name="SAPBEXHLevel3X 55" xfId="5218" xr:uid="{00000000-0005-0000-0000-0000CF690000}"/>
    <cellStyle name="SAPBEXHLevel3X 55 2" xfId="7757" xr:uid="{00000000-0005-0000-0000-0000D0690000}"/>
    <cellStyle name="SAPBEXHLevel3X 55 3" xfId="10131" xr:uid="{00000000-0005-0000-0000-0000D1690000}"/>
    <cellStyle name="SAPBEXHLevel3X 55 4" xfId="12212" xr:uid="{00000000-0005-0000-0000-0000D2690000}"/>
    <cellStyle name="SAPBEXHLevel3X 55 5" xfId="14842" xr:uid="{00000000-0005-0000-0000-0000D3690000}"/>
    <cellStyle name="SAPBEXHLevel3X 55 6" xfId="16907" xr:uid="{00000000-0005-0000-0000-0000D4690000}"/>
    <cellStyle name="SAPBEXHLevel3X 55 7" xfId="19538" xr:uid="{00000000-0005-0000-0000-0000D5690000}"/>
    <cellStyle name="SAPBEXHLevel3X 55 8" xfId="21603" xr:uid="{00000000-0005-0000-0000-0000D6690000}"/>
    <cellStyle name="SAPBEXHLevel3X 55 9" xfId="24023" xr:uid="{00000000-0005-0000-0000-0000D7690000}"/>
    <cellStyle name="SAPBEXHLevel3X 56" xfId="5256" xr:uid="{00000000-0005-0000-0000-0000D8690000}"/>
    <cellStyle name="SAPBEXHLevel3X 56 2" xfId="9424" xr:uid="{00000000-0005-0000-0000-0000D9690000}"/>
    <cellStyle name="SAPBEXHLevel3X 56 3" xfId="11483" xr:uid="{00000000-0005-0000-0000-0000DA690000}"/>
    <cellStyle name="SAPBEXHLevel3X 56 4" xfId="13908" xr:uid="{00000000-0005-0000-0000-0000DB690000}"/>
    <cellStyle name="SAPBEXHLevel3X 56 5" xfId="16065" xr:uid="{00000000-0005-0000-0000-0000DC690000}"/>
    <cellStyle name="SAPBEXHLevel3X 56 6" xfId="18604" xr:uid="{00000000-0005-0000-0000-0000DD690000}"/>
    <cellStyle name="SAPBEXHLevel3X 56 7" xfId="20761" xr:uid="{00000000-0005-0000-0000-0000DE690000}"/>
    <cellStyle name="SAPBEXHLevel3X 56 8" xfId="23158" xr:uid="{00000000-0005-0000-0000-0000DF690000}"/>
    <cellStyle name="SAPBEXHLevel3X 57" xfId="8293" xr:uid="{00000000-0005-0000-0000-0000E0690000}"/>
    <cellStyle name="SAPBEXHLevel3X 58" xfId="11257" xr:uid="{00000000-0005-0000-0000-0000E1690000}"/>
    <cellStyle name="SAPBEXHLevel3X 59" xfId="13663" xr:uid="{00000000-0005-0000-0000-0000E2690000}"/>
    <cellStyle name="SAPBEXHLevel3X 6" xfId="3262" xr:uid="{00000000-0005-0000-0000-0000E3690000}"/>
    <cellStyle name="SAPBEXHLevel3X 6 2" xfId="5800" xr:uid="{00000000-0005-0000-0000-0000E4690000}"/>
    <cellStyle name="SAPBEXHLevel3X 6 3" xfId="9602" xr:uid="{00000000-0005-0000-0000-0000E5690000}"/>
    <cellStyle name="SAPBEXHLevel3X 6 4" xfId="8870" xr:uid="{00000000-0005-0000-0000-0000E6690000}"/>
    <cellStyle name="SAPBEXHLevel3X 6 5" xfId="12326" xr:uid="{00000000-0005-0000-0000-0000E7690000}"/>
    <cellStyle name="SAPBEXHLevel3X 6 6" xfId="16083" xr:uid="{00000000-0005-0000-0000-0000E8690000}"/>
    <cellStyle name="SAPBEXHLevel3X 6 7" xfId="17022" xr:uid="{00000000-0005-0000-0000-0000E9690000}"/>
    <cellStyle name="SAPBEXHLevel3X 6 8" xfId="20779" xr:uid="{00000000-0005-0000-0000-0000EA690000}"/>
    <cellStyle name="SAPBEXHLevel3X 6 9" xfId="21716" xr:uid="{00000000-0005-0000-0000-0000EB690000}"/>
    <cellStyle name="SAPBEXHLevel3X 60" xfId="16662" xr:uid="{00000000-0005-0000-0000-0000EC690000}"/>
    <cellStyle name="SAPBEXHLevel3X 61" xfId="18359" xr:uid="{00000000-0005-0000-0000-0000ED690000}"/>
    <cellStyle name="SAPBEXHLevel3X 62" xfId="21358" xr:uid="{00000000-0005-0000-0000-0000EE690000}"/>
    <cellStyle name="SAPBEXHLevel3X 63" xfId="22931" xr:uid="{00000000-0005-0000-0000-0000EF690000}"/>
    <cellStyle name="SAPBEXHLevel3X 64" xfId="32674" xr:uid="{BDD3F6B3-D2C8-4B88-9CE3-815F347A1FF9}"/>
    <cellStyle name="SAPBEXHLevel3X 7" xfId="3305" xr:uid="{00000000-0005-0000-0000-0000F0690000}"/>
    <cellStyle name="SAPBEXHLevel3X 7 2" xfId="5843" xr:uid="{00000000-0005-0000-0000-0000F1690000}"/>
    <cellStyle name="SAPBEXHLevel3X 7 3" xfId="9969" xr:uid="{00000000-0005-0000-0000-0000F2690000}"/>
    <cellStyle name="SAPBEXHLevel3X 7 4" xfId="11766" xr:uid="{00000000-0005-0000-0000-0000F3690000}"/>
    <cellStyle name="SAPBEXHLevel3X 7 5" xfId="14218" xr:uid="{00000000-0005-0000-0000-0000F4690000}"/>
    <cellStyle name="SAPBEXHLevel3X 7 6" xfId="15039" xr:uid="{00000000-0005-0000-0000-0000F5690000}"/>
    <cellStyle name="SAPBEXHLevel3X 7 7" xfId="18914" xr:uid="{00000000-0005-0000-0000-0000F6690000}"/>
    <cellStyle name="SAPBEXHLevel3X 7 8" xfId="19735" xr:uid="{00000000-0005-0000-0000-0000F7690000}"/>
    <cellStyle name="SAPBEXHLevel3X 7 9" xfId="23440" xr:uid="{00000000-0005-0000-0000-0000F8690000}"/>
    <cellStyle name="SAPBEXHLevel3X 8" xfId="3348" xr:uid="{00000000-0005-0000-0000-0000F9690000}"/>
    <cellStyle name="SAPBEXHLevel3X 8 2" xfId="5886" xr:uid="{00000000-0005-0000-0000-0000FA690000}"/>
    <cellStyle name="SAPBEXHLevel3X 8 3" xfId="9113" xr:uid="{00000000-0005-0000-0000-0000FB690000}"/>
    <cellStyle name="SAPBEXHLevel3X 8 4" xfId="10786" xr:uid="{00000000-0005-0000-0000-0000FC690000}"/>
    <cellStyle name="SAPBEXHLevel3X 8 5" xfId="13142" xr:uid="{00000000-0005-0000-0000-0000FD690000}"/>
    <cellStyle name="SAPBEXHLevel3X 8 6" xfId="12455" xr:uid="{00000000-0005-0000-0000-0000FE690000}"/>
    <cellStyle name="SAPBEXHLevel3X 8 7" xfId="17838" xr:uid="{00000000-0005-0000-0000-0000FF690000}"/>
    <cellStyle name="SAPBEXHLevel3X 8 8" xfId="17151" xr:uid="{00000000-0005-0000-0000-0000006A0000}"/>
    <cellStyle name="SAPBEXHLevel3X 8 9" xfId="22457" xr:uid="{00000000-0005-0000-0000-0000016A0000}"/>
    <cellStyle name="SAPBEXHLevel3X 9" xfId="3391" xr:uid="{00000000-0005-0000-0000-0000026A0000}"/>
    <cellStyle name="SAPBEXHLevel3X 9 2" xfId="5929" xr:uid="{00000000-0005-0000-0000-0000036A0000}"/>
    <cellStyle name="SAPBEXHLevel3X 9 3" xfId="8675" xr:uid="{00000000-0005-0000-0000-0000046A0000}"/>
    <cellStyle name="SAPBEXHLevel3X 9 4" xfId="11598" xr:uid="{00000000-0005-0000-0000-0000056A0000}"/>
    <cellStyle name="SAPBEXHLevel3X 9 5" xfId="14036" xr:uid="{00000000-0005-0000-0000-0000066A0000}"/>
    <cellStyle name="SAPBEXHLevel3X 9 6" xfId="16250" xr:uid="{00000000-0005-0000-0000-0000076A0000}"/>
    <cellStyle name="SAPBEXHLevel3X 9 7" xfId="18732" xr:uid="{00000000-0005-0000-0000-0000086A0000}"/>
    <cellStyle name="SAPBEXHLevel3X 9 8" xfId="20946" xr:uid="{00000000-0005-0000-0000-0000096A0000}"/>
    <cellStyle name="SAPBEXHLevel3X 9 9" xfId="23272" xr:uid="{00000000-0005-0000-0000-00000A6A0000}"/>
    <cellStyle name="SAPBEXinputData" xfId="2969" xr:uid="{00000000-0005-0000-0000-00000B6A0000}"/>
    <cellStyle name="SAPBEXItemHeader" xfId="2970" xr:uid="{00000000-0005-0000-0000-00000C6A0000}"/>
    <cellStyle name="SAPBEXItemHeader 10" xfId="3436" xr:uid="{00000000-0005-0000-0000-00000D6A0000}"/>
    <cellStyle name="SAPBEXItemHeader 10 2" xfId="5974" xr:uid="{00000000-0005-0000-0000-00000E6A0000}"/>
    <cellStyle name="SAPBEXItemHeader 10 3" xfId="8315" xr:uid="{00000000-0005-0000-0000-00000F6A0000}"/>
    <cellStyle name="SAPBEXItemHeader 10 4" xfId="11969" xr:uid="{00000000-0005-0000-0000-0000106A0000}"/>
    <cellStyle name="SAPBEXItemHeader 10 5" xfId="14446" xr:uid="{00000000-0005-0000-0000-0000116A0000}"/>
    <cellStyle name="SAPBEXItemHeader 10 6" xfId="12902" xr:uid="{00000000-0005-0000-0000-0000126A0000}"/>
    <cellStyle name="SAPBEXItemHeader 10 7" xfId="19142" xr:uid="{00000000-0005-0000-0000-0000136A0000}"/>
    <cellStyle name="SAPBEXItemHeader 10 8" xfId="17598" xr:uid="{00000000-0005-0000-0000-0000146A0000}"/>
    <cellStyle name="SAPBEXItemHeader 10 9" xfId="23644" xr:uid="{00000000-0005-0000-0000-0000156A0000}"/>
    <cellStyle name="SAPBEXItemHeader 11" xfId="3460" xr:uid="{00000000-0005-0000-0000-0000166A0000}"/>
    <cellStyle name="SAPBEXItemHeader 11 2" xfId="5998" xr:uid="{00000000-0005-0000-0000-0000176A0000}"/>
    <cellStyle name="SAPBEXItemHeader 11 3" xfId="9892" xr:uid="{00000000-0005-0000-0000-0000186A0000}"/>
    <cellStyle name="SAPBEXItemHeader 11 4" xfId="10816" xr:uid="{00000000-0005-0000-0000-0000196A0000}"/>
    <cellStyle name="SAPBEXItemHeader 11 5" xfId="13179" xr:uid="{00000000-0005-0000-0000-00001A6A0000}"/>
    <cellStyle name="SAPBEXItemHeader 11 6" xfId="16287" xr:uid="{00000000-0005-0000-0000-00001B6A0000}"/>
    <cellStyle name="SAPBEXItemHeader 11 7" xfId="17875" xr:uid="{00000000-0005-0000-0000-00001C6A0000}"/>
    <cellStyle name="SAPBEXItemHeader 11 8" xfId="20983" xr:uid="{00000000-0005-0000-0000-00001D6A0000}"/>
    <cellStyle name="SAPBEXItemHeader 11 9" xfId="22487" xr:uid="{00000000-0005-0000-0000-00001E6A0000}"/>
    <cellStyle name="SAPBEXItemHeader 12" xfId="3522" xr:uid="{00000000-0005-0000-0000-00001F6A0000}"/>
    <cellStyle name="SAPBEXItemHeader 12 2" xfId="6060" xr:uid="{00000000-0005-0000-0000-0000206A0000}"/>
    <cellStyle name="SAPBEXItemHeader 12 3" xfId="8326" xr:uid="{00000000-0005-0000-0000-0000216A0000}"/>
    <cellStyle name="SAPBEXItemHeader 12 4" xfId="11979" xr:uid="{00000000-0005-0000-0000-0000226A0000}"/>
    <cellStyle name="SAPBEXItemHeader 12 5" xfId="14457" xr:uid="{00000000-0005-0000-0000-0000236A0000}"/>
    <cellStyle name="SAPBEXItemHeader 12 6" xfId="15695" xr:uid="{00000000-0005-0000-0000-0000246A0000}"/>
    <cellStyle name="SAPBEXItemHeader 12 7" xfId="19153" xr:uid="{00000000-0005-0000-0000-0000256A0000}"/>
    <cellStyle name="SAPBEXItemHeader 12 8" xfId="20391" xr:uid="{00000000-0005-0000-0000-0000266A0000}"/>
    <cellStyle name="SAPBEXItemHeader 12 9" xfId="23654" xr:uid="{00000000-0005-0000-0000-0000276A0000}"/>
    <cellStyle name="SAPBEXItemHeader 13" xfId="3565" xr:uid="{00000000-0005-0000-0000-0000286A0000}"/>
    <cellStyle name="SAPBEXItemHeader 13 2" xfId="6103" xr:uid="{00000000-0005-0000-0000-0000296A0000}"/>
    <cellStyle name="SAPBEXItemHeader 13 3" xfId="8790" xr:uid="{00000000-0005-0000-0000-00002A6A0000}"/>
    <cellStyle name="SAPBEXItemHeader 13 4" xfId="11954" xr:uid="{00000000-0005-0000-0000-00002B6A0000}"/>
    <cellStyle name="SAPBEXItemHeader 13 5" xfId="14429" xr:uid="{00000000-0005-0000-0000-00002C6A0000}"/>
    <cellStyle name="SAPBEXItemHeader 13 6" xfId="15540" xr:uid="{00000000-0005-0000-0000-00002D6A0000}"/>
    <cellStyle name="SAPBEXItemHeader 13 7" xfId="19125" xr:uid="{00000000-0005-0000-0000-00002E6A0000}"/>
    <cellStyle name="SAPBEXItemHeader 13 8" xfId="20236" xr:uid="{00000000-0005-0000-0000-00002F6A0000}"/>
    <cellStyle name="SAPBEXItemHeader 13 9" xfId="23629" xr:uid="{00000000-0005-0000-0000-0000306A0000}"/>
    <cellStyle name="SAPBEXItemHeader 14" xfId="3524" xr:uid="{00000000-0005-0000-0000-0000316A0000}"/>
    <cellStyle name="SAPBEXItemHeader 14 2" xfId="6062" xr:uid="{00000000-0005-0000-0000-0000326A0000}"/>
    <cellStyle name="SAPBEXItemHeader 14 3" xfId="10059" xr:uid="{00000000-0005-0000-0000-0000336A0000}"/>
    <cellStyle name="SAPBEXItemHeader 14 4" xfId="10562" xr:uid="{00000000-0005-0000-0000-0000346A0000}"/>
    <cellStyle name="SAPBEXItemHeader 14 5" xfId="12906" xr:uid="{00000000-0005-0000-0000-0000356A0000}"/>
    <cellStyle name="SAPBEXItemHeader 14 6" xfId="14370" xr:uid="{00000000-0005-0000-0000-0000366A0000}"/>
    <cellStyle name="SAPBEXItemHeader 14 7" xfId="17602" xr:uid="{00000000-0005-0000-0000-0000376A0000}"/>
    <cellStyle name="SAPBEXItemHeader 14 8" xfId="19066" xr:uid="{00000000-0005-0000-0000-0000386A0000}"/>
    <cellStyle name="SAPBEXItemHeader 14 9" xfId="22233" xr:uid="{00000000-0005-0000-0000-0000396A0000}"/>
    <cellStyle name="SAPBEXItemHeader 15" xfId="3634" xr:uid="{00000000-0005-0000-0000-00003A6A0000}"/>
    <cellStyle name="SAPBEXItemHeader 15 2" xfId="6172" xr:uid="{00000000-0005-0000-0000-00003B6A0000}"/>
    <cellStyle name="SAPBEXItemHeader 15 3" xfId="9547" xr:uid="{00000000-0005-0000-0000-00003C6A0000}"/>
    <cellStyle name="SAPBEXItemHeader 15 4" xfId="12005" xr:uid="{00000000-0005-0000-0000-00003D6A0000}"/>
    <cellStyle name="SAPBEXItemHeader 15 5" xfId="14484" xr:uid="{00000000-0005-0000-0000-00003E6A0000}"/>
    <cellStyle name="SAPBEXItemHeader 15 6" xfId="16618" xr:uid="{00000000-0005-0000-0000-00003F6A0000}"/>
    <cellStyle name="SAPBEXItemHeader 15 7" xfId="19180" xr:uid="{00000000-0005-0000-0000-0000406A0000}"/>
    <cellStyle name="SAPBEXItemHeader 15 8" xfId="21314" xr:uid="{00000000-0005-0000-0000-0000416A0000}"/>
    <cellStyle name="SAPBEXItemHeader 15 9" xfId="23680" xr:uid="{00000000-0005-0000-0000-0000426A0000}"/>
    <cellStyle name="SAPBEXItemHeader 16" xfId="3677" xr:uid="{00000000-0005-0000-0000-0000436A0000}"/>
    <cellStyle name="SAPBEXItemHeader 16 2" xfId="6215" xr:uid="{00000000-0005-0000-0000-0000446A0000}"/>
    <cellStyle name="SAPBEXItemHeader 16 3" xfId="8821" xr:uid="{00000000-0005-0000-0000-0000456A0000}"/>
    <cellStyle name="SAPBEXItemHeader 16 4" xfId="10676" xr:uid="{00000000-0005-0000-0000-0000466A0000}"/>
    <cellStyle name="SAPBEXItemHeader 16 5" xfId="13025" xr:uid="{00000000-0005-0000-0000-0000476A0000}"/>
    <cellStyle name="SAPBEXItemHeader 16 6" xfId="14130" xr:uid="{00000000-0005-0000-0000-0000486A0000}"/>
    <cellStyle name="SAPBEXItemHeader 16 7" xfId="17721" xr:uid="{00000000-0005-0000-0000-0000496A0000}"/>
    <cellStyle name="SAPBEXItemHeader 16 8" xfId="18826" xr:uid="{00000000-0005-0000-0000-00004A6A0000}"/>
    <cellStyle name="SAPBEXItemHeader 16 9" xfId="22349" xr:uid="{00000000-0005-0000-0000-00004B6A0000}"/>
    <cellStyle name="SAPBEXItemHeader 17" xfId="3705" xr:uid="{00000000-0005-0000-0000-00004C6A0000}"/>
    <cellStyle name="SAPBEXItemHeader 17 2" xfId="6243" xr:uid="{00000000-0005-0000-0000-00004D6A0000}"/>
    <cellStyle name="SAPBEXItemHeader 17 3" xfId="8513" xr:uid="{00000000-0005-0000-0000-00004E6A0000}"/>
    <cellStyle name="SAPBEXItemHeader 17 4" xfId="10295" xr:uid="{00000000-0005-0000-0000-00004F6A0000}"/>
    <cellStyle name="SAPBEXItemHeader 17 5" xfId="12608" xr:uid="{00000000-0005-0000-0000-0000506A0000}"/>
    <cellStyle name="SAPBEXItemHeader 17 6" xfId="14899" xr:uid="{00000000-0005-0000-0000-0000516A0000}"/>
    <cellStyle name="SAPBEXItemHeader 17 7" xfId="17304" xr:uid="{00000000-0005-0000-0000-0000526A0000}"/>
    <cellStyle name="SAPBEXItemHeader 17 8" xfId="19595" xr:uid="{00000000-0005-0000-0000-0000536A0000}"/>
    <cellStyle name="SAPBEXItemHeader 17 9" xfId="21965" xr:uid="{00000000-0005-0000-0000-0000546A0000}"/>
    <cellStyle name="SAPBEXItemHeader 18" xfId="3739" xr:uid="{00000000-0005-0000-0000-0000556A0000}"/>
    <cellStyle name="SAPBEXItemHeader 18 2" xfId="6277" xr:uid="{00000000-0005-0000-0000-0000566A0000}"/>
    <cellStyle name="SAPBEXItemHeader 18 3" xfId="9610" xr:uid="{00000000-0005-0000-0000-0000576A0000}"/>
    <cellStyle name="SAPBEXItemHeader 18 4" xfId="10848" xr:uid="{00000000-0005-0000-0000-0000586A0000}"/>
    <cellStyle name="SAPBEXItemHeader 18 5" xfId="13213" xr:uid="{00000000-0005-0000-0000-0000596A0000}"/>
    <cellStyle name="SAPBEXItemHeader 18 6" xfId="15117" xr:uid="{00000000-0005-0000-0000-00005A6A0000}"/>
    <cellStyle name="SAPBEXItemHeader 18 7" xfId="17909" xr:uid="{00000000-0005-0000-0000-00005B6A0000}"/>
    <cellStyle name="SAPBEXItemHeader 18 8" xfId="19813" xr:uid="{00000000-0005-0000-0000-00005C6A0000}"/>
    <cellStyle name="SAPBEXItemHeader 18 9" xfId="22519" xr:uid="{00000000-0005-0000-0000-00005D6A0000}"/>
    <cellStyle name="SAPBEXItemHeader 19" xfId="3767" xr:uid="{00000000-0005-0000-0000-00005E6A0000}"/>
    <cellStyle name="SAPBEXItemHeader 19 2" xfId="6305" xr:uid="{00000000-0005-0000-0000-00005F6A0000}"/>
    <cellStyle name="SAPBEXItemHeader 19 3" xfId="9922" xr:uid="{00000000-0005-0000-0000-0000606A0000}"/>
    <cellStyle name="SAPBEXItemHeader 19 4" xfId="10882" xr:uid="{00000000-0005-0000-0000-0000616A0000}"/>
    <cellStyle name="SAPBEXItemHeader 19 5" xfId="13249" xr:uid="{00000000-0005-0000-0000-0000626A0000}"/>
    <cellStyle name="SAPBEXItemHeader 19 6" xfId="16305" xr:uid="{00000000-0005-0000-0000-0000636A0000}"/>
    <cellStyle name="SAPBEXItemHeader 19 7" xfId="17945" xr:uid="{00000000-0005-0000-0000-0000646A0000}"/>
    <cellStyle name="SAPBEXItemHeader 19 8" xfId="21001" xr:uid="{00000000-0005-0000-0000-0000656A0000}"/>
    <cellStyle name="SAPBEXItemHeader 19 9" xfId="22553" xr:uid="{00000000-0005-0000-0000-0000666A0000}"/>
    <cellStyle name="SAPBEXItemHeader 2" xfId="3089" xr:uid="{00000000-0005-0000-0000-0000676A0000}"/>
    <cellStyle name="SAPBEXItemHeader 2 2" xfId="5627" xr:uid="{00000000-0005-0000-0000-0000686A0000}"/>
    <cellStyle name="SAPBEXItemHeader 2 3" xfId="10118" xr:uid="{00000000-0005-0000-0000-0000696A0000}"/>
    <cellStyle name="SAPBEXItemHeader 2 4" xfId="9329" xr:uid="{00000000-0005-0000-0000-00006A6A0000}"/>
    <cellStyle name="SAPBEXItemHeader 2 5" xfId="14953" xr:uid="{00000000-0005-0000-0000-00006B6A0000}"/>
    <cellStyle name="SAPBEXItemHeader 2 6" xfId="16613" xr:uid="{00000000-0005-0000-0000-00006C6A0000}"/>
    <cellStyle name="SAPBEXItemHeader 2 7" xfId="19649" xr:uid="{00000000-0005-0000-0000-00006D6A0000}"/>
    <cellStyle name="SAPBEXItemHeader 2 8" xfId="21309" xr:uid="{00000000-0005-0000-0000-00006E6A0000}"/>
    <cellStyle name="SAPBEXItemHeader 2 9" xfId="24115" xr:uid="{00000000-0005-0000-0000-00006F6A0000}"/>
    <cellStyle name="SAPBEXItemHeader 20" xfId="3616" xr:uid="{00000000-0005-0000-0000-0000706A0000}"/>
    <cellStyle name="SAPBEXItemHeader 20 2" xfId="6154" xr:uid="{00000000-0005-0000-0000-0000716A0000}"/>
    <cellStyle name="SAPBEXItemHeader 20 3" xfId="9530" xr:uid="{00000000-0005-0000-0000-0000726A0000}"/>
    <cellStyle name="SAPBEXItemHeader 20 4" xfId="8362" xr:uid="{00000000-0005-0000-0000-0000736A0000}"/>
    <cellStyle name="SAPBEXItemHeader 20 5" xfId="12420" xr:uid="{00000000-0005-0000-0000-0000746A0000}"/>
    <cellStyle name="SAPBEXItemHeader 20 6" xfId="15284" xr:uid="{00000000-0005-0000-0000-0000756A0000}"/>
    <cellStyle name="SAPBEXItemHeader 20 7" xfId="17116" xr:uid="{00000000-0005-0000-0000-0000766A0000}"/>
    <cellStyle name="SAPBEXItemHeader 20 8" xfId="19980" xr:uid="{00000000-0005-0000-0000-0000776A0000}"/>
    <cellStyle name="SAPBEXItemHeader 20 9" xfId="21800" xr:uid="{00000000-0005-0000-0000-0000786A0000}"/>
    <cellStyle name="SAPBEXItemHeader 21" xfId="3851" xr:uid="{00000000-0005-0000-0000-0000796A0000}"/>
    <cellStyle name="SAPBEXItemHeader 21 2" xfId="6389" xr:uid="{00000000-0005-0000-0000-00007A6A0000}"/>
    <cellStyle name="SAPBEXItemHeader 21 3" xfId="8502" xr:uid="{00000000-0005-0000-0000-00007B6A0000}"/>
    <cellStyle name="SAPBEXItemHeader 21 4" xfId="10300" xr:uid="{00000000-0005-0000-0000-00007C6A0000}"/>
    <cellStyle name="SAPBEXItemHeader 21 5" xfId="12614" xr:uid="{00000000-0005-0000-0000-00007D6A0000}"/>
    <cellStyle name="SAPBEXItemHeader 21 6" xfId="16183" xr:uid="{00000000-0005-0000-0000-00007E6A0000}"/>
    <cellStyle name="SAPBEXItemHeader 21 7" xfId="17310" xr:uid="{00000000-0005-0000-0000-00007F6A0000}"/>
    <cellStyle name="SAPBEXItemHeader 21 8" xfId="20879" xr:uid="{00000000-0005-0000-0000-0000806A0000}"/>
    <cellStyle name="SAPBEXItemHeader 21 9" xfId="21970" xr:uid="{00000000-0005-0000-0000-0000816A0000}"/>
    <cellStyle name="SAPBEXItemHeader 22" xfId="3879" xr:uid="{00000000-0005-0000-0000-0000826A0000}"/>
    <cellStyle name="SAPBEXItemHeader 22 2" xfId="6417" xr:uid="{00000000-0005-0000-0000-0000836A0000}"/>
    <cellStyle name="SAPBEXItemHeader 22 3" xfId="9931" xr:uid="{00000000-0005-0000-0000-0000846A0000}"/>
    <cellStyle name="SAPBEXItemHeader 22 4" xfId="11469" xr:uid="{00000000-0005-0000-0000-0000856A0000}"/>
    <cellStyle name="SAPBEXItemHeader 22 5" xfId="13892" xr:uid="{00000000-0005-0000-0000-0000866A0000}"/>
    <cellStyle name="SAPBEXItemHeader 22 6" xfId="15314" xr:uid="{00000000-0005-0000-0000-0000876A0000}"/>
    <cellStyle name="SAPBEXItemHeader 22 7" xfId="18588" xr:uid="{00000000-0005-0000-0000-0000886A0000}"/>
    <cellStyle name="SAPBEXItemHeader 22 8" xfId="20010" xr:uid="{00000000-0005-0000-0000-0000896A0000}"/>
    <cellStyle name="SAPBEXItemHeader 22 9" xfId="23144" xr:uid="{00000000-0005-0000-0000-00008A6A0000}"/>
    <cellStyle name="SAPBEXItemHeader 23" xfId="3913" xr:uid="{00000000-0005-0000-0000-00008B6A0000}"/>
    <cellStyle name="SAPBEXItemHeader 23 2" xfId="6451" xr:uid="{00000000-0005-0000-0000-00008C6A0000}"/>
    <cellStyle name="SAPBEXItemHeader 23 3" xfId="9952" xr:uid="{00000000-0005-0000-0000-00008D6A0000}"/>
    <cellStyle name="SAPBEXItemHeader 23 4" xfId="10616" xr:uid="{00000000-0005-0000-0000-00008E6A0000}"/>
    <cellStyle name="SAPBEXItemHeader 23 5" xfId="12964" xr:uid="{00000000-0005-0000-0000-00008F6A0000}"/>
    <cellStyle name="SAPBEXItemHeader 23 6" xfId="16953" xr:uid="{00000000-0005-0000-0000-0000906A0000}"/>
    <cellStyle name="SAPBEXItemHeader 23 7" xfId="17660" xr:uid="{00000000-0005-0000-0000-0000916A0000}"/>
    <cellStyle name="SAPBEXItemHeader 23 8" xfId="21649" xr:uid="{00000000-0005-0000-0000-0000926A0000}"/>
    <cellStyle name="SAPBEXItemHeader 23 9" xfId="22289" xr:uid="{00000000-0005-0000-0000-0000936A0000}"/>
    <cellStyle name="SAPBEXItemHeader 24" xfId="3956" xr:uid="{00000000-0005-0000-0000-0000946A0000}"/>
    <cellStyle name="SAPBEXItemHeader 24 2" xfId="6494" xr:uid="{00000000-0005-0000-0000-0000956A0000}"/>
    <cellStyle name="SAPBEXItemHeader 24 3" xfId="10192" xr:uid="{00000000-0005-0000-0000-0000966A0000}"/>
    <cellStyle name="SAPBEXItemHeader 24 4" xfId="11477" xr:uid="{00000000-0005-0000-0000-0000976A0000}"/>
    <cellStyle name="SAPBEXItemHeader 24 5" xfId="13901" xr:uid="{00000000-0005-0000-0000-0000986A0000}"/>
    <cellStyle name="SAPBEXItemHeader 24 6" xfId="16420" xr:uid="{00000000-0005-0000-0000-0000996A0000}"/>
    <cellStyle name="SAPBEXItemHeader 24 7" xfId="18597" xr:uid="{00000000-0005-0000-0000-00009A6A0000}"/>
    <cellStyle name="SAPBEXItemHeader 24 8" xfId="21116" xr:uid="{00000000-0005-0000-0000-00009B6A0000}"/>
    <cellStyle name="SAPBEXItemHeader 24 9" xfId="23152" xr:uid="{00000000-0005-0000-0000-00009C6A0000}"/>
    <cellStyle name="SAPBEXItemHeader 25" xfId="3999" xr:uid="{00000000-0005-0000-0000-00009D6A0000}"/>
    <cellStyle name="SAPBEXItemHeader 25 2" xfId="6537" xr:uid="{00000000-0005-0000-0000-00009E6A0000}"/>
    <cellStyle name="SAPBEXItemHeader 25 3" xfId="8432" xr:uid="{00000000-0005-0000-0000-00009F6A0000}"/>
    <cellStyle name="SAPBEXItemHeader 25 4" xfId="11579" xr:uid="{00000000-0005-0000-0000-0000A06A0000}"/>
    <cellStyle name="SAPBEXItemHeader 25 5" xfId="14016" xr:uid="{00000000-0005-0000-0000-0000A16A0000}"/>
    <cellStyle name="SAPBEXItemHeader 25 6" xfId="15753" xr:uid="{00000000-0005-0000-0000-0000A26A0000}"/>
    <cellStyle name="SAPBEXItemHeader 25 7" xfId="18712" xr:uid="{00000000-0005-0000-0000-0000A36A0000}"/>
    <cellStyle name="SAPBEXItemHeader 25 8" xfId="20449" xr:uid="{00000000-0005-0000-0000-0000A46A0000}"/>
    <cellStyle name="SAPBEXItemHeader 25 9" xfId="23253" xr:uid="{00000000-0005-0000-0000-0000A56A0000}"/>
    <cellStyle name="SAPBEXItemHeader 26" xfId="4027" xr:uid="{00000000-0005-0000-0000-0000A66A0000}"/>
    <cellStyle name="SAPBEXItemHeader 26 2" xfId="6565" xr:uid="{00000000-0005-0000-0000-0000A76A0000}"/>
    <cellStyle name="SAPBEXItemHeader 26 3" xfId="9588" xr:uid="{00000000-0005-0000-0000-0000A86A0000}"/>
    <cellStyle name="SAPBEXItemHeader 26 4" xfId="10915" xr:uid="{00000000-0005-0000-0000-0000A96A0000}"/>
    <cellStyle name="SAPBEXItemHeader 26 5" xfId="13285" xr:uid="{00000000-0005-0000-0000-0000AA6A0000}"/>
    <cellStyle name="SAPBEXItemHeader 26 6" xfId="16486" xr:uid="{00000000-0005-0000-0000-0000AB6A0000}"/>
    <cellStyle name="SAPBEXItemHeader 26 7" xfId="17981" xr:uid="{00000000-0005-0000-0000-0000AC6A0000}"/>
    <cellStyle name="SAPBEXItemHeader 26 8" xfId="21182" xr:uid="{00000000-0005-0000-0000-0000AD6A0000}"/>
    <cellStyle name="SAPBEXItemHeader 26 9" xfId="22586" xr:uid="{00000000-0005-0000-0000-0000AE6A0000}"/>
    <cellStyle name="SAPBEXItemHeader 27" xfId="4011" xr:uid="{00000000-0005-0000-0000-0000AF6A0000}"/>
    <cellStyle name="SAPBEXItemHeader 27 2" xfId="6549" xr:uid="{00000000-0005-0000-0000-0000B06A0000}"/>
    <cellStyle name="SAPBEXItemHeader 27 3" xfId="5522" xr:uid="{00000000-0005-0000-0000-0000B16A0000}"/>
    <cellStyle name="SAPBEXItemHeader 27 4" xfId="12224" xr:uid="{00000000-0005-0000-0000-0000B26A0000}"/>
    <cellStyle name="SAPBEXItemHeader 27 5" xfId="14818" xr:uid="{00000000-0005-0000-0000-0000B36A0000}"/>
    <cellStyle name="SAPBEXItemHeader 27 6" xfId="12438" xr:uid="{00000000-0005-0000-0000-0000B46A0000}"/>
    <cellStyle name="SAPBEXItemHeader 27 7" xfId="19514" xr:uid="{00000000-0005-0000-0000-0000B56A0000}"/>
    <cellStyle name="SAPBEXItemHeader 27 8" xfId="17134" xr:uid="{00000000-0005-0000-0000-0000B66A0000}"/>
    <cellStyle name="SAPBEXItemHeader 27 9" xfId="24002" xr:uid="{00000000-0005-0000-0000-0000B76A0000}"/>
    <cellStyle name="SAPBEXItemHeader 28" xfId="4104" xr:uid="{00000000-0005-0000-0000-0000B86A0000}"/>
    <cellStyle name="SAPBEXItemHeader 28 2" xfId="6642" xr:uid="{00000000-0005-0000-0000-0000B96A0000}"/>
    <cellStyle name="SAPBEXItemHeader 28 3" xfId="10017" xr:uid="{00000000-0005-0000-0000-0000BA6A0000}"/>
    <cellStyle name="SAPBEXItemHeader 28 4" xfId="12038" xr:uid="{00000000-0005-0000-0000-0000BB6A0000}"/>
    <cellStyle name="SAPBEXItemHeader 28 5" xfId="14520" xr:uid="{00000000-0005-0000-0000-0000BC6A0000}"/>
    <cellStyle name="SAPBEXItemHeader 28 6" xfId="13607" xr:uid="{00000000-0005-0000-0000-0000BD6A0000}"/>
    <cellStyle name="SAPBEXItemHeader 28 7" xfId="19216" xr:uid="{00000000-0005-0000-0000-0000BE6A0000}"/>
    <cellStyle name="SAPBEXItemHeader 28 8" xfId="18303" xr:uid="{00000000-0005-0000-0000-0000BF6A0000}"/>
    <cellStyle name="SAPBEXItemHeader 28 9" xfId="23713" xr:uid="{00000000-0005-0000-0000-0000C06A0000}"/>
    <cellStyle name="SAPBEXItemHeader 29" xfId="4147" xr:uid="{00000000-0005-0000-0000-0000C16A0000}"/>
    <cellStyle name="SAPBEXItemHeader 29 2" xfId="6685" xr:uid="{00000000-0005-0000-0000-0000C26A0000}"/>
    <cellStyle name="SAPBEXItemHeader 29 3" xfId="9642" xr:uid="{00000000-0005-0000-0000-0000C36A0000}"/>
    <cellStyle name="SAPBEXItemHeader 29 4" xfId="11836" xr:uid="{00000000-0005-0000-0000-0000C46A0000}"/>
    <cellStyle name="SAPBEXItemHeader 29 5" xfId="14294" xr:uid="{00000000-0005-0000-0000-0000C56A0000}"/>
    <cellStyle name="SAPBEXItemHeader 29 6" xfId="15019" xr:uid="{00000000-0005-0000-0000-0000C66A0000}"/>
    <cellStyle name="SAPBEXItemHeader 29 7" xfId="18990" xr:uid="{00000000-0005-0000-0000-0000C76A0000}"/>
    <cellStyle name="SAPBEXItemHeader 29 8" xfId="19715" xr:uid="{00000000-0005-0000-0000-0000C86A0000}"/>
    <cellStyle name="SAPBEXItemHeader 29 9" xfId="23511" xr:uid="{00000000-0005-0000-0000-0000C96A0000}"/>
    <cellStyle name="SAPBEXItemHeader 3" xfId="3135" xr:uid="{00000000-0005-0000-0000-0000CA6A0000}"/>
    <cellStyle name="SAPBEXItemHeader 3 2" xfId="5673" xr:uid="{00000000-0005-0000-0000-0000CB6A0000}"/>
    <cellStyle name="SAPBEXItemHeader 3 3" xfId="9726" xr:uid="{00000000-0005-0000-0000-0000CC6A0000}"/>
    <cellStyle name="SAPBEXItemHeader 3 4" xfId="10634" xr:uid="{00000000-0005-0000-0000-0000CD6A0000}"/>
    <cellStyle name="SAPBEXItemHeader 3 5" xfId="12983" xr:uid="{00000000-0005-0000-0000-0000CE6A0000}"/>
    <cellStyle name="SAPBEXItemHeader 3 6" xfId="16803" xr:uid="{00000000-0005-0000-0000-0000CF6A0000}"/>
    <cellStyle name="SAPBEXItemHeader 3 7" xfId="17679" xr:uid="{00000000-0005-0000-0000-0000D06A0000}"/>
    <cellStyle name="SAPBEXItemHeader 3 8" xfId="21499" xr:uid="{00000000-0005-0000-0000-0000D16A0000}"/>
    <cellStyle name="SAPBEXItemHeader 3 9" xfId="22307" xr:uid="{00000000-0005-0000-0000-0000D26A0000}"/>
    <cellStyle name="SAPBEXItemHeader 30" xfId="4190" xr:uid="{00000000-0005-0000-0000-0000D36A0000}"/>
    <cellStyle name="SAPBEXItemHeader 30 2" xfId="6728" xr:uid="{00000000-0005-0000-0000-0000D46A0000}"/>
    <cellStyle name="SAPBEXItemHeader 30 3" xfId="9626" xr:uid="{00000000-0005-0000-0000-0000D56A0000}"/>
    <cellStyle name="SAPBEXItemHeader 30 4" xfId="11453" xr:uid="{00000000-0005-0000-0000-0000D66A0000}"/>
    <cellStyle name="SAPBEXItemHeader 30 5" xfId="13873" xr:uid="{00000000-0005-0000-0000-0000D76A0000}"/>
    <cellStyle name="SAPBEXItemHeader 30 6" xfId="16703" xr:uid="{00000000-0005-0000-0000-0000D86A0000}"/>
    <cellStyle name="SAPBEXItemHeader 30 7" xfId="18569" xr:uid="{00000000-0005-0000-0000-0000D96A0000}"/>
    <cellStyle name="SAPBEXItemHeader 30 8" xfId="21399" xr:uid="{00000000-0005-0000-0000-0000DA6A0000}"/>
    <cellStyle name="SAPBEXItemHeader 30 9" xfId="23128" xr:uid="{00000000-0005-0000-0000-0000DB6A0000}"/>
    <cellStyle name="SAPBEXItemHeader 31" xfId="4232" xr:uid="{00000000-0005-0000-0000-0000DC6A0000}"/>
    <cellStyle name="SAPBEXItemHeader 31 2" xfId="6770" xr:uid="{00000000-0005-0000-0000-0000DD6A0000}"/>
    <cellStyle name="SAPBEXItemHeader 31 3" xfId="9746" xr:uid="{00000000-0005-0000-0000-0000DE6A0000}"/>
    <cellStyle name="SAPBEXItemHeader 31 4" xfId="11227" xr:uid="{00000000-0005-0000-0000-0000DF6A0000}"/>
    <cellStyle name="SAPBEXItemHeader 31 5" xfId="13631" xr:uid="{00000000-0005-0000-0000-0000E06A0000}"/>
    <cellStyle name="SAPBEXItemHeader 31 6" xfId="15558" xr:uid="{00000000-0005-0000-0000-0000E16A0000}"/>
    <cellStyle name="SAPBEXItemHeader 31 7" xfId="18327" xr:uid="{00000000-0005-0000-0000-0000E26A0000}"/>
    <cellStyle name="SAPBEXItemHeader 31 8" xfId="20254" xr:uid="{00000000-0005-0000-0000-0000E36A0000}"/>
    <cellStyle name="SAPBEXItemHeader 31 9" xfId="22902" xr:uid="{00000000-0005-0000-0000-0000E46A0000}"/>
    <cellStyle name="SAPBEXItemHeader 32" xfId="4275" xr:uid="{00000000-0005-0000-0000-0000E56A0000}"/>
    <cellStyle name="SAPBEXItemHeader 32 2" xfId="6813" xr:uid="{00000000-0005-0000-0000-0000E66A0000}"/>
    <cellStyle name="SAPBEXItemHeader 32 3" xfId="8787" xr:uid="{00000000-0005-0000-0000-0000E76A0000}"/>
    <cellStyle name="SAPBEXItemHeader 32 4" xfId="10577" xr:uid="{00000000-0005-0000-0000-0000E86A0000}"/>
    <cellStyle name="SAPBEXItemHeader 32 5" xfId="12923" xr:uid="{00000000-0005-0000-0000-0000E96A0000}"/>
    <cellStyle name="SAPBEXItemHeader 32 6" xfId="16379" xr:uid="{00000000-0005-0000-0000-0000EA6A0000}"/>
    <cellStyle name="SAPBEXItemHeader 32 7" xfId="17619" xr:uid="{00000000-0005-0000-0000-0000EB6A0000}"/>
    <cellStyle name="SAPBEXItemHeader 32 8" xfId="21075" xr:uid="{00000000-0005-0000-0000-0000EC6A0000}"/>
    <cellStyle name="SAPBEXItemHeader 32 9" xfId="22249" xr:uid="{00000000-0005-0000-0000-0000ED6A0000}"/>
    <cellStyle name="SAPBEXItemHeader 33" xfId="4318" xr:uid="{00000000-0005-0000-0000-0000EE6A0000}"/>
    <cellStyle name="SAPBEXItemHeader 33 2" xfId="6856" xr:uid="{00000000-0005-0000-0000-0000EF6A0000}"/>
    <cellStyle name="SAPBEXItemHeader 33 3" xfId="9030" xr:uid="{00000000-0005-0000-0000-0000F06A0000}"/>
    <cellStyle name="SAPBEXItemHeader 33 4" xfId="11675" xr:uid="{00000000-0005-0000-0000-0000F16A0000}"/>
    <cellStyle name="SAPBEXItemHeader 33 5" xfId="14122" xr:uid="{00000000-0005-0000-0000-0000F26A0000}"/>
    <cellStyle name="SAPBEXItemHeader 33 6" xfId="16923" xr:uid="{00000000-0005-0000-0000-0000F36A0000}"/>
    <cellStyle name="SAPBEXItemHeader 33 7" xfId="18818" xr:uid="{00000000-0005-0000-0000-0000F46A0000}"/>
    <cellStyle name="SAPBEXItemHeader 33 8" xfId="21619" xr:uid="{00000000-0005-0000-0000-0000F56A0000}"/>
    <cellStyle name="SAPBEXItemHeader 33 9" xfId="23349" xr:uid="{00000000-0005-0000-0000-0000F66A0000}"/>
    <cellStyle name="SAPBEXItemHeader 34" xfId="4361" xr:uid="{00000000-0005-0000-0000-0000F76A0000}"/>
    <cellStyle name="SAPBEXItemHeader 34 2" xfId="6899" xr:uid="{00000000-0005-0000-0000-0000F86A0000}"/>
    <cellStyle name="SAPBEXItemHeader 34 3" xfId="9347" xr:uid="{00000000-0005-0000-0000-0000F96A0000}"/>
    <cellStyle name="SAPBEXItemHeader 34 4" xfId="8467" xr:uid="{00000000-0005-0000-0000-0000FA6A0000}"/>
    <cellStyle name="SAPBEXItemHeader 34 5" xfId="12437" xr:uid="{00000000-0005-0000-0000-0000FB6A0000}"/>
    <cellStyle name="SAPBEXItemHeader 34 6" xfId="15572" xr:uid="{00000000-0005-0000-0000-0000FC6A0000}"/>
    <cellStyle name="SAPBEXItemHeader 34 7" xfId="17133" xr:uid="{00000000-0005-0000-0000-0000FD6A0000}"/>
    <cellStyle name="SAPBEXItemHeader 34 8" xfId="20268" xr:uid="{00000000-0005-0000-0000-0000FE6A0000}"/>
    <cellStyle name="SAPBEXItemHeader 34 9" xfId="21817" xr:uid="{00000000-0005-0000-0000-0000FF6A0000}"/>
    <cellStyle name="SAPBEXItemHeader 35" xfId="4404" xr:uid="{00000000-0005-0000-0000-0000006B0000}"/>
    <cellStyle name="SAPBEXItemHeader 35 2" xfId="6942" xr:uid="{00000000-0005-0000-0000-0000016B0000}"/>
    <cellStyle name="SAPBEXItemHeader 35 3" xfId="9842" xr:uid="{00000000-0005-0000-0000-0000026B0000}"/>
    <cellStyle name="SAPBEXItemHeader 35 4" xfId="10846" xr:uid="{00000000-0005-0000-0000-0000036B0000}"/>
    <cellStyle name="SAPBEXItemHeader 35 5" xfId="13211" xr:uid="{00000000-0005-0000-0000-0000046B0000}"/>
    <cellStyle name="SAPBEXItemHeader 35 6" xfId="16601" xr:uid="{00000000-0005-0000-0000-0000056B0000}"/>
    <cellStyle name="SAPBEXItemHeader 35 7" xfId="17907" xr:uid="{00000000-0005-0000-0000-0000066B0000}"/>
    <cellStyle name="SAPBEXItemHeader 35 8" xfId="21297" xr:uid="{00000000-0005-0000-0000-0000076B0000}"/>
    <cellStyle name="SAPBEXItemHeader 35 9" xfId="22517" xr:uid="{00000000-0005-0000-0000-0000086B0000}"/>
    <cellStyle name="SAPBEXItemHeader 36" xfId="4447" xr:uid="{00000000-0005-0000-0000-0000096B0000}"/>
    <cellStyle name="SAPBEXItemHeader 36 2" xfId="6985" xr:uid="{00000000-0005-0000-0000-00000A6B0000}"/>
    <cellStyle name="SAPBEXItemHeader 36 3" xfId="5540" xr:uid="{00000000-0005-0000-0000-00000B6B0000}"/>
    <cellStyle name="SAPBEXItemHeader 36 4" xfId="8062" xr:uid="{00000000-0005-0000-0000-00000C6B0000}"/>
    <cellStyle name="SAPBEXItemHeader 36 5" xfId="12377" xr:uid="{00000000-0005-0000-0000-00000D6B0000}"/>
    <cellStyle name="SAPBEXItemHeader 36 6" xfId="15935" xr:uid="{00000000-0005-0000-0000-00000E6B0000}"/>
    <cellStyle name="SAPBEXItemHeader 36 7" xfId="17073" xr:uid="{00000000-0005-0000-0000-00000F6B0000}"/>
    <cellStyle name="SAPBEXItemHeader 36 8" xfId="20631" xr:uid="{00000000-0005-0000-0000-0000106B0000}"/>
    <cellStyle name="SAPBEXItemHeader 36 9" xfId="21762" xr:uid="{00000000-0005-0000-0000-0000116B0000}"/>
    <cellStyle name="SAPBEXItemHeader 37" xfId="4416" xr:uid="{00000000-0005-0000-0000-0000126B0000}"/>
    <cellStyle name="SAPBEXItemHeader 37 2" xfId="6954" xr:uid="{00000000-0005-0000-0000-0000136B0000}"/>
    <cellStyle name="SAPBEXItemHeader 37 3" xfId="9564" xr:uid="{00000000-0005-0000-0000-0000146B0000}"/>
    <cellStyle name="SAPBEXItemHeader 37 4" xfId="11591" xr:uid="{00000000-0005-0000-0000-0000156B0000}"/>
    <cellStyle name="SAPBEXItemHeader 37 5" xfId="14029" xr:uid="{00000000-0005-0000-0000-0000166B0000}"/>
    <cellStyle name="SAPBEXItemHeader 37 6" xfId="15215" xr:uid="{00000000-0005-0000-0000-0000176B0000}"/>
    <cellStyle name="SAPBEXItemHeader 37 7" xfId="18725" xr:uid="{00000000-0005-0000-0000-0000186B0000}"/>
    <cellStyle name="SAPBEXItemHeader 37 8" xfId="19911" xr:uid="{00000000-0005-0000-0000-0000196B0000}"/>
    <cellStyle name="SAPBEXItemHeader 37 9" xfId="23265" xr:uid="{00000000-0005-0000-0000-00001A6B0000}"/>
    <cellStyle name="SAPBEXItemHeader 38" xfId="4533" xr:uid="{00000000-0005-0000-0000-00001B6B0000}"/>
    <cellStyle name="SAPBEXItemHeader 38 2" xfId="7071" xr:uid="{00000000-0005-0000-0000-00001C6B0000}"/>
    <cellStyle name="SAPBEXItemHeader 38 3" xfId="9438" xr:uid="{00000000-0005-0000-0000-00001D6B0000}"/>
    <cellStyle name="SAPBEXItemHeader 38 4" xfId="12090" xr:uid="{00000000-0005-0000-0000-00001E6B0000}"/>
    <cellStyle name="SAPBEXItemHeader 38 5" xfId="14570" xr:uid="{00000000-0005-0000-0000-00001F6B0000}"/>
    <cellStyle name="SAPBEXItemHeader 38 6" xfId="15938" xr:uid="{00000000-0005-0000-0000-0000206B0000}"/>
    <cellStyle name="SAPBEXItemHeader 38 7" xfId="19266" xr:uid="{00000000-0005-0000-0000-0000216B0000}"/>
    <cellStyle name="SAPBEXItemHeader 38 8" xfId="20634" xr:uid="{00000000-0005-0000-0000-0000226B0000}"/>
    <cellStyle name="SAPBEXItemHeader 38 9" xfId="23762" xr:uid="{00000000-0005-0000-0000-0000236B0000}"/>
    <cellStyle name="SAPBEXItemHeader 39" xfId="4576" xr:uid="{00000000-0005-0000-0000-0000246B0000}"/>
    <cellStyle name="SAPBEXItemHeader 39 2" xfId="7114" xr:uid="{00000000-0005-0000-0000-0000256B0000}"/>
    <cellStyle name="SAPBEXItemHeader 39 3" xfId="10037" xr:uid="{00000000-0005-0000-0000-0000266B0000}"/>
    <cellStyle name="SAPBEXItemHeader 39 4" xfId="10704" xr:uid="{00000000-0005-0000-0000-0000276B0000}"/>
    <cellStyle name="SAPBEXItemHeader 39 5" xfId="13057" xr:uid="{00000000-0005-0000-0000-0000286B0000}"/>
    <cellStyle name="SAPBEXItemHeader 39 6" xfId="16504" xr:uid="{00000000-0005-0000-0000-0000296B0000}"/>
    <cellStyle name="SAPBEXItemHeader 39 7" xfId="17753" xr:uid="{00000000-0005-0000-0000-00002A6B0000}"/>
    <cellStyle name="SAPBEXItemHeader 39 8" xfId="21200" xr:uid="{00000000-0005-0000-0000-00002B6B0000}"/>
    <cellStyle name="SAPBEXItemHeader 39 9" xfId="22377" xr:uid="{00000000-0005-0000-0000-00002C6B0000}"/>
    <cellStyle name="SAPBEXItemHeader 4" xfId="3178" xr:uid="{00000000-0005-0000-0000-00002D6B0000}"/>
    <cellStyle name="SAPBEXItemHeader 4 2" xfId="5716" xr:uid="{00000000-0005-0000-0000-00002E6B0000}"/>
    <cellStyle name="SAPBEXItemHeader 4 3" xfId="9501" xr:uid="{00000000-0005-0000-0000-00002F6B0000}"/>
    <cellStyle name="SAPBEXItemHeader 4 4" xfId="10412" xr:uid="{00000000-0005-0000-0000-0000306B0000}"/>
    <cellStyle name="SAPBEXItemHeader 4 5" xfId="12737" xr:uid="{00000000-0005-0000-0000-0000316B0000}"/>
    <cellStyle name="SAPBEXItemHeader 4 6" xfId="15291" xr:uid="{00000000-0005-0000-0000-0000326B0000}"/>
    <cellStyle name="SAPBEXItemHeader 4 7" xfId="17433" xr:uid="{00000000-0005-0000-0000-0000336B0000}"/>
    <cellStyle name="SAPBEXItemHeader 4 8" xfId="19987" xr:uid="{00000000-0005-0000-0000-0000346B0000}"/>
    <cellStyle name="SAPBEXItemHeader 4 9" xfId="22083" xr:uid="{00000000-0005-0000-0000-0000356B0000}"/>
    <cellStyle name="SAPBEXItemHeader 40" xfId="4619" xr:uid="{00000000-0005-0000-0000-0000366B0000}"/>
    <cellStyle name="SAPBEXItemHeader 40 2" xfId="7157" xr:uid="{00000000-0005-0000-0000-0000376B0000}"/>
    <cellStyle name="SAPBEXItemHeader 40 3" xfId="8898" xr:uid="{00000000-0005-0000-0000-0000386B0000}"/>
    <cellStyle name="SAPBEXItemHeader 40 4" xfId="11582" xr:uid="{00000000-0005-0000-0000-0000396B0000}"/>
    <cellStyle name="SAPBEXItemHeader 40 5" xfId="14019" xr:uid="{00000000-0005-0000-0000-00003A6B0000}"/>
    <cellStyle name="SAPBEXItemHeader 40 6" xfId="13929" xr:uid="{00000000-0005-0000-0000-00003B6B0000}"/>
    <cellStyle name="SAPBEXItemHeader 40 7" xfId="18715" xr:uid="{00000000-0005-0000-0000-00003C6B0000}"/>
    <cellStyle name="SAPBEXItemHeader 40 8" xfId="18625" xr:uid="{00000000-0005-0000-0000-00003D6B0000}"/>
    <cellStyle name="SAPBEXItemHeader 40 9" xfId="23256" xr:uid="{00000000-0005-0000-0000-00003E6B0000}"/>
    <cellStyle name="SAPBEXItemHeader 41" xfId="4662" xr:uid="{00000000-0005-0000-0000-00003F6B0000}"/>
    <cellStyle name="SAPBEXItemHeader 41 2" xfId="7200" xr:uid="{00000000-0005-0000-0000-0000406B0000}"/>
    <cellStyle name="SAPBEXItemHeader 41 3" xfId="8652" xr:uid="{00000000-0005-0000-0000-0000416B0000}"/>
    <cellStyle name="SAPBEXItemHeader 41 4" xfId="11332" xr:uid="{00000000-0005-0000-0000-0000426B0000}"/>
    <cellStyle name="SAPBEXItemHeader 41 5" xfId="13741" xr:uid="{00000000-0005-0000-0000-0000436B0000}"/>
    <cellStyle name="SAPBEXItemHeader 41 6" xfId="15185" xr:uid="{00000000-0005-0000-0000-0000446B0000}"/>
    <cellStyle name="SAPBEXItemHeader 41 7" xfId="18437" xr:uid="{00000000-0005-0000-0000-0000456B0000}"/>
    <cellStyle name="SAPBEXItemHeader 41 8" xfId="19881" xr:uid="{00000000-0005-0000-0000-0000466B0000}"/>
    <cellStyle name="SAPBEXItemHeader 41 9" xfId="23006" xr:uid="{00000000-0005-0000-0000-0000476B0000}"/>
    <cellStyle name="SAPBEXItemHeader 42" xfId="4704" xr:uid="{00000000-0005-0000-0000-0000486B0000}"/>
    <cellStyle name="SAPBEXItemHeader 42 2" xfId="7242" xr:uid="{00000000-0005-0000-0000-0000496B0000}"/>
    <cellStyle name="SAPBEXItemHeader 42 3" xfId="8258" xr:uid="{00000000-0005-0000-0000-00004A6B0000}"/>
    <cellStyle name="SAPBEXItemHeader 42 4" xfId="11147" xr:uid="{00000000-0005-0000-0000-00004B6B0000}"/>
    <cellStyle name="SAPBEXItemHeader 42 5" xfId="13543" xr:uid="{00000000-0005-0000-0000-00004C6B0000}"/>
    <cellStyle name="SAPBEXItemHeader 42 6" xfId="15704" xr:uid="{00000000-0005-0000-0000-00004D6B0000}"/>
    <cellStyle name="SAPBEXItemHeader 42 7" xfId="18239" xr:uid="{00000000-0005-0000-0000-00004E6B0000}"/>
    <cellStyle name="SAPBEXItemHeader 42 8" xfId="20400" xr:uid="{00000000-0005-0000-0000-00004F6B0000}"/>
    <cellStyle name="SAPBEXItemHeader 42 9" xfId="22820" xr:uid="{00000000-0005-0000-0000-0000506B0000}"/>
    <cellStyle name="SAPBEXItemHeader 43" xfId="4747" xr:uid="{00000000-0005-0000-0000-0000516B0000}"/>
    <cellStyle name="SAPBEXItemHeader 43 2" xfId="7285" xr:uid="{00000000-0005-0000-0000-0000526B0000}"/>
    <cellStyle name="SAPBEXItemHeader 43 3" xfId="10161" xr:uid="{00000000-0005-0000-0000-0000536B0000}"/>
    <cellStyle name="SAPBEXItemHeader 43 4" xfId="8667" xr:uid="{00000000-0005-0000-0000-0000546B0000}"/>
    <cellStyle name="SAPBEXItemHeader 43 5" xfId="12958" xr:uid="{00000000-0005-0000-0000-0000556B0000}"/>
    <cellStyle name="SAPBEXItemHeader 43 6" xfId="15819" xr:uid="{00000000-0005-0000-0000-0000566B0000}"/>
    <cellStyle name="SAPBEXItemHeader 43 7" xfId="17654" xr:uid="{00000000-0005-0000-0000-0000576B0000}"/>
    <cellStyle name="SAPBEXItemHeader 43 8" xfId="20515" xr:uid="{00000000-0005-0000-0000-0000586B0000}"/>
    <cellStyle name="SAPBEXItemHeader 43 9" xfId="22283" xr:uid="{00000000-0005-0000-0000-0000596B0000}"/>
    <cellStyle name="SAPBEXItemHeader 44" xfId="4775" xr:uid="{00000000-0005-0000-0000-00005A6B0000}"/>
    <cellStyle name="SAPBEXItemHeader 44 2" xfId="7313" xr:uid="{00000000-0005-0000-0000-00005B6B0000}"/>
    <cellStyle name="SAPBEXItemHeader 44 3" xfId="9713" xr:uid="{00000000-0005-0000-0000-00005C6B0000}"/>
    <cellStyle name="SAPBEXItemHeader 44 4" xfId="11094" xr:uid="{00000000-0005-0000-0000-00005D6B0000}"/>
    <cellStyle name="SAPBEXItemHeader 44 5" xfId="12416" xr:uid="{00000000-0005-0000-0000-00005E6B0000}"/>
    <cellStyle name="SAPBEXItemHeader 44 6" xfId="15673" xr:uid="{00000000-0005-0000-0000-00005F6B0000}"/>
    <cellStyle name="SAPBEXItemHeader 44 7" xfId="17112" xr:uid="{00000000-0005-0000-0000-0000606B0000}"/>
    <cellStyle name="SAPBEXItemHeader 44 8" xfId="20369" xr:uid="{00000000-0005-0000-0000-0000616B0000}"/>
    <cellStyle name="SAPBEXItemHeader 44 9" xfId="21797" xr:uid="{00000000-0005-0000-0000-0000626B0000}"/>
    <cellStyle name="SAPBEXItemHeader 45" xfId="4809" xr:uid="{00000000-0005-0000-0000-0000636B0000}"/>
    <cellStyle name="SAPBEXItemHeader 45 2" xfId="7347" xr:uid="{00000000-0005-0000-0000-0000646B0000}"/>
    <cellStyle name="SAPBEXItemHeader 45 3" xfId="7994" xr:uid="{00000000-0005-0000-0000-0000656B0000}"/>
    <cellStyle name="SAPBEXItemHeader 45 4" xfId="10858" xr:uid="{00000000-0005-0000-0000-0000666B0000}"/>
    <cellStyle name="SAPBEXItemHeader 45 5" xfId="13223" xr:uid="{00000000-0005-0000-0000-0000676B0000}"/>
    <cellStyle name="SAPBEXItemHeader 45 6" xfId="16205" xr:uid="{00000000-0005-0000-0000-0000686B0000}"/>
    <cellStyle name="SAPBEXItemHeader 45 7" xfId="17919" xr:uid="{00000000-0005-0000-0000-0000696B0000}"/>
    <cellStyle name="SAPBEXItemHeader 45 8" xfId="20901" xr:uid="{00000000-0005-0000-0000-00006A6B0000}"/>
    <cellStyle name="SAPBEXItemHeader 45 9" xfId="22529" xr:uid="{00000000-0005-0000-0000-00006B6B0000}"/>
    <cellStyle name="SAPBEXItemHeader 46" xfId="4852" xr:uid="{00000000-0005-0000-0000-00006C6B0000}"/>
    <cellStyle name="SAPBEXItemHeader 46 2" xfId="7390" xr:uid="{00000000-0005-0000-0000-00006D6B0000}"/>
    <cellStyle name="SAPBEXItemHeader 46 3" xfId="9244" xr:uid="{00000000-0005-0000-0000-00006E6B0000}"/>
    <cellStyle name="SAPBEXItemHeader 46 4" xfId="12295" xr:uid="{00000000-0005-0000-0000-00006F6B0000}"/>
    <cellStyle name="SAPBEXItemHeader 46 5" xfId="14308" xr:uid="{00000000-0005-0000-0000-0000706B0000}"/>
    <cellStyle name="SAPBEXItemHeader 46 6" xfId="15379" xr:uid="{00000000-0005-0000-0000-0000716B0000}"/>
    <cellStyle name="SAPBEXItemHeader 46 7" xfId="19004" xr:uid="{00000000-0005-0000-0000-0000726B0000}"/>
    <cellStyle name="SAPBEXItemHeader 46 8" xfId="20075" xr:uid="{00000000-0005-0000-0000-0000736B0000}"/>
    <cellStyle name="SAPBEXItemHeader 46 9" xfId="23522" xr:uid="{00000000-0005-0000-0000-0000746B0000}"/>
    <cellStyle name="SAPBEXItemHeader 47" xfId="4821" xr:uid="{00000000-0005-0000-0000-0000756B0000}"/>
    <cellStyle name="SAPBEXItemHeader 47 2" xfId="7359" xr:uid="{00000000-0005-0000-0000-0000766B0000}"/>
    <cellStyle name="SAPBEXItemHeader 47 3" xfId="9052" xr:uid="{00000000-0005-0000-0000-0000776B0000}"/>
    <cellStyle name="SAPBEXItemHeader 47 4" xfId="12131" xr:uid="{00000000-0005-0000-0000-0000786B0000}"/>
    <cellStyle name="SAPBEXItemHeader 47 5" xfId="14613" xr:uid="{00000000-0005-0000-0000-0000796B0000}"/>
    <cellStyle name="SAPBEXItemHeader 47 6" xfId="16640" xr:uid="{00000000-0005-0000-0000-00007A6B0000}"/>
    <cellStyle name="SAPBEXItemHeader 47 7" xfId="19309" xr:uid="{00000000-0005-0000-0000-00007B6B0000}"/>
    <cellStyle name="SAPBEXItemHeader 47 8" xfId="21336" xr:uid="{00000000-0005-0000-0000-00007C6B0000}"/>
    <cellStyle name="SAPBEXItemHeader 47 9" xfId="23805" xr:uid="{00000000-0005-0000-0000-00007D6B0000}"/>
    <cellStyle name="SAPBEXItemHeader 48" xfId="4932" xr:uid="{00000000-0005-0000-0000-00007E6B0000}"/>
    <cellStyle name="SAPBEXItemHeader 48 2" xfId="7470" xr:uid="{00000000-0005-0000-0000-00007F6B0000}"/>
    <cellStyle name="SAPBEXItemHeader 48 3" xfId="9798" xr:uid="{00000000-0005-0000-0000-0000806B0000}"/>
    <cellStyle name="SAPBEXItemHeader 48 4" xfId="11303" xr:uid="{00000000-0005-0000-0000-0000816B0000}"/>
    <cellStyle name="SAPBEXItemHeader 48 5" xfId="13710" xr:uid="{00000000-0005-0000-0000-0000826B0000}"/>
    <cellStyle name="SAPBEXItemHeader 48 6" xfId="14962" xr:uid="{00000000-0005-0000-0000-0000836B0000}"/>
    <cellStyle name="SAPBEXItemHeader 48 7" xfId="18406" xr:uid="{00000000-0005-0000-0000-0000846B0000}"/>
    <cellStyle name="SAPBEXItemHeader 48 8" xfId="19658" xr:uid="{00000000-0005-0000-0000-0000856B0000}"/>
    <cellStyle name="SAPBEXItemHeader 48 9" xfId="22977" xr:uid="{00000000-0005-0000-0000-0000866B0000}"/>
    <cellStyle name="SAPBEXItemHeader 49" xfId="4971" xr:uid="{00000000-0005-0000-0000-0000876B0000}"/>
    <cellStyle name="SAPBEXItemHeader 49 2" xfId="7509" xr:uid="{00000000-0005-0000-0000-0000886B0000}"/>
    <cellStyle name="SAPBEXItemHeader 49 3" xfId="10009" xr:uid="{00000000-0005-0000-0000-0000896B0000}"/>
    <cellStyle name="SAPBEXItemHeader 49 4" xfId="10986" xr:uid="{00000000-0005-0000-0000-00008A6B0000}"/>
    <cellStyle name="SAPBEXItemHeader 49 5" xfId="13360" xr:uid="{00000000-0005-0000-0000-00008B6B0000}"/>
    <cellStyle name="SAPBEXItemHeader 49 6" xfId="16729" xr:uid="{00000000-0005-0000-0000-00008C6B0000}"/>
    <cellStyle name="SAPBEXItemHeader 49 7" xfId="18056" xr:uid="{00000000-0005-0000-0000-00008D6B0000}"/>
    <cellStyle name="SAPBEXItemHeader 49 8" xfId="21425" xr:uid="{00000000-0005-0000-0000-00008E6B0000}"/>
    <cellStyle name="SAPBEXItemHeader 49 9" xfId="22659" xr:uid="{00000000-0005-0000-0000-00008F6B0000}"/>
    <cellStyle name="SAPBEXItemHeader 5" xfId="3221" xr:uid="{00000000-0005-0000-0000-0000906B0000}"/>
    <cellStyle name="SAPBEXItemHeader 5 2" xfId="5759" xr:uid="{00000000-0005-0000-0000-0000916B0000}"/>
    <cellStyle name="SAPBEXItemHeader 5 3" xfId="8967" xr:uid="{00000000-0005-0000-0000-0000926B0000}"/>
    <cellStyle name="SAPBEXItemHeader 5 4" xfId="11827" xr:uid="{00000000-0005-0000-0000-0000936B0000}"/>
    <cellStyle name="SAPBEXItemHeader 5 5" xfId="14285" xr:uid="{00000000-0005-0000-0000-0000946B0000}"/>
    <cellStyle name="SAPBEXItemHeader 5 6" xfId="15549" xr:uid="{00000000-0005-0000-0000-0000956B0000}"/>
    <cellStyle name="SAPBEXItemHeader 5 7" xfId="18981" xr:uid="{00000000-0005-0000-0000-0000966B0000}"/>
    <cellStyle name="SAPBEXItemHeader 5 8" xfId="20245" xr:uid="{00000000-0005-0000-0000-0000976B0000}"/>
    <cellStyle name="SAPBEXItemHeader 5 9" xfId="23502" xr:uid="{00000000-0005-0000-0000-0000986B0000}"/>
    <cellStyle name="SAPBEXItemHeader 50" xfId="5009" xr:uid="{00000000-0005-0000-0000-0000996B0000}"/>
    <cellStyle name="SAPBEXItemHeader 50 2" xfId="7547" xr:uid="{00000000-0005-0000-0000-00009A6B0000}"/>
    <cellStyle name="SAPBEXItemHeader 50 3" xfId="9427" xr:uid="{00000000-0005-0000-0000-00009B6B0000}"/>
    <cellStyle name="SAPBEXItemHeader 50 4" xfId="12121" xr:uid="{00000000-0005-0000-0000-00009C6B0000}"/>
    <cellStyle name="SAPBEXItemHeader 50 5" xfId="14320" xr:uid="{00000000-0005-0000-0000-00009D6B0000}"/>
    <cellStyle name="SAPBEXItemHeader 50 6" xfId="15360" xr:uid="{00000000-0005-0000-0000-00009E6B0000}"/>
    <cellStyle name="SAPBEXItemHeader 50 7" xfId="19016" xr:uid="{00000000-0005-0000-0000-00009F6B0000}"/>
    <cellStyle name="SAPBEXItemHeader 50 8" xfId="20056" xr:uid="{00000000-0005-0000-0000-0000A06B0000}"/>
    <cellStyle name="SAPBEXItemHeader 50 9" xfId="23534" xr:uid="{00000000-0005-0000-0000-0000A16B0000}"/>
    <cellStyle name="SAPBEXItemHeader 51" xfId="5046" xr:uid="{00000000-0005-0000-0000-0000A26B0000}"/>
    <cellStyle name="SAPBEXItemHeader 51 2" xfId="7584" xr:uid="{00000000-0005-0000-0000-0000A36B0000}"/>
    <cellStyle name="SAPBEXItemHeader 51 3" xfId="9774" xr:uid="{00000000-0005-0000-0000-0000A46B0000}"/>
    <cellStyle name="SAPBEXItemHeader 51 4" xfId="11251" xr:uid="{00000000-0005-0000-0000-0000A56B0000}"/>
    <cellStyle name="SAPBEXItemHeader 51 5" xfId="13656" xr:uid="{00000000-0005-0000-0000-0000A66B0000}"/>
    <cellStyle name="SAPBEXItemHeader 51 6" xfId="15076" xr:uid="{00000000-0005-0000-0000-0000A76B0000}"/>
    <cellStyle name="SAPBEXItemHeader 51 7" xfId="18352" xr:uid="{00000000-0005-0000-0000-0000A86B0000}"/>
    <cellStyle name="SAPBEXItemHeader 51 8" xfId="19772" xr:uid="{00000000-0005-0000-0000-0000A96B0000}"/>
    <cellStyle name="SAPBEXItemHeader 51 9" xfId="22925" xr:uid="{00000000-0005-0000-0000-0000AA6B0000}"/>
    <cellStyle name="SAPBEXItemHeader 52" xfId="5076" xr:uid="{00000000-0005-0000-0000-0000AB6B0000}"/>
    <cellStyle name="SAPBEXItemHeader 52 2" xfId="7614" xr:uid="{00000000-0005-0000-0000-0000AC6B0000}"/>
    <cellStyle name="SAPBEXItemHeader 52 3" xfId="9201" xr:uid="{00000000-0005-0000-0000-0000AD6B0000}"/>
    <cellStyle name="SAPBEXItemHeader 52 4" xfId="11604" xr:uid="{00000000-0005-0000-0000-0000AE6B0000}"/>
    <cellStyle name="SAPBEXItemHeader 52 5" xfId="14042" xr:uid="{00000000-0005-0000-0000-0000AF6B0000}"/>
    <cellStyle name="SAPBEXItemHeader 52 6" xfId="16586" xr:uid="{00000000-0005-0000-0000-0000B06B0000}"/>
    <cellStyle name="SAPBEXItemHeader 52 7" xfId="18738" xr:uid="{00000000-0005-0000-0000-0000B16B0000}"/>
    <cellStyle name="SAPBEXItemHeader 52 8" xfId="21282" xr:uid="{00000000-0005-0000-0000-0000B26B0000}"/>
    <cellStyle name="SAPBEXItemHeader 52 9" xfId="23278" xr:uid="{00000000-0005-0000-0000-0000B36B0000}"/>
    <cellStyle name="SAPBEXItemHeader 53" xfId="5102" xr:uid="{00000000-0005-0000-0000-0000B46B0000}"/>
    <cellStyle name="SAPBEXItemHeader 53 2" xfId="7640" xr:uid="{00000000-0005-0000-0000-0000B56B0000}"/>
    <cellStyle name="SAPBEXItemHeader 53 3" xfId="8032" xr:uid="{00000000-0005-0000-0000-0000B66B0000}"/>
    <cellStyle name="SAPBEXItemHeader 53 4" xfId="12126" xr:uid="{00000000-0005-0000-0000-0000B76B0000}"/>
    <cellStyle name="SAPBEXItemHeader 53 5" xfId="14608" xr:uid="{00000000-0005-0000-0000-0000B86B0000}"/>
    <cellStyle name="SAPBEXItemHeader 53 6" xfId="16657" xr:uid="{00000000-0005-0000-0000-0000B96B0000}"/>
    <cellStyle name="SAPBEXItemHeader 53 7" xfId="19304" xr:uid="{00000000-0005-0000-0000-0000BA6B0000}"/>
    <cellStyle name="SAPBEXItemHeader 53 8" xfId="21353" xr:uid="{00000000-0005-0000-0000-0000BB6B0000}"/>
    <cellStyle name="SAPBEXItemHeader 53 9" xfId="23800" xr:uid="{00000000-0005-0000-0000-0000BC6B0000}"/>
    <cellStyle name="SAPBEXItemHeader 54" xfId="5150" xr:uid="{00000000-0005-0000-0000-0000BD6B0000}"/>
    <cellStyle name="SAPBEXItemHeader 54 2" xfId="7688" xr:uid="{00000000-0005-0000-0000-0000BE6B0000}"/>
    <cellStyle name="SAPBEXItemHeader 54 3" xfId="9325" xr:uid="{00000000-0005-0000-0000-0000BF6B0000}"/>
    <cellStyle name="SAPBEXItemHeader 54 4" xfId="12197" xr:uid="{00000000-0005-0000-0000-0000C06B0000}"/>
    <cellStyle name="SAPBEXItemHeader 54 5" xfId="14746" xr:uid="{00000000-0005-0000-0000-0000C16B0000}"/>
    <cellStyle name="SAPBEXItemHeader 54 6" xfId="16660" xr:uid="{00000000-0005-0000-0000-0000C26B0000}"/>
    <cellStyle name="SAPBEXItemHeader 54 7" xfId="19442" xr:uid="{00000000-0005-0000-0000-0000C36B0000}"/>
    <cellStyle name="SAPBEXItemHeader 54 8" xfId="21356" xr:uid="{00000000-0005-0000-0000-0000C46B0000}"/>
    <cellStyle name="SAPBEXItemHeader 54 9" xfId="23931" xr:uid="{00000000-0005-0000-0000-0000C56B0000}"/>
    <cellStyle name="SAPBEXItemHeader 55" xfId="5219" xr:uid="{00000000-0005-0000-0000-0000C66B0000}"/>
    <cellStyle name="SAPBEXItemHeader 55 2" xfId="7758" xr:uid="{00000000-0005-0000-0000-0000C76B0000}"/>
    <cellStyle name="SAPBEXItemHeader 55 3" xfId="8098" xr:uid="{00000000-0005-0000-0000-0000C86B0000}"/>
    <cellStyle name="SAPBEXItemHeader 55 4" xfId="11930" xr:uid="{00000000-0005-0000-0000-0000C96B0000}"/>
    <cellStyle name="SAPBEXItemHeader 55 5" xfId="14403" xr:uid="{00000000-0005-0000-0000-0000CA6B0000}"/>
    <cellStyle name="SAPBEXItemHeader 55 6" xfId="16352" xr:uid="{00000000-0005-0000-0000-0000CB6B0000}"/>
    <cellStyle name="SAPBEXItemHeader 55 7" xfId="19099" xr:uid="{00000000-0005-0000-0000-0000CC6B0000}"/>
    <cellStyle name="SAPBEXItemHeader 55 8" xfId="21048" xr:uid="{00000000-0005-0000-0000-0000CD6B0000}"/>
    <cellStyle name="SAPBEXItemHeader 55 9" xfId="23605" xr:uid="{00000000-0005-0000-0000-0000CE6B0000}"/>
    <cellStyle name="SAPBEXItemHeader 56" xfId="5257" xr:uid="{00000000-0005-0000-0000-0000CF6B0000}"/>
    <cellStyle name="SAPBEXItemHeader 56 2" xfId="9605" xr:uid="{00000000-0005-0000-0000-0000D06B0000}"/>
    <cellStyle name="SAPBEXItemHeader 56 3" xfId="10291" xr:uid="{00000000-0005-0000-0000-0000D16B0000}"/>
    <cellStyle name="SAPBEXItemHeader 56 4" xfId="12604" xr:uid="{00000000-0005-0000-0000-0000D26B0000}"/>
    <cellStyle name="SAPBEXItemHeader 56 5" xfId="16825" xr:uid="{00000000-0005-0000-0000-0000D36B0000}"/>
    <cellStyle name="SAPBEXItemHeader 56 6" xfId="17300" xr:uid="{00000000-0005-0000-0000-0000D46B0000}"/>
    <cellStyle name="SAPBEXItemHeader 56 7" xfId="21521" xr:uid="{00000000-0005-0000-0000-0000D56B0000}"/>
    <cellStyle name="SAPBEXItemHeader 56 8" xfId="21961" xr:uid="{00000000-0005-0000-0000-0000D66B0000}"/>
    <cellStyle name="SAPBEXItemHeader 57" xfId="9115" xr:uid="{00000000-0005-0000-0000-0000D76B0000}"/>
    <cellStyle name="SAPBEXItemHeader 58" xfId="10302" xr:uid="{00000000-0005-0000-0000-0000D86B0000}"/>
    <cellStyle name="SAPBEXItemHeader 59" xfId="12616" xr:uid="{00000000-0005-0000-0000-0000D96B0000}"/>
    <cellStyle name="SAPBEXItemHeader 6" xfId="3264" xr:uid="{00000000-0005-0000-0000-0000DA6B0000}"/>
    <cellStyle name="SAPBEXItemHeader 6 2" xfId="5802" xr:uid="{00000000-0005-0000-0000-0000DB6B0000}"/>
    <cellStyle name="SAPBEXItemHeader 6 3" xfId="9342" xr:uid="{00000000-0005-0000-0000-0000DC6B0000}"/>
    <cellStyle name="SAPBEXItemHeader 6 4" xfId="10933" xr:uid="{00000000-0005-0000-0000-0000DD6B0000}"/>
    <cellStyle name="SAPBEXItemHeader 6 5" xfId="13304" xr:uid="{00000000-0005-0000-0000-0000DE6B0000}"/>
    <cellStyle name="SAPBEXItemHeader 6 6" xfId="15174" xr:uid="{00000000-0005-0000-0000-0000DF6B0000}"/>
    <cellStyle name="SAPBEXItemHeader 6 7" xfId="18000" xr:uid="{00000000-0005-0000-0000-0000E06B0000}"/>
    <cellStyle name="SAPBEXItemHeader 6 8" xfId="19870" xr:uid="{00000000-0005-0000-0000-0000E16B0000}"/>
    <cellStyle name="SAPBEXItemHeader 6 9" xfId="22604" xr:uid="{00000000-0005-0000-0000-0000E26B0000}"/>
    <cellStyle name="SAPBEXItemHeader 60" xfId="15261" xr:uid="{00000000-0005-0000-0000-0000E36B0000}"/>
    <cellStyle name="SAPBEXItemHeader 61" xfId="17312" xr:uid="{00000000-0005-0000-0000-0000E46B0000}"/>
    <cellStyle name="SAPBEXItemHeader 62" xfId="19957" xr:uid="{00000000-0005-0000-0000-0000E56B0000}"/>
    <cellStyle name="SAPBEXItemHeader 63" xfId="21972" xr:uid="{00000000-0005-0000-0000-0000E66B0000}"/>
    <cellStyle name="SAPBEXItemHeader 7" xfId="3307" xr:uid="{00000000-0005-0000-0000-0000E76B0000}"/>
    <cellStyle name="SAPBEXItemHeader 7 2" xfId="5845" xr:uid="{00000000-0005-0000-0000-0000E86B0000}"/>
    <cellStyle name="SAPBEXItemHeader 7 3" xfId="8602" xr:uid="{00000000-0005-0000-0000-0000E96B0000}"/>
    <cellStyle name="SAPBEXItemHeader 7 4" xfId="10617" xr:uid="{00000000-0005-0000-0000-0000EA6B0000}"/>
    <cellStyle name="SAPBEXItemHeader 7 5" xfId="12965" xr:uid="{00000000-0005-0000-0000-0000EB6B0000}"/>
    <cellStyle name="SAPBEXItemHeader 7 6" xfId="16996" xr:uid="{00000000-0005-0000-0000-0000EC6B0000}"/>
    <cellStyle name="SAPBEXItemHeader 7 7" xfId="17661" xr:uid="{00000000-0005-0000-0000-0000ED6B0000}"/>
    <cellStyle name="SAPBEXItemHeader 7 8" xfId="21692" xr:uid="{00000000-0005-0000-0000-0000EE6B0000}"/>
    <cellStyle name="SAPBEXItemHeader 7 9" xfId="22290" xr:uid="{00000000-0005-0000-0000-0000EF6B0000}"/>
    <cellStyle name="SAPBEXItemHeader 8" xfId="3350" xr:uid="{00000000-0005-0000-0000-0000F06B0000}"/>
    <cellStyle name="SAPBEXItemHeader 8 2" xfId="5888" xr:uid="{00000000-0005-0000-0000-0000F16B0000}"/>
    <cellStyle name="SAPBEXItemHeader 8 3" xfId="7777" xr:uid="{00000000-0005-0000-0000-0000F26B0000}"/>
    <cellStyle name="SAPBEXItemHeader 8 4" xfId="11199" xr:uid="{00000000-0005-0000-0000-0000F36B0000}"/>
    <cellStyle name="SAPBEXItemHeader 8 5" xfId="13600" xr:uid="{00000000-0005-0000-0000-0000F46B0000}"/>
    <cellStyle name="SAPBEXItemHeader 8 6" xfId="15116" xr:uid="{00000000-0005-0000-0000-0000F56B0000}"/>
    <cellStyle name="SAPBEXItemHeader 8 7" xfId="18296" xr:uid="{00000000-0005-0000-0000-0000F66B0000}"/>
    <cellStyle name="SAPBEXItemHeader 8 8" xfId="19812" xr:uid="{00000000-0005-0000-0000-0000F76B0000}"/>
    <cellStyle name="SAPBEXItemHeader 8 9" xfId="22874" xr:uid="{00000000-0005-0000-0000-0000F86B0000}"/>
    <cellStyle name="SAPBEXItemHeader 9" xfId="3393" xr:uid="{00000000-0005-0000-0000-0000F96B0000}"/>
    <cellStyle name="SAPBEXItemHeader 9 2" xfId="5931" xr:uid="{00000000-0005-0000-0000-0000FA6B0000}"/>
    <cellStyle name="SAPBEXItemHeader 9 3" xfId="8569" xr:uid="{00000000-0005-0000-0000-0000FB6B0000}"/>
    <cellStyle name="SAPBEXItemHeader 9 4" xfId="11328" xr:uid="{00000000-0005-0000-0000-0000FC6B0000}"/>
    <cellStyle name="SAPBEXItemHeader 9 5" xfId="13737" xr:uid="{00000000-0005-0000-0000-0000FD6B0000}"/>
    <cellStyle name="SAPBEXItemHeader 9 6" xfId="15723" xr:uid="{00000000-0005-0000-0000-0000FE6B0000}"/>
    <cellStyle name="SAPBEXItemHeader 9 7" xfId="18433" xr:uid="{00000000-0005-0000-0000-0000FF6B0000}"/>
    <cellStyle name="SAPBEXItemHeader 9 8" xfId="20419" xr:uid="{00000000-0005-0000-0000-0000006C0000}"/>
    <cellStyle name="SAPBEXItemHeader 9 9" xfId="23002" xr:uid="{00000000-0005-0000-0000-0000016C0000}"/>
    <cellStyle name="SAPBEXresData" xfId="2971" xr:uid="{00000000-0005-0000-0000-0000026C0000}"/>
    <cellStyle name="SAPBEXresData 10" xfId="3437" xr:uid="{00000000-0005-0000-0000-0000036C0000}"/>
    <cellStyle name="SAPBEXresData 10 2" xfId="5975" xr:uid="{00000000-0005-0000-0000-0000046C0000}"/>
    <cellStyle name="SAPBEXresData 10 3" xfId="8008" xr:uid="{00000000-0005-0000-0000-0000056C0000}"/>
    <cellStyle name="SAPBEXresData 10 4" xfId="11270" xr:uid="{00000000-0005-0000-0000-0000066C0000}"/>
    <cellStyle name="SAPBEXresData 10 5" xfId="13357" xr:uid="{00000000-0005-0000-0000-0000076C0000}"/>
    <cellStyle name="SAPBEXresData 10 6" xfId="16556" xr:uid="{00000000-0005-0000-0000-0000086C0000}"/>
    <cellStyle name="SAPBEXresData 10 7" xfId="18053" xr:uid="{00000000-0005-0000-0000-0000096C0000}"/>
    <cellStyle name="SAPBEXresData 10 8" xfId="21252" xr:uid="{00000000-0005-0000-0000-00000A6C0000}"/>
    <cellStyle name="SAPBEXresData 10 9" xfId="22656" xr:uid="{00000000-0005-0000-0000-00000B6C0000}"/>
    <cellStyle name="SAPBEXresData 11" xfId="3418" xr:uid="{00000000-0005-0000-0000-00000C6C0000}"/>
    <cellStyle name="SAPBEXresData 11 2" xfId="5956" xr:uid="{00000000-0005-0000-0000-00000D6C0000}"/>
    <cellStyle name="SAPBEXresData 11 3" xfId="5443" xr:uid="{00000000-0005-0000-0000-00000E6C0000}"/>
    <cellStyle name="SAPBEXresData 11 4" xfId="8435" xr:uid="{00000000-0005-0000-0000-00000F6C0000}"/>
    <cellStyle name="SAPBEXresData 11 5" xfId="12379" xr:uid="{00000000-0005-0000-0000-0000106C0000}"/>
    <cellStyle name="SAPBEXresData 11 6" xfId="15072" xr:uid="{00000000-0005-0000-0000-0000116C0000}"/>
    <cellStyle name="SAPBEXresData 11 7" xfId="17075" xr:uid="{00000000-0005-0000-0000-0000126C0000}"/>
    <cellStyle name="SAPBEXresData 11 8" xfId="19768" xr:uid="{00000000-0005-0000-0000-0000136C0000}"/>
    <cellStyle name="SAPBEXresData 11 9" xfId="21764" xr:uid="{00000000-0005-0000-0000-0000146C0000}"/>
    <cellStyle name="SAPBEXresData 12" xfId="3523" xr:uid="{00000000-0005-0000-0000-0000156C0000}"/>
    <cellStyle name="SAPBEXresData 12 2" xfId="6061" xr:uid="{00000000-0005-0000-0000-0000166C0000}"/>
    <cellStyle name="SAPBEXresData 12 3" xfId="7806" xr:uid="{00000000-0005-0000-0000-0000176C0000}"/>
    <cellStyle name="SAPBEXresData 12 4" xfId="11144" xr:uid="{00000000-0005-0000-0000-0000186C0000}"/>
    <cellStyle name="SAPBEXresData 12 5" xfId="13540" xr:uid="{00000000-0005-0000-0000-0000196C0000}"/>
    <cellStyle name="SAPBEXresData 12 6" xfId="15306" xr:uid="{00000000-0005-0000-0000-00001A6C0000}"/>
    <cellStyle name="SAPBEXresData 12 7" xfId="18236" xr:uid="{00000000-0005-0000-0000-00001B6C0000}"/>
    <cellStyle name="SAPBEXresData 12 8" xfId="20002" xr:uid="{00000000-0005-0000-0000-00001C6C0000}"/>
    <cellStyle name="SAPBEXresData 12 9" xfId="22817" xr:uid="{00000000-0005-0000-0000-00001D6C0000}"/>
    <cellStyle name="SAPBEXresData 13" xfId="3566" xr:uid="{00000000-0005-0000-0000-00001E6C0000}"/>
    <cellStyle name="SAPBEXresData 13 2" xfId="6104" xr:uid="{00000000-0005-0000-0000-00001F6C0000}"/>
    <cellStyle name="SAPBEXresData 13 3" xfId="5502" xr:uid="{00000000-0005-0000-0000-0000206C0000}"/>
    <cellStyle name="SAPBEXresData 13 4" xfId="12268" xr:uid="{00000000-0005-0000-0000-0000216C0000}"/>
    <cellStyle name="SAPBEXresData 13 5" xfId="13133" xr:uid="{00000000-0005-0000-0000-0000226C0000}"/>
    <cellStyle name="SAPBEXresData 13 6" xfId="12507" xr:uid="{00000000-0005-0000-0000-0000236C0000}"/>
    <cellStyle name="SAPBEXresData 13 7" xfId="17829" xr:uid="{00000000-0005-0000-0000-0000246C0000}"/>
    <cellStyle name="SAPBEXresData 13 8" xfId="17203" xr:uid="{00000000-0005-0000-0000-0000256C0000}"/>
    <cellStyle name="SAPBEXresData 13 9" xfId="22450" xr:uid="{00000000-0005-0000-0000-0000266C0000}"/>
    <cellStyle name="SAPBEXresData 14" xfId="3521" xr:uid="{00000000-0005-0000-0000-0000276C0000}"/>
    <cellStyle name="SAPBEXresData 14 2" xfId="6059" xr:uid="{00000000-0005-0000-0000-0000286C0000}"/>
    <cellStyle name="SAPBEXresData 14 3" xfId="9890" xr:uid="{00000000-0005-0000-0000-0000296C0000}"/>
    <cellStyle name="SAPBEXresData 14 4" xfId="10791" xr:uid="{00000000-0005-0000-0000-00002A6C0000}"/>
    <cellStyle name="SAPBEXresData 14 5" xfId="13150" xr:uid="{00000000-0005-0000-0000-00002B6C0000}"/>
    <cellStyle name="SAPBEXresData 14 6" xfId="15564" xr:uid="{00000000-0005-0000-0000-00002C6C0000}"/>
    <cellStyle name="SAPBEXresData 14 7" xfId="17846" xr:uid="{00000000-0005-0000-0000-00002D6C0000}"/>
    <cellStyle name="SAPBEXresData 14 8" xfId="20260" xr:uid="{00000000-0005-0000-0000-00002E6C0000}"/>
    <cellStyle name="SAPBEXresData 14 9" xfId="22462" xr:uid="{00000000-0005-0000-0000-00002F6C0000}"/>
    <cellStyle name="SAPBEXresData 15" xfId="3635" xr:uid="{00000000-0005-0000-0000-0000306C0000}"/>
    <cellStyle name="SAPBEXresData 15 2" xfId="6173" xr:uid="{00000000-0005-0000-0000-0000316C0000}"/>
    <cellStyle name="SAPBEXresData 15 3" xfId="8705" xr:uid="{00000000-0005-0000-0000-0000326C0000}"/>
    <cellStyle name="SAPBEXresData 15 4" xfId="11502" xr:uid="{00000000-0005-0000-0000-0000336C0000}"/>
    <cellStyle name="SAPBEXresData 15 5" xfId="12836" xr:uid="{00000000-0005-0000-0000-0000346C0000}"/>
    <cellStyle name="SAPBEXresData 15 6" xfId="16498" xr:uid="{00000000-0005-0000-0000-0000356C0000}"/>
    <cellStyle name="SAPBEXresData 15 7" xfId="17532" xr:uid="{00000000-0005-0000-0000-0000366C0000}"/>
    <cellStyle name="SAPBEXresData 15 8" xfId="21194" xr:uid="{00000000-0005-0000-0000-0000376C0000}"/>
    <cellStyle name="SAPBEXresData 15 9" xfId="22169" xr:uid="{00000000-0005-0000-0000-0000386C0000}"/>
    <cellStyle name="SAPBEXresData 16" xfId="3678" xr:uid="{00000000-0005-0000-0000-0000396C0000}"/>
    <cellStyle name="SAPBEXresData 16 2" xfId="6216" xr:uid="{00000000-0005-0000-0000-00003A6C0000}"/>
    <cellStyle name="SAPBEXresData 16 3" xfId="9788" xr:uid="{00000000-0005-0000-0000-00003B6C0000}"/>
    <cellStyle name="SAPBEXresData 16 4" xfId="11819" xr:uid="{00000000-0005-0000-0000-00003C6C0000}"/>
    <cellStyle name="SAPBEXresData 16 5" xfId="14276" xr:uid="{00000000-0005-0000-0000-00003D6C0000}"/>
    <cellStyle name="SAPBEXresData 16 6" xfId="15239" xr:uid="{00000000-0005-0000-0000-00003E6C0000}"/>
    <cellStyle name="SAPBEXresData 16 7" xfId="18972" xr:uid="{00000000-0005-0000-0000-00003F6C0000}"/>
    <cellStyle name="SAPBEXresData 16 8" xfId="19935" xr:uid="{00000000-0005-0000-0000-0000406C0000}"/>
    <cellStyle name="SAPBEXresData 16 9" xfId="23494" xr:uid="{00000000-0005-0000-0000-0000416C0000}"/>
    <cellStyle name="SAPBEXresData 17" xfId="3695" xr:uid="{00000000-0005-0000-0000-0000426C0000}"/>
    <cellStyle name="SAPBEXresData 17 2" xfId="6233" xr:uid="{00000000-0005-0000-0000-0000436C0000}"/>
    <cellStyle name="SAPBEXresData 17 3" xfId="9816" xr:uid="{00000000-0005-0000-0000-0000446C0000}"/>
    <cellStyle name="SAPBEXresData 17 4" xfId="10338" xr:uid="{00000000-0005-0000-0000-0000456C0000}"/>
    <cellStyle name="SAPBEXresData 17 5" xfId="12658" xr:uid="{00000000-0005-0000-0000-0000466C0000}"/>
    <cellStyle name="SAPBEXresData 17 6" xfId="16094" xr:uid="{00000000-0005-0000-0000-0000476C0000}"/>
    <cellStyle name="SAPBEXresData 17 7" xfId="17354" xr:uid="{00000000-0005-0000-0000-0000486C0000}"/>
    <cellStyle name="SAPBEXresData 17 8" xfId="20790" xr:uid="{00000000-0005-0000-0000-0000496C0000}"/>
    <cellStyle name="SAPBEXresData 17 9" xfId="22009" xr:uid="{00000000-0005-0000-0000-00004A6C0000}"/>
    <cellStyle name="SAPBEXresData 18" xfId="3740" xr:uid="{00000000-0005-0000-0000-00004B6C0000}"/>
    <cellStyle name="SAPBEXresData 18 2" xfId="6278" xr:uid="{00000000-0005-0000-0000-00004C6C0000}"/>
    <cellStyle name="SAPBEXresData 18 3" xfId="9553" xr:uid="{00000000-0005-0000-0000-00004D6C0000}"/>
    <cellStyle name="SAPBEXresData 18 4" xfId="12064" xr:uid="{00000000-0005-0000-0000-00004E6C0000}"/>
    <cellStyle name="SAPBEXresData 18 5" xfId="14544" xr:uid="{00000000-0005-0000-0000-00004F6C0000}"/>
    <cellStyle name="SAPBEXresData 18 6" xfId="14363" xr:uid="{00000000-0005-0000-0000-0000506C0000}"/>
    <cellStyle name="SAPBEXresData 18 7" xfId="19240" xr:uid="{00000000-0005-0000-0000-0000516C0000}"/>
    <cellStyle name="SAPBEXresData 18 8" xfId="19059" xr:uid="{00000000-0005-0000-0000-0000526C0000}"/>
    <cellStyle name="SAPBEXresData 18 9" xfId="23736" xr:uid="{00000000-0005-0000-0000-0000536C0000}"/>
    <cellStyle name="SAPBEXresData 19" xfId="3757" xr:uid="{00000000-0005-0000-0000-0000546C0000}"/>
    <cellStyle name="SAPBEXresData 19 2" xfId="6295" xr:uid="{00000000-0005-0000-0000-0000556C0000}"/>
    <cellStyle name="SAPBEXresData 19 3" xfId="10181" xr:uid="{00000000-0005-0000-0000-0000566C0000}"/>
    <cellStyle name="SAPBEXresData 19 4" xfId="10549" xr:uid="{00000000-0005-0000-0000-0000576C0000}"/>
    <cellStyle name="SAPBEXresData 19 5" xfId="12892" xr:uid="{00000000-0005-0000-0000-0000586C0000}"/>
    <cellStyle name="SAPBEXresData 19 6" xfId="15823" xr:uid="{00000000-0005-0000-0000-0000596C0000}"/>
    <cellStyle name="SAPBEXresData 19 7" xfId="17588" xr:uid="{00000000-0005-0000-0000-00005A6C0000}"/>
    <cellStyle name="SAPBEXresData 19 8" xfId="20519" xr:uid="{00000000-0005-0000-0000-00005B6C0000}"/>
    <cellStyle name="SAPBEXresData 19 9" xfId="22220" xr:uid="{00000000-0005-0000-0000-00005C6C0000}"/>
    <cellStyle name="SAPBEXresData 2" xfId="3090" xr:uid="{00000000-0005-0000-0000-00005D6C0000}"/>
    <cellStyle name="SAPBEXresData 2 2" xfId="5628" xr:uid="{00000000-0005-0000-0000-00005E6C0000}"/>
    <cellStyle name="SAPBEXresData 2 3" xfId="9682" xr:uid="{00000000-0005-0000-0000-00005F6C0000}"/>
    <cellStyle name="SAPBEXresData 2 4" xfId="10374" xr:uid="{00000000-0005-0000-0000-0000606C0000}"/>
    <cellStyle name="SAPBEXresData 2 5" xfId="12696" xr:uid="{00000000-0005-0000-0000-0000616C0000}"/>
    <cellStyle name="SAPBEXresData 2 6" xfId="13441" xr:uid="{00000000-0005-0000-0000-0000626C0000}"/>
    <cellStyle name="SAPBEXresData 2 7" xfId="17392" xr:uid="{00000000-0005-0000-0000-0000636C0000}"/>
    <cellStyle name="SAPBEXresData 2 8" xfId="18137" xr:uid="{00000000-0005-0000-0000-0000646C0000}"/>
    <cellStyle name="SAPBEXresData 2 9" xfId="22045" xr:uid="{00000000-0005-0000-0000-0000656C0000}"/>
    <cellStyle name="SAPBEXresData 20" xfId="3741" xr:uid="{00000000-0005-0000-0000-0000666C0000}"/>
    <cellStyle name="SAPBEXresData 20 2" xfId="6279" xr:uid="{00000000-0005-0000-0000-0000676C0000}"/>
    <cellStyle name="SAPBEXresData 20 3" xfId="8410" xr:uid="{00000000-0005-0000-0000-0000686C0000}"/>
    <cellStyle name="SAPBEXresData 20 4" xfId="12293" xr:uid="{00000000-0005-0000-0000-0000696C0000}"/>
    <cellStyle name="SAPBEXresData 20 5" xfId="14336" xr:uid="{00000000-0005-0000-0000-00006A6C0000}"/>
    <cellStyle name="SAPBEXresData 20 6" xfId="16786" xr:uid="{00000000-0005-0000-0000-00006B6C0000}"/>
    <cellStyle name="SAPBEXresData 20 7" xfId="19032" xr:uid="{00000000-0005-0000-0000-00006C6C0000}"/>
    <cellStyle name="SAPBEXresData 20 8" xfId="21482" xr:uid="{00000000-0005-0000-0000-00006D6C0000}"/>
    <cellStyle name="SAPBEXresData 20 9" xfId="23548" xr:uid="{00000000-0005-0000-0000-00006E6C0000}"/>
    <cellStyle name="SAPBEXresData 21" xfId="3852" xr:uid="{00000000-0005-0000-0000-00006F6C0000}"/>
    <cellStyle name="SAPBEXresData 21 2" xfId="6390" xr:uid="{00000000-0005-0000-0000-0000706C0000}"/>
    <cellStyle name="SAPBEXresData 21 3" xfId="8027" xr:uid="{00000000-0005-0000-0000-0000716C0000}"/>
    <cellStyle name="SAPBEXresData 21 4" xfId="10707" xr:uid="{00000000-0005-0000-0000-0000726C0000}"/>
    <cellStyle name="SAPBEXresData 21 5" xfId="13061" xr:uid="{00000000-0005-0000-0000-0000736C0000}"/>
    <cellStyle name="SAPBEXresData 21 6" xfId="16778" xr:uid="{00000000-0005-0000-0000-0000746C0000}"/>
    <cellStyle name="SAPBEXresData 21 7" xfId="17757" xr:uid="{00000000-0005-0000-0000-0000756C0000}"/>
    <cellStyle name="SAPBEXresData 21 8" xfId="21474" xr:uid="{00000000-0005-0000-0000-0000766C0000}"/>
    <cellStyle name="SAPBEXresData 21 9" xfId="22380" xr:uid="{00000000-0005-0000-0000-0000776C0000}"/>
    <cellStyle name="SAPBEXresData 22" xfId="3869" xr:uid="{00000000-0005-0000-0000-0000786C0000}"/>
    <cellStyle name="SAPBEXresData 22 2" xfId="6407" xr:uid="{00000000-0005-0000-0000-0000796C0000}"/>
    <cellStyle name="SAPBEXresData 22 3" xfId="9845" xr:uid="{00000000-0005-0000-0000-00007A6C0000}"/>
    <cellStyle name="SAPBEXresData 22 4" xfId="8196" xr:uid="{00000000-0005-0000-0000-00007B6C0000}"/>
    <cellStyle name="SAPBEXresData 22 5" xfId="14940" xr:uid="{00000000-0005-0000-0000-00007C6C0000}"/>
    <cellStyle name="SAPBEXresData 22 6" xfId="15316" xr:uid="{00000000-0005-0000-0000-00007D6C0000}"/>
    <cellStyle name="SAPBEXresData 22 7" xfId="19636" xr:uid="{00000000-0005-0000-0000-00007E6C0000}"/>
    <cellStyle name="SAPBEXresData 22 8" xfId="20012" xr:uid="{00000000-0005-0000-0000-00007F6C0000}"/>
    <cellStyle name="SAPBEXresData 22 9" xfId="24103" xr:uid="{00000000-0005-0000-0000-0000806C0000}"/>
    <cellStyle name="SAPBEXresData 23" xfId="3914" xr:uid="{00000000-0005-0000-0000-0000816C0000}"/>
    <cellStyle name="SAPBEXresData 23 2" xfId="6452" xr:uid="{00000000-0005-0000-0000-0000826C0000}"/>
    <cellStyle name="SAPBEXresData 23 3" xfId="9227" xr:uid="{00000000-0005-0000-0000-0000836C0000}"/>
    <cellStyle name="SAPBEXresData 23 4" xfId="12294" xr:uid="{00000000-0005-0000-0000-0000846C0000}"/>
    <cellStyle name="SAPBEXresData 23 5" xfId="14131" xr:uid="{00000000-0005-0000-0000-0000856C0000}"/>
    <cellStyle name="SAPBEXresData 23 6" xfId="16882" xr:uid="{00000000-0005-0000-0000-0000866C0000}"/>
    <cellStyle name="SAPBEXresData 23 7" xfId="18827" xr:uid="{00000000-0005-0000-0000-0000876C0000}"/>
    <cellStyle name="SAPBEXresData 23 8" xfId="21578" xr:uid="{00000000-0005-0000-0000-0000886C0000}"/>
    <cellStyle name="SAPBEXresData 23 9" xfId="23357" xr:uid="{00000000-0005-0000-0000-0000896C0000}"/>
    <cellStyle name="SAPBEXresData 24" xfId="3957" xr:uid="{00000000-0005-0000-0000-00008A6C0000}"/>
    <cellStyle name="SAPBEXresData 24 2" xfId="6495" xr:uid="{00000000-0005-0000-0000-00008B6C0000}"/>
    <cellStyle name="SAPBEXresData 24 3" xfId="7805" xr:uid="{00000000-0005-0000-0000-00008C6C0000}"/>
    <cellStyle name="SAPBEXresData 24 4" xfId="11907" xr:uid="{00000000-0005-0000-0000-00008D6C0000}"/>
    <cellStyle name="SAPBEXresData 24 5" xfId="14379" xr:uid="{00000000-0005-0000-0000-00008E6C0000}"/>
    <cellStyle name="SAPBEXresData 24 6" xfId="16933" xr:uid="{00000000-0005-0000-0000-00008F6C0000}"/>
    <cellStyle name="SAPBEXresData 24 7" xfId="19075" xr:uid="{00000000-0005-0000-0000-0000906C0000}"/>
    <cellStyle name="SAPBEXresData 24 8" xfId="21629" xr:uid="{00000000-0005-0000-0000-0000916C0000}"/>
    <cellStyle name="SAPBEXresData 24 9" xfId="23582" xr:uid="{00000000-0005-0000-0000-0000926C0000}"/>
    <cellStyle name="SAPBEXresData 25" xfId="4000" xr:uid="{00000000-0005-0000-0000-0000936C0000}"/>
    <cellStyle name="SAPBEXresData 25 2" xfId="6538" xr:uid="{00000000-0005-0000-0000-0000946C0000}"/>
    <cellStyle name="SAPBEXresData 25 3" xfId="8715" xr:uid="{00000000-0005-0000-0000-0000956C0000}"/>
    <cellStyle name="SAPBEXresData 25 4" xfId="9116" xr:uid="{00000000-0005-0000-0000-0000966C0000}"/>
    <cellStyle name="SAPBEXresData 25 5" xfId="14934" xr:uid="{00000000-0005-0000-0000-0000976C0000}"/>
    <cellStyle name="SAPBEXresData 25 6" xfId="15584" xr:uid="{00000000-0005-0000-0000-0000986C0000}"/>
    <cellStyle name="SAPBEXresData 25 7" xfId="19630" xr:uid="{00000000-0005-0000-0000-0000996C0000}"/>
    <cellStyle name="SAPBEXresData 25 8" xfId="20280" xr:uid="{00000000-0005-0000-0000-00009A6C0000}"/>
    <cellStyle name="SAPBEXresData 25 9" xfId="24097" xr:uid="{00000000-0005-0000-0000-00009B6C0000}"/>
    <cellStyle name="SAPBEXresData 26" xfId="4017" xr:uid="{00000000-0005-0000-0000-00009C6C0000}"/>
    <cellStyle name="SAPBEXresData 26 2" xfId="6555" xr:uid="{00000000-0005-0000-0000-00009D6C0000}"/>
    <cellStyle name="SAPBEXresData 26 3" xfId="9057" xr:uid="{00000000-0005-0000-0000-00009E6C0000}"/>
    <cellStyle name="SAPBEXresData 26 4" xfId="7853" xr:uid="{00000000-0005-0000-0000-00009F6C0000}"/>
    <cellStyle name="SAPBEXresData 26 5" xfId="12398" xr:uid="{00000000-0005-0000-0000-0000A06C0000}"/>
    <cellStyle name="SAPBEXresData 26 6" xfId="15494" xr:uid="{00000000-0005-0000-0000-0000A16C0000}"/>
    <cellStyle name="SAPBEXresData 26 7" xfId="17094" xr:uid="{00000000-0005-0000-0000-0000A26C0000}"/>
    <cellStyle name="SAPBEXresData 26 8" xfId="20190" xr:uid="{00000000-0005-0000-0000-0000A36C0000}"/>
    <cellStyle name="SAPBEXresData 26 9" xfId="21782" xr:uid="{00000000-0005-0000-0000-0000A46C0000}"/>
    <cellStyle name="SAPBEXresData 27" xfId="4042" xr:uid="{00000000-0005-0000-0000-0000A56C0000}"/>
    <cellStyle name="SAPBEXresData 27 2" xfId="6580" xr:uid="{00000000-0005-0000-0000-0000A66C0000}"/>
    <cellStyle name="SAPBEXresData 27 3" xfId="8385" xr:uid="{00000000-0005-0000-0000-0000A76C0000}"/>
    <cellStyle name="SAPBEXresData 27 4" xfId="10535" xr:uid="{00000000-0005-0000-0000-0000A86C0000}"/>
    <cellStyle name="SAPBEXresData 27 5" xfId="12878" xr:uid="{00000000-0005-0000-0000-0000A96C0000}"/>
    <cellStyle name="SAPBEXresData 27 6" xfId="16388" xr:uid="{00000000-0005-0000-0000-0000AA6C0000}"/>
    <cellStyle name="SAPBEXresData 27 7" xfId="17574" xr:uid="{00000000-0005-0000-0000-0000AB6C0000}"/>
    <cellStyle name="SAPBEXresData 27 8" xfId="21084" xr:uid="{00000000-0005-0000-0000-0000AC6C0000}"/>
    <cellStyle name="SAPBEXresData 27 9" xfId="22206" xr:uid="{00000000-0005-0000-0000-0000AD6C0000}"/>
    <cellStyle name="SAPBEXresData 28" xfId="4105" xr:uid="{00000000-0005-0000-0000-0000AE6C0000}"/>
    <cellStyle name="SAPBEXresData 28 2" xfId="6643" xr:uid="{00000000-0005-0000-0000-0000AF6C0000}"/>
    <cellStyle name="SAPBEXresData 28 3" xfId="9651" xr:uid="{00000000-0005-0000-0000-0000B06C0000}"/>
    <cellStyle name="SAPBEXresData 28 4" xfId="11732" xr:uid="{00000000-0005-0000-0000-0000B16C0000}"/>
    <cellStyle name="SAPBEXresData 28 5" xfId="14183" xr:uid="{00000000-0005-0000-0000-0000B26C0000}"/>
    <cellStyle name="SAPBEXresData 28 6" xfId="15407" xr:uid="{00000000-0005-0000-0000-0000B36C0000}"/>
    <cellStyle name="SAPBEXresData 28 7" xfId="18879" xr:uid="{00000000-0005-0000-0000-0000B46C0000}"/>
    <cellStyle name="SAPBEXresData 28 8" xfId="20103" xr:uid="{00000000-0005-0000-0000-0000B56C0000}"/>
    <cellStyle name="SAPBEXresData 28 9" xfId="23406" xr:uid="{00000000-0005-0000-0000-0000B66C0000}"/>
    <cellStyle name="SAPBEXresData 29" xfId="4148" xr:uid="{00000000-0005-0000-0000-0000B76C0000}"/>
    <cellStyle name="SAPBEXresData 29 2" xfId="6686" xr:uid="{00000000-0005-0000-0000-0000B86C0000}"/>
    <cellStyle name="SAPBEXresData 29 3" xfId="10016" xr:uid="{00000000-0005-0000-0000-0000B96C0000}"/>
    <cellStyle name="SAPBEXresData 29 4" xfId="11671" xr:uid="{00000000-0005-0000-0000-0000BA6C0000}"/>
    <cellStyle name="SAPBEXresData 29 5" xfId="14118" xr:uid="{00000000-0005-0000-0000-0000BB6C0000}"/>
    <cellStyle name="SAPBEXresData 29 6" xfId="15237" xr:uid="{00000000-0005-0000-0000-0000BC6C0000}"/>
    <cellStyle name="SAPBEXresData 29 7" xfId="18814" xr:uid="{00000000-0005-0000-0000-0000BD6C0000}"/>
    <cellStyle name="SAPBEXresData 29 8" xfId="19933" xr:uid="{00000000-0005-0000-0000-0000BE6C0000}"/>
    <cellStyle name="SAPBEXresData 29 9" xfId="23345" xr:uid="{00000000-0005-0000-0000-0000BF6C0000}"/>
    <cellStyle name="SAPBEXresData 3" xfId="3136" xr:uid="{00000000-0005-0000-0000-0000C06C0000}"/>
    <cellStyle name="SAPBEXresData 3 2" xfId="5674" xr:uid="{00000000-0005-0000-0000-0000C16C0000}"/>
    <cellStyle name="SAPBEXresData 3 3" xfId="9705" xr:uid="{00000000-0005-0000-0000-0000C26C0000}"/>
    <cellStyle name="SAPBEXresData 3 4" xfId="10844" xr:uid="{00000000-0005-0000-0000-0000C36C0000}"/>
    <cellStyle name="SAPBEXresData 3 5" xfId="13209" xr:uid="{00000000-0005-0000-0000-0000C46C0000}"/>
    <cellStyle name="SAPBEXresData 3 6" xfId="14026" xr:uid="{00000000-0005-0000-0000-0000C56C0000}"/>
    <cellStyle name="SAPBEXresData 3 7" xfId="17905" xr:uid="{00000000-0005-0000-0000-0000C66C0000}"/>
    <cellStyle name="SAPBEXresData 3 8" xfId="18722" xr:uid="{00000000-0005-0000-0000-0000C76C0000}"/>
    <cellStyle name="SAPBEXresData 3 9" xfId="22515" xr:uid="{00000000-0005-0000-0000-0000C86C0000}"/>
    <cellStyle name="SAPBEXresData 30" xfId="4191" xr:uid="{00000000-0005-0000-0000-0000C96C0000}"/>
    <cellStyle name="SAPBEXresData 30 2" xfId="6729" xr:uid="{00000000-0005-0000-0000-0000CA6C0000}"/>
    <cellStyle name="SAPBEXresData 30 3" xfId="7793" xr:uid="{00000000-0005-0000-0000-0000CB6C0000}"/>
    <cellStyle name="SAPBEXresData 30 4" xfId="10983" xr:uid="{00000000-0005-0000-0000-0000CC6C0000}"/>
    <cellStyle name="SAPBEXresData 30 5" xfId="12969" xr:uid="{00000000-0005-0000-0000-0000CD6C0000}"/>
    <cellStyle name="SAPBEXresData 30 6" xfId="14982" xr:uid="{00000000-0005-0000-0000-0000CE6C0000}"/>
    <cellStyle name="SAPBEXresData 30 7" xfId="17665" xr:uid="{00000000-0005-0000-0000-0000CF6C0000}"/>
    <cellStyle name="SAPBEXresData 30 8" xfId="19678" xr:uid="{00000000-0005-0000-0000-0000D06C0000}"/>
    <cellStyle name="SAPBEXresData 30 9" xfId="22293" xr:uid="{00000000-0005-0000-0000-0000D16C0000}"/>
    <cellStyle name="SAPBEXresData 31" xfId="4233" xr:uid="{00000000-0005-0000-0000-0000D26C0000}"/>
    <cellStyle name="SAPBEXresData 31 2" xfId="6771" xr:uid="{00000000-0005-0000-0000-0000D36C0000}"/>
    <cellStyle name="SAPBEXresData 31 3" xfId="8231" xr:uid="{00000000-0005-0000-0000-0000D46C0000}"/>
    <cellStyle name="SAPBEXresData 31 4" xfId="12049" xr:uid="{00000000-0005-0000-0000-0000D56C0000}"/>
    <cellStyle name="SAPBEXresData 31 5" xfId="12590" xr:uid="{00000000-0005-0000-0000-0000D66C0000}"/>
    <cellStyle name="SAPBEXresData 31 6" xfId="12503" xr:uid="{00000000-0005-0000-0000-0000D76C0000}"/>
    <cellStyle name="SAPBEXresData 31 7" xfId="17286" xr:uid="{00000000-0005-0000-0000-0000D86C0000}"/>
    <cellStyle name="SAPBEXresData 31 8" xfId="17199" xr:uid="{00000000-0005-0000-0000-0000D96C0000}"/>
    <cellStyle name="SAPBEXresData 31 9" xfId="21949" xr:uid="{00000000-0005-0000-0000-0000DA6C0000}"/>
    <cellStyle name="SAPBEXresData 32" xfId="4276" xr:uid="{00000000-0005-0000-0000-0000DB6C0000}"/>
    <cellStyle name="SAPBEXresData 32 2" xfId="6814" xr:uid="{00000000-0005-0000-0000-0000DC6C0000}"/>
    <cellStyle name="SAPBEXresData 32 3" xfId="8214" xr:uid="{00000000-0005-0000-0000-0000DD6C0000}"/>
    <cellStyle name="SAPBEXresData 32 4" xfId="11271" xr:uid="{00000000-0005-0000-0000-0000DE6C0000}"/>
    <cellStyle name="SAPBEXresData 32 5" xfId="13677" xr:uid="{00000000-0005-0000-0000-0000DF6C0000}"/>
    <cellStyle name="SAPBEXresData 32 6" xfId="12802" xr:uid="{00000000-0005-0000-0000-0000E06C0000}"/>
    <cellStyle name="SAPBEXresData 32 7" xfId="18373" xr:uid="{00000000-0005-0000-0000-0000E16C0000}"/>
    <cellStyle name="SAPBEXresData 32 8" xfId="17498" xr:uid="{00000000-0005-0000-0000-0000E26C0000}"/>
    <cellStyle name="SAPBEXresData 32 9" xfId="22945" xr:uid="{00000000-0005-0000-0000-0000E36C0000}"/>
    <cellStyle name="SAPBEXresData 33" xfId="4319" xr:uid="{00000000-0005-0000-0000-0000E46C0000}"/>
    <cellStyle name="SAPBEXresData 33 2" xfId="6857" xr:uid="{00000000-0005-0000-0000-0000E56C0000}"/>
    <cellStyle name="SAPBEXresData 33 3" xfId="10053" xr:uid="{00000000-0005-0000-0000-0000E66C0000}"/>
    <cellStyle name="SAPBEXresData 33 4" xfId="12050" xr:uid="{00000000-0005-0000-0000-0000E76C0000}"/>
    <cellStyle name="SAPBEXresData 33 5" xfId="12322" xr:uid="{00000000-0005-0000-0000-0000E86C0000}"/>
    <cellStyle name="SAPBEXresData 33 6" xfId="14166" xr:uid="{00000000-0005-0000-0000-0000E96C0000}"/>
    <cellStyle name="SAPBEXresData 33 7" xfId="17018" xr:uid="{00000000-0005-0000-0000-0000EA6C0000}"/>
    <cellStyle name="SAPBEXresData 33 8" xfId="18862" xr:uid="{00000000-0005-0000-0000-0000EB6C0000}"/>
    <cellStyle name="SAPBEXresData 33 9" xfId="21712" xr:uid="{00000000-0005-0000-0000-0000EC6C0000}"/>
    <cellStyle name="SAPBEXresData 34" xfId="4362" xr:uid="{00000000-0005-0000-0000-0000ED6C0000}"/>
    <cellStyle name="SAPBEXresData 34 2" xfId="6900" xr:uid="{00000000-0005-0000-0000-0000EE6C0000}"/>
    <cellStyle name="SAPBEXresData 34 3" xfId="9735" xr:uid="{00000000-0005-0000-0000-0000EF6C0000}"/>
    <cellStyle name="SAPBEXresData 34 4" xfId="11295" xr:uid="{00000000-0005-0000-0000-0000F06C0000}"/>
    <cellStyle name="SAPBEXresData 34 5" xfId="13702" xr:uid="{00000000-0005-0000-0000-0000F16C0000}"/>
    <cellStyle name="SAPBEXresData 34 6" xfId="16386" xr:uid="{00000000-0005-0000-0000-0000F26C0000}"/>
    <cellStyle name="SAPBEXresData 34 7" xfId="18398" xr:uid="{00000000-0005-0000-0000-0000F36C0000}"/>
    <cellStyle name="SAPBEXresData 34 8" xfId="21082" xr:uid="{00000000-0005-0000-0000-0000F46C0000}"/>
    <cellStyle name="SAPBEXresData 34 9" xfId="22969" xr:uid="{00000000-0005-0000-0000-0000F56C0000}"/>
    <cellStyle name="SAPBEXresData 35" xfId="4405" xr:uid="{00000000-0005-0000-0000-0000F66C0000}"/>
    <cellStyle name="SAPBEXresData 35 2" xfId="6943" xr:uid="{00000000-0005-0000-0000-0000F76C0000}"/>
    <cellStyle name="SAPBEXresData 35 3" xfId="8248" xr:uid="{00000000-0005-0000-0000-0000F86C0000}"/>
    <cellStyle name="SAPBEXresData 35 4" xfId="10909" xr:uid="{00000000-0005-0000-0000-0000F96C0000}"/>
    <cellStyle name="SAPBEXresData 35 5" xfId="13279" xr:uid="{00000000-0005-0000-0000-0000FA6C0000}"/>
    <cellStyle name="SAPBEXresData 35 6" xfId="15769" xr:uid="{00000000-0005-0000-0000-0000FB6C0000}"/>
    <cellStyle name="SAPBEXresData 35 7" xfId="17975" xr:uid="{00000000-0005-0000-0000-0000FC6C0000}"/>
    <cellStyle name="SAPBEXresData 35 8" xfId="20465" xr:uid="{00000000-0005-0000-0000-0000FD6C0000}"/>
    <cellStyle name="SAPBEXresData 35 9" xfId="22580" xr:uid="{00000000-0005-0000-0000-0000FE6C0000}"/>
    <cellStyle name="SAPBEXresData 36" xfId="4448" xr:uid="{00000000-0005-0000-0000-0000FF6C0000}"/>
    <cellStyle name="SAPBEXresData 36 2" xfId="6986" xr:uid="{00000000-0005-0000-0000-0000006D0000}"/>
    <cellStyle name="SAPBEXresData 36 3" xfId="8761" xr:uid="{00000000-0005-0000-0000-0000016D0000}"/>
    <cellStyle name="SAPBEXresData 36 4" xfId="11851" xr:uid="{00000000-0005-0000-0000-0000026D0000}"/>
    <cellStyle name="SAPBEXresData 36 5" xfId="14313" xr:uid="{00000000-0005-0000-0000-0000036D0000}"/>
    <cellStyle name="SAPBEXresData 36 6" xfId="16426" xr:uid="{00000000-0005-0000-0000-0000046D0000}"/>
    <cellStyle name="SAPBEXresData 36 7" xfId="19009" xr:uid="{00000000-0005-0000-0000-0000056D0000}"/>
    <cellStyle name="SAPBEXresData 36 8" xfId="21122" xr:uid="{00000000-0005-0000-0000-0000066D0000}"/>
    <cellStyle name="SAPBEXresData 36 9" xfId="23527" xr:uid="{00000000-0005-0000-0000-0000076D0000}"/>
    <cellStyle name="SAPBEXresData 37" xfId="4471" xr:uid="{00000000-0005-0000-0000-0000086D0000}"/>
    <cellStyle name="SAPBEXresData 37 2" xfId="7009" xr:uid="{00000000-0005-0000-0000-0000096D0000}"/>
    <cellStyle name="SAPBEXresData 37 3" xfId="8931" xr:uid="{00000000-0005-0000-0000-00000A6D0000}"/>
    <cellStyle name="SAPBEXresData 37 4" xfId="11667" xr:uid="{00000000-0005-0000-0000-00000B6D0000}"/>
    <cellStyle name="SAPBEXresData 37 5" xfId="14114" xr:uid="{00000000-0005-0000-0000-00000C6D0000}"/>
    <cellStyle name="SAPBEXresData 37 6" xfId="12497" xr:uid="{00000000-0005-0000-0000-00000D6D0000}"/>
    <cellStyle name="SAPBEXresData 37 7" xfId="18810" xr:uid="{00000000-0005-0000-0000-00000E6D0000}"/>
    <cellStyle name="SAPBEXresData 37 8" xfId="17193" xr:uid="{00000000-0005-0000-0000-00000F6D0000}"/>
    <cellStyle name="SAPBEXresData 37 9" xfId="23342" xr:uid="{00000000-0005-0000-0000-0000106D0000}"/>
    <cellStyle name="SAPBEXresData 38" xfId="4534" xr:uid="{00000000-0005-0000-0000-0000116D0000}"/>
    <cellStyle name="SAPBEXresData 38 2" xfId="7072" xr:uid="{00000000-0005-0000-0000-0000126D0000}"/>
    <cellStyle name="SAPBEXresData 38 3" xfId="10198" xr:uid="{00000000-0005-0000-0000-0000136D0000}"/>
    <cellStyle name="SAPBEXresData 38 4" xfId="11788" xr:uid="{00000000-0005-0000-0000-0000146D0000}"/>
    <cellStyle name="SAPBEXresData 38 5" xfId="14877" xr:uid="{00000000-0005-0000-0000-0000156D0000}"/>
    <cellStyle name="SAPBEXresData 38 6" xfId="14973" xr:uid="{00000000-0005-0000-0000-0000166D0000}"/>
    <cellStyle name="SAPBEXresData 38 7" xfId="19573" xr:uid="{00000000-0005-0000-0000-0000176D0000}"/>
    <cellStyle name="SAPBEXresData 38 8" xfId="19669" xr:uid="{00000000-0005-0000-0000-0000186D0000}"/>
    <cellStyle name="SAPBEXresData 38 9" xfId="24047" xr:uid="{00000000-0005-0000-0000-0000196D0000}"/>
    <cellStyle name="SAPBEXresData 39" xfId="4577" xr:uid="{00000000-0005-0000-0000-00001A6D0000}"/>
    <cellStyle name="SAPBEXresData 39 2" xfId="7115" xr:uid="{00000000-0005-0000-0000-00001B6D0000}"/>
    <cellStyle name="SAPBEXresData 39 3" xfId="9739" xr:uid="{00000000-0005-0000-0000-00001C6D0000}"/>
    <cellStyle name="SAPBEXresData 39 4" xfId="11426" xr:uid="{00000000-0005-0000-0000-00001D6D0000}"/>
    <cellStyle name="SAPBEXresData 39 5" xfId="13844" xr:uid="{00000000-0005-0000-0000-00001E6D0000}"/>
    <cellStyle name="SAPBEXresData 39 6" xfId="15032" xr:uid="{00000000-0005-0000-0000-00001F6D0000}"/>
    <cellStyle name="SAPBEXresData 39 7" xfId="18540" xr:uid="{00000000-0005-0000-0000-0000206D0000}"/>
    <cellStyle name="SAPBEXresData 39 8" xfId="19728" xr:uid="{00000000-0005-0000-0000-0000216D0000}"/>
    <cellStyle name="SAPBEXresData 39 9" xfId="23101" xr:uid="{00000000-0005-0000-0000-0000226D0000}"/>
    <cellStyle name="SAPBEXresData 4" xfId="3179" xr:uid="{00000000-0005-0000-0000-0000236D0000}"/>
    <cellStyle name="SAPBEXresData 4 2" xfId="5717" xr:uid="{00000000-0005-0000-0000-0000246D0000}"/>
    <cellStyle name="SAPBEXresData 4 3" xfId="8218" xr:uid="{00000000-0005-0000-0000-0000256D0000}"/>
    <cellStyle name="SAPBEXresData 4 4" xfId="12140" xr:uid="{00000000-0005-0000-0000-0000266D0000}"/>
    <cellStyle name="SAPBEXresData 4 5" xfId="14623" xr:uid="{00000000-0005-0000-0000-0000276D0000}"/>
    <cellStyle name="SAPBEXresData 4 6" xfId="16808" xr:uid="{00000000-0005-0000-0000-0000286D0000}"/>
    <cellStyle name="SAPBEXresData 4 7" xfId="19319" xr:uid="{00000000-0005-0000-0000-0000296D0000}"/>
    <cellStyle name="SAPBEXresData 4 8" xfId="21504" xr:uid="{00000000-0005-0000-0000-00002A6D0000}"/>
    <cellStyle name="SAPBEXresData 4 9" xfId="23814" xr:uid="{00000000-0005-0000-0000-00002B6D0000}"/>
    <cellStyle name="SAPBEXresData 40" xfId="4620" xr:uid="{00000000-0005-0000-0000-00002C6D0000}"/>
    <cellStyle name="SAPBEXresData 40 2" xfId="7158" xr:uid="{00000000-0005-0000-0000-00002D6D0000}"/>
    <cellStyle name="SAPBEXresData 40 3" xfId="9741" xr:uid="{00000000-0005-0000-0000-00002E6D0000}"/>
    <cellStyle name="SAPBEXresData 40 4" xfId="11507" xr:uid="{00000000-0005-0000-0000-00002F6D0000}"/>
    <cellStyle name="SAPBEXresData 40 5" xfId="13934" xr:uid="{00000000-0005-0000-0000-0000306D0000}"/>
    <cellStyle name="SAPBEXresData 40 6" xfId="16168" xr:uid="{00000000-0005-0000-0000-0000316D0000}"/>
    <cellStyle name="SAPBEXresData 40 7" xfId="18630" xr:uid="{00000000-0005-0000-0000-0000326D0000}"/>
    <cellStyle name="SAPBEXresData 40 8" xfId="20864" xr:uid="{00000000-0005-0000-0000-0000336D0000}"/>
    <cellStyle name="SAPBEXresData 40 9" xfId="23181" xr:uid="{00000000-0005-0000-0000-0000346D0000}"/>
    <cellStyle name="SAPBEXresData 41" xfId="4663" xr:uid="{00000000-0005-0000-0000-0000356D0000}"/>
    <cellStyle name="SAPBEXresData 41 2" xfId="7201" xr:uid="{00000000-0005-0000-0000-0000366D0000}"/>
    <cellStyle name="SAPBEXresData 41 3" xfId="9615" xr:uid="{00000000-0005-0000-0000-0000376D0000}"/>
    <cellStyle name="SAPBEXresData 41 4" xfId="11255" xr:uid="{00000000-0005-0000-0000-0000386D0000}"/>
    <cellStyle name="SAPBEXresData 41 5" xfId="13660" xr:uid="{00000000-0005-0000-0000-0000396D0000}"/>
    <cellStyle name="SAPBEXresData 41 6" xfId="16590" xr:uid="{00000000-0005-0000-0000-00003A6D0000}"/>
    <cellStyle name="SAPBEXresData 41 7" xfId="18356" xr:uid="{00000000-0005-0000-0000-00003B6D0000}"/>
    <cellStyle name="SAPBEXresData 41 8" xfId="21286" xr:uid="{00000000-0005-0000-0000-00003C6D0000}"/>
    <cellStyle name="SAPBEXresData 41 9" xfId="22929" xr:uid="{00000000-0005-0000-0000-00003D6D0000}"/>
    <cellStyle name="SAPBEXresData 42" xfId="4705" xr:uid="{00000000-0005-0000-0000-00003E6D0000}"/>
    <cellStyle name="SAPBEXresData 42 2" xfId="7243" xr:uid="{00000000-0005-0000-0000-00003F6D0000}"/>
    <cellStyle name="SAPBEXresData 42 3" xfId="9408" xr:uid="{00000000-0005-0000-0000-0000406D0000}"/>
    <cellStyle name="SAPBEXresData 42 4" xfId="8367" xr:uid="{00000000-0005-0000-0000-0000416D0000}"/>
    <cellStyle name="SAPBEXresData 42 5" xfId="12525" xr:uid="{00000000-0005-0000-0000-0000426D0000}"/>
    <cellStyle name="SAPBEXresData 42 6" xfId="15447" xr:uid="{00000000-0005-0000-0000-0000436D0000}"/>
    <cellStyle name="SAPBEXresData 42 7" xfId="17221" xr:uid="{00000000-0005-0000-0000-0000446D0000}"/>
    <cellStyle name="SAPBEXresData 42 8" xfId="20143" xr:uid="{00000000-0005-0000-0000-0000456D0000}"/>
    <cellStyle name="SAPBEXresData 42 9" xfId="21892" xr:uid="{00000000-0005-0000-0000-0000466D0000}"/>
    <cellStyle name="SAPBEXresData 43" xfId="4748" xr:uid="{00000000-0005-0000-0000-0000476D0000}"/>
    <cellStyle name="SAPBEXresData 43 2" xfId="7286" xr:uid="{00000000-0005-0000-0000-0000486D0000}"/>
    <cellStyle name="SAPBEXresData 43 3" xfId="7929" xr:uid="{00000000-0005-0000-0000-0000496D0000}"/>
    <cellStyle name="SAPBEXresData 43 4" xfId="10935" xr:uid="{00000000-0005-0000-0000-00004A6D0000}"/>
    <cellStyle name="SAPBEXresData 43 5" xfId="12333" xr:uid="{00000000-0005-0000-0000-00004B6D0000}"/>
    <cellStyle name="SAPBEXresData 43 6" xfId="15800" xr:uid="{00000000-0005-0000-0000-00004C6D0000}"/>
    <cellStyle name="SAPBEXresData 43 7" xfId="17029" xr:uid="{00000000-0005-0000-0000-00004D6D0000}"/>
    <cellStyle name="SAPBEXresData 43 8" xfId="20496" xr:uid="{00000000-0005-0000-0000-00004E6D0000}"/>
    <cellStyle name="SAPBEXresData 43 9" xfId="21722" xr:uid="{00000000-0005-0000-0000-00004F6D0000}"/>
    <cellStyle name="SAPBEXresData 44" xfId="4765" xr:uid="{00000000-0005-0000-0000-0000506D0000}"/>
    <cellStyle name="SAPBEXresData 44 2" xfId="7303" xr:uid="{00000000-0005-0000-0000-0000516D0000}"/>
    <cellStyle name="SAPBEXresData 44 3" xfId="9595" xr:uid="{00000000-0005-0000-0000-0000526D0000}"/>
    <cellStyle name="SAPBEXresData 44 4" xfId="11506" xr:uid="{00000000-0005-0000-0000-0000536D0000}"/>
    <cellStyle name="SAPBEXresData 44 5" xfId="12346" xr:uid="{00000000-0005-0000-0000-0000546D0000}"/>
    <cellStyle name="SAPBEXresData 44 6" xfId="15782" xr:uid="{00000000-0005-0000-0000-0000556D0000}"/>
    <cellStyle name="SAPBEXresData 44 7" xfId="17042" xr:uid="{00000000-0005-0000-0000-0000566D0000}"/>
    <cellStyle name="SAPBEXresData 44 8" xfId="20478" xr:uid="{00000000-0005-0000-0000-0000576D0000}"/>
    <cellStyle name="SAPBEXresData 44 9" xfId="21734" xr:uid="{00000000-0005-0000-0000-0000586D0000}"/>
    <cellStyle name="SAPBEXresData 45" xfId="4810" xr:uid="{00000000-0005-0000-0000-0000596D0000}"/>
    <cellStyle name="SAPBEXresData 45 2" xfId="7348" xr:uid="{00000000-0005-0000-0000-00005A6D0000}"/>
    <cellStyle name="SAPBEXresData 45 3" xfId="9548" xr:uid="{00000000-0005-0000-0000-00005B6D0000}"/>
    <cellStyle name="SAPBEXresData 45 4" xfId="11576" xr:uid="{00000000-0005-0000-0000-00005C6D0000}"/>
    <cellStyle name="SAPBEXresData 45 5" xfId="14883" xr:uid="{00000000-0005-0000-0000-00005D6D0000}"/>
    <cellStyle name="SAPBEXresData 45 6" xfId="15191" xr:uid="{00000000-0005-0000-0000-00005E6D0000}"/>
    <cellStyle name="SAPBEXresData 45 7" xfId="19579" xr:uid="{00000000-0005-0000-0000-00005F6D0000}"/>
    <cellStyle name="SAPBEXresData 45 8" xfId="19887" xr:uid="{00000000-0005-0000-0000-0000606D0000}"/>
    <cellStyle name="SAPBEXresData 45 9" xfId="24051" xr:uid="{00000000-0005-0000-0000-0000616D0000}"/>
    <cellStyle name="SAPBEXresData 46" xfId="4853" xr:uid="{00000000-0005-0000-0000-0000626D0000}"/>
    <cellStyle name="SAPBEXresData 46 2" xfId="7391" xr:uid="{00000000-0005-0000-0000-0000636D0000}"/>
    <cellStyle name="SAPBEXresData 46 3" xfId="9480" xr:uid="{00000000-0005-0000-0000-0000646D0000}"/>
    <cellStyle name="SAPBEXresData 46 4" xfId="11822" xr:uid="{00000000-0005-0000-0000-0000656D0000}"/>
    <cellStyle name="SAPBEXresData 46 5" xfId="14279" xr:uid="{00000000-0005-0000-0000-0000666D0000}"/>
    <cellStyle name="SAPBEXresData 46 6" xfId="16624" xr:uid="{00000000-0005-0000-0000-0000676D0000}"/>
    <cellStyle name="SAPBEXresData 46 7" xfId="18975" xr:uid="{00000000-0005-0000-0000-0000686D0000}"/>
    <cellStyle name="SAPBEXresData 46 8" xfId="21320" xr:uid="{00000000-0005-0000-0000-0000696D0000}"/>
    <cellStyle name="SAPBEXresData 46 9" xfId="23497" xr:uid="{00000000-0005-0000-0000-00006A6D0000}"/>
    <cellStyle name="SAPBEXresData 47" xfId="4876" xr:uid="{00000000-0005-0000-0000-00006B6D0000}"/>
    <cellStyle name="SAPBEXresData 47 2" xfId="7414" xr:uid="{00000000-0005-0000-0000-00006C6D0000}"/>
    <cellStyle name="SAPBEXresData 47 3" xfId="5481" xr:uid="{00000000-0005-0000-0000-00006D6D0000}"/>
    <cellStyle name="SAPBEXresData 47 4" xfId="10336" xr:uid="{00000000-0005-0000-0000-00006E6D0000}"/>
    <cellStyle name="SAPBEXresData 47 5" xfId="12670" xr:uid="{00000000-0005-0000-0000-00006F6D0000}"/>
    <cellStyle name="SAPBEXresData 47 6" xfId="16611" xr:uid="{00000000-0005-0000-0000-0000706D0000}"/>
    <cellStyle name="SAPBEXresData 47 7" xfId="17366" xr:uid="{00000000-0005-0000-0000-0000716D0000}"/>
    <cellStyle name="SAPBEXresData 47 8" xfId="21307" xr:uid="{00000000-0005-0000-0000-0000726D0000}"/>
    <cellStyle name="SAPBEXresData 47 9" xfId="22019" xr:uid="{00000000-0005-0000-0000-0000736D0000}"/>
    <cellStyle name="SAPBEXresData 48" xfId="4933" xr:uid="{00000000-0005-0000-0000-0000746D0000}"/>
    <cellStyle name="SAPBEXresData 48 2" xfId="7471" xr:uid="{00000000-0005-0000-0000-0000756D0000}"/>
    <cellStyle name="SAPBEXresData 48 3" xfId="9065" xr:uid="{00000000-0005-0000-0000-0000766D0000}"/>
    <cellStyle name="SAPBEXresData 48 4" xfId="11713" xr:uid="{00000000-0005-0000-0000-0000776D0000}"/>
    <cellStyle name="SAPBEXresData 48 5" xfId="14163" xr:uid="{00000000-0005-0000-0000-0000786D0000}"/>
    <cellStyle name="SAPBEXresData 48 6" xfId="13569" xr:uid="{00000000-0005-0000-0000-0000796D0000}"/>
    <cellStyle name="SAPBEXresData 48 7" xfId="18859" xr:uid="{00000000-0005-0000-0000-00007A6D0000}"/>
    <cellStyle name="SAPBEXresData 48 8" xfId="18265" xr:uid="{00000000-0005-0000-0000-00007B6D0000}"/>
    <cellStyle name="SAPBEXresData 48 9" xfId="23387" xr:uid="{00000000-0005-0000-0000-00007C6D0000}"/>
    <cellStyle name="SAPBEXresData 49" xfId="4972" xr:uid="{00000000-0005-0000-0000-00007D6D0000}"/>
    <cellStyle name="SAPBEXresData 49 2" xfId="7510" xr:uid="{00000000-0005-0000-0000-00007E6D0000}"/>
    <cellStyle name="SAPBEXresData 49 3" xfId="8060" xr:uid="{00000000-0005-0000-0000-00007F6D0000}"/>
    <cellStyle name="SAPBEXresData 49 4" xfId="11009" xr:uid="{00000000-0005-0000-0000-0000806D0000}"/>
    <cellStyle name="SAPBEXresData 49 5" xfId="13386" xr:uid="{00000000-0005-0000-0000-0000816D0000}"/>
    <cellStyle name="SAPBEXresData 49 6" xfId="16931" xr:uid="{00000000-0005-0000-0000-0000826D0000}"/>
    <cellStyle name="SAPBEXresData 49 7" xfId="18082" xr:uid="{00000000-0005-0000-0000-0000836D0000}"/>
    <cellStyle name="SAPBEXresData 49 8" xfId="21627" xr:uid="{00000000-0005-0000-0000-0000846D0000}"/>
    <cellStyle name="SAPBEXresData 49 9" xfId="22682" xr:uid="{00000000-0005-0000-0000-0000856D0000}"/>
    <cellStyle name="SAPBEXresData 5" xfId="3222" xr:uid="{00000000-0005-0000-0000-0000866D0000}"/>
    <cellStyle name="SAPBEXresData 5 2" xfId="5760" xr:uid="{00000000-0005-0000-0000-0000876D0000}"/>
    <cellStyle name="SAPBEXresData 5 3" xfId="7961" xr:uid="{00000000-0005-0000-0000-0000886D0000}"/>
    <cellStyle name="SAPBEXresData 5 4" xfId="11291" xr:uid="{00000000-0005-0000-0000-0000896D0000}"/>
    <cellStyle name="SAPBEXresData 5 5" xfId="13697" xr:uid="{00000000-0005-0000-0000-00008A6D0000}"/>
    <cellStyle name="SAPBEXresData 5 6" xfId="15860" xr:uid="{00000000-0005-0000-0000-00008B6D0000}"/>
    <cellStyle name="SAPBEXresData 5 7" xfId="18393" xr:uid="{00000000-0005-0000-0000-00008C6D0000}"/>
    <cellStyle name="SAPBEXresData 5 8" xfId="20556" xr:uid="{00000000-0005-0000-0000-00008D6D0000}"/>
    <cellStyle name="SAPBEXresData 5 9" xfId="22965" xr:uid="{00000000-0005-0000-0000-00008E6D0000}"/>
    <cellStyle name="SAPBEXresData 50" xfId="5010" xr:uid="{00000000-0005-0000-0000-00008F6D0000}"/>
    <cellStyle name="SAPBEXresData 50 2" xfId="7548" xr:uid="{00000000-0005-0000-0000-0000906D0000}"/>
    <cellStyle name="SAPBEXresData 50 3" xfId="10074" xr:uid="{00000000-0005-0000-0000-0000916D0000}"/>
    <cellStyle name="SAPBEXresData 50 4" xfId="11889" xr:uid="{00000000-0005-0000-0000-0000926D0000}"/>
    <cellStyle name="SAPBEXresData 50 5" xfId="14356" xr:uid="{00000000-0005-0000-0000-0000936D0000}"/>
    <cellStyle name="SAPBEXresData 50 6" xfId="16422" xr:uid="{00000000-0005-0000-0000-0000946D0000}"/>
    <cellStyle name="SAPBEXresData 50 7" xfId="19052" xr:uid="{00000000-0005-0000-0000-0000956D0000}"/>
    <cellStyle name="SAPBEXresData 50 8" xfId="21118" xr:uid="{00000000-0005-0000-0000-0000966D0000}"/>
    <cellStyle name="SAPBEXresData 50 9" xfId="23565" xr:uid="{00000000-0005-0000-0000-0000976D0000}"/>
    <cellStyle name="SAPBEXresData 51" xfId="5047" xr:uid="{00000000-0005-0000-0000-0000986D0000}"/>
    <cellStyle name="SAPBEXresData 51 2" xfId="7585" xr:uid="{00000000-0005-0000-0000-0000996D0000}"/>
    <cellStyle name="SAPBEXresData 51 3" xfId="8217" xr:uid="{00000000-0005-0000-0000-00009A6D0000}"/>
    <cellStyle name="SAPBEXresData 51 4" xfId="11192" xr:uid="{00000000-0005-0000-0000-00009B6D0000}"/>
    <cellStyle name="SAPBEXresData 51 5" xfId="13592" xr:uid="{00000000-0005-0000-0000-00009C6D0000}"/>
    <cellStyle name="SAPBEXresData 51 6" xfId="15000" xr:uid="{00000000-0005-0000-0000-00009D6D0000}"/>
    <cellStyle name="SAPBEXresData 51 7" xfId="18288" xr:uid="{00000000-0005-0000-0000-00009E6D0000}"/>
    <cellStyle name="SAPBEXresData 51 8" xfId="19696" xr:uid="{00000000-0005-0000-0000-00009F6D0000}"/>
    <cellStyle name="SAPBEXresData 51 9" xfId="22867" xr:uid="{00000000-0005-0000-0000-0000A06D0000}"/>
    <cellStyle name="SAPBEXresData 52" xfId="5077" xr:uid="{00000000-0005-0000-0000-0000A16D0000}"/>
    <cellStyle name="SAPBEXresData 52 2" xfId="7615" xr:uid="{00000000-0005-0000-0000-0000A26D0000}"/>
    <cellStyle name="SAPBEXresData 52 3" xfId="10146" xr:uid="{00000000-0005-0000-0000-0000A36D0000}"/>
    <cellStyle name="SAPBEXresData 52 4" xfId="12244" xr:uid="{00000000-0005-0000-0000-0000A46D0000}"/>
    <cellStyle name="SAPBEXresData 52 5" xfId="12347" xr:uid="{00000000-0005-0000-0000-0000A56D0000}"/>
    <cellStyle name="SAPBEXresData 52 6" xfId="15773" xr:uid="{00000000-0005-0000-0000-0000A66D0000}"/>
    <cellStyle name="SAPBEXresData 52 7" xfId="17043" xr:uid="{00000000-0005-0000-0000-0000A76D0000}"/>
    <cellStyle name="SAPBEXresData 52 8" xfId="20469" xr:uid="{00000000-0005-0000-0000-0000A86D0000}"/>
    <cellStyle name="SAPBEXresData 52 9" xfId="21735" xr:uid="{00000000-0005-0000-0000-0000A96D0000}"/>
    <cellStyle name="SAPBEXresData 53" xfId="5103" xr:uid="{00000000-0005-0000-0000-0000AA6D0000}"/>
    <cellStyle name="SAPBEXresData 53 2" xfId="7641" xr:uid="{00000000-0005-0000-0000-0000AB6D0000}"/>
    <cellStyle name="SAPBEXresData 53 3" xfId="8582" xr:uid="{00000000-0005-0000-0000-0000AC6D0000}"/>
    <cellStyle name="SAPBEXresData 53 4" xfId="12273" xr:uid="{00000000-0005-0000-0000-0000AD6D0000}"/>
    <cellStyle name="SAPBEXresData 53 5" xfId="12477" xr:uid="{00000000-0005-0000-0000-0000AE6D0000}"/>
    <cellStyle name="SAPBEXresData 53 6" xfId="15815" xr:uid="{00000000-0005-0000-0000-0000AF6D0000}"/>
    <cellStyle name="SAPBEXresData 53 7" xfId="17173" xr:uid="{00000000-0005-0000-0000-0000B06D0000}"/>
    <cellStyle name="SAPBEXresData 53 8" xfId="20511" xr:uid="{00000000-0005-0000-0000-0000B16D0000}"/>
    <cellStyle name="SAPBEXresData 53 9" xfId="21852" xr:uid="{00000000-0005-0000-0000-0000B26D0000}"/>
    <cellStyle name="SAPBEXresData 54" xfId="5151" xr:uid="{00000000-0005-0000-0000-0000B36D0000}"/>
    <cellStyle name="SAPBEXresData 54 2" xfId="7689" xr:uid="{00000000-0005-0000-0000-0000B46D0000}"/>
    <cellStyle name="SAPBEXresData 54 3" xfId="10236" xr:uid="{00000000-0005-0000-0000-0000B56D0000}"/>
    <cellStyle name="SAPBEXresData 54 4" xfId="11754" xr:uid="{00000000-0005-0000-0000-0000B66D0000}"/>
    <cellStyle name="SAPBEXresData 54 5" xfId="14205" xr:uid="{00000000-0005-0000-0000-0000B76D0000}"/>
    <cellStyle name="SAPBEXresData 54 6" xfId="15070" xr:uid="{00000000-0005-0000-0000-0000B86D0000}"/>
    <cellStyle name="SAPBEXresData 54 7" xfId="18901" xr:uid="{00000000-0005-0000-0000-0000B96D0000}"/>
    <cellStyle name="SAPBEXresData 54 8" xfId="19766" xr:uid="{00000000-0005-0000-0000-0000BA6D0000}"/>
    <cellStyle name="SAPBEXresData 54 9" xfId="23428" xr:uid="{00000000-0005-0000-0000-0000BB6D0000}"/>
    <cellStyle name="SAPBEXresData 55" xfId="5220" xr:uid="{00000000-0005-0000-0000-0000BC6D0000}"/>
    <cellStyle name="SAPBEXresData 55 2" xfId="7759" xr:uid="{00000000-0005-0000-0000-0000BD6D0000}"/>
    <cellStyle name="SAPBEXresData 55 3" xfId="9660" xr:uid="{00000000-0005-0000-0000-0000BE6D0000}"/>
    <cellStyle name="SAPBEXresData 55 4" xfId="10653" xr:uid="{00000000-0005-0000-0000-0000BF6D0000}"/>
    <cellStyle name="SAPBEXresData 55 5" xfId="13002" xr:uid="{00000000-0005-0000-0000-0000C06D0000}"/>
    <cellStyle name="SAPBEXresData 55 6" xfId="16332" xr:uid="{00000000-0005-0000-0000-0000C16D0000}"/>
    <cellStyle name="SAPBEXresData 55 7" xfId="17698" xr:uid="{00000000-0005-0000-0000-0000C26D0000}"/>
    <cellStyle name="SAPBEXresData 55 8" xfId="21028" xr:uid="{00000000-0005-0000-0000-0000C36D0000}"/>
    <cellStyle name="SAPBEXresData 55 9" xfId="22326" xr:uid="{00000000-0005-0000-0000-0000C46D0000}"/>
    <cellStyle name="SAPBEXresData 56" xfId="5258" xr:uid="{00000000-0005-0000-0000-0000C56D0000}"/>
    <cellStyle name="SAPBEXresData 56 2" xfId="8150" xr:uid="{00000000-0005-0000-0000-0000C66D0000}"/>
    <cellStyle name="SAPBEXresData 56 3" xfId="11090" xr:uid="{00000000-0005-0000-0000-0000C76D0000}"/>
    <cellStyle name="SAPBEXresData 56 4" xfId="13481" xr:uid="{00000000-0005-0000-0000-0000C86D0000}"/>
    <cellStyle name="SAPBEXresData 56 5" xfId="15797" xr:uid="{00000000-0005-0000-0000-0000C96D0000}"/>
    <cellStyle name="SAPBEXresData 56 6" xfId="18177" xr:uid="{00000000-0005-0000-0000-0000CA6D0000}"/>
    <cellStyle name="SAPBEXresData 56 7" xfId="20493" xr:uid="{00000000-0005-0000-0000-0000CB6D0000}"/>
    <cellStyle name="SAPBEXresData 56 8" xfId="22763" xr:uid="{00000000-0005-0000-0000-0000CC6D0000}"/>
    <cellStyle name="SAPBEXresData 57" xfId="8714" xr:uid="{00000000-0005-0000-0000-0000CD6D0000}"/>
    <cellStyle name="SAPBEXresData 58" xfId="11184" xr:uid="{00000000-0005-0000-0000-0000CE6D0000}"/>
    <cellStyle name="SAPBEXresData 59" xfId="13582" xr:uid="{00000000-0005-0000-0000-0000CF6D0000}"/>
    <cellStyle name="SAPBEXresData 6" xfId="3265" xr:uid="{00000000-0005-0000-0000-0000D06D0000}"/>
    <cellStyle name="SAPBEXresData 6 2" xfId="5803" xr:uid="{00000000-0005-0000-0000-0000D16D0000}"/>
    <cellStyle name="SAPBEXresData 6 3" xfId="9361" xr:uid="{00000000-0005-0000-0000-0000D26D0000}"/>
    <cellStyle name="SAPBEXresData 6 4" xfId="11300" xr:uid="{00000000-0005-0000-0000-0000D36D0000}"/>
    <cellStyle name="SAPBEXresData 6 5" xfId="13707" xr:uid="{00000000-0005-0000-0000-0000D46D0000}"/>
    <cellStyle name="SAPBEXresData 6 6" xfId="15758" xr:uid="{00000000-0005-0000-0000-0000D56D0000}"/>
    <cellStyle name="SAPBEXresData 6 7" xfId="18403" xr:uid="{00000000-0005-0000-0000-0000D66D0000}"/>
    <cellStyle name="SAPBEXresData 6 8" xfId="20454" xr:uid="{00000000-0005-0000-0000-0000D76D0000}"/>
    <cellStyle name="SAPBEXresData 6 9" xfId="22974" xr:uid="{00000000-0005-0000-0000-0000D86D0000}"/>
    <cellStyle name="SAPBEXresData 60" xfId="16325" xr:uid="{00000000-0005-0000-0000-0000D96D0000}"/>
    <cellStyle name="SAPBEXresData 61" xfId="18278" xr:uid="{00000000-0005-0000-0000-0000DA6D0000}"/>
    <cellStyle name="SAPBEXresData 62" xfId="21021" xr:uid="{00000000-0005-0000-0000-0000DB6D0000}"/>
    <cellStyle name="SAPBEXresData 63" xfId="22857" xr:uid="{00000000-0005-0000-0000-0000DC6D0000}"/>
    <cellStyle name="SAPBEXresData 64" xfId="41986" xr:uid="{D1AADE49-6374-47BC-B59E-EC69B9909B13}"/>
    <cellStyle name="SAPBEXresData 7" xfId="3308" xr:uid="{00000000-0005-0000-0000-0000DD6D0000}"/>
    <cellStyle name="SAPBEXresData 7 2" xfId="5846" xr:uid="{00000000-0005-0000-0000-0000DE6D0000}"/>
    <cellStyle name="SAPBEXresData 7 3" xfId="8948" xr:uid="{00000000-0005-0000-0000-0000DF6D0000}"/>
    <cellStyle name="SAPBEXresData 7 4" xfId="11412" xr:uid="{00000000-0005-0000-0000-0000E06D0000}"/>
    <cellStyle name="SAPBEXresData 7 5" xfId="13828" xr:uid="{00000000-0005-0000-0000-0000E16D0000}"/>
    <cellStyle name="SAPBEXresData 7 6" xfId="16272" xr:uid="{00000000-0005-0000-0000-0000E26D0000}"/>
    <cellStyle name="SAPBEXresData 7 7" xfId="18524" xr:uid="{00000000-0005-0000-0000-0000E36D0000}"/>
    <cellStyle name="SAPBEXresData 7 8" xfId="20968" xr:uid="{00000000-0005-0000-0000-0000E46D0000}"/>
    <cellStyle name="SAPBEXresData 7 9" xfId="23086" xr:uid="{00000000-0005-0000-0000-0000E56D0000}"/>
    <cellStyle name="SAPBEXresData 8" xfId="3351" xr:uid="{00000000-0005-0000-0000-0000E66D0000}"/>
    <cellStyle name="SAPBEXresData 8 2" xfId="5889" xr:uid="{00000000-0005-0000-0000-0000E76D0000}"/>
    <cellStyle name="SAPBEXresData 8 3" xfId="9029" xr:uid="{00000000-0005-0000-0000-0000E86D0000}"/>
    <cellStyle name="SAPBEXresData 8 4" xfId="11823" xr:uid="{00000000-0005-0000-0000-0000E96D0000}"/>
    <cellStyle name="SAPBEXresData 8 5" xfId="14280" xr:uid="{00000000-0005-0000-0000-0000EA6D0000}"/>
    <cellStyle name="SAPBEXresData 8 6" xfId="15071" xr:uid="{00000000-0005-0000-0000-0000EB6D0000}"/>
    <cellStyle name="SAPBEXresData 8 7" xfId="18976" xr:uid="{00000000-0005-0000-0000-0000EC6D0000}"/>
    <cellStyle name="SAPBEXresData 8 8" xfId="19767" xr:uid="{00000000-0005-0000-0000-0000ED6D0000}"/>
    <cellStyle name="SAPBEXresData 8 9" xfId="23498" xr:uid="{00000000-0005-0000-0000-0000EE6D0000}"/>
    <cellStyle name="SAPBEXresData 9" xfId="3394" xr:uid="{00000000-0005-0000-0000-0000EF6D0000}"/>
    <cellStyle name="SAPBEXresData 9 2" xfId="5932" xr:uid="{00000000-0005-0000-0000-0000F06D0000}"/>
    <cellStyle name="SAPBEXresData 9 3" xfId="9986" xr:uid="{00000000-0005-0000-0000-0000F16D0000}"/>
    <cellStyle name="SAPBEXresData 9 4" xfId="12235" xr:uid="{00000000-0005-0000-0000-0000F26D0000}"/>
    <cellStyle name="SAPBEXresData 9 5" xfId="14317" xr:uid="{00000000-0005-0000-0000-0000F36D0000}"/>
    <cellStyle name="SAPBEXresData 9 6" xfId="16191" xr:uid="{00000000-0005-0000-0000-0000F46D0000}"/>
    <cellStyle name="SAPBEXresData 9 7" xfId="19013" xr:uid="{00000000-0005-0000-0000-0000F56D0000}"/>
    <cellStyle name="SAPBEXresData 9 8" xfId="20887" xr:uid="{00000000-0005-0000-0000-0000F66D0000}"/>
    <cellStyle name="SAPBEXresData 9 9" xfId="23531" xr:uid="{00000000-0005-0000-0000-0000F76D0000}"/>
    <cellStyle name="SAPBEXresDataEmph" xfId="2972" xr:uid="{00000000-0005-0000-0000-0000F86D0000}"/>
    <cellStyle name="SAPBEXresDataEmph 2" xfId="41992" xr:uid="{82C17813-2520-4772-B600-07FECCE6E709}"/>
    <cellStyle name="SAPBEXresItem" xfId="2973" xr:uid="{00000000-0005-0000-0000-0000F96D0000}"/>
    <cellStyle name="SAPBEXresItem 10" xfId="3439" xr:uid="{00000000-0005-0000-0000-0000FA6D0000}"/>
    <cellStyle name="SAPBEXresItem 10 2" xfId="5977" xr:uid="{00000000-0005-0000-0000-0000FB6D0000}"/>
    <cellStyle name="SAPBEXresItem 10 3" xfId="9887" xr:uid="{00000000-0005-0000-0000-0000FC6D0000}"/>
    <cellStyle name="SAPBEXresItem 10 4" xfId="10734" xr:uid="{00000000-0005-0000-0000-0000FD6D0000}"/>
    <cellStyle name="SAPBEXresItem 10 5" xfId="13089" xr:uid="{00000000-0005-0000-0000-0000FE6D0000}"/>
    <cellStyle name="SAPBEXresItem 10 6" xfId="15301" xr:uid="{00000000-0005-0000-0000-0000FF6D0000}"/>
    <cellStyle name="SAPBEXresItem 10 7" xfId="17785" xr:uid="{00000000-0005-0000-0000-0000006E0000}"/>
    <cellStyle name="SAPBEXresItem 10 8" xfId="19997" xr:uid="{00000000-0005-0000-0000-0000016E0000}"/>
    <cellStyle name="SAPBEXresItem 10 9" xfId="22407" xr:uid="{00000000-0005-0000-0000-0000026E0000}"/>
    <cellStyle name="SAPBEXresItem 11" xfId="3499" xr:uid="{00000000-0005-0000-0000-0000036E0000}"/>
    <cellStyle name="SAPBEXresItem 11 2" xfId="6037" xr:uid="{00000000-0005-0000-0000-0000046E0000}"/>
    <cellStyle name="SAPBEXresItem 11 3" xfId="9915" xr:uid="{00000000-0005-0000-0000-0000056E0000}"/>
    <cellStyle name="SAPBEXresItem 11 4" xfId="11067" xr:uid="{00000000-0005-0000-0000-0000066E0000}"/>
    <cellStyle name="SAPBEXresItem 11 5" xfId="13455" xr:uid="{00000000-0005-0000-0000-0000076E0000}"/>
    <cellStyle name="SAPBEXresItem 11 6" xfId="15500" xr:uid="{00000000-0005-0000-0000-0000086E0000}"/>
    <cellStyle name="SAPBEXresItem 11 7" xfId="18151" xr:uid="{00000000-0005-0000-0000-0000096E0000}"/>
    <cellStyle name="SAPBEXresItem 11 8" xfId="20196" xr:uid="{00000000-0005-0000-0000-00000A6E0000}"/>
    <cellStyle name="SAPBEXresItem 11 9" xfId="22740" xr:uid="{00000000-0005-0000-0000-00000B6E0000}"/>
    <cellStyle name="SAPBEXresItem 12" xfId="3525" xr:uid="{00000000-0005-0000-0000-00000C6E0000}"/>
    <cellStyle name="SAPBEXresItem 12 2" xfId="6063" xr:uid="{00000000-0005-0000-0000-00000D6E0000}"/>
    <cellStyle name="SAPBEXresItem 12 3" xfId="10220" xr:uid="{00000000-0005-0000-0000-00000E6E0000}"/>
    <cellStyle name="SAPBEXresItem 12 4" xfId="12052" xr:uid="{00000000-0005-0000-0000-00000F6E0000}"/>
    <cellStyle name="SAPBEXresItem 12 5" xfId="13278" xr:uid="{00000000-0005-0000-0000-0000106E0000}"/>
    <cellStyle name="SAPBEXresItem 12 6" xfId="13885" xr:uid="{00000000-0005-0000-0000-0000116E0000}"/>
    <cellStyle name="SAPBEXresItem 12 7" xfId="17974" xr:uid="{00000000-0005-0000-0000-0000126E0000}"/>
    <cellStyle name="SAPBEXresItem 12 8" xfId="18581" xr:uid="{00000000-0005-0000-0000-0000136E0000}"/>
    <cellStyle name="SAPBEXresItem 12 9" xfId="22579" xr:uid="{00000000-0005-0000-0000-0000146E0000}"/>
    <cellStyle name="SAPBEXresItem 13" xfId="3568" xr:uid="{00000000-0005-0000-0000-0000156E0000}"/>
    <cellStyle name="SAPBEXresItem 13 2" xfId="6106" xr:uid="{00000000-0005-0000-0000-0000166E0000}"/>
    <cellStyle name="SAPBEXresItem 13 3" xfId="8143" xr:uid="{00000000-0005-0000-0000-0000176E0000}"/>
    <cellStyle name="SAPBEXresItem 13 4" xfId="8330" xr:uid="{00000000-0005-0000-0000-0000186E0000}"/>
    <cellStyle name="SAPBEXresItem 13 5" xfId="12428" xr:uid="{00000000-0005-0000-0000-0000196E0000}"/>
    <cellStyle name="SAPBEXresItem 13 6" xfId="16223" xr:uid="{00000000-0005-0000-0000-00001A6E0000}"/>
    <cellStyle name="SAPBEXresItem 13 7" xfId="17124" xr:uid="{00000000-0005-0000-0000-00001B6E0000}"/>
    <cellStyle name="SAPBEXresItem 13 8" xfId="20919" xr:uid="{00000000-0005-0000-0000-00001C6E0000}"/>
    <cellStyle name="SAPBEXresItem 13 9" xfId="21808" xr:uid="{00000000-0005-0000-0000-00001D6E0000}"/>
    <cellStyle name="SAPBEXresItem 14" xfId="3496" xr:uid="{00000000-0005-0000-0000-00001E6E0000}"/>
    <cellStyle name="SAPBEXresItem 14 2" xfId="6034" xr:uid="{00000000-0005-0000-0000-00001F6E0000}"/>
    <cellStyle name="SAPBEXresItem 14 3" xfId="8152" xr:uid="{00000000-0005-0000-0000-0000206E0000}"/>
    <cellStyle name="SAPBEXresItem 14 4" xfId="10979" xr:uid="{00000000-0005-0000-0000-0000216E0000}"/>
    <cellStyle name="SAPBEXresItem 14 5" xfId="13352" xr:uid="{00000000-0005-0000-0000-0000226E0000}"/>
    <cellStyle name="SAPBEXresItem 14 6" xfId="15149" xr:uid="{00000000-0005-0000-0000-0000236E0000}"/>
    <cellStyle name="SAPBEXresItem 14 7" xfId="18048" xr:uid="{00000000-0005-0000-0000-0000246E0000}"/>
    <cellStyle name="SAPBEXresItem 14 8" xfId="19845" xr:uid="{00000000-0005-0000-0000-0000256E0000}"/>
    <cellStyle name="SAPBEXresItem 14 9" xfId="22651" xr:uid="{00000000-0005-0000-0000-0000266E0000}"/>
    <cellStyle name="SAPBEXresItem 15" xfId="3637" xr:uid="{00000000-0005-0000-0000-0000276E0000}"/>
    <cellStyle name="SAPBEXresItem 15 2" xfId="6175" xr:uid="{00000000-0005-0000-0000-0000286E0000}"/>
    <cellStyle name="SAPBEXresItem 15 3" xfId="9639" xr:uid="{00000000-0005-0000-0000-0000296E0000}"/>
    <cellStyle name="SAPBEXresItem 15 4" xfId="11757" xr:uid="{00000000-0005-0000-0000-00002A6E0000}"/>
    <cellStyle name="SAPBEXresItem 15 5" xfId="14208" xr:uid="{00000000-0005-0000-0000-00002B6E0000}"/>
    <cellStyle name="SAPBEXresItem 15 6" xfId="16663" xr:uid="{00000000-0005-0000-0000-00002C6E0000}"/>
    <cellStyle name="SAPBEXresItem 15 7" xfId="18904" xr:uid="{00000000-0005-0000-0000-00002D6E0000}"/>
    <cellStyle name="SAPBEXresItem 15 8" xfId="21359" xr:uid="{00000000-0005-0000-0000-00002E6E0000}"/>
    <cellStyle name="SAPBEXresItem 15 9" xfId="23431" xr:uid="{00000000-0005-0000-0000-00002F6E0000}"/>
    <cellStyle name="SAPBEXresItem 16" xfId="3680" xr:uid="{00000000-0005-0000-0000-0000306E0000}"/>
    <cellStyle name="SAPBEXresItem 16 2" xfId="6218" xr:uid="{00000000-0005-0000-0000-0000316E0000}"/>
    <cellStyle name="SAPBEXresItem 16 3" xfId="9169" xr:uid="{00000000-0005-0000-0000-0000326E0000}"/>
    <cellStyle name="SAPBEXresItem 16 4" xfId="11193" xr:uid="{00000000-0005-0000-0000-0000336E0000}"/>
    <cellStyle name="SAPBEXresItem 16 5" xfId="13593" xr:uid="{00000000-0005-0000-0000-0000346E0000}"/>
    <cellStyle name="SAPBEXresItem 16 6" xfId="16519" xr:uid="{00000000-0005-0000-0000-0000356E0000}"/>
    <cellStyle name="SAPBEXresItem 16 7" xfId="18289" xr:uid="{00000000-0005-0000-0000-0000366E0000}"/>
    <cellStyle name="SAPBEXresItem 16 8" xfId="21215" xr:uid="{00000000-0005-0000-0000-0000376E0000}"/>
    <cellStyle name="SAPBEXresItem 16 9" xfId="22868" xr:uid="{00000000-0005-0000-0000-0000386E0000}"/>
    <cellStyle name="SAPBEXresItem 17" xfId="3360" xr:uid="{00000000-0005-0000-0000-0000396E0000}"/>
    <cellStyle name="SAPBEXresItem 17 2" xfId="5898" xr:uid="{00000000-0005-0000-0000-00003A6E0000}"/>
    <cellStyle name="SAPBEXresItem 17 3" xfId="8226" xr:uid="{00000000-0005-0000-0000-00003B6E0000}"/>
    <cellStyle name="SAPBEXresItem 17 4" xfId="10451" xr:uid="{00000000-0005-0000-0000-00003C6E0000}"/>
    <cellStyle name="SAPBEXresItem 17 5" xfId="12782" xr:uid="{00000000-0005-0000-0000-00003D6E0000}"/>
    <cellStyle name="SAPBEXresItem 17 6" xfId="15168" xr:uid="{00000000-0005-0000-0000-00003E6E0000}"/>
    <cellStyle name="SAPBEXresItem 17 7" xfId="17478" xr:uid="{00000000-0005-0000-0000-00003F6E0000}"/>
    <cellStyle name="SAPBEXresItem 17 8" xfId="19864" xr:uid="{00000000-0005-0000-0000-0000406E0000}"/>
    <cellStyle name="SAPBEXresItem 17 9" xfId="22122" xr:uid="{00000000-0005-0000-0000-0000416E0000}"/>
    <cellStyle name="SAPBEXresItem 18" xfId="3742" xr:uid="{00000000-0005-0000-0000-0000426E0000}"/>
    <cellStyle name="SAPBEXresItem 18 2" xfId="6280" xr:uid="{00000000-0005-0000-0000-0000436E0000}"/>
    <cellStyle name="SAPBEXresItem 18 3" xfId="8451" xr:uid="{00000000-0005-0000-0000-0000446E0000}"/>
    <cellStyle name="SAPBEXresItem 18 4" xfId="10796" xr:uid="{00000000-0005-0000-0000-0000456E0000}"/>
    <cellStyle name="SAPBEXresItem 18 5" xfId="13155" xr:uid="{00000000-0005-0000-0000-0000466E0000}"/>
    <cellStyle name="SAPBEXresItem 18 6" xfId="15848" xr:uid="{00000000-0005-0000-0000-0000476E0000}"/>
    <cellStyle name="SAPBEXresItem 18 7" xfId="17851" xr:uid="{00000000-0005-0000-0000-0000486E0000}"/>
    <cellStyle name="SAPBEXresItem 18 8" xfId="20544" xr:uid="{00000000-0005-0000-0000-0000496E0000}"/>
    <cellStyle name="SAPBEXresItem 18 9" xfId="22467" xr:uid="{00000000-0005-0000-0000-00004A6E0000}"/>
    <cellStyle name="SAPBEXresItem 19" xfId="3688" xr:uid="{00000000-0005-0000-0000-00004B6E0000}"/>
    <cellStyle name="SAPBEXresItem 19 2" xfId="6226" xr:uid="{00000000-0005-0000-0000-00004C6E0000}"/>
    <cellStyle name="SAPBEXresItem 19 3" xfId="9749" xr:uid="{00000000-0005-0000-0000-00004D6E0000}"/>
    <cellStyle name="SAPBEXresItem 19 4" xfId="12027" xr:uid="{00000000-0005-0000-0000-00004E6E0000}"/>
    <cellStyle name="SAPBEXresItem 19 5" xfId="14507" xr:uid="{00000000-0005-0000-0000-00004F6E0000}"/>
    <cellStyle name="SAPBEXresItem 19 6" xfId="14063" xr:uid="{00000000-0005-0000-0000-0000506E0000}"/>
    <cellStyle name="SAPBEXresItem 19 7" xfId="19203" xr:uid="{00000000-0005-0000-0000-0000516E0000}"/>
    <cellStyle name="SAPBEXresItem 19 8" xfId="18759" xr:uid="{00000000-0005-0000-0000-0000526E0000}"/>
    <cellStyle name="SAPBEXresItem 19 9" xfId="23702" xr:uid="{00000000-0005-0000-0000-0000536E0000}"/>
    <cellStyle name="SAPBEXresItem 2" xfId="3092" xr:uid="{00000000-0005-0000-0000-0000546E0000}"/>
    <cellStyle name="SAPBEXresItem 2 2" xfId="5630" xr:uid="{00000000-0005-0000-0000-0000556E0000}"/>
    <cellStyle name="SAPBEXresItem 2 3" xfId="10107" xr:uid="{00000000-0005-0000-0000-0000566E0000}"/>
    <cellStyle name="SAPBEXresItem 2 4" xfId="10732" xr:uid="{00000000-0005-0000-0000-0000576E0000}"/>
    <cellStyle name="SAPBEXresItem 2 5" xfId="13087" xr:uid="{00000000-0005-0000-0000-0000586E0000}"/>
    <cellStyle name="SAPBEXresItem 2 6" xfId="16172" xr:uid="{00000000-0005-0000-0000-0000596E0000}"/>
    <cellStyle name="SAPBEXresItem 2 7" xfId="17783" xr:uid="{00000000-0005-0000-0000-00005A6E0000}"/>
    <cellStyle name="SAPBEXresItem 2 8" xfId="20868" xr:uid="{00000000-0005-0000-0000-00005B6E0000}"/>
    <cellStyle name="SAPBEXresItem 2 9" xfId="22405" xr:uid="{00000000-0005-0000-0000-00005C6E0000}"/>
    <cellStyle name="SAPBEXresItem 20" xfId="3652" xr:uid="{00000000-0005-0000-0000-00005D6E0000}"/>
    <cellStyle name="SAPBEXresItem 20 2" xfId="6190" xr:uid="{00000000-0005-0000-0000-00005E6E0000}"/>
    <cellStyle name="SAPBEXresItem 20 3" xfId="9009" xr:uid="{00000000-0005-0000-0000-00005F6E0000}"/>
    <cellStyle name="SAPBEXresItem 20 4" xfId="12117" xr:uid="{00000000-0005-0000-0000-0000606E0000}"/>
    <cellStyle name="SAPBEXresItem 20 5" xfId="14408" xr:uid="{00000000-0005-0000-0000-0000616E0000}"/>
    <cellStyle name="SAPBEXresItem 20 6" xfId="16984" xr:uid="{00000000-0005-0000-0000-0000626E0000}"/>
    <cellStyle name="SAPBEXresItem 20 7" xfId="19104" xr:uid="{00000000-0005-0000-0000-0000636E0000}"/>
    <cellStyle name="SAPBEXresItem 20 8" xfId="21680" xr:uid="{00000000-0005-0000-0000-0000646E0000}"/>
    <cellStyle name="SAPBEXresItem 20 9" xfId="23610" xr:uid="{00000000-0005-0000-0000-0000656E0000}"/>
    <cellStyle name="SAPBEXresItem 21" xfId="3854" xr:uid="{00000000-0005-0000-0000-0000666E0000}"/>
    <cellStyle name="SAPBEXresItem 21 2" xfId="6392" xr:uid="{00000000-0005-0000-0000-0000676E0000}"/>
    <cellStyle name="SAPBEXresItem 21 3" xfId="9019" xr:uid="{00000000-0005-0000-0000-0000686E0000}"/>
    <cellStyle name="SAPBEXresItem 21 4" xfId="11226" xr:uid="{00000000-0005-0000-0000-0000696E0000}"/>
    <cellStyle name="SAPBEXresItem 21 5" xfId="13630" xr:uid="{00000000-0005-0000-0000-00006A6E0000}"/>
    <cellStyle name="SAPBEXresItem 21 6" xfId="15128" xr:uid="{00000000-0005-0000-0000-00006B6E0000}"/>
    <cellStyle name="SAPBEXresItem 21 7" xfId="18326" xr:uid="{00000000-0005-0000-0000-00006C6E0000}"/>
    <cellStyle name="SAPBEXresItem 21 8" xfId="19824" xr:uid="{00000000-0005-0000-0000-00006D6E0000}"/>
    <cellStyle name="SAPBEXresItem 21 9" xfId="22901" xr:uid="{00000000-0005-0000-0000-00006E6E0000}"/>
    <cellStyle name="SAPBEXresItem 22" xfId="3813" xr:uid="{00000000-0005-0000-0000-00006F6E0000}"/>
    <cellStyle name="SAPBEXresItem 22 2" xfId="6351" xr:uid="{00000000-0005-0000-0000-0000706E0000}"/>
    <cellStyle name="SAPBEXresItem 22 3" xfId="8651" xr:uid="{00000000-0005-0000-0000-0000716E0000}"/>
    <cellStyle name="SAPBEXresItem 22 4" xfId="11326" xr:uid="{00000000-0005-0000-0000-0000726E0000}"/>
    <cellStyle name="SAPBEXresItem 22 5" xfId="13735" xr:uid="{00000000-0005-0000-0000-0000736E0000}"/>
    <cellStyle name="SAPBEXresItem 22 6" xfId="16139" xr:uid="{00000000-0005-0000-0000-0000746E0000}"/>
    <cellStyle name="SAPBEXresItem 22 7" xfId="18431" xr:uid="{00000000-0005-0000-0000-0000756E0000}"/>
    <cellStyle name="SAPBEXresItem 22 8" xfId="20835" xr:uid="{00000000-0005-0000-0000-0000766E0000}"/>
    <cellStyle name="SAPBEXresItem 22 9" xfId="23000" xr:uid="{00000000-0005-0000-0000-0000776E0000}"/>
    <cellStyle name="SAPBEXresItem 23" xfId="3916" xr:uid="{00000000-0005-0000-0000-0000786E0000}"/>
    <cellStyle name="SAPBEXresItem 23 2" xfId="6454" xr:uid="{00000000-0005-0000-0000-0000796E0000}"/>
    <cellStyle name="SAPBEXresItem 23 3" xfId="9759" xr:uid="{00000000-0005-0000-0000-00007A6E0000}"/>
    <cellStyle name="SAPBEXresItem 23 4" xfId="11407" xr:uid="{00000000-0005-0000-0000-00007B6E0000}"/>
    <cellStyle name="SAPBEXresItem 23 5" xfId="13823" xr:uid="{00000000-0005-0000-0000-00007C6E0000}"/>
    <cellStyle name="SAPBEXresItem 23 6" xfId="15523" xr:uid="{00000000-0005-0000-0000-00007D6E0000}"/>
    <cellStyle name="SAPBEXresItem 23 7" xfId="18519" xr:uid="{00000000-0005-0000-0000-00007E6E0000}"/>
    <cellStyle name="SAPBEXresItem 23 8" xfId="20219" xr:uid="{00000000-0005-0000-0000-00007F6E0000}"/>
    <cellStyle name="SAPBEXresItem 23 9" xfId="23081" xr:uid="{00000000-0005-0000-0000-0000806E0000}"/>
    <cellStyle name="SAPBEXresItem 24" xfId="3959" xr:uid="{00000000-0005-0000-0000-0000816E0000}"/>
    <cellStyle name="SAPBEXresItem 24 2" xfId="6497" xr:uid="{00000000-0005-0000-0000-0000826E0000}"/>
    <cellStyle name="SAPBEXresItem 24 3" xfId="9460" xr:uid="{00000000-0005-0000-0000-0000836E0000}"/>
    <cellStyle name="SAPBEXresItem 24 4" xfId="12182" xr:uid="{00000000-0005-0000-0000-0000846E0000}"/>
    <cellStyle name="SAPBEXresItem 24 5" xfId="14666" xr:uid="{00000000-0005-0000-0000-0000856E0000}"/>
    <cellStyle name="SAPBEXresItem 24 6" xfId="16938" xr:uid="{00000000-0005-0000-0000-0000866E0000}"/>
    <cellStyle name="SAPBEXresItem 24 7" xfId="19362" xr:uid="{00000000-0005-0000-0000-0000876E0000}"/>
    <cellStyle name="SAPBEXresItem 24 8" xfId="21634" xr:uid="{00000000-0005-0000-0000-0000886E0000}"/>
    <cellStyle name="SAPBEXresItem 24 9" xfId="23856" xr:uid="{00000000-0005-0000-0000-0000896E0000}"/>
    <cellStyle name="SAPBEXresItem 25" xfId="4002" xr:uid="{00000000-0005-0000-0000-00008A6E0000}"/>
    <cellStyle name="SAPBEXresItem 25 2" xfId="6540" xr:uid="{00000000-0005-0000-0000-00008B6E0000}"/>
    <cellStyle name="SAPBEXresItem 25 3" xfId="8418" xr:uid="{00000000-0005-0000-0000-00008C6E0000}"/>
    <cellStyle name="SAPBEXresItem 25 4" xfId="12124" xr:uid="{00000000-0005-0000-0000-00008D6E0000}"/>
    <cellStyle name="SAPBEXresItem 25 5" xfId="14606" xr:uid="{00000000-0005-0000-0000-00008E6E0000}"/>
    <cellStyle name="SAPBEXresItem 25 6" xfId="15287" xr:uid="{00000000-0005-0000-0000-00008F6E0000}"/>
    <cellStyle name="SAPBEXresItem 25 7" xfId="19302" xr:uid="{00000000-0005-0000-0000-0000906E0000}"/>
    <cellStyle name="SAPBEXresItem 25 8" xfId="19983" xr:uid="{00000000-0005-0000-0000-0000916E0000}"/>
    <cellStyle name="SAPBEXresItem 25 9" xfId="23798" xr:uid="{00000000-0005-0000-0000-0000926E0000}"/>
    <cellStyle name="SAPBEXresItem 26" xfId="3923" xr:uid="{00000000-0005-0000-0000-0000936E0000}"/>
    <cellStyle name="SAPBEXresItem 26 2" xfId="6461" xr:uid="{00000000-0005-0000-0000-0000946E0000}"/>
    <cellStyle name="SAPBEXresItem 26 3" xfId="9867" xr:uid="{00000000-0005-0000-0000-0000956E0000}"/>
    <cellStyle name="SAPBEXresItem 26 4" xfId="10660" xr:uid="{00000000-0005-0000-0000-0000966E0000}"/>
    <cellStyle name="SAPBEXresItem 26 5" xfId="13009" xr:uid="{00000000-0005-0000-0000-0000976E0000}"/>
    <cellStyle name="SAPBEXresItem 26 6" xfId="15511" xr:uid="{00000000-0005-0000-0000-0000986E0000}"/>
    <cellStyle name="SAPBEXresItem 26 7" xfId="17705" xr:uid="{00000000-0005-0000-0000-0000996E0000}"/>
    <cellStyle name="SAPBEXresItem 26 8" xfId="20207" xr:uid="{00000000-0005-0000-0000-00009A6E0000}"/>
    <cellStyle name="SAPBEXresItem 26 9" xfId="22333" xr:uid="{00000000-0005-0000-0000-00009B6E0000}"/>
    <cellStyle name="SAPBEXresItem 27" xfId="3850" xr:uid="{00000000-0005-0000-0000-00009C6E0000}"/>
    <cellStyle name="SAPBEXresItem 27 2" xfId="6388" xr:uid="{00000000-0005-0000-0000-00009D6E0000}"/>
    <cellStyle name="SAPBEXresItem 27 3" xfId="8822" xr:uid="{00000000-0005-0000-0000-00009E6E0000}"/>
    <cellStyle name="SAPBEXresItem 27 4" xfId="11243" xr:uid="{00000000-0005-0000-0000-00009F6E0000}"/>
    <cellStyle name="SAPBEXresItem 27 5" xfId="13648" xr:uid="{00000000-0005-0000-0000-0000A06E0000}"/>
    <cellStyle name="SAPBEXresItem 27 6" xfId="15781" xr:uid="{00000000-0005-0000-0000-0000A16E0000}"/>
    <cellStyle name="SAPBEXresItem 27 7" xfId="18344" xr:uid="{00000000-0005-0000-0000-0000A26E0000}"/>
    <cellStyle name="SAPBEXresItem 27 8" xfId="20477" xr:uid="{00000000-0005-0000-0000-0000A36E0000}"/>
    <cellStyle name="SAPBEXresItem 27 9" xfId="22917" xr:uid="{00000000-0005-0000-0000-0000A46E0000}"/>
    <cellStyle name="SAPBEXresItem 28" xfId="4107" xr:uid="{00000000-0005-0000-0000-0000A56E0000}"/>
    <cellStyle name="SAPBEXresItem 28 2" xfId="6645" xr:uid="{00000000-0005-0000-0000-0000A66E0000}"/>
    <cellStyle name="SAPBEXresItem 28 3" xfId="9736" xr:uid="{00000000-0005-0000-0000-0000A76E0000}"/>
    <cellStyle name="SAPBEXresItem 28 4" xfId="11185" xr:uid="{00000000-0005-0000-0000-0000A86E0000}"/>
    <cellStyle name="SAPBEXresItem 28 5" xfId="13583" xr:uid="{00000000-0005-0000-0000-0000A96E0000}"/>
    <cellStyle name="SAPBEXresItem 28 6" xfId="16429" xr:uid="{00000000-0005-0000-0000-0000AA6E0000}"/>
    <cellStyle name="SAPBEXresItem 28 7" xfId="18279" xr:uid="{00000000-0005-0000-0000-0000AB6E0000}"/>
    <cellStyle name="SAPBEXresItem 28 8" xfId="21125" xr:uid="{00000000-0005-0000-0000-0000AC6E0000}"/>
    <cellStyle name="SAPBEXresItem 28 9" xfId="22858" xr:uid="{00000000-0005-0000-0000-0000AD6E0000}"/>
    <cellStyle name="SAPBEXresItem 29" xfId="4150" xr:uid="{00000000-0005-0000-0000-0000AE6E0000}"/>
    <cellStyle name="SAPBEXresItem 29 2" xfId="6688" xr:uid="{00000000-0005-0000-0000-0000AF6E0000}"/>
    <cellStyle name="SAPBEXresItem 29 3" xfId="8033" xr:uid="{00000000-0005-0000-0000-0000B06E0000}"/>
    <cellStyle name="SAPBEXresItem 29 4" xfId="12297" xr:uid="{00000000-0005-0000-0000-0000B16E0000}"/>
    <cellStyle name="SAPBEXresItem 29 5" xfId="14451" xr:uid="{00000000-0005-0000-0000-0000B26E0000}"/>
    <cellStyle name="SAPBEXresItem 29 6" xfId="16308" xr:uid="{00000000-0005-0000-0000-0000B36E0000}"/>
    <cellStyle name="SAPBEXresItem 29 7" xfId="19147" xr:uid="{00000000-0005-0000-0000-0000B46E0000}"/>
    <cellStyle name="SAPBEXresItem 29 8" xfId="21004" xr:uid="{00000000-0005-0000-0000-0000B56E0000}"/>
    <cellStyle name="SAPBEXresItem 29 9" xfId="23649" xr:uid="{00000000-0005-0000-0000-0000B66E0000}"/>
    <cellStyle name="SAPBEXresItem 3" xfId="3138" xr:uid="{00000000-0005-0000-0000-0000B76E0000}"/>
    <cellStyle name="SAPBEXresItem 3 2" xfId="5676" xr:uid="{00000000-0005-0000-0000-0000B86E0000}"/>
    <cellStyle name="SAPBEXresItem 3 3" xfId="8092" xr:uid="{00000000-0005-0000-0000-0000B96E0000}"/>
    <cellStyle name="SAPBEXresItem 3 4" xfId="12264" xr:uid="{00000000-0005-0000-0000-0000BA6E0000}"/>
    <cellStyle name="SAPBEXresItem 3 5" xfId="12889" xr:uid="{00000000-0005-0000-0000-0000BB6E0000}"/>
    <cellStyle name="SAPBEXresItem 3 6" xfId="15080" xr:uid="{00000000-0005-0000-0000-0000BC6E0000}"/>
    <cellStyle name="SAPBEXresItem 3 7" xfId="17585" xr:uid="{00000000-0005-0000-0000-0000BD6E0000}"/>
    <cellStyle name="SAPBEXresItem 3 8" xfId="19776" xr:uid="{00000000-0005-0000-0000-0000BE6E0000}"/>
    <cellStyle name="SAPBEXresItem 3 9" xfId="22217" xr:uid="{00000000-0005-0000-0000-0000BF6E0000}"/>
    <cellStyle name="SAPBEXresItem 30" xfId="4193" xr:uid="{00000000-0005-0000-0000-0000C06E0000}"/>
    <cellStyle name="SAPBEXresItem 30 2" xfId="6731" xr:uid="{00000000-0005-0000-0000-0000C16E0000}"/>
    <cellStyle name="SAPBEXresItem 30 3" xfId="8617" xr:uid="{00000000-0005-0000-0000-0000C26E0000}"/>
    <cellStyle name="SAPBEXresItem 30 4" xfId="11959" xr:uid="{00000000-0005-0000-0000-0000C36E0000}"/>
    <cellStyle name="SAPBEXresItem 30 5" xfId="14435" xr:uid="{00000000-0005-0000-0000-0000C46E0000}"/>
    <cellStyle name="SAPBEXresItem 30 6" xfId="15077" xr:uid="{00000000-0005-0000-0000-0000C56E0000}"/>
    <cellStyle name="SAPBEXresItem 30 7" xfId="19131" xr:uid="{00000000-0005-0000-0000-0000C66E0000}"/>
    <cellStyle name="SAPBEXresItem 30 8" xfId="19773" xr:uid="{00000000-0005-0000-0000-0000C76E0000}"/>
    <cellStyle name="SAPBEXresItem 30 9" xfId="23634" xr:uid="{00000000-0005-0000-0000-0000C86E0000}"/>
    <cellStyle name="SAPBEXresItem 31" xfId="4235" xr:uid="{00000000-0005-0000-0000-0000C96E0000}"/>
    <cellStyle name="SAPBEXresItem 31 2" xfId="6773" xr:uid="{00000000-0005-0000-0000-0000CA6E0000}"/>
    <cellStyle name="SAPBEXresItem 31 3" xfId="9173" xr:uid="{00000000-0005-0000-0000-0000CB6E0000}"/>
    <cellStyle name="SAPBEXresItem 31 4" xfId="10636" xr:uid="{00000000-0005-0000-0000-0000CC6E0000}"/>
    <cellStyle name="SAPBEXresItem 31 5" xfId="12985" xr:uid="{00000000-0005-0000-0000-0000CD6E0000}"/>
    <cellStyle name="SAPBEXresItem 31 6" xfId="16644" xr:uid="{00000000-0005-0000-0000-0000CE6E0000}"/>
    <cellStyle name="SAPBEXresItem 31 7" xfId="17681" xr:uid="{00000000-0005-0000-0000-0000CF6E0000}"/>
    <cellStyle name="SAPBEXresItem 31 8" xfId="21340" xr:uid="{00000000-0005-0000-0000-0000D06E0000}"/>
    <cellStyle name="SAPBEXresItem 31 9" xfId="22309" xr:uid="{00000000-0005-0000-0000-0000D16E0000}"/>
    <cellStyle name="SAPBEXresItem 32" xfId="4278" xr:uid="{00000000-0005-0000-0000-0000D26E0000}"/>
    <cellStyle name="SAPBEXresItem 32 2" xfId="6816" xr:uid="{00000000-0005-0000-0000-0000D36E0000}"/>
    <cellStyle name="SAPBEXresItem 32 3" xfId="9508" xr:uid="{00000000-0005-0000-0000-0000D46E0000}"/>
    <cellStyle name="SAPBEXresItem 32 4" xfId="11121" xr:uid="{00000000-0005-0000-0000-0000D56E0000}"/>
    <cellStyle name="SAPBEXresItem 32 5" xfId="13516" xr:uid="{00000000-0005-0000-0000-0000D66E0000}"/>
    <cellStyle name="SAPBEXresItem 32 6" xfId="15244" xr:uid="{00000000-0005-0000-0000-0000D76E0000}"/>
    <cellStyle name="SAPBEXresItem 32 7" xfId="18212" xr:uid="{00000000-0005-0000-0000-0000D86E0000}"/>
    <cellStyle name="SAPBEXresItem 32 8" xfId="19940" xr:uid="{00000000-0005-0000-0000-0000D96E0000}"/>
    <cellStyle name="SAPBEXresItem 32 9" xfId="22794" xr:uid="{00000000-0005-0000-0000-0000DA6E0000}"/>
    <cellStyle name="SAPBEXresItem 33" xfId="4321" xr:uid="{00000000-0005-0000-0000-0000DB6E0000}"/>
    <cellStyle name="SAPBEXresItem 33 2" xfId="6859" xr:uid="{00000000-0005-0000-0000-0000DC6E0000}"/>
    <cellStyle name="SAPBEXresItem 33 3" xfId="9822" xr:uid="{00000000-0005-0000-0000-0000DD6E0000}"/>
    <cellStyle name="SAPBEXresItem 33 4" xfId="10495" xr:uid="{00000000-0005-0000-0000-0000DE6E0000}"/>
    <cellStyle name="SAPBEXresItem 33 5" xfId="12831" xr:uid="{00000000-0005-0000-0000-0000DF6E0000}"/>
    <cellStyle name="SAPBEXresItem 33 6" xfId="16559" xr:uid="{00000000-0005-0000-0000-0000E06E0000}"/>
    <cellStyle name="SAPBEXresItem 33 7" xfId="17527" xr:uid="{00000000-0005-0000-0000-0000E16E0000}"/>
    <cellStyle name="SAPBEXresItem 33 8" xfId="21255" xr:uid="{00000000-0005-0000-0000-0000E26E0000}"/>
    <cellStyle name="SAPBEXresItem 33 9" xfId="22165" xr:uid="{00000000-0005-0000-0000-0000E36E0000}"/>
    <cellStyle name="SAPBEXresItem 34" xfId="4364" xr:uid="{00000000-0005-0000-0000-0000E46E0000}"/>
    <cellStyle name="SAPBEXresItem 34 2" xfId="6902" xr:uid="{00000000-0005-0000-0000-0000E56E0000}"/>
    <cellStyle name="SAPBEXresItem 34 3" xfId="8486" xr:uid="{00000000-0005-0000-0000-0000E66E0000}"/>
    <cellStyle name="SAPBEXresItem 34 4" xfId="11855" xr:uid="{00000000-0005-0000-0000-0000E76E0000}"/>
    <cellStyle name="SAPBEXresItem 34 5" xfId="14874" xr:uid="{00000000-0005-0000-0000-0000E86E0000}"/>
    <cellStyle name="SAPBEXresItem 34 6" xfId="16253" xr:uid="{00000000-0005-0000-0000-0000E96E0000}"/>
    <cellStyle name="SAPBEXresItem 34 7" xfId="19570" xr:uid="{00000000-0005-0000-0000-0000EA6E0000}"/>
    <cellStyle name="SAPBEXresItem 34 8" xfId="20949" xr:uid="{00000000-0005-0000-0000-0000EB6E0000}"/>
    <cellStyle name="SAPBEXresItem 34 9" xfId="24044" xr:uid="{00000000-0005-0000-0000-0000EC6E0000}"/>
    <cellStyle name="SAPBEXresItem 35" xfId="4407" xr:uid="{00000000-0005-0000-0000-0000ED6E0000}"/>
    <cellStyle name="SAPBEXresItem 35 2" xfId="6945" xr:uid="{00000000-0005-0000-0000-0000EE6E0000}"/>
    <cellStyle name="SAPBEXresItem 35 3" xfId="7959" xr:uid="{00000000-0005-0000-0000-0000EF6E0000}"/>
    <cellStyle name="SAPBEXresItem 35 4" xfId="12188" xr:uid="{00000000-0005-0000-0000-0000F06E0000}"/>
    <cellStyle name="SAPBEXresItem 35 5" xfId="14673" xr:uid="{00000000-0005-0000-0000-0000F16E0000}"/>
    <cellStyle name="SAPBEXresItem 35 6" xfId="16940" xr:uid="{00000000-0005-0000-0000-0000F26E0000}"/>
    <cellStyle name="SAPBEXresItem 35 7" xfId="19369" xr:uid="{00000000-0005-0000-0000-0000F36E0000}"/>
    <cellStyle name="SAPBEXresItem 35 8" xfId="21636" xr:uid="{00000000-0005-0000-0000-0000F46E0000}"/>
    <cellStyle name="SAPBEXresItem 35 9" xfId="23862" xr:uid="{00000000-0005-0000-0000-0000F56E0000}"/>
    <cellStyle name="SAPBEXresItem 36" xfId="4450" xr:uid="{00000000-0005-0000-0000-0000F66E0000}"/>
    <cellStyle name="SAPBEXresItem 36 2" xfId="6988" xr:uid="{00000000-0005-0000-0000-0000F76E0000}"/>
    <cellStyle name="SAPBEXresItem 36 3" xfId="9219" xr:uid="{00000000-0005-0000-0000-0000F86E0000}"/>
    <cellStyle name="SAPBEXresItem 36 4" xfId="11695" xr:uid="{00000000-0005-0000-0000-0000F96E0000}"/>
    <cellStyle name="SAPBEXresItem 36 5" xfId="14144" xr:uid="{00000000-0005-0000-0000-0000FA6E0000}"/>
    <cellStyle name="SAPBEXresItem 36 6" xfId="15614" xr:uid="{00000000-0005-0000-0000-0000FB6E0000}"/>
    <cellStyle name="SAPBEXresItem 36 7" xfId="18840" xr:uid="{00000000-0005-0000-0000-0000FC6E0000}"/>
    <cellStyle name="SAPBEXresItem 36 8" xfId="20310" xr:uid="{00000000-0005-0000-0000-0000FD6E0000}"/>
    <cellStyle name="SAPBEXresItem 36 9" xfId="23369" xr:uid="{00000000-0005-0000-0000-0000FE6E0000}"/>
    <cellStyle name="SAPBEXresItem 37" xfId="4330" xr:uid="{00000000-0005-0000-0000-0000FF6E0000}"/>
    <cellStyle name="SAPBEXresItem 37 2" xfId="6868" xr:uid="{00000000-0005-0000-0000-0000006F0000}"/>
    <cellStyle name="SAPBEXresItem 37 3" xfId="9237" xr:uid="{00000000-0005-0000-0000-0000016F0000}"/>
    <cellStyle name="SAPBEXresItem 37 4" xfId="9634" xr:uid="{00000000-0005-0000-0000-0000026F0000}"/>
    <cellStyle name="SAPBEXresItem 37 5" xfId="12545" xr:uid="{00000000-0005-0000-0000-0000036F0000}"/>
    <cellStyle name="SAPBEXresItem 37 6" xfId="16074" xr:uid="{00000000-0005-0000-0000-0000046F0000}"/>
    <cellStyle name="SAPBEXresItem 37 7" xfId="17241" xr:uid="{00000000-0005-0000-0000-0000056F0000}"/>
    <cellStyle name="SAPBEXresItem 37 8" xfId="20770" xr:uid="{00000000-0005-0000-0000-0000066F0000}"/>
    <cellStyle name="SAPBEXresItem 37 9" xfId="21907" xr:uid="{00000000-0005-0000-0000-0000076F0000}"/>
    <cellStyle name="SAPBEXresItem 38" xfId="4536" xr:uid="{00000000-0005-0000-0000-0000086F0000}"/>
    <cellStyle name="SAPBEXresItem 38 2" xfId="7074" xr:uid="{00000000-0005-0000-0000-0000096F0000}"/>
    <cellStyle name="SAPBEXresItem 38 3" xfId="9309" xr:uid="{00000000-0005-0000-0000-00000A6F0000}"/>
    <cellStyle name="SAPBEXresItem 38 4" xfId="11498" xr:uid="{00000000-0005-0000-0000-00000B6F0000}"/>
    <cellStyle name="SAPBEXresItem 38 5" xfId="13925" xr:uid="{00000000-0005-0000-0000-00000C6F0000}"/>
    <cellStyle name="SAPBEXresItem 38 6" xfId="15869" xr:uid="{00000000-0005-0000-0000-00000D6F0000}"/>
    <cellStyle name="SAPBEXresItem 38 7" xfId="18621" xr:uid="{00000000-0005-0000-0000-00000E6F0000}"/>
    <cellStyle name="SAPBEXresItem 38 8" xfId="20565" xr:uid="{00000000-0005-0000-0000-00000F6F0000}"/>
    <cellStyle name="SAPBEXresItem 38 9" xfId="23173" xr:uid="{00000000-0005-0000-0000-0000106F0000}"/>
    <cellStyle name="SAPBEXresItem 39" xfId="4579" xr:uid="{00000000-0005-0000-0000-0000116F0000}"/>
    <cellStyle name="SAPBEXresItem 39 2" xfId="7117" xr:uid="{00000000-0005-0000-0000-0000126F0000}"/>
    <cellStyle name="SAPBEXresItem 39 3" xfId="9122" xr:uid="{00000000-0005-0000-0000-0000136F0000}"/>
    <cellStyle name="SAPBEXresItem 39 4" xfId="11753" xr:uid="{00000000-0005-0000-0000-0000146F0000}"/>
    <cellStyle name="SAPBEXresItem 39 5" xfId="14204" xr:uid="{00000000-0005-0000-0000-0000156F0000}"/>
    <cellStyle name="SAPBEXresItem 39 6" xfId="16135" xr:uid="{00000000-0005-0000-0000-0000166F0000}"/>
    <cellStyle name="SAPBEXresItem 39 7" xfId="18900" xr:uid="{00000000-0005-0000-0000-0000176F0000}"/>
    <cellStyle name="SAPBEXresItem 39 8" xfId="20831" xr:uid="{00000000-0005-0000-0000-0000186F0000}"/>
    <cellStyle name="SAPBEXresItem 39 9" xfId="23427" xr:uid="{00000000-0005-0000-0000-0000196F0000}"/>
    <cellStyle name="SAPBEXresItem 4" xfId="3181" xr:uid="{00000000-0005-0000-0000-00001A6F0000}"/>
    <cellStyle name="SAPBEXresItem 4 2" xfId="5719" xr:uid="{00000000-0005-0000-0000-00001B6F0000}"/>
    <cellStyle name="SAPBEXresItem 4 3" xfId="9961" xr:uid="{00000000-0005-0000-0000-00001C6F0000}"/>
    <cellStyle name="SAPBEXresItem 4 4" xfId="11053" xr:uid="{00000000-0005-0000-0000-00001D6F0000}"/>
    <cellStyle name="SAPBEXresItem 4 5" xfId="13438" xr:uid="{00000000-0005-0000-0000-00001E6F0000}"/>
    <cellStyle name="SAPBEXresItem 4 6" xfId="14756" xr:uid="{00000000-0005-0000-0000-00001F6F0000}"/>
    <cellStyle name="SAPBEXresItem 4 7" xfId="18134" xr:uid="{00000000-0005-0000-0000-0000206F0000}"/>
    <cellStyle name="SAPBEXresItem 4 8" xfId="19452" xr:uid="{00000000-0005-0000-0000-0000216F0000}"/>
    <cellStyle name="SAPBEXresItem 4 9" xfId="22726" xr:uid="{00000000-0005-0000-0000-0000226F0000}"/>
    <cellStyle name="SAPBEXresItem 40" xfId="4622" xr:uid="{00000000-0005-0000-0000-0000236F0000}"/>
    <cellStyle name="SAPBEXresItem 40 2" xfId="7160" xr:uid="{00000000-0005-0000-0000-0000246F0000}"/>
    <cellStyle name="SAPBEXresItem 40 3" xfId="8737" xr:uid="{00000000-0005-0000-0000-0000256F0000}"/>
    <cellStyle name="SAPBEXresItem 40 4" xfId="11688" xr:uid="{00000000-0005-0000-0000-0000266F0000}"/>
    <cellStyle name="SAPBEXresItem 40 5" xfId="14136" xr:uid="{00000000-0005-0000-0000-0000276F0000}"/>
    <cellStyle name="SAPBEXresItem 40 6" xfId="16086" xr:uid="{00000000-0005-0000-0000-0000286F0000}"/>
    <cellStyle name="SAPBEXresItem 40 7" xfId="18832" xr:uid="{00000000-0005-0000-0000-0000296F0000}"/>
    <cellStyle name="SAPBEXresItem 40 8" xfId="20782" xr:uid="{00000000-0005-0000-0000-00002A6F0000}"/>
    <cellStyle name="SAPBEXresItem 40 9" xfId="23362" xr:uid="{00000000-0005-0000-0000-00002B6F0000}"/>
    <cellStyle name="SAPBEXresItem 41" xfId="4665" xr:uid="{00000000-0005-0000-0000-00002C6F0000}"/>
    <cellStyle name="SAPBEXresItem 41 2" xfId="7203" xr:uid="{00000000-0005-0000-0000-00002D6F0000}"/>
    <cellStyle name="SAPBEXresItem 41 3" xfId="8768" xr:uid="{00000000-0005-0000-0000-00002E6F0000}"/>
    <cellStyle name="SAPBEXresItem 41 4" xfId="10952" xr:uid="{00000000-0005-0000-0000-00002F6F0000}"/>
    <cellStyle name="SAPBEXresItem 41 5" xfId="13323" xr:uid="{00000000-0005-0000-0000-0000306F0000}"/>
    <cellStyle name="SAPBEXresItem 41 6" xfId="16479" xr:uid="{00000000-0005-0000-0000-0000316F0000}"/>
    <cellStyle name="SAPBEXresItem 41 7" xfId="18019" xr:uid="{00000000-0005-0000-0000-0000326F0000}"/>
    <cellStyle name="SAPBEXresItem 41 8" xfId="21175" xr:uid="{00000000-0005-0000-0000-0000336F0000}"/>
    <cellStyle name="SAPBEXresItem 41 9" xfId="22623" xr:uid="{00000000-0005-0000-0000-0000346F0000}"/>
    <cellStyle name="SAPBEXresItem 42" xfId="4707" xr:uid="{00000000-0005-0000-0000-0000356F0000}"/>
    <cellStyle name="SAPBEXresItem 42 2" xfId="7245" xr:uid="{00000000-0005-0000-0000-0000366F0000}"/>
    <cellStyle name="SAPBEXresItem 42 3" xfId="9376" xr:uid="{00000000-0005-0000-0000-0000376F0000}"/>
    <cellStyle name="SAPBEXresItem 42 4" xfId="12237" xr:uid="{00000000-0005-0000-0000-0000386F0000}"/>
    <cellStyle name="SAPBEXresItem 42 5" xfId="14475" xr:uid="{00000000-0005-0000-0000-0000396F0000}"/>
    <cellStyle name="SAPBEXresItem 42 6" xfId="15775" xr:uid="{00000000-0005-0000-0000-00003A6F0000}"/>
    <cellStyle name="SAPBEXresItem 42 7" xfId="19171" xr:uid="{00000000-0005-0000-0000-00003B6F0000}"/>
    <cellStyle name="SAPBEXresItem 42 8" xfId="20471" xr:uid="{00000000-0005-0000-0000-00003C6F0000}"/>
    <cellStyle name="SAPBEXresItem 42 9" xfId="23672" xr:uid="{00000000-0005-0000-0000-00003D6F0000}"/>
    <cellStyle name="SAPBEXresItem 43" xfId="4750" xr:uid="{00000000-0005-0000-0000-00003E6F0000}"/>
    <cellStyle name="SAPBEXresItem 43 2" xfId="7288" xr:uid="{00000000-0005-0000-0000-00003F6F0000}"/>
    <cellStyle name="SAPBEXresItem 43 3" xfId="9539" xr:uid="{00000000-0005-0000-0000-0000406F0000}"/>
    <cellStyle name="SAPBEXresItem 43 4" xfId="11942" xr:uid="{00000000-0005-0000-0000-0000416F0000}"/>
    <cellStyle name="SAPBEXresItem 43 5" xfId="14415" xr:uid="{00000000-0005-0000-0000-0000426F0000}"/>
    <cellStyle name="SAPBEXresItem 43 6" xfId="15017" xr:uid="{00000000-0005-0000-0000-0000436F0000}"/>
    <cellStyle name="SAPBEXresItem 43 7" xfId="19111" xr:uid="{00000000-0005-0000-0000-0000446F0000}"/>
    <cellStyle name="SAPBEXresItem 43 8" xfId="19713" xr:uid="{00000000-0005-0000-0000-0000456F0000}"/>
    <cellStyle name="SAPBEXresItem 43 9" xfId="23617" xr:uid="{00000000-0005-0000-0000-0000466F0000}"/>
    <cellStyle name="SAPBEXresItem 44" xfId="4672" xr:uid="{00000000-0005-0000-0000-0000476F0000}"/>
    <cellStyle name="SAPBEXresItem 44 2" xfId="7210" xr:uid="{00000000-0005-0000-0000-0000486F0000}"/>
    <cellStyle name="SAPBEXresItem 44 3" xfId="8791" xr:uid="{00000000-0005-0000-0000-0000496F0000}"/>
    <cellStyle name="SAPBEXresItem 44 4" xfId="11117" xr:uid="{00000000-0005-0000-0000-00004A6F0000}"/>
    <cellStyle name="SAPBEXresItem 44 5" xfId="12339" xr:uid="{00000000-0005-0000-0000-00004B6F0000}"/>
    <cellStyle name="SAPBEXresItem 44 6" xfId="14006" xr:uid="{00000000-0005-0000-0000-00004C6F0000}"/>
    <cellStyle name="SAPBEXresItem 44 7" xfId="17035" xr:uid="{00000000-0005-0000-0000-00004D6F0000}"/>
    <cellStyle name="SAPBEXresItem 44 8" xfId="18702" xr:uid="{00000000-0005-0000-0000-00004E6F0000}"/>
    <cellStyle name="SAPBEXresItem 44 9" xfId="21728" xr:uid="{00000000-0005-0000-0000-00004F6F0000}"/>
    <cellStyle name="SAPBEXresItem 45" xfId="4812" xr:uid="{00000000-0005-0000-0000-0000506F0000}"/>
    <cellStyle name="SAPBEXresItem 45 2" xfId="7350" xr:uid="{00000000-0005-0000-0000-0000516F0000}"/>
    <cellStyle name="SAPBEXresItem 45 3" xfId="8741" xr:uid="{00000000-0005-0000-0000-0000526F0000}"/>
    <cellStyle name="SAPBEXresItem 45 4" xfId="10407" xr:uid="{00000000-0005-0000-0000-0000536F0000}"/>
    <cellStyle name="SAPBEXresItem 45 5" xfId="12731" xr:uid="{00000000-0005-0000-0000-0000546F0000}"/>
    <cellStyle name="SAPBEXresItem 45 6" xfId="15589" xr:uid="{00000000-0005-0000-0000-0000556F0000}"/>
    <cellStyle name="SAPBEXresItem 45 7" xfId="17427" xr:uid="{00000000-0005-0000-0000-0000566F0000}"/>
    <cellStyle name="SAPBEXresItem 45 8" xfId="20285" xr:uid="{00000000-0005-0000-0000-0000576F0000}"/>
    <cellStyle name="SAPBEXresItem 45 9" xfId="22078" xr:uid="{00000000-0005-0000-0000-0000586F0000}"/>
    <cellStyle name="SAPBEXresItem 46" xfId="4855" xr:uid="{00000000-0005-0000-0000-0000596F0000}"/>
    <cellStyle name="SAPBEXresItem 46 2" xfId="7393" xr:uid="{00000000-0005-0000-0000-00005A6F0000}"/>
    <cellStyle name="SAPBEXresItem 46 3" xfId="9957" xr:uid="{00000000-0005-0000-0000-00005B6F0000}"/>
    <cellStyle name="SAPBEXresItem 46 4" xfId="11266" xr:uid="{00000000-0005-0000-0000-00005C6F0000}"/>
    <cellStyle name="SAPBEXresItem 46 5" xfId="14892" xr:uid="{00000000-0005-0000-0000-00005D6F0000}"/>
    <cellStyle name="SAPBEXresItem 46 6" xfId="16797" xr:uid="{00000000-0005-0000-0000-00005E6F0000}"/>
    <cellStyle name="SAPBEXresItem 46 7" xfId="19588" xr:uid="{00000000-0005-0000-0000-00005F6F0000}"/>
    <cellStyle name="SAPBEXresItem 46 8" xfId="21493" xr:uid="{00000000-0005-0000-0000-0000606F0000}"/>
    <cellStyle name="SAPBEXresItem 46 9" xfId="24059" xr:uid="{00000000-0005-0000-0000-0000616F0000}"/>
    <cellStyle name="SAPBEXresItem 47" xfId="4759" xr:uid="{00000000-0005-0000-0000-0000626F0000}"/>
    <cellStyle name="SAPBEXresItem 47 2" xfId="7297" xr:uid="{00000000-0005-0000-0000-0000636F0000}"/>
    <cellStyle name="SAPBEXresItem 47 3" xfId="8689" xr:uid="{00000000-0005-0000-0000-0000646F0000}"/>
    <cellStyle name="SAPBEXresItem 47 4" xfId="11484" xr:uid="{00000000-0005-0000-0000-0000656F0000}"/>
    <cellStyle name="SAPBEXresItem 47 5" xfId="13909" xr:uid="{00000000-0005-0000-0000-0000666F0000}"/>
    <cellStyle name="SAPBEXresItem 47 6" xfId="15121" xr:uid="{00000000-0005-0000-0000-0000676F0000}"/>
    <cellStyle name="SAPBEXresItem 47 7" xfId="18605" xr:uid="{00000000-0005-0000-0000-0000686F0000}"/>
    <cellStyle name="SAPBEXresItem 47 8" xfId="19817" xr:uid="{00000000-0005-0000-0000-0000696F0000}"/>
    <cellStyle name="SAPBEXresItem 47 9" xfId="23159" xr:uid="{00000000-0005-0000-0000-00006A6F0000}"/>
    <cellStyle name="SAPBEXresItem 48" xfId="4935" xr:uid="{00000000-0005-0000-0000-00006B6F0000}"/>
    <cellStyle name="SAPBEXresItem 48 2" xfId="7473" xr:uid="{00000000-0005-0000-0000-00006C6F0000}"/>
    <cellStyle name="SAPBEXresItem 48 3" xfId="8278" xr:uid="{00000000-0005-0000-0000-00006D6F0000}"/>
    <cellStyle name="SAPBEXresItem 48 4" xfId="11399" xr:uid="{00000000-0005-0000-0000-00006E6F0000}"/>
    <cellStyle name="SAPBEXresItem 48 5" xfId="13814" xr:uid="{00000000-0005-0000-0000-00006F6F0000}"/>
    <cellStyle name="SAPBEXresItem 48 6" xfId="15086" xr:uid="{00000000-0005-0000-0000-0000706F0000}"/>
    <cellStyle name="SAPBEXresItem 48 7" xfId="18510" xr:uid="{00000000-0005-0000-0000-0000716F0000}"/>
    <cellStyle name="SAPBEXresItem 48 8" xfId="19782" xr:uid="{00000000-0005-0000-0000-0000726F0000}"/>
    <cellStyle name="SAPBEXresItem 48 9" xfId="23073" xr:uid="{00000000-0005-0000-0000-0000736F0000}"/>
    <cellStyle name="SAPBEXresItem 49" xfId="4973" xr:uid="{00000000-0005-0000-0000-0000746F0000}"/>
    <cellStyle name="SAPBEXresItem 49 2" xfId="7511" xr:uid="{00000000-0005-0000-0000-0000756F0000}"/>
    <cellStyle name="SAPBEXresItem 49 3" xfId="9878" xr:uid="{00000000-0005-0000-0000-0000766F0000}"/>
    <cellStyle name="SAPBEXresItem 49 4" xfId="11034" xr:uid="{00000000-0005-0000-0000-0000776F0000}"/>
    <cellStyle name="SAPBEXresItem 49 5" xfId="13416" xr:uid="{00000000-0005-0000-0000-0000786F0000}"/>
    <cellStyle name="SAPBEXresItem 49 6" xfId="16184" xr:uid="{00000000-0005-0000-0000-0000796F0000}"/>
    <cellStyle name="SAPBEXresItem 49 7" xfId="18112" xr:uid="{00000000-0005-0000-0000-00007A6F0000}"/>
    <cellStyle name="SAPBEXresItem 49 8" xfId="20880" xr:uid="{00000000-0005-0000-0000-00007B6F0000}"/>
    <cellStyle name="SAPBEXresItem 49 9" xfId="22707" xr:uid="{00000000-0005-0000-0000-00007C6F0000}"/>
    <cellStyle name="SAPBEXresItem 5" xfId="3224" xr:uid="{00000000-0005-0000-0000-00007D6F0000}"/>
    <cellStyle name="SAPBEXresItem 5 2" xfId="5762" xr:uid="{00000000-0005-0000-0000-00007E6F0000}"/>
    <cellStyle name="SAPBEXresItem 5 3" xfId="8718" xr:uid="{00000000-0005-0000-0000-00007F6F0000}"/>
    <cellStyle name="SAPBEXresItem 5 4" xfId="10927" xr:uid="{00000000-0005-0000-0000-0000806F0000}"/>
    <cellStyle name="SAPBEXresItem 5 5" xfId="13297" xr:uid="{00000000-0005-0000-0000-0000816F0000}"/>
    <cellStyle name="SAPBEXresItem 5 6" xfId="15787" xr:uid="{00000000-0005-0000-0000-0000826F0000}"/>
    <cellStyle name="SAPBEXresItem 5 7" xfId="17993" xr:uid="{00000000-0005-0000-0000-0000836F0000}"/>
    <cellStyle name="SAPBEXresItem 5 8" xfId="20483" xr:uid="{00000000-0005-0000-0000-0000846F0000}"/>
    <cellStyle name="SAPBEXresItem 5 9" xfId="22598" xr:uid="{00000000-0005-0000-0000-0000856F0000}"/>
    <cellStyle name="SAPBEXresItem 50" xfId="5011" xr:uid="{00000000-0005-0000-0000-0000866F0000}"/>
    <cellStyle name="SAPBEXresItem 50 2" xfId="7549" xr:uid="{00000000-0005-0000-0000-0000876F0000}"/>
    <cellStyle name="SAPBEXresItem 50 3" xfId="8621" xr:uid="{00000000-0005-0000-0000-0000886F0000}"/>
    <cellStyle name="SAPBEXresItem 50 4" xfId="11938" xr:uid="{00000000-0005-0000-0000-0000896F0000}"/>
    <cellStyle name="SAPBEXresItem 50 5" xfId="14411" xr:uid="{00000000-0005-0000-0000-00008A6F0000}"/>
    <cellStyle name="SAPBEXresItem 50 6" xfId="12775" xr:uid="{00000000-0005-0000-0000-00008B6F0000}"/>
    <cellStyle name="SAPBEXresItem 50 7" xfId="19107" xr:uid="{00000000-0005-0000-0000-00008C6F0000}"/>
    <cellStyle name="SAPBEXresItem 50 8" xfId="17471" xr:uid="{00000000-0005-0000-0000-00008D6F0000}"/>
    <cellStyle name="SAPBEXresItem 50 9" xfId="23613" xr:uid="{00000000-0005-0000-0000-00008E6F0000}"/>
    <cellStyle name="SAPBEXresItem 51" xfId="5048" xr:uid="{00000000-0005-0000-0000-00008F6F0000}"/>
    <cellStyle name="SAPBEXresItem 51 2" xfId="7586" xr:uid="{00000000-0005-0000-0000-0000906F0000}"/>
    <cellStyle name="SAPBEXresItem 51 3" xfId="8907" xr:uid="{00000000-0005-0000-0000-0000916F0000}"/>
    <cellStyle name="SAPBEXresItem 51 4" xfId="11186" xr:uid="{00000000-0005-0000-0000-0000926F0000}"/>
    <cellStyle name="SAPBEXresItem 51 5" xfId="13585" xr:uid="{00000000-0005-0000-0000-0000936F0000}"/>
    <cellStyle name="SAPBEXresItem 51 6" xfId="15023" xr:uid="{00000000-0005-0000-0000-0000946F0000}"/>
    <cellStyle name="SAPBEXresItem 51 7" xfId="18281" xr:uid="{00000000-0005-0000-0000-0000956F0000}"/>
    <cellStyle name="SAPBEXresItem 51 8" xfId="19719" xr:uid="{00000000-0005-0000-0000-0000966F0000}"/>
    <cellStyle name="SAPBEXresItem 51 9" xfId="22860" xr:uid="{00000000-0005-0000-0000-0000976F0000}"/>
    <cellStyle name="SAPBEXresItem 52" xfId="5078" xr:uid="{00000000-0005-0000-0000-0000986F0000}"/>
    <cellStyle name="SAPBEXresItem 52 2" xfId="7616" xr:uid="{00000000-0005-0000-0000-0000996F0000}"/>
    <cellStyle name="SAPBEXresItem 52 3" xfId="8683" xr:uid="{00000000-0005-0000-0000-00009A6F0000}"/>
    <cellStyle name="SAPBEXresItem 52 4" xfId="10769" xr:uid="{00000000-0005-0000-0000-00009B6F0000}"/>
    <cellStyle name="SAPBEXresItem 52 5" xfId="13124" xr:uid="{00000000-0005-0000-0000-00009C6F0000}"/>
    <cellStyle name="SAPBEXresItem 52 6" xfId="15127" xr:uid="{00000000-0005-0000-0000-00009D6F0000}"/>
    <cellStyle name="SAPBEXresItem 52 7" xfId="17820" xr:uid="{00000000-0005-0000-0000-00009E6F0000}"/>
    <cellStyle name="SAPBEXresItem 52 8" xfId="19823" xr:uid="{00000000-0005-0000-0000-00009F6F0000}"/>
    <cellStyle name="SAPBEXresItem 52 9" xfId="22441" xr:uid="{00000000-0005-0000-0000-0000A06F0000}"/>
    <cellStyle name="SAPBEXresItem 53" xfId="5104" xr:uid="{00000000-0005-0000-0000-0000A16F0000}"/>
    <cellStyle name="SAPBEXresItem 53 2" xfId="7642" xr:uid="{00000000-0005-0000-0000-0000A26F0000}"/>
    <cellStyle name="SAPBEXresItem 53 3" xfId="8588" xr:uid="{00000000-0005-0000-0000-0000A36F0000}"/>
    <cellStyle name="SAPBEXresItem 53 4" xfId="11619" xr:uid="{00000000-0005-0000-0000-0000A46F0000}"/>
    <cellStyle name="SAPBEXresItem 53 5" xfId="12457" xr:uid="{00000000-0005-0000-0000-0000A56F0000}"/>
    <cellStyle name="SAPBEXresItem 53 6" xfId="16608" xr:uid="{00000000-0005-0000-0000-0000A66F0000}"/>
    <cellStyle name="SAPBEXresItem 53 7" xfId="17153" xr:uid="{00000000-0005-0000-0000-0000A76F0000}"/>
    <cellStyle name="SAPBEXresItem 53 8" xfId="21304" xr:uid="{00000000-0005-0000-0000-0000A86F0000}"/>
    <cellStyle name="SAPBEXresItem 53 9" xfId="21834" xr:uid="{00000000-0005-0000-0000-0000A96F0000}"/>
    <cellStyle name="SAPBEXresItem 54" xfId="5152" xr:uid="{00000000-0005-0000-0000-0000AA6F0000}"/>
    <cellStyle name="SAPBEXresItem 54 2" xfId="7690" xr:uid="{00000000-0005-0000-0000-0000AB6F0000}"/>
    <cellStyle name="SAPBEXresItem 54 3" xfId="7950" xr:uid="{00000000-0005-0000-0000-0000AC6F0000}"/>
    <cellStyle name="SAPBEXresItem 54 4" xfId="12058" xr:uid="{00000000-0005-0000-0000-0000AD6F0000}"/>
    <cellStyle name="SAPBEXresItem 54 5" xfId="14538" xr:uid="{00000000-0005-0000-0000-0000AE6F0000}"/>
    <cellStyle name="SAPBEXresItem 54 6" xfId="13418" xr:uid="{00000000-0005-0000-0000-0000AF6F0000}"/>
    <cellStyle name="SAPBEXresItem 54 7" xfId="19234" xr:uid="{00000000-0005-0000-0000-0000B06F0000}"/>
    <cellStyle name="SAPBEXresItem 54 8" xfId="18114" xr:uid="{00000000-0005-0000-0000-0000B16F0000}"/>
    <cellStyle name="SAPBEXresItem 54 9" xfId="23730" xr:uid="{00000000-0005-0000-0000-0000B26F0000}"/>
    <cellStyle name="SAPBEXresItem 55" xfId="5221" xr:uid="{00000000-0005-0000-0000-0000B36F0000}"/>
    <cellStyle name="SAPBEXresItem 55 2" xfId="7760" xr:uid="{00000000-0005-0000-0000-0000B46F0000}"/>
    <cellStyle name="SAPBEXresItem 55 3" xfId="5462" xr:uid="{00000000-0005-0000-0000-0000B56F0000}"/>
    <cellStyle name="SAPBEXresItem 55 4" xfId="10566" xr:uid="{00000000-0005-0000-0000-0000B66F0000}"/>
    <cellStyle name="SAPBEXresItem 55 5" xfId="12911" xr:uid="{00000000-0005-0000-0000-0000B76F0000}"/>
    <cellStyle name="SAPBEXresItem 55 6" xfId="15667" xr:uid="{00000000-0005-0000-0000-0000B86F0000}"/>
    <cellStyle name="SAPBEXresItem 55 7" xfId="17607" xr:uid="{00000000-0005-0000-0000-0000B96F0000}"/>
    <cellStyle name="SAPBEXresItem 55 8" xfId="20363" xr:uid="{00000000-0005-0000-0000-0000BA6F0000}"/>
    <cellStyle name="SAPBEXresItem 55 9" xfId="22238" xr:uid="{00000000-0005-0000-0000-0000BB6F0000}"/>
    <cellStyle name="SAPBEXresItem 56" xfId="5259" xr:uid="{00000000-0005-0000-0000-0000BC6F0000}"/>
    <cellStyle name="SAPBEXresItem 56 2" xfId="8742" xr:uid="{00000000-0005-0000-0000-0000BD6F0000}"/>
    <cellStyle name="SAPBEXresItem 56 3" xfId="12171" xr:uid="{00000000-0005-0000-0000-0000BE6F0000}"/>
    <cellStyle name="SAPBEXresItem 56 4" xfId="14820" xr:uid="{00000000-0005-0000-0000-0000BF6F0000}"/>
    <cellStyle name="SAPBEXresItem 56 5" xfId="15465" xr:uid="{00000000-0005-0000-0000-0000C06F0000}"/>
    <cellStyle name="SAPBEXresItem 56 6" xfId="19516" xr:uid="{00000000-0005-0000-0000-0000C16F0000}"/>
    <cellStyle name="SAPBEXresItem 56 7" xfId="20161" xr:uid="{00000000-0005-0000-0000-0000C26F0000}"/>
    <cellStyle name="SAPBEXresItem 56 8" xfId="24004" xr:uid="{00000000-0005-0000-0000-0000C36F0000}"/>
    <cellStyle name="SAPBEXresItem 57" xfId="8079" xr:uid="{00000000-0005-0000-0000-0000C46F0000}"/>
    <cellStyle name="SAPBEXresItem 58" xfId="12051" xr:uid="{00000000-0005-0000-0000-0000C56F0000}"/>
    <cellStyle name="SAPBEXresItem 59" xfId="14869" xr:uid="{00000000-0005-0000-0000-0000C66F0000}"/>
    <cellStyle name="SAPBEXresItem 6" xfId="3267" xr:uid="{00000000-0005-0000-0000-0000C76F0000}"/>
    <cellStyle name="SAPBEXresItem 6 2" xfId="5805" xr:uid="{00000000-0005-0000-0000-0000C86F0000}"/>
    <cellStyle name="SAPBEXresItem 6 3" xfId="10214" xr:uid="{00000000-0005-0000-0000-0000C96F0000}"/>
    <cellStyle name="SAPBEXresItem 6 4" xfId="12163" xr:uid="{00000000-0005-0000-0000-0000CA6F0000}"/>
    <cellStyle name="SAPBEXresItem 6 5" xfId="14646" xr:uid="{00000000-0005-0000-0000-0000CB6F0000}"/>
    <cellStyle name="SAPBEXresItem 6 6" xfId="15806" xr:uid="{00000000-0005-0000-0000-0000CC6F0000}"/>
    <cellStyle name="SAPBEXresItem 6 7" xfId="19342" xr:uid="{00000000-0005-0000-0000-0000CD6F0000}"/>
    <cellStyle name="SAPBEXresItem 6 8" xfId="20502" xr:uid="{00000000-0005-0000-0000-0000CE6F0000}"/>
    <cellStyle name="SAPBEXresItem 6 9" xfId="23837" xr:uid="{00000000-0005-0000-0000-0000CF6F0000}"/>
    <cellStyle name="SAPBEXresItem 60" xfId="13915" xr:uid="{00000000-0005-0000-0000-0000D06F0000}"/>
    <cellStyle name="SAPBEXresItem 61" xfId="19565" xr:uid="{00000000-0005-0000-0000-0000D16F0000}"/>
    <cellStyle name="SAPBEXresItem 62" xfId="18611" xr:uid="{00000000-0005-0000-0000-0000D26F0000}"/>
    <cellStyle name="SAPBEXresItem 63" xfId="24039" xr:uid="{00000000-0005-0000-0000-0000D36F0000}"/>
    <cellStyle name="SAPBEXresItem 64" xfId="42416" xr:uid="{B5C7D208-9803-4207-9CD8-8068839FF71F}"/>
    <cellStyle name="SAPBEXresItem 7" xfId="3310" xr:uid="{00000000-0005-0000-0000-0000D46F0000}"/>
    <cellStyle name="SAPBEXresItem 7 2" xfId="5848" xr:uid="{00000000-0005-0000-0000-0000D56F0000}"/>
    <cellStyle name="SAPBEXresItem 7 3" xfId="8824" xr:uid="{00000000-0005-0000-0000-0000D66F0000}"/>
    <cellStyle name="SAPBEXresItem 7 4" xfId="10534" xr:uid="{00000000-0005-0000-0000-0000D76F0000}"/>
    <cellStyle name="SAPBEXresItem 7 5" xfId="12877" xr:uid="{00000000-0005-0000-0000-0000D86F0000}"/>
    <cellStyle name="SAPBEXresItem 7 6" xfId="16075" xr:uid="{00000000-0005-0000-0000-0000D96F0000}"/>
    <cellStyle name="SAPBEXresItem 7 7" xfId="17573" xr:uid="{00000000-0005-0000-0000-0000DA6F0000}"/>
    <cellStyle name="SAPBEXresItem 7 8" xfId="20771" xr:uid="{00000000-0005-0000-0000-0000DB6F0000}"/>
    <cellStyle name="SAPBEXresItem 7 9" xfId="22205" xr:uid="{00000000-0005-0000-0000-0000DC6F0000}"/>
    <cellStyle name="SAPBEXresItem 8" xfId="3353" xr:uid="{00000000-0005-0000-0000-0000DD6F0000}"/>
    <cellStyle name="SAPBEXresItem 8 2" xfId="5891" xr:uid="{00000000-0005-0000-0000-0000DE6F0000}"/>
    <cellStyle name="SAPBEXresItem 8 3" xfId="5513" xr:uid="{00000000-0005-0000-0000-0000DF6F0000}"/>
    <cellStyle name="SAPBEXresItem 8 4" xfId="10436" xr:uid="{00000000-0005-0000-0000-0000E06F0000}"/>
    <cellStyle name="SAPBEXresItem 8 5" xfId="12332" xr:uid="{00000000-0005-0000-0000-0000E16F0000}"/>
    <cellStyle name="SAPBEXresItem 8 6" xfId="16501" xr:uid="{00000000-0005-0000-0000-0000E26F0000}"/>
    <cellStyle name="SAPBEXresItem 8 7" xfId="17028" xr:uid="{00000000-0005-0000-0000-0000E36F0000}"/>
    <cellStyle name="SAPBEXresItem 8 8" xfId="21197" xr:uid="{00000000-0005-0000-0000-0000E46F0000}"/>
    <cellStyle name="SAPBEXresItem 8 9" xfId="21721" xr:uid="{00000000-0005-0000-0000-0000E56F0000}"/>
    <cellStyle name="SAPBEXresItem 9" xfId="3396" xr:uid="{00000000-0005-0000-0000-0000E66F0000}"/>
    <cellStyle name="SAPBEXresItem 9 2" xfId="5934" xr:uid="{00000000-0005-0000-0000-0000E76F0000}"/>
    <cellStyle name="SAPBEXresItem 9 3" xfId="10185" xr:uid="{00000000-0005-0000-0000-0000E86F0000}"/>
    <cellStyle name="SAPBEXresItem 9 4" xfId="11213" xr:uid="{00000000-0005-0000-0000-0000E96F0000}"/>
    <cellStyle name="SAPBEXresItem 9 5" xfId="13615" xr:uid="{00000000-0005-0000-0000-0000EA6F0000}"/>
    <cellStyle name="SAPBEXresItem 9 6" xfId="15579" xr:uid="{00000000-0005-0000-0000-0000EB6F0000}"/>
    <cellStyle name="SAPBEXresItem 9 7" xfId="18311" xr:uid="{00000000-0005-0000-0000-0000EC6F0000}"/>
    <cellStyle name="SAPBEXresItem 9 8" xfId="20275" xr:uid="{00000000-0005-0000-0000-0000ED6F0000}"/>
    <cellStyle name="SAPBEXresItem 9 9" xfId="22888" xr:uid="{00000000-0005-0000-0000-0000EE6F0000}"/>
    <cellStyle name="SAPBEXresItemX" xfId="2974" xr:uid="{00000000-0005-0000-0000-0000EF6F0000}"/>
    <cellStyle name="SAPBEXresItemX 10" xfId="3440" xr:uid="{00000000-0005-0000-0000-0000F06F0000}"/>
    <cellStyle name="SAPBEXresItemX 10 2" xfId="5978" xr:uid="{00000000-0005-0000-0000-0000F16F0000}"/>
    <cellStyle name="SAPBEXresItemX 10 3" xfId="5424" xr:uid="{00000000-0005-0000-0000-0000F26F0000}"/>
    <cellStyle name="SAPBEXresItemX 10 4" xfId="11492" xr:uid="{00000000-0005-0000-0000-0000F36F0000}"/>
    <cellStyle name="SAPBEXresItemX 10 5" xfId="13919" xr:uid="{00000000-0005-0000-0000-0000F46F0000}"/>
    <cellStyle name="SAPBEXresItemX 10 6" xfId="16676" xr:uid="{00000000-0005-0000-0000-0000F56F0000}"/>
    <cellStyle name="SAPBEXresItemX 10 7" xfId="18615" xr:uid="{00000000-0005-0000-0000-0000F66F0000}"/>
    <cellStyle name="SAPBEXresItemX 10 8" xfId="21372" xr:uid="{00000000-0005-0000-0000-0000F76F0000}"/>
    <cellStyle name="SAPBEXresItemX 10 9" xfId="23167" xr:uid="{00000000-0005-0000-0000-0000F86F0000}"/>
    <cellStyle name="SAPBEXresItemX 11" xfId="3504" xr:uid="{00000000-0005-0000-0000-0000F96F0000}"/>
    <cellStyle name="SAPBEXresItemX 11 2" xfId="6042" xr:uid="{00000000-0005-0000-0000-0000FA6F0000}"/>
    <cellStyle name="SAPBEXresItemX 11 3" xfId="8205" xr:uid="{00000000-0005-0000-0000-0000FB6F0000}"/>
    <cellStyle name="SAPBEXresItemX 11 4" xfId="10249" xr:uid="{00000000-0005-0000-0000-0000FC6F0000}"/>
    <cellStyle name="SAPBEXresItemX 11 5" xfId="12557" xr:uid="{00000000-0005-0000-0000-0000FD6F0000}"/>
    <cellStyle name="SAPBEXresItemX 11 6" xfId="16284" xr:uid="{00000000-0005-0000-0000-0000FE6F0000}"/>
    <cellStyle name="SAPBEXresItemX 11 7" xfId="17253" xr:uid="{00000000-0005-0000-0000-0000FF6F0000}"/>
    <cellStyle name="SAPBEXresItemX 11 8" xfId="20980" xr:uid="{00000000-0005-0000-0000-000000700000}"/>
    <cellStyle name="SAPBEXresItemX 11 9" xfId="21918" xr:uid="{00000000-0005-0000-0000-000001700000}"/>
    <cellStyle name="SAPBEXresItemX 12" xfId="3526" xr:uid="{00000000-0005-0000-0000-000002700000}"/>
    <cellStyle name="SAPBEXresItemX 12 2" xfId="6064" xr:uid="{00000000-0005-0000-0000-000003700000}"/>
    <cellStyle name="SAPBEXresItemX 12 3" xfId="9189" xr:uid="{00000000-0005-0000-0000-000004700000}"/>
    <cellStyle name="SAPBEXresItemX 12 4" xfId="12267" xr:uid="{00000000-0005-0000-0000-000005700000}"/>
    <cellStyle name="SAPBEXresItemX 12 5" xfId="12904" xr:uid="{00000000-0005-0000-0000-000006700000}"/>
    <cellStyle name="SAPBEXresItemX 12 6" xfId="15754" xr:uid="{00000000-0005-0000-0000-000007700000}"/>
    <cellStyle name="SAPBEXresItemX 12 7" xfId="17600" xr:uid="{00000000-0005-0000-0000-000008700000}"/>
    <cellStyle name="SAPBEXresItemX 12 8" xfId="20450" xr:uid="{00000000-0005-0000-0000-000009700000}"/>
    <cellStyle name="SAPBEXresItemX 12 9" xfId="22231" xr:uid="{00000000-0005-0000-0000-00000A700000}"/>
    <cellStyle name="SAPBEXresItemX 13" xfId="3569" xr:uid="{00000000-0005-0000-0000-00000B700000}"/>
    <cellStyle name="SAPBEXresItemX 13 2" xfId="6107" xr:uid="{00000000-0005-0000-0000-00000C700000}"/>
    <cellStyle name="SAPBEXresItemX 13 3" xfId="9453" xr:uid="{00000000-0005-0000-0000-00000D700000}"/>
    <cellStyle name="SAPBEXresItemX 13 4" xfId="11690" xr:uid="{00000000-0005-0000-0000-00000E700000}"/>
    <cellStyle name="SAPBEXresItemX 13 5" xfId="14139" xr:uid="{00000000-0005-0000-0000-00000F700000}"/>
    <cellStyle name="SAPBEXresItemX 13 6" xfId="14847" xr:uid="{00000000-0005-0000-0000-000010700000}"/>
    <cellStyle name="SAPBEXresItemX 13 7" xfId="18835" xr:uid="{00000000-0005-0000-0000-000011700000}"/>
    <cellStyle name="SAPBEXresItemX 13 8" xfId="19543" xr:uid="{00000000-0005-0000-0000-000012700000}"/>
    <cellStyle name="SAPBEXresItemX 13 9" xfId="23364" xr:uid="{00000000-0005-0000-0000-000013700000}"/>
    <cellStyle name="SAPBEXresItemX 14" xfId="3610" xr:uid="{00000000-0005-0000-0000-000014700000}"/>
    <cellStyle name="SAPBEXresItemX 14 2" xfId="6148" xr:uid="{00000000-0005-0000-0000-000015700000}"/>
    <cellStyle name="SAPBEXresItemX 14 3" xfId="8434" xr:uid="{00000000-0005-0000-0000-000016700000}"/>
    <cellStyle name="SAPBEXresItemX 14 4" xfId="12032" xr:uid="{00000000-0005-0000-0000-000017700000}"/>
    <cellStyle name="SAPBEXresItemX 14 5" xfId="14513" xr:uid="{00000000-0005-0000-0000-000018700000}"/>
    <cellStyle name="SAPBEXresItemX 14 6" xfId="13371" xr:uid="{00000000-0005-0000-0000-000019700000}"/>
    <cellStyle name="SAPBEXresItemX 14 7" xfId="19209" xr:uid="{00000000-0005-0000-0000-00001A700000}"/>
    <cellStyle name="SAPBEXresItemX 14 8" xfId="18067" xr:uid="{00000000-0005-0000-0000-00001B700000}"/>
    <cellStyle name="SAPBEXresItemX 14 9" xfId="23707" xr:uid="{00000000-0005-0000-0000-00001C700000}"/>
    <cellStyle name="SAPBEXresItemX 15" xfId="3638" xr:uid="{00000000-0005-0000-0000-00001D700000}"/>
    <cellStyle name="SAPBEXresItemX 15 2" xfId="6176" xr:uid="{00000000-0005-0000-0000-00001E700000}"/>
    <cellStyle name="SAPBEXresItemX 15 3" xfId="9246" xr:uid="{00000000-0005-0000-0000-00001F700000}"/>
    <cellStyle name="SAPBEXresItemX 15 4" xfId="10283" xr:uid="{00000000-0005-0000-0000-000020700000}"/>
    <cellStyle name="SAPBEXresItemX 15 5" xfId="12595" xr:uid="{00000000-0005-0000-0000-000021700000}"/>
    <cellStyle name="SAPBEXresItemX 15 6" xfId="14969" xr:uid="{00000000-0005-0000-0000-000022700000}"/>
    <cellStyle name="SAPBEXresItemX 15 7" xfId="17291" xr:uid="{00000000-0005-0000-0000-000023700000}"/>
    <cellStyle name="SAPBEXresItemX 15 8" xfId="19665" xr:uid="{00000000-0005-0000-0000-000024700000}"/>
    <cellStyle name="SAPBEXresItemX 15 9" xfId="21953" xr:uid="{00000000-0005-0000-0000-000025700000}"/>
    <cellStyle name="SAPBEXresItemX 16" xfId="3681" xr:uid="{00000000-0005-0000-0000-000026700000}"/>
    <cellStyle name="SAPBEXresItemX 16 2" xfId="6219" xr:uid="{00000000-0005-0000-0000-000027700000}"/>
    <cellStyle name="SAPBEXresItemX 16 3" xfId="10216" xr:uid="{00000000-0005-0000-0000-000028700000}"/>
    <cellStyle name="SAPBEXresItemX 16 4" xfId="10614" xr:uid="{00000000-0005-0000-0000-000029700000}"/>
    <cellStyle name="SAPBEXresItemX 16 5" xfId="12962" xr:uid="{00000000-0005-0000-0000-00002A700000}"/>
    <cellStyle name="SAPBEXresItemX 16 6" xfId="16656" xr:uid="{00000000-0005-0000-0000-00002B700000}"/>
    <cellStyle name="SAPBEXresItemX 16 7" xfId="17658" xr:uid="{00000000-0005-0000-0000-00002C700000}"/>
    <cellStyle name="SAPBEXresItemX 16 8" xfId="21352" xr:uid="{00000000-0005-0000-0000-00002D700000}"/>
    <cellStyle name="SAPBEXresItemX 16 9" xfId="22287" xr:uid="{00000000-0005-0000-0000-00002E700000}"/>
    <cellStyle name="SAPBEXresItemX 17" xfId="3564" xr:uid="{00000000-0005-0000-0000-00002F700000}"/>
    <cellStyle name="SAPBEXresItemX 17 2" xfId="6102" xr:uid="{00000000-0005-0000-0000-000030700000}"/>
    <cellStyle name="SAPBEXresItemX 17 3" xfId="8954" xr:uid="{00000000-0005-0000-0000-000031700000}"/>
    <cellStyle name="SAPBEXresItemX 17 4" xfId="11289" xr:uid="{00000000-0005-0000-0000-000032700000}"/>
    <cellStyle name="SAPBEXresItemX 17 5" xfId="13695" xr:uid="{00000000-0005-0000-0000-000033700000}"/>
    <cellStyle name="SAPBEXresItemX 17 6" xfId="15803" xr:uid="{00000000-0005-0000-0000-000034700000}"/>
    <cellStyle name="SAPBEXresItemX 17 7" xfId="18391" xr:uid="{00000000-0005-0000-0000-000035700000}"/>
    <cellStyle name="SAPBEXresItemX 17 8" xfId="20499" xr:uid="{00000000-0005-0000-0000-000036700000}"/>
    <cellStyle name="SAPBEXresItemX 17 9" xfId="22963" xr:uid="{00000000-0005-0000-0000-000037700000}"/>
    <cellStyle name="SAPBEXresItemX 18" xfId="3743" xr:uid="{00000000-0005-0000-0000-000038700000}"/>
    <cellStyle name="SAPBEXresItemX 18 2" xfId="6281" xr:uid="{00000000-0005-0000-0000-000039700000}"/>
    <cellStyle name="SAPBEXresItemX 18 3" xfId="10036" xr:uid="{00000000-0005-0000-0000-00003A700000}"/>
    <cellStyle name="SAPBEXresItemX 18 4" xfId="11319" xr:uid="{00000000-0005-0000-0000-00003B700000}"/>
    <cellStyle name="SAPBEXresItemX 18 5" xfId="13728" xr:uid="{00000000-0005-0000-0000-00003C700000}"/>
    <cellStyle name="SAPBEXresItemX 18 6" xfId="13498" xr:uid="{00000000-0005-0000-0000-00003D700000}"/>
    <cellStyle name="SAPBEXresItemX 18 7" xfId="18424" xr:uid="{00000000-0005-0000-0000-00003E700000}"/>
    <cellStyle name="SAPBEXresItemX 18 8" xfId="18194" xr:uid="{00000000-0005-0000-0000-00003F700000}"/>
    <cellStyle name="SAPBEXresItemX 18 9" xfId="22993" xr:uid="{00000000-0005-0000-0000-000040700000}"/>
    <cellStyle name="SAPBEXresItemX 19" xfId="3583" xr:uid="{00000000-0005-0000-0000-000041700000}"/>
    <cellStyle name="SAPBEXresItemX 19 2" xfId="6121" xr:uid="{00000000-0005-0000-0000-000042700000}"/>
    <cellStyle name="SAPBEXresItemX 19 3" xfId="8788" xr:uid="{00000000-0005-0000-0000-000043700000}"/>
    <cellStyle name="SAPBEXresItemX 19 4" xfId="10853" xr:uid="{00000000-0005-0000-0000-000044700000}"/>
    <cellStyle name="SAPBEXresItemX 19 5" xfId="13218" xr:uid="{00000000-0005-0000-0000-000045700000}"/>
    <cellStyle name="SAPBEXresItemX 19 6" xfId="16300" xr:uid="{00000000-0005-0000-0000-000046700000}"/>
    <cellStyle name="SAPBEXresItemX 19 7" xfId="17914" xr:uid="{00000000-0005-0000-0000-000047700000}"/>
    <cellStyle name="SAPBEXresItemX 19 8" xfId="20996" xr:uid="{00000000-0005-0000-0000-000048700000}"/>
    <cellStyle name="SAPBEXresItemX 19 9" xfId="22524" xr:uid="{00000000-0005-0000-0000-000049700000}"/>
    <cellStyle name="SAPBEXresItemX 2" xfId="3093" xr:uid="{00000000-0005-0000-0000-00004A700000}"/>
    <cellStyle name="SAPBEXresItemX 2 2" xfId="5631" xr:uid="{00000000-0005-0000-0000-00004B700000}"/>
    <cellStyle name="SAPBEXresItemX 2 3" xfId="10048" xr:uid="{00000000-0005-0000-0000-00004C700000}"/>
    <cellStyle name="SAPBEXresItemX 2 4" xfId="10622" xr:uid="{00000000-0005-0000-0000-00004D700000}"/>
    <cellStyle name="SAPBEXresItemX 2 5" xfId="12971" xr:uid="{00000000-0005-0000-0000-00004E700000}"/>
    <cellStyle name="SAPBEXresItemX 2 6" xfId="15037" xr:uid="{00000000-0005-0000-0000-00004F700000}"/>
    <cellStyle name="SAPBEXresItemX 2 7" xfId="17667" xr:uid="{00000000-0005-0000-0000-000050700000}"/>
    <cellStyle name="SAPBEXresItemX 2 8" xfId="19733" xr:uid="{00000000-0005-0000-0000-000051700000}"/>
    <cellStyle name="SAPBEXresItemX 2 9" xfId="22295" xr:uid="{00000000-0005-0000-0000-000052700000}"/>
    <cellStyle name="SAPBEXresItemX 20" xfId="3820" xr:uid="{00000000-0005-0000-0000-000053700000}"/>
    <cellStyle name="SAPBEXresItemX 20 2" xfId="6358" xr:uid="{00000000-0005-0000-0000-000054700000}"/>
    <cellStyle name="SAPBEXresItemX 20 3" xfId="8840" xr:uid="{00000000-0005-0000-0000-000055700000}"/>
    <cellStyle name="SAPBEXresItemX 20 4" xfId="10877" xr:uid="{00000000-0005-0000-0000-000056700000}"/>
    <cellStyle name="SAPBEXresItemX 20 5" xfId="13244" xr:uid="{00000000-0005-0000-0000-000057700000}"/>
    <cellStyle name="SAPBEXresItemX 20 6" xfId="15720" xr:uid="{00000000-0005-0000-0000-000058700000}"/>
    <cellStyle name="SAPBEXresItemX 20 7" xfId="17940" xr:uid="{00000000-0005-0000-0000-000059700000}"/>
    <cellStyle name="SAPBEXresItemX 20 8" xfId="20416" xr:uid="{00000000-0005-0000-0000-00005A700000}"/>
    <cellStyle name="SAPBEXresItemX 20 9" xfId="22548" xr:uid="{00000000-0005-0000-0000-00005B700000}"/>
    <cellStyle name="SAPBEXresItemX 21" xfId="3855" xr:uid="{00000000-0005-0000-0000-00005C700000}"/>
    <cellStyle name="SAPBEXresItemX 21 2" xfId="6393" xr:uid="{00000000-0005-0000-0000-00005D700000}"/>
    <cellStyle name="SAPBEXresItemX 21 3" xfId="7930" xr:uid="{00000000-0005-0000-0000-00005E700000}"/>
    <cellStyle name="SAPBEXresItemX 21 4" xfId="10920" xr:uid="{00000000-0005-0000-0000-00005F700000}"/>
    <cellStyle name="SAPBEXresItemX 21 5" xfId="13290" xr:uid="{00000000-0005-0000-0000-000060700000}"/>
    <cellStyle name="SAPBEXresItemX 21 6" xfId="15478" xr:uid="{00000000-0005-0000-0000-000061700000}"/>
    <cellStyle name="SAPBEXresItemX 21 7" xfId="17986" xr:uid="{00000000-0005-0000-0000-000062700000}"/>
    <cellStyle name="SAPBEXresItemX 21 8" xfId="20174" xr:uid="{00000000-0005-0000-0000-000063700000}"/>
    <cellStyle name="SAPBEXresItemX 21 9" xfId="22591" xr:uid="{00000000-0005-0000-0000-000064700000}"/>
    <cellStyle name="SAPBEXresItemX 22" xfId="3785" xr:uid="{00000000-0005-0000-0000-000065700000}"/>
    <cellStyle name="SAPBEXresItemX 22 2" xfId="6323" xr:uid="{00000000-0005-0000-0000-000066700000}"/>
    <cellStyle name="SAPBEXresItemX 22 3" xfId="8889" xr:uid="{00000000-0005-0000-0000-000067700000}"/>
    <cellStyle name="SAPBEXresItemX 22 4" xfId="10835" xr:uid="{00000000-0005-0000-0000-000068700000}"/>
    <cellStyle name="SAPBEXresItemX 22 5" xfId="13200" xr:uid="{00000000-0005-0000-0000-000069700000}"/>
    <cellStyle name="SAPBEXresItemX 22 6" xfId="15553" xr:uid="{00000000-0005-0000-0000-00006A700000}"/>
    <cellStyle name="SAPBEXresItemX 22 7" xfId="17896" xr:uid="{00000000-0005-0000-0000-00006B700000}"/>
    <cellStyle name="SAPBEXresItemX 22 8" xfId="20249" xr:uid="{00000000-0005-0000-0000-00006C700000}"/>
    <cellStyle name="SAPBEXresItemX 22 9" xfId="22506" xr:uid="{00000000-0005-0000-0000-00006D700000}"/>
    <cellStyle name="SAPBEXresItemX 23" xfId="3917" xr:uid="{00000000-0005-0000-0000-00006E700000}"/>
    <cellStyle name="SAPBEXresItemX 23 2" xfId="6455" xr:uid="{00000000-0005-0000-0000-00006F700000}"/>
    <cellStyle name="SAPBEXresItemX 23 3" xfId="9596" xr:uid="{00000000-0005-0000-0000-000070700000}"/>
    <cellStyle name="SAPBEXresItemX 23 4" xfId="12231" xr:uid="{00000000-0005-0000-0000-000071700000}"/>
    <cellStyle name="SAPBEXresItemX 23 5" xfId="12580" xr:uid="{00000000-0005-0000-0000-000072700000}"/>
    <cellStyle name="SAPBEXresItemX 23 6" xfId="16315" xr:uid="{00000000-0005-0000-0000-000073700000}"/>
    <cellStyle name="SAPBEXresItemX 23 7" xfId="17276" xr:uid="{00000000-0005-0000-0000-000074700000}"/>
    <cellStyle name="SAPBEXresItemX 23 8" xfId="21011" xr:uid="{00000000-0005-0000-0000-000075700000}"/>
    <cellStyle name="SAPBEXresItemX 23 9" xfId="21939" xr:uid="{00000000-0005-0000-0000-000076700000}"/>
    <cellStyle name="SAPBEXresItemX 24" xfId="3960" xr:uid="{00000000-0005-0000-0000-000077700000}"/>
    <cellStyle name="SAPBEXresItemX 24 2" xfId="6498" xr:uid="{00000000-0005-0000-0000-000078700000}"/>
    <cellStyle name="SAPBEXresItemX 24 3" xfId="8964" xr:uid="{00000000-0005-0000-0000-000079700000}"/>
    <cellStyle name="SAPBEXresItemX 24 4" xfId="10318" xr:uid="{00000000-0005-0000-0000-00007A700000}"/>
    <cellStyle name="SAPBEXresItemX 24 5" xfId="12635" xr:uid="{00000000-0005-0000-0000-00007B700000}"/>
    <cellStyle name="SAPBEXresItemX 24 6" xfId="15825" xr:uid="{00000000-0005-0000-0000-00007C700000}"/>
    <cellStyle name="SAPBEXresItemX 24 7" xfId="17331" xr:uid="{00000000-0005-0000-0000-00007D700000}"/>
    <cellStyle name="SAPBEXresItemX 24 8" xfId="20521" xr:uid="{00000000-0005-0000-0000-00007E700000}"/>
    <cellStyle name="SAPBEXresItemX 24 9" xfId="21989" xr:uid="{00000000-0005-0000-0000-00007F700000}"/>
    <cellStyle name="SAPBEXresItemX 25" xfId="4003" xr:uid="{00000000-0005-0000-0000-000080700000}"/>
    <cellStyle name="SAPBEXresItemX 25 2" xfId="6541" xr:uid="{00000000-0005-0000-0000-000081700000}"/>
    <cellStyle name="SAPBEXresItemX 25 3" xfId="8904" xr:uid="{00000000-0005-0000-0000-000082700000}"/>
    <cellStyle name="SAPBEXresItemX 25 4" xfId="10276" xr:uid="{00000000-0005-0000-0000-000083700000}"/>
    <cellStyle name="SAPBEXresItemX 25 5" xfId="12586" xr:uid="{00000000-0005-0000-0000-000084700000}"/>
    <cellStyle name="SAPBEXresItemX 25 6" xfId="16946" xr:uid="{00000000-0005-0000-0000-000085700000}"/>
    <cellStyle name="SAPBEXresItemX 25 7" xfId="17282" xr:uid="{00000000-0005-0000-0000-000086700000}"/>
    <cellStyle name="SAPBEXresItemX 25 8" xfId="21642" xr:uid="{00000000-0005-0000-0000-000087700000}"/>
    <cellStyle name="SAPBEXresItemX 25 9" xfId="21945" xr:uid="{00000000-0005-0000-0000-000088700000}"/>
    <cellStyle name="SAPBEXresItemX 26" xfId="3894" xr:uid="{00000000-0005-0000-0000-000089700000}"/>
    <cellStyle name="SAPBEXresItemX 26 2" xfId="6432" xr:uid="{00000000-0005-0000-0000-00008A700000}"/>
    <cellStyle name="SAPBEXresItemX 26 3" xfId="8193" xr:uid="{00000000-0005-0000-0000-00008B700000}"/>
    <cellStyle name="SAPBEXresItemX 26 4" xfId="10348" xr:uid="{00000000-0005-0000-0000-00008C700000}"/>
    <cellStyle name="SAPBEXresItemX 26 5" xfId="14445" xr:uid="{00000000-0005-0000-0000-00008D700000}"/>
    <cellStyle name="SAPBEXresItemX 26 6" xfId="16004" xr:uid="{00000000-0005-0000-0000-00008E700000}"/>
    <cellStyle name="SAPBEXresItemX 26 7" xfId="19141" xr:uid="{00000000-0005-0000-0000-00008F700000}"/>
    <cellStyle name="SAPBEXresItemX 26 8" xfId="20700" xr:uid="{00000000-0005-0000-0000-000090700000}"/>
    <cellStyle name="SAPBEXresItemX 26 9" xfId="23643" xr:uid="{00000000-0005-0000-0000-000091700000}"/>
    <cellStyle name="SAPBEXresItemX 27" xfId="4082" xr:uid="{00000000-0005-0000-0000-000092700000}"/>
    <cellStyle name="SAPBEXresItemX 27 2" xfId="6620" xr:uid="{00000000-0005-0000-0000-000093700000}"/>
    <cellStyle name="SAPBEXresItemX 27 3" xfId="9324" xr:uid="{00000000-0005-0000-0000-000094700000}"/>
    <cellStyle name="SAPBEXresItemX 27 4" xfId="10387" xr:uid="{00000000-0005-0000-0000-000095700000}"/>
    <cellStyle name="SAPBEXresItemX 27 5" xfId="12710" xr:uid="{00000000-0005-0000-0000-000096700000}"/>
    <cellStyle name="SAPBEXresItemX 27 6" xfId="15282" xr:uid="{00000000-0005-0000-0000-000097700000}"/>
    <cellStyle name="SAPBEXresItemX 27 7" xfId="17406" xr:uid="{00000000-0005-0000-0000-000098700000}"/>
    <cellStyle name="SAPBEXresItemX 27 8" xfId="19978" xr:uid="{00000000-0005-0000-0000-000099700000}"/>
    <cellStyle name="SAPBEXresItemX 27 9" xfId="22058" xr:uid="{00000000-0005-0000-0000-00009A700000}"/>
    <cellStyle name="SAPBEXresItemX 28" xfId="4108" xr:uid="{00000000-0005-0000-0000-00009B700000}"/>
    <cellStyle name="SAPBEXresItemX 28 2" xfId="6646" xr:uid="{00000000-0005-0000-0000-00009C700000}"/>
    <cellStyle name="SAPBEXresItemX 28 3" xfId="8080" xr:uid="{00000000-0005-0000-0000-00009D700000}"/>
    <cellStyle name="SAPBEXresItemX 28 4" xfId="11083" xr:uid="{00000000-0005-0000-0000-00009E700000}"/>
    <cellStyle name="SAPBEXresItemX 28 5" xfId="13473" xr:uid="{00000000-0005-0000-0000-00009F700000}"/>
    <cellStyle name="SAPBEXresItemX 28 6" xfId="16769" xr:uid="{00000000-0005-0000-0000-0000A0700000}"/>
    <cellStyle name="SAPBEXresItemX 28 7" xfId="18169" xr:uid="{00000000-0005-0000-0000-0000A1700000}"/>
    <cellStyle name="SAPBEXresItemX 28 8" xfId="21465" xr:uid="{00000000-0005-0000-0000-0000A2700000}"/>
    <cellStyle name="SAPBEXresItemX 28 9" xfId="22756" xr:uid="{00000000-0005-0000-0000-0000A3700000}"/>
    <cellStyle name="SAPBEXresItemX 29" xfId="4151" xr:uid="{00000000-0005-0000-0000-0000A4700000}"/>
    <cellStyle name="SAPBEXresItemX 29 2" xfId="6689" xr:uid="{00000000-0005-0000-0000-0000A5700000}"/>
    <cellStyle name="SAPBEXresItemX 29 3" xfId="8225" xr:uid="{00000000-0005-0000-0000-0000A6700000}"/>
    <cellStyle name="SAPBEXresItemX 29 4" xfId="11898" xr:uid="{00000000-0005-0000-0000-0000A7700000}"/>
    <cellStyle name="SAPBEXresItemX 29 5" xfId="14368" xr:uid="{00000000-0005-0000-0000-0000A8700000}"/>
    <cellStyle name="SAPBEXresItemX 29 6" xfId="12554" xr:uid="{00000000-0005-0000-0000-0000A9700000}"/>
    <cellStyle name="SAPBEXresItemX 29 7" xfId="19064" xr:uid="{00000000-0005-0000-0000-0000AA700000}"/>
    <cellStyle name="SAPBEXresItemX 29 8" xfId="17250" xr:uid="{00000000-0005-0000-0000-0000AB700000}"/>
    <cellStyle name="SAPBEXresItemX 29 9" xfId="23573" xr:uid="{00000000-0005-0000-0000-0000AC700000}"/>
    <cellStyle name="SAPBEXresItemX 3" xfId="3139" xr:uid="{00000000-0005-0000-0000-0000AD700000}"/>
    <cellStyle name="SAPBEXresItemX 3 2" xfId="5677" xr:uid="{00000000-0005-0000-0000-0000AE700000}"/>
    <cellStyle name="SAPBEXresItemX 3 3" xfId="10109" xr:uid="{00000000-0005-0000-0000-0000AF700000}"/>
    <cellStyle name="SAPBEXresItemX 3 4" xfId="11665" xr:uid="{00000000-0005-0000-0000-0000B0700000}"/>
    <cellStyle name="SAPBEXresItemX 3 5" xfId="14112" xr:uid="{00000000-0005-0000-0000-0000B1700000}"/>
    <cellStyle name="SAPBEXresItemX 3 6" xfId="16840" xr:uid="{00000000-0005-0000-0000-0000B2700000}"/>
    <cellStyle name="SAPBEXresItemX 3 7" xfId="18808" xr:uid="{00000000-0005-0000-0000-0000B3700000}"/>
    <cellStyle name="SAPBEXresItemX 3 8" xfId="21536" xr:uid="{00000000-0005-0000-0000-0000B4700000}"/>
    <cellStyle name="SAPBEXresItemX 3 9" xfId="23340" xr:uid="{00000000-0005-0000-0000-0000B5700000}"/>
    <cellStyle name="SAPBEXresItemX 30" xfId="4194" xr:uid="{00000000-0005-0000-0000-0000B6700000}"/>
    <cellStyle name="SAPBEXresItemX 30 2" xfId="6732" xr:uid="{00000000-0005-0000-0000-0000B7700000}"/>
    <cellStyle name="SAPBEXresItemX 30 3" xfId="10102" xr:uid="{00000000-0005-0000-0000-0000B8700000}"/>
    <cellStyle name="SAPBEXresItemX 30 4" xfId="5538" xr:uid="{00000000-0005-0000-0000-0000B9700000}"/>
    <cellStyle name="SAPBEXresItemX 30 5" xfId="12446" xr:uid="{00000000-0005-0000-0000-0000BA700000}"/>
    <cellStyle name="SAPBEXresItemX 30 6" xfId="15367" xr:uid="{00000000-0005-0000-0000-0000BB700000}"/>
    <cellStyle name="SAPBEXresItemX 30 7" xfId="17142" xr:uid="{00000000-0005-0000-0000-0000BC700000}"/>
    <cellStyle name="SAPBEXresItemX 30 8" xfId="20063" xr:uid="{00000000-0005-0000-0000-0000BD700000}"/>
    <cellStyle name="SAPBEXresItemX 30 9" xfId="21825" xr:uid="{00000000-0005-0000-0000-0000BE700000}"/>
    <cellStyle name="SAPBEXresItemX 31" xfId="4236" xr:uid="{00000000-0005-0000-0000-0000BF700000}"/>
    <cellStyle name="SAPBEXresItemX 31 2" xfId="6774" xr:uid="{00000000-0005-0000-0000-0000C0700000}"/>
    <cellStyle name="SAPBEXresItemX 31 3" xfId="8965" xr:uid="{00000000-0005-0000-0000-0000C1700000}"/>
    <cellStyle name="SAPBEXresItemX 31 4" xfId="10775" xr:uid="{00000000-0005-0000-0000-0000C2700000}"/>
    <cellStyle name="SAPBEXresItemX 31 5" xfId="13130" xr:uid="{00000000-0005-0000-0000-0000C3700000}"/>
    <cellStyle name="SAPBEXresItemX 31 6" xfId="16599" xr:uid="{00000000-0005-0000-0000-0000C4700000}"/>
    <cellStyle name="SAPBEXresItemX 31 7" xfId="17826" xr:uid="{00000000-0005-0000-0000-0000C5700000}"/>
    <cellStyle name="SAPBEXresItemX 31 8" xfId="21295" xr:uid="{00000000-0005-0000-0000-0000C6700000}"/>
    <cellStyle name="SAPBEXresItemX 31 9" xfId="22447" xr:uid="{00000000-0005-0000-0000-0000C7700000}"/>
    <cellStyle name="SAPBEXresItemX 32" xfId="4279" xr:uid="{00000000-0005-0000-0000-0000C8700000}"/>
    <cellStyle name="SAPBEXresItemX 32 2" xfId="6817" xr:uid="{00000000-0005-0000-0000-0000C9700000}"/>
    <cellStyle name="SAPBEXresItemX 32 3" xfId="9091" xr:uid="{00000000-0005-0000-0000-0000CA700000}"/>
    <cellStyle name="SAPBEXresItemX 32 4" xfId="11068" xr:uid="{00000000-0005-0000-0000-0000CB700000}"/>
    <cellStyle name="SAPBEXresItemX 32 5" xfId="13456" xr:uid="{00000000-0005-0000-0000-0000CC700000}"/>
    <cellStyle name="SAPBEXresItemX 32 6" xfId="15166" xr:uid="{00000000-0005-0000-0000-0000CD700000}"/>
    <cellStyle name="SAPBEXresItemX 32 7" xfId="18152" xr:uid="{00000000-0005-0000-0000-0000CE700000}"/>
    <cellStyle name="SAPBEXresItemX 32 8" xfId="19862" xr:uid="{00000000-0005-0000-0000-0000CF700000}"/>
    <cellStyle name="SAPBEXresItemX 32 9" xfId="22741" xr:uid="{00000000-0005-0000-0000-0000D0700000}"/>
    <cellStyle name="SAPBEXresItemX 33" xfId="4322" xr:uid="{00000000-0005-0000-0000-0000D1700000}"/>
    <cellStyle name="SAPBEXresItemX 33 2" xfId="6860" xr:uid="{00000000-0005-0000-0000-0000D2700000}"/>
    <cellStyle name="SAPBEXresItemX 33 3" xfId="8430" xr:uid="{00000000-0005-0000-0000-0000D3700000}"/>
    <cellStyle name="SAPBEXresItemX 33 4" xfId="9126" xr:uid="{00000000-0005-0000-0000-0000D4700000}"/>
    <cellStyle name="SAPBEXresItemX 33 5" xfId="12502" xr:uid="{00000000-0005-0000-0000-0000D5700000}"/>
    <cellStyle name="SAPBEXresItemX 33 6" xfId="16015" xr:uid="{00000000-0005-0000-0000-0000D6700000}"/>
    <cellStyle name="SAPBEXresItemX 33 7" xfId="17198" xr:uid="{00000000-0005-0000-0000-0000D7700000}"/>
    <cellStyle name="SAPBEXresItemX 33 8" xfId="20711" xr:uid="{00000000-0005-0000-0000-0000D8700000}"/>
    <cellStyle name="SAPBEXresItemX 33 9" xfId="21871" xr:uid="{00000000-0005-0000-0000-0000D9700000}"/>
    <cellStyle name="SAPBEXresItemX 34" xfId="4365" xr:uid="{00000000-0005-0000-0000-0000DA700000}"/>
    <cellStyle name="SAPBEXresItemX 34 2" xfId="6903" xr:uid="{00000000-0005-0000-0000-0000DB700000}"/>
    <cellStyle name="SAPBEXresItemX 34 3" xfId="9199" xr:uid="{00000000-0005-0000-0000-0000DC700000}"/>
    <cellStyle name="SAPBEXresItemX 34 4" xfId="10824" xr:uid="{00000000-0005-0000-0000-0000DD700000}"/>
    <cellStyle name="SAPBEXresItemX 34 5" xfId="13187" xr:uid="{00000000-0005-0000-0000-0000DE700000}"/>
    <cellStyle name="SAPBEXresItemX 34 6" xfId="16092" xr:uid="{00000000-0005-0000-0000-0000DF700000}"/>
    <cellStyle name="SAPBEXresItemX 34 7" xfId="17883" xr:uid="{00000000-0005-0000-0000-0000E0700000}"/>
    <cellStyle name="SAPBEXresItemX 34 8" xfId="20788" xr:uid="{00000000-0005-0000-0000-0000E1700000}"/>
    <cellStyle name="SAPBEXresItemX 34 9" xfId="22495" xr:uid="{00000000-0005-0000-0000-0000E2700000}"/>
    <cellStyle name="SAPBEXresItemX 35" xfId="4408" xr:uid="{00000000-0005-0000-0000-0000E3700000}"/>
    <cellStyle name="SAPBEXresItemX 35 2" xfId="6946" xr:uid="{00000000-0005-0000-0000-0000E4700000}"/>
    <cellStyle name="SAPBEXresItemX 35 3" xfId="9753" xr:uid="{00000000-0005-0000-0000-0000E5700000}"/>
    <cellStyle name="SAPBEXresItemX 35 4" xfId="11397" xr:uid="{00000000-0005-0000-0000-0000E6700000}"/>
    <cellStyle name="SAPBEXresItemX 35 5" xfId="12456" xr:uid="{00000000-0005-0000-0000-0000E7700000}"/>
    <cellStyle name="SAPBEXresItemX 35 6" xfId="16740" xr:uid="{00000000-0005-0000-0000-0000E8700000}"/>
    <cellStyle name="SAPBEXresItemX 35 7" xfId="17152" xr:uid="{00000000-0005-0000-0000-0000E9700000}"/>
    <cellStyle name="SAPBEXresItemX 35 8" xfId="21436" xr:uid="{00000000-0005-0000-0000-0000EA700000}"/>
    <cellStyle name="SAPBEXresItemX 35 9" xfId="21833" xr:uid="{00000000-0005-0000-0000-0000EB700000}"/>
    <cellStyle name="SAPBEXresItemX 36" xfId="4451" xr:uid="{00000000-0005-0000-0000-0000EC700000}"/>
    <cellStyle name="SAPBEXresItemX 36 2" xfId="6989" xr:uid="{00000000-0005-0000-0000-0000ED700000}"/>
    <cellStyle name="SAPBEXresItemX 36 3" xfId="8642" xr:uid="{00000000-0005-0000-0000-0000EE700000}"/>
    <cellStyle name="SAPBEXresItemX 36 4" xfId="10267" xr:uid="{00000000-0005-0000-0000-0000EF700000}"/>
    <cellStyle name="SAPBEXresItemX 36 5" xfId="13754" xr:uid="{00000000-0005-0000-0000-0000F0700000}"/>
    <cellStyle name="SAPBEXresItemX 36 6" xfId="16438" xr:uid="{00000000-0005-0000-0000-0000F1700000}"/>
    <cellStyle name="SAPBEXresItemX 36 7" xfId="18450" xr:uid="{00000000-0005-0000-0000-0000F2700000}"/>
    <cellStyle name="SAPBEXresItemX 36 8" xfId="21134" xr:uid="{00000000-0005-0000-0000-0000F3700000}"/>
    <cellStyle name="SAPBEXresItemX 36 9" xfId="23017" xr:uid="{00000000-0005-0000-0000-0000F4700000}"/>
    <cellStyle name="SAPBEXresItemX 37" xfId="4511" xr:uid="{00000000-0005-0000-0000-0000F5700000}"/>
    <cellStyle name="SAPBEXresItemX 37 2" xfId="7049" xr:uid="{00000000-0005-0000-0000-0000F6700000}"/>
    <cellStyle name="SAPBEXresItemX 37 3" xfId="8342" xr:uid="{00000000-0005-0000-0000-0000F7700000}"/>
    <cellStyle name="SAPBEXresItemX 37 4" xfId="11802" xr:uid="{00000000-0005-0000-0000-0000F8700000}"/>
    <cellStyle name="SAPBEXresItemX 37 5" xfId="14876" xr:uid="{00000000-0005-0000-0000-0000F9700000}"/>
    <cellStyle name="SAPBEXresItemX 37 6" xfId="16061" xr:uid="{00000000-0005-0000-0000-0000FA700000}"/>
    <cellStyle name="SAPBEXresItemX 37 7" xfId="19572" xr:uid="{00000000-0005-0000-0000-0000FB700000}"/>
    <cellStyle name="SAPBEXresItemX 37 8" xfId="20757" xr:uid="{00000000-0005-0000-0000-0000FC700000}"/>
    <cellStyle name="SAPBEXresItemX 37 9" xfId="24046" xr:uid="{00000000-0005-0000-0000-0000FD700000}"/>
    <cellStyle name="SAPBEXresItemX 38" xfId="4537" xr:uid="{00000000-0005-0000-0000-0000FE700000}"/>
    <cellStyle name="SAPBEXresItemX 38 2" xfId="7075" xr:uid="{00000000-0005-0000-0000-0000FF700000}"/>
    <cellStyle name="SAPBEXresItemX 38 3" xfId="8329" xr:uid="{00000000-0005-0000-0000-000000710000}"/>
    <cellStyle name="SAPBEXresItemX 38 4" xfId="11065" xr:uid="{00000000-0005-0000-0000-000001710000}"/>
    <cellStyle name="SAPBEXresItemX 38 5" xfId="13453" xr:uid="{00000000-0005-0000-0000-000002710000}"/>
    <cellStyle name="SAPBEXresItemX 38 6" xfId="15792" xr:uid="{00000000-0005-0000-0000-000003710000}"/>
    <cellStyle name="SAPBEXresItemX 38 7" xfId="18149" xr:uid="{00000000-0005-0000-0000-000004710000}"/>
    <cellStyle name="SAPBEXresItemX 38 8" xfId="20488" xr:uid="{00000000-0005-0000-0000-000005710000}"/>
    <cellStyle name="SAPBEXresItemX 38 9" xfId="22738" xr:uid="{00000000-0005-0000-0000-000006710000}"/>
    <cellStyle name="SAPBEXresItemX 39" xfId="4580" xr:uid="{00000000-0005-0000-0000-000007710000}"/>
    <cellStyle name="SAPBEXresItemX 39 2" xfId="7118" xr:uid="{00000000-0005-0000-0000-000008710000}"/>
    <cellStyle name="SAPBEXresItemX 39 3" xfId="8843" xr:uid="{00000000-0005-0000-0000-000009710000}"/>
    <cellStyle name="SAPBEXresItemX 39 4" xfId="12269" xr:uid="{00000000-0005-0000-0000-00000A710000}"/>
    <cellStyle name="SAPBEXresItemX 39 5" xfId="13194" xr:uid="{00000000-0005-0000-0000-00000B710000}"/>
    <cellStyle name="SAPBEXresItemX 39 6" xfId="15204" xr:uid="{00000000-0005-0000-0000-00000C710000}"/>
    <cellStyle name="SAPBEXresItemX 39 7" xfId="17890" xr:uid="{00000000-0005-0000-0000-00000D710000}"/>
    <cellStyle name="SAPBEXresItemX 39 8" xfId="19900" xr:uid="{00000000-0005-0000-0000-00000E710000}"/>
    <cellStyle name="SAPBEXresItemX 39 9" xfId="22501" xr:uid="{00000000-0005-0000-0000-00000F710000}"/>
    <cellStyle name="SAPBEXresItemX 4" xfId="3182" xr:uid="{00000000-0005-0000-0000-000010710000}"/>
    <cellStyle name="SAPBEXresItemX 4 2" xfId="5720" xr:uid="{00000000-0005-0000-0000-000011710000}"/>
    <cellStyle name="SAPBEXresItemX 4 3" xfId="8275" xr:uid="{00000000-0005-0000-0000-000012710000}"/>
    <cellStyle name="SAPBEXresItemX 4 4" xfId="12013" xr:uid="{00000000-0005-0000-0000-000013710000}"/>
    <cellStyle name="SAPBEXresItemX 4 5" xfId="14493" xr:uid="{00000000-0005-0000-0000-000014710000}"/>
    <cellStyle name="SAPBEXresItemX 4 6" xfId="15092" xr:uid="{00000000-0005-0000-0000-000015710000}"/>
    <cellStyle name="SAPBEXresItemX 4 7" xfId="19189" xr:uid="{00000000-0005-0000-0000-000016710000}"/>
    <cellStyle name="SAPBEXresItemX 4 8" xfId="19788" xr:uid="{00000000-0005-0000-0000-000017710000}"/>
    <cellStyle name="SAPBEXresItemX 4 9" xfId="23688" xr:uid="{00000000-0005-0000-0000-000018710000}"/>
    <cellStyle name="SAPBEXresItemX 40" xfId="4623" xr:uid="{00000000-0005-0000-0000-000019710000}"/>
    <cellStyle name="SAPBEXresItemX 40 2" xfId="7161" xr:uid="{00000000-0005-0000-0000-00001A710000}"/>
    <cellStyle name="SAPBEXresItemX 40 3" xfId="5469" xr:uid="{00000000-0005-0000-0000-00001B710000}"/>
    <cellStyle name="SAPBEXresItemX 40 4" xfId="9747" xr:uid="{00000000-0005-0000-0000-00001C710000}"/>
    <cellStyle name="SAPBEXresItemX 40 5" xfId="12663" xr:uid="{00000000-0005-0000-0000-00001D710000}"/>
    <cellStyle name="SAPBEXresItemX 40 6" xfId="12330" xr:uid="{00000000-0005-0000-0000-00001E710000}"/>
    <cellStyle name="SAPBEXresItemX 40 7" xfId="17359" xr:uid="{00000000-0005-0000-0000-00001F710000}"/>
    <cellStyle name="SAPBEXresItemX 40 8" xfId="17026" xr:uid="{00000000-0005-0000-0000-000020710000}"/>
    <cellStyle name="SAPBEXresItemX 40 9" xfId="22013" xr:uid="{00000000-0005-0000-0000-000021710000}"/>
    <cellStyle name="SAPBEXresItemX 41" xfId="4666" xr:uid="{00000000-0005-0000-0000-000022710000}"/>
    <cellStyle name="SAPBEXresItemX 41 2" xfId="7204" xr:uid="{00000000-0005-0000-0000-000023710000}"/>
    <cellStyle name="SAPBEXresItemX 41 3" xfId="10168" xr:uid="{00000000-0005-0000-0000-000024710000}"/>
    <cellStyle name="SAPBEXresItemX 41 4" xfId="11048" xr:uid="{00000000-0005-0000-0000-000025710000}"/>
    <cellStyle name="SAPBEXresItemX 41 5" xfId="13432" xr:uid="{00000000-0005-0000-0000-000026710000}"/>
    <cellStyle name="SAPBEXresItemX 41 6" xfId="15872" xr:uid="{00000000-0005-0000-0000-000027710000}"/>
    <cellStyle name="SAPBEXresItemX 41 7" xfId="18128" xr:uid="{00000000-0005-0000-0000-000028710000}"/>
    <cellStyle name="SAPBEXresItemX 41 8" xfId="20568" xr:uid="{00000000-0005-0000-0000-000029710000}"/>
    <cellStyle name="SAPBEXresItemX 41 9" xfId="22721" xr:uid="{00000000-0005-0000-0000-00002A710000}"/>
    <cellStyle name="SAPBEXresItemX 42" xfId="4708" xr:uid="{00000000-0005-0000-0000-00002B710000}"/>
    <cellStyle name="SAPBEXresItemX 42 2" xfId="7246" xr:uid="{00000000-0005-0000-0000-00002C710000}"/>
    <cellStyle name="SAPBEXresItemX 42 3" xfId="8097" xr:uid="{00000000-0005-0000-0000-00002D710000}"/>
    <cellStyle name="SAPBEXresItemX 42 4" xfId="11805" xr:uid="{00000000-0005-0000-0000-00002E710000}"/>
    <cellStyle name="SAPBEXresItemX 42 5" xfId="14262" xr:uid="{00000000-0005-0000-0000-00002F710000}"/>
    <cellStyle name="SAPBEXresItemX 42 6" xfId="15049" xr:uid="{00000000-0005-0000-0000-000030710000}"/>
    <cellStyle name="SAPBEXresItemX 42 7" xfId="18958" xr:uid="{00000000-0005-0000-0000-000031710000}"/>
    <cellStyle name="SAPBEXresItemX 42 8" xfId="19745" xr:uid="{00000000-0005-0000-0000-000032710000}"/>
    <cellStyle name="SAPBEXresItemX 42 9" xfId="23480" xr:uid="{00000000-0005-0000-0000-000033710000}"/>
    <cellStyle name="SAPBEXresItemX 43" xfId="4751" xr:uid="{00000000-0005-0000-0000-000034710000}"/>
    <cellStyle name="SAPBEXresItemX 43 2" xfId="7289" xr:uid="{00000000-0005-0000-0000-000035710000}"/>
    <cellStyle name="SAPBEXresItemX 43 3" xfId="10226" xr:uid="{00000000-0005-0000-0000-000036710000}"/>
    <cellStyle name="SAPBEXresItemX 43 4" xfId="12170" xr:uid="{00000000-0005-0000-0000-000037710000}"/>
    <cellStyle name="SAPBEXresItemX 43 5" xfId="14816" xr:uid="{00000000-0005-0000-0000-000038710000}"/>
    <cellStyle name="SAPBEXresItemX 43 6" xfId="15425" xr:uid="{00000000-0005-0000-0000-000039710000}"/>
    <cellStyle name="SAPBEXresItemX 43 7" xfId="19512" xr:uid="{00000000-0005-0000-0000-00003A710000}"/>
    <cellStyle name="SAPBEXresItemX 43 8" xfId="20121" xr:uid="{00000000-0005-0000-0000-00003B710000}"/>
    <cellStyle name="SAPBEXresItemX 43 9" xfId="24000" xr:uid="{00000000-0005-0000-0000-00003C710000}"/>
    <cellStyle name="SAPBEXresItemX 44" xfId="4643" xr:uid="{00000000-0005-0000-0000-00003D710000}"/>
    <cellStyle name="SAPBEXresItemX 44 2" xfId="7181" xr:uid="{00000000-0005-0000-0000-00003E710000}"/>
    <cellStyle name="SAPBEXresItemX 44 3" xfId="7967" xr:uid="{00000000-0005-0000-0000-00003F710000}"/>
    <cellStyle name="SAPBEXresItemX 44 4" xfId="10703" xr:uid="{00000000-0005-0000-0000-000040710000}"/>
    <cellStyle name="SAPBEXresItemX 44 5" xfId="13056" xr:uid="{00000000-0005-0000-0000-000041710000}"/>
    <cellStyle name="SAPBEXresItemX 44 6" xfId="15603" xr:uid="{00000000-0005-0000-0000-000042710000}"/>
    <cellStyle name="SAPBEXresItemX 44 7" xfId="17752" xr:uid="{00000000-0005-0000-0000-000043710000}"/>
    <cellStyle name="SAPBEXresItemX 44 8" xfId="20299" xr:uid="{00000000-0005-0000-0000-000044710000}"/>
    <cellStyle name="SAPBEXresItemX 44 9" xfId="22376" xr:uid="{00000000-0005-0000-0000-000045710000}"/>
    <cellStyle name="SAPBEXresItemX 45" xfId="4813" xr:uid="{00000000-0005-0000-0000-000046710000}"/>
    <cellStyle name="SAPBEXresItemX 45 2" xfId="7351" xr:uid="{00000000-0005-0000-0000-000047710000}"/>
    <cellStyle name="SAPBEXresItemX 45 3" xfId="8512" xr:uid="{00000000-0005-0000-0000-000048710000}"/>
    <cellStyle name="SAPBEXresItemX 45 4" xfId="10460" xr:uid="{00000000-0005-0000-0000-000049710000}"/>
    <cellStyle name="SAPBEXresItemX 45 5" xfId="14504" xr:uid="{00000000-0005-0000-0000-00004A710000}"/>
    <cellStyle name="SAPBEXresItemX 45 6" xfId="16219" xr:uid="{00000000-0005-0000-0000-00004B710000}"/>
    <cellStyle name="SAPBEXresItemX 45 7" xfId="19200" xr:uid="{00000000-0005-0000-0000-00004C710000}"/>
    <cellStyle name="SAPBEXresItemX 45 8" xfId="20915" xr:uid="{00000000-0005-0000-0000-00004D710000}"/>
    <cellStyle name="SAPBEXresItemX 45 9" xfId="23699" xr:uid="{00000000-0005-0000-0000-00004E710000}"/>
    <cellStyle name="SAPBEXresItemX 46" xfId="4856" xr:uid="{00000000-0005-0000-0000-00004F710000}"/>
    <cellStyle name="SAPBEXresItemX 46 2" xfId="7394" xr:uid="{00000000-0005-0000-0000-000050710000}"/>
    <cellStyle name="SAPBEXresItemX 46 3" xfId="8537" xr:uid="{00000000-0005-0000-0000-000051710000}"/>
    <cellStyle name="SAPBEXresItemX 46 4" xfId="11324" xr:uid="{00000000-0005-0000-0000-000052710000}"/>
    <cellStyle name="SAPBEXresItemX 46 5" xfId="13733" xr:uid="{00000000-0005-0000-0000-000053710000}"/>
    <cellStyle name="SAPBEXresItemX 46 6" xfId="15436" xr:uid="{00000000-0005-0000-0000-000054710000}"/>
    <cellStyle name="SAPBEXresItemX 46 7" xfId="18429" xr:uid="{00000000-0005-0000-0000-000055710000}"/>
    <cellStyle name="SAPBEXresItemX 46 8" xfId="20132" xr:uid="{00000000-0005-0000-0000-000056710000}"/>
    <cellStyle name="SAPBEXresItemX 46 9" xfId="22998" xr:uid="{00000000-0005-0000-0000-000057710000}"/>
    <cellStyle name="SAPBEXresItemX 47" xfId="4912" xr:uid="{00000000-0005-0000-0000-000058710000}"/>
    <cellStyle name="SAPBEXresItemX 47 2" xfId="7450" xr:uid="{00000000-0005-0000-0000-000059710000}"/>
    <cellStyle name="SAPBEXresItemX 47 3" xfId="8525" xr:uid="{00000000-0005-0000-0000-00005A710000}"/>
    <cellStyle name="SAPBEXresItemX 47 4" xfId="12001" xr:uid="{00000000-0005-0000-0000-00005B710000}"/>
    <cellStyle name="SAPBEXresItemX 47 5" xfId="14479" xr:uid="{00000000-0005-0000-0000-00005C710000}"/>
    <cellStyle name="SAPBEXresItemX 47 6" xfId="15566" xr:uid="{00000000-0005-0000-0000-00005D710000}"/>
    <cellStyle name="SAPBEXresItemX 47 7" xfId="19175" xr:uid="{00000000-0005-0000-0000-00005E710000}"/>
    <cellStyle name="SAPBEXresItemX 47 8" xfId="20262" xr:uid="{00000000-0005-0000-0000-00005F710000}"/>
    <cellStyle name="SAPBEXresItemX 47 9" xfId="23676" xr:uid="{00000000-0005-0000-0000-000060710000}"/>
    <cellStyle name="SAPBEXresItemX 48" xfId="4936" xr:uid="{00000000-0005-0000-0000-000061710000}"/>
    <cellStyle name="SAPBEXresItemX 48 2" xfId="7474" xr:uid="{00000000-0005-0000-0000-000062710000}"/>
    <cellStyle name="SAPBEXresItemX 48 3" xfId="9997" xr:uid="{00000000-0005-0000-0000-000063710000}"/>
    <cellStyle name="SAPBEXresItemX 48 4" xfId="11467" xr:uid="{00000000-0005-0000-0000-000064710000}"/>
    <cellStyle name="SAPBEXresItemX 48 5" xfId="13890" xr:uid="{00000000-0005-0000-0000-000065710000}"/>
    <cellStyle name="SAPBEXresItemX 48 6" xfId="16658" xr:uid="{00000000-0005-0000-0000-000066710000}"/>
    <cellStyle name="SAPBEXresItemX 48 7" xfId="18586" xr:uid="{00000000-0005-0000-0000-000067710000}"/>
    <cellStyle name="SAPBEXresItemX 48 8" xfId="21354" xr:uid="{00000000-0005-0000-0000-000068710000}"/>
    <cellStyle name="SAPBEXresItemX 48 9" xfId="23142" xr:uid="{00000000-0005-0000-0000-000069710000}"/>
    <cellStyle name="SAPBEXresItemX 49" xfId="4974" xr:uid="{00000000-0005-0000-0000-00006A710000}"/>
    <cellStyle name="SAPBEXresItemX 49 2" xfId="7512" xr:uid="{00000000-0005-0000-0000-00006B710000}"/>
    <cellStyle name="SAPBEXresItemX 49 3" xfId="8277" xr:uid="{00000000-0005-0000-0000-00006C710000}"/>
    <cellStyle name="SAPBEXresItemX 49 4" xfId="11315" xr:uid="{00000000-0005-0000-0000-00006D710000}"/>
    <cellStyle name="SAPBEXresItemX 49 5" xfId="12341" xr:uid="{00000000-0005-0000-0000-00006E710000}"/>
    <cellStyle name="SAPBEXresItemX 49 6" xfId="16100" xr:uid="{00000000-0005-0000-0000-00006F710000}"/>
    <cellStyle name="SAPBEXresItemX 49 7" xfId="17037" xr:uid="{00000000-0005-0000-0000-000070710000}"/>
    <cellStyle name="SAPBEXresItemX 49 8" xfId="20796" xr:uid="{00000000-0005-0000-0000-000071710000}"/>
    <cellStyle name="SAPBEXresItemX 49 9" xfId="21730" xr:uid="{00000000-0005-0000-0000-000072710000}"/>
    <cellStyle name="SAPBEXresItemX 5" xfId="3225" xr:uid="{00000000-0005-0000-0000-000073710000}"/>
    <cellStyle name="SAPBEXresItemX 5 2" xfId="5763" xr:uid="{00000000-0005-0000-0000-000074710000}"/>
    <cellStyle name="SAPBEXresItemX 5 3" xfId="10196" xr:uid="{00000000-0005-0000-0000-000075710000}"/>
    <cellStyle name="SAPBEXresItemX 5 4" xfId="9862" xr:uid="{00000000-0005-0000-0000-000076710000}"/>
    <cellStyle name="SAPBEXresItemX 5 5" xfId="12406" xr:uid="{00000000-0005-0000-0000-000077710000}"/>
    <cellStyle name="SAPBEXresItemX 5 6" xfId="16182" xr:uid="{00000000-0005-0000-0000-000078710000}"/>
    <cellStyle name="SAPBEXresItemX 5 7" xfId="17102" xr:uid="{00000000-0005-0000-0000-000079710000}"/>
    <cellStyle name="SAPBEXresItemX 5 8" xfId="20878" xr:uid="{00000000-0005-0000-0000-00007A710000}"/>
    <cellStyle name="SAPBEXresItemX 5 9" xfId="21788" xr:uid="{00000000-0005-0000-0000-00007B710000}"/>
    <cellStyle name="SAPBEXresItemX 50" xfId="5012" xr:uid="{00000000-0005-0000-0000-00007C710000}"/>
    <cellStyle name="SAPBEXresItemX 50 2" xfId="7550" xr:uid="{00000000-0005-0000-0000-00007D710000}"/>
    <cellStyle name="SAPBEXresItemX 50 3" xfId="7921" xr:uid="{00000000-0005-0000-0000-00007E710000}"/>
    <cellStyle name="SAPBEXresItemX 50 4" xfId="10830" xr:uid="{00000000-0005-0000-0000-00007F710000}"/>
    <cellStyle name="SAPBEXresItemX 50 5" xfId="12335" xr:uid="{00000000-0005-0000-0000-000080710000}"/>
    <cellStyle name="SAPBEXresItemX 50 6" xfId="13594" xr:uid="{00000000-0005-0000-0000-000081710000}"/>
    <cellStyle name="SAPBEXresItemX 50 7" xfId="17031" xr:uid="{00000000-0005-0000-0000-000082710000}"/>
    <cellStyle name="SAPBEXresItemX 50 8" xfId="18290" xr:uid="{00000000-0005-0000-0000-000083710000}"/>
    <cellStyle name="SAPBEXresItemX 50 9" xfId="21724" xr:uid="{00000000-0005-0000-0000-000084710000}"/>
    <cellStyle name="SAPBEXresItemX 51" xfId="5049" xr:uid="{00000000-0005-0000-0000-000085710000}"/>
    <cellStyle name="SAPBEXresItemX 51 2" xfId="7587" xr:uid="{00000000-0005-0000-0000-000086710000}"/>
    <cellStyle name="SAPBEXresItemX 51 3" xfId="8627" xr:uid="{00000000-0005-0000-0000-000087710000}"/>
    <cellStyle name="SAPBEXresItemX 51 4" xfId="11241" xr:uid="{00000000-0005-0000-0000-000088710000}"/>
    <cellStyle name="SAPBEXresItemX 51 5" xfId="13646" xr:uid="{00000000-0005-0000-0000-000089710000}"/>
    <cellStyle name="SAPBEXresItemX 51 6" xfId="13635" xr:uid="{00000000-0005-0000-0000-00008A710000}"/>
    <cellStyle name="SAPBEXresItemX 51 7" xfId="18342" xr:uid="{00000000-0005-0000-0000-00008B710000}"/>
    <cellStyle name="SAPBEXresItemX 51 8" xfId="18331" xr:uid="{00000000-0005-0000-0000-00008C710000}"/>
    <cellStyle name="SAPBEXresItemX 51 9" xfId="22915" xr:uid="{00000000-0005-0000-0000-00008D710000}"/>
    <cellStyle name="SAPBEXresItemX 52" xfId="5079" xr:uid="{00000000-0005-0000-0000-00008E710000}"/>
    <cellStyle name="SAPBEXresItemX 52 2" xfId="7617" xr:uid="{00000000-0005-0000-0000-00008F710000}"/>
    <cellStyle name="SAPBEXresItemX 52 3" xfId="9637" xr:uid="{00000000-0005-0000-0000-000090710000}"/>
    <cellStyle name="SAPBEXresItemX 52 4" xfId="10492" xr:uid="{00000000-0005-0000-0000-000091710000}"/>
    <cellStyle name="SAPBEXresItemX 52 5" xfId="12827" xr:uid="{00000000-0005-0000-0000-000092710000}"/>
    <cellStyle name="SAPBEXresItemX 52 6" xfId="15273" xr:uid="{00000000-0005-0000-0000-000093710000}"/>
    <cellStyle name="SAPBEXresItemX 52 7" xfId="17523" xr:uid="{00000000-0005-0000-0000-000094710000}"/>
    <cellStyle name="SAPBEXresItemX 52 8" xfId="19969" xr:uid="{00000000-0005-0000-0000-000095710000}"/>
    <cellStyle name="SAPBEXresItemX 52 9" xfId="22162" xr:uid="{00000000-0005-0000-0000-000096710000}"/>
    <cellStyle name="SAPBEXresItemX 53" xfId="5105" xr:uid="{00000000-0005-0000-0000-000097710000}"/>
    <cellStyle name="SAPBEXresItemX 53 2" xfId="7643" xr:uid="{00000000-0005-0000-0000-000098710000}"/>
    <cellStyle name="SAPBEXresItemX 53 3" xfId="8409" xr:uid="{00000000-0005-0000-0000-000099710000}"/>
    <cellStyle name="SAPBEXresItemX 53 4" xfId="11258" xr:uid="{00000000-0005-0000-0000-00009A710000}"/>
    <cellStyle name="SAPBEXresItemX 53 5" xfId="13664" xr:uid="{00000000-0005-0000-0000-00009B710000}"/>
    <cellStyle name="SAPBEXresItemX 53 6" xfId="15286" xr:uid="{00000000-0005-0000-0000-00009C710000}"/>
    <cellStyle name="SAPBEXresItemX 53 7" xfId="18360" xr:uid="{00000000-0005-0000-0000-00009D710000}"/>
    <cellStyle name="SAPBEXresItemX 53 8" xfId="19982" xr:uid="{00000000-0005-0000-0000-00009E710000}"/>
    <cellStyle name="SAPBEXresItemX 53 9" xfId="22932" xr:uid="{00000000-0005-0000-0000-00009F710000}"/>
    <cellStyle name="SAPBEXresItemX 54" xfId="5153" xr:uid="{00000000-0005-0000-0000-0000A0710000}"/>
    <cellStyle name="SAPBEXresItemX 54 2" xfId="7691" xr:uid="{00000000-0005-0000-0000-0000A1710000}"/>
    <cellStyle name="SAPBEXresItemX 54 3" xfId="8025" xr:uid="{00000000-0005-0000-0000-0000A2710000}"/>
    <cellStyle name="SAPBEXresItemX 54 4" xfId="10699" xr:uid="{00000000-0005-0000-0000-0000A3710000}"/>
    <cellStyle name="SAPBEXresItemX 54 5" xfId="14904" xr:uid="{00000000-0005-0000-0000-0000A4710000}"/>
    <cellStyle name="SAPBEXresItemX 54 6" xfId="15883" xr:uid="{00000000-0005-0000-0000-0000A5710000}"/>
    <cellStyle name="SAPBEXresItemX 54 7" xfId="19600" xr:uid="{00000000-0005-0000-0000-0000A6710000}"/>
    <cellStyle name="SAPBEXresItemX 54 8" xfId="20579" xr:uid="{00000000-0005-0000-0000-0000A7710000}"/>
    <cellStyle name="SAPBEXresItemX 54 9" xfId="24069" xr:uid="{00000000-0005-0000-0000-0000A8710000}"/>
    <cellStyle name="SAPBEXresItemX 55" xfId="5222" xr:uid="{00000000-0005-0000-0000-0000A9710000}"/>
    <cellStyle name="SAPBEXresItemX 55 2" xfId="7761" xr:uid="{00000000-0005-0000-0000-0000AA710000}"/>
    <cellStyle name="SAPBEXresItemX 55 3" xfId="8276" xr:uid="{00000000-0005-0000-0000-0000AB710000}"/>
    <cellStyle name="SAPBEXresItemX 55 4" xfId="10930" xr:uid="{00000000-0005-0000-0000-0000AC710000}"/>
    <cellStyle name="SAPBEXresItemX 55 5" xfId="13300" xr:uid="{00000000-0005-0000-0000-0000AD710000}"/>
    <cellStyle name="SAPBEXresItemX 55 6" xfId="16017" xr:uid="{00000000-0005-0000-0000-0000AE710000}"/>
    <cellStyle name="SAPBEXresItemX 55 7" xfId="17996" xr:uid="{00000000-0005-0000-0000-0000AF710000}"/>
    <cellStyle name="SAPBEXresItemX 55 8" xfId="20713" xr:uid="{00000000-0005-0000-0000-0000B0710000}"/>
    <cellStyle name="SAPBEXresItemX 55 9" xfId="22601" xr:uid="{00000000-0005-0000-0000-0000B1710000}"/>
    <cellStyle name="SAPBEXresItemX 56" xfId="5260" xr:uid="{00000000-0005-0000-0000-0000B2710000}"/>
    <cellStyle name="SAPBEXresItemX 56 2" xfId="8531" xr:uid="{00000000-0005-0000-0000-0000B3710000}"/>
    <cellStyle name="SAPBEXresItemX 56 3" xfId="11023" xr:uid="{00000000-0005-0000-0000-0000B4710000}"/>
    <cellStyle name="SAPBEXresItemX 56 4" xfId="13404" xr:uid="{00000000-0005-0000-0000-0000B5710000}"/>
    <cellStyle name="SAPBEXresItemX 56 5" xfId="12362" xr:uid="{00000000-0005-0000-0000-0000B6710000}"/>
    <cellStyle name="SAPBEXresItemX 56 6" xfId="18100" xr:uid="{00000000-0005-0000-0000-0000B7710000}"/>
    <cellStyle name="SAPBEXresItemX 56 7" xfId="17058" xr:uid="{00000000-0005-0000-0000-0000B8710000}"/>
    <cellStyle name="SAPBEXresItemX 56 8" xfId="22696" xr:uid="{00000000-0005-0000-0000-0000B9710000}"/>
    <cellStyle name="SAPBEXresItemX 57" xfId="5444" xr:uid="{00000000-0005-0000-0000-0000BA710000}"/>
    <cellStyle name="SAPBEXresItemX 58" xfId="10413" xr:uid="{00000000-0005-0000-0000-0000BB710000}"/>
    <cellStyle name="SAPBEXresItemX 59" xfId="12738" xr:uid="{00000000-0005-0000-0000-0000BC710000}"/>
    <cellStyle name="SAPBEXresItemX 6" xfId="3268" xr:uid="{00000000-0005-0000-0000-0000BD710000}"/>
    <cellStyle name="SAPBEXresItemX 6 2" xfId="5806" xr:uid="{00000000-0005-0000-0000-0000BE710000}"/>
    <cellStyle name="SAPBEXresItemX 6 3" xfId="9988" xr:uid="{00000000-0005-0000-0000-0000BF710000}"/>
    <cellStyle name="SAPBEXresItemX 6 4" xfId="12174" xr:uid="{00000000-0005-0000-0000-0000C0710000}"/>
    <cellStyle name="SAPBEXresItemX 6 5" xfId="14414" xr:uid="{00000000-0005-0000-0000-0000C1710000}"/>
    <cellStyle name="SAPBEXresItemX 6 6" xfId="15537" xr:uid="{00000000-0005-0000-0000-0000C2710000}"/>
    <cellStyle name="SAPBEXresItemX 6 7" xfId="19110" xr:uid="{00000000-0005-0000-0000-0000C3710000}"/>
    <cellStyle name="SAPBEXresItemX 6 8" xfId="20233" xr:uid="{00000000-0005-0000-0000-0000C4710000}"/>
    <cellStyle name="SAPBEXresItemX 6 9" xfId="23616" xr:uid="{00000000-0005-0000-0000-0000C5710000}"/>
    <cellStyle name="SAPBEXresItemX 60" xfId="16655" xr:uid="{00000000-0005-0000-0000-0000C6710000}"/>
    <cellStyle name="SAPBEXresItemX 61" xfId="17434" xr:uid="{00000000-0005-0000-0000-0000C7710000}"/>
    <cellStyle name="SAPBEXresItemX 62" xfId="21351" xr:uid="{00000000-0005-0000-0000-0000C8710000}"/>
    <cellStyle name="SAPBEXresItemX 63" xfId="22084" xr:uid="{00000000-0005-0000-0000-0000C9710000}"/>
    <cellStyle name="SAPBEXresItemX 64" xfId="42177" xr:uid="{E77005F4-B269-4F1C-9FE7-2FD9912D1D23}"/>
    <cellStyle name="SAPBEXresItemX 7" xfId="3311" xr:uid="{00000000-0005-0000-0000-0000CA710000}"/>
    <cellStyle name="SAPBEXresItemX 7 2" xfId="5849" xr:uid="{00000000-0005-0000-0000-0000CB710000}"/>
    <cellStyle name="SAPBEXresItemX 7 3" xfId="9077" xr:uid="{00000000-0005-0000-0000-0000CC710000}"/>
    <cellStyle name="SAPBEXresItemX 7 4" xfId="10774" xr:uid="{00000000-0005-0000-0000-0000CD710000}"/>
    <cellStyle name="SAPBEXresItemX 7 5" xfId="12311" xr:uid="{00000000-0005-0000-0000-0000CE710000}"/>
    <cellStyle name="SAPBEXresItemX 7 6" xfId="16824" xr:uid="{00000000-0005-0000-0000-0000CF710000}"/>
    <cellStyle name="SAPBEXresItemX 7 7" xfId="17007" xr:uid="{00000000-0005-0000-0000-0000D0710000}"/>
    <cellStyle name="SAPBEXresItemX 7 8" xfId="21520" xr:uid="{00000000-0005-0000-0000-0000D1710000}"/>
    <cellStyle name="SAPBEXresItemX 7 9" xfId="21702" xr:uid="{00000000-0005-0000-0000-0000D2710000}"/>
    <cellStyle name="SAPBEXresItemX 8" xfId="3354" xr:uid="{00000000-0005-0000-0000-0000D3710000}"/>
    <cellStyle name="SAPBEXresItemX 8 2" xfId="5892" xr:uid="{00000000-0005-0000-0000-0000D4710000}"/>
    <cellStyle name="SAPBEXresItemX 8 3" xfId="8866" xr:uid="{00000000-0005-0000-0000-0000D5710000}"/>
    <cellStyle name="SAPBEXresItemX 8 4" xfId="10485" xr:uid="{00000000-0005-0000-0000-0000D6710000}"/>
    <cellStyle name="SAPBEXresItemX 8 5" xfId="12819" xr:uid="{00000000-0005-0000-0000-0000D7710000}"/>
    <cellStyle name="SAPBEXresItemX 8 6" xfId="16161" xr:uid="{00000000-0005-0000-0000-0000D8710000}"/>
    <cellStyle name="SAPBEXresItemX 8 7" xfId="17515" xr:uid="{00000000-0005-0000-0000-0000D9710000}"/>
    <cellStyle name="SAPBEXresItemX 8 8" xfId="20857" xr:uid="{00000000-0005-0000-0000-0000DA710000}"/>
    <cellStyle name="SAPBEXresItemX 8 9" xfId="22155" xr:uid="{00000000-0005-0000-0000-0000DB710000}"/>
    <cellStyle name="SAPBEXresItemX 9" xfId="3397" xr:uid="{00000000-0005-0000-0000-0000DC710000}"/>
    <cellStyle name="SAPBEXresItemX 9 2" xfId="5935" xr:uid="{00000000-0005-0000-0000-0000DD710000}"/>
    <cellStyle name="SAPBEXresItemX 9 3" xfId="8823" xr:uid="{00000000-0005-0000-0000-0000DE710000}"/>
    <cellStyle name="SAPBEXresItemX 9 4" xfId="11521" xr:uid="{00000000-0005-0000-0000-0000DF710000}"/>
    <cellStyle name="SAPBEXresItemX 9 5" xfId="13950" xr:uid="{00000000-0005-0000-0000-0000E0710000}"/>
    <cellStyle name="SAPBEXresItemX 9 6" xfId="15016" xr:uid="{00000000-0005-0000-0000-0000E1710000}"/>
    <cellStyle name="SAPBEXresItemX 9 7" xfId="18646" xr:uid="{00000000-0005-0000-0000-0000E2710000}"/>
    <cellStyle name="SAPBEXresItemX 9 8" xfId="19712" xr:uid="{00000000-0005-0000-0000-0000E3710000}"/>
    <cellStyle name="SAPBEXresItemX 9 9" xfId="23195" xr:uid="{00000000-0005-0000-0000-0000E4710000}"/>
    <cellStyle name="SAPBEXstdData" xfId="2975" xr:uid="{00000000-0005-0000-0000-0000E5710000}"/>
    <cellStyle name="SAPBEXstdData 10" xfId="3441" xr:uid="{00000000-0005-0000-0000-0000E6710000}"/>
    <cellStyle name="SAPBEXstdData 10 2" xfId="5979" xr:uid="{00000000-0005-0000-0000-0000E7710000}"/>
    <cellStyle name="SAPBEXstdData 10 3" xfId="8849" xr:uid="{00000000-0005-0000-0000-0000E8710000}"/>
    <cellStyle name="SAPBEXstdData 10 4" xfId="12039" xr:uid="{00000000-0005-0000-0000-0000E9710000}"/>
    <cellStyle name="SAPBEXstdData 10 5" xfId="14521" xr:uid="{00000000-0005-0000-0000-0000EA710000}"/>
    <cellStyle name="SAPBEXstdData 10 6" xfId="14367" xr:uid="{00000000-0005-0000-0000-0000EB710000}"/>
    <cellStyle name="SAPBEXstdData 10 7" xfId="19217" xr:uid="{00000000-0005-0000-0000-0000EC710000}"/>
    <cellStyle name="SAPBEXstdData 10 8" xfId="19063" xr:uid="{00000000-0005-0000-0000-0000ED710000}"/>
    <cellStyle name="SAPBEXstdData 10 9" xfId="23714" xr:uid="{00000000-0005-0000-0000-0000EE710000}"/>
    <cellStyle name="SAPBEXstdData 11" xfId="3500" xr:uid="{00000000-0005-0000-0000-0000EF710000}"/>
    <cellStyle name="SAPBEXstdData 11 2" xfId="6038" xr:uid="{00000000-0005-0000-0000-0000F0710000}"/>
    <cellStyle name="SAPBEXstdData 11 3" xfId="8337" xr:uid="{00000000-0005-0000-0000-0000F1710000}"/>
    <cellStyle name="SAPBEXstdData 11 4" xfId="10618" xr:uid="{00000000-0005-0000-0000-0000F2710000}"/>
    <cellStyle name="SAPBEXstdData 11 5" xfId="12966" xr:uid="{00000000-0005-0000-0000-0000F3710000}"/>
    <cellStyle name="SAPBEXstdData 11 6" xfId="15188" xr:uid="{00000000-0005-0000-0000-0000F4710000}"/>
    <cellStyle name="SAPBEXstdData 11 7" xfId="17662" xr:uid="{00000000-0005-0000-0000-0000F5710000}"/>
    <cellStyle name="SAPBEXstdData 11 8" xfId="19884" xr:uid="{00000000-0005-0000-0000-0000F6710000}"/>
    <cellStyle name="SAPBEXstdData 11 9" xfId="22291" xr:uid="{00000000-0005-0000-0000-0000F7710000}"/>
    <cellStyle name="SAPBEXstdData 12" xfId="3527" xr:uid="{00000000-0005-0000-0000-0000F8710000}"/>
    <cellStyle name="SAPBEXstdData 12 2" xfId="6065" xr:uid="{00000000-0005-0000-0000-0000F9710000}"/>
    <cellStyle name="SAPBEXstdData 12 3" xfId="9990" xr:uid="{00000000-0005-0000-0000-0000FA710000}"/>
    <cellStyle name="SAPBEXstdData 12 4" xfId="11731" xr:uid="{00000000-0005-0000-0000-0000FB710000}"/>
    <cellStyle name="SAPBEXstdData 12 5" xfId="14182" xr:uid="{00000000-0005-0000-0000-0000FC710000}"/>
    <cellStyle name="SAPBEXstdData 12 6" xfId="16484" xr:uid="{00000000-0005-0000-0000-0000FD710000}"/>
    <cellStyle name="SAPBEXstdData 12 7" xfId="18878" xr:uid="{00000000-0005-0000-0000-0000FE710000}"/>
    <cellStyle name="SAPBEXstdData 12 8" xfId="21180" xr:uid="{00000000-0005-0000-0000-0000FF710000}"/>
    <cellStyle name="SAPBEXstdData 12 9" xfId="23405" xr:uid="{00000000-0005-0000-0000-000000720000}"/>
    <cellStyle name="SAPBEXstdData 13" xfId="3603" xr:uid="{00000000-0005-0000-0000-000001720000}"/>
    <cellStyle name="SAPBEXstdData 13 2" xfId="6141" xr:uid="{00000000-0005-0000-0000-000002720000}"/>
    <cellStyle name="SAPBEXstdData 13 3" xfId="9782" xr:uid="{00000000-0005-0000-0000-000003720000}"/>
    <cellStyle name="SAPBEXstdData 13 4" xfId="10292" xr:uid="{00000000-0005-0000-0000-000004720000}"/>
    <cellStyle name="SAPBEXstdData 13 5" xfId="12605" xr:uid="{00000000-0005-0000-0000-000005720000}"/>
    <cellStyle name="SAPBEXstdData 13 6" xfId="16537" xr:uid="{00000000-0005-0000-0000-000006720000}"/>
    <cellStyle name="SAPBEXstdData 13 7" xfId="17301" xr:uid="{00000000-0005-0000-0000-000007720000}"/>
    <cellStyle name="SAPBEXstdData 13 8" xfId="21233" xr:uid="{00000000-0005-0000-0000-000008720000}"/>
    <cellStyle name="SAPBEXstdData 13 9" xfId="21962" xr:uid="{00000000-0005-0000-0000-000009720000}"/>
    <cellStyle name="SAPBEXstdData 14" xfId="3639" xr:uid="{00000000-0005-0000-0000-00000A720000}"/>
    <cellStyle name="SAPBEXstdData 14 2" xfId="6177" xr:uid="{00000000-0005-0000-0000-00000B720000}"/>
    <cellStyle name="SAPBEXstdData 14 3" xfId="9669" xr:uid="{00000000-0005-0000-0000-00000C720000}"/>
    <cellStyle name="SAPBEXstdData 14 4" xfId="10727" xr:uid="{00000000-0005-0000-0000-00000D720000}"/>
    <cellStyle name="SAPBEXstdData 14 5" xfId="13082" xr:uid="{00000000-0005-0000-0000-00000E720000}"/>
    <cellStyle name="SAPBEXstdData 14 6" xfId="15473" xr:uid="{00000000-0005-0000-0000-00000F720000}"/>
    <cellStyle name="SAPBEXstdData 14 7" xfId="17778" xr:uid="{00000000-0005-0000-0000-000010720000}"/>
    <cellStyle name="SAPBEXstdData 14 8" xfId="20169" xr:uid="{00000000-0005-0000-0000-000011720000}"/>
    <cellStyle name="SAPBEXstdData 14 9" xfId="22400" xr:uid="{00000000-0005-0000-0000-000012720000}"/>
    <cellStyle name="SAPBEXstdData 15" xfId="3537" xr:uid="{00000000-0005-0000-0000-000013720000}"/>
    <cellStyle name="SAPBEXstdData 15 2" xfId="6075" xr:uid="{00000000-0005-0000-0000-000014720000}"/>
    <cellStyle name="SAPBEXstdData 15 3" xfId="8383" xr:uid="{00000000-0005-0000-0000-000015720000}"/>
    <cellStyle name="SAPBEXstdData 15 4" xfId="11832" xr:uid="{00000000-0005-0000-0000-000016720000}"/>
    <cellStyle name="SAPBEXstdData 15 5" xfId="14290" xr:uid="{00000000-0005-0000-0000-000017720000}"/>
    <cellStyle name="SAPBEXstdData 15 6" xfId="16304" xr:uid="{00000000-0005-0000-0000-000018720000}"/>
    <cellStyle name="SAPBEXstdData 15 7" xfId="18986" xr:uid="{00000000-0005-0000-0000-000019720000}"/>
    <cellStyle name="SAPBEXstdData 15 8" xfId="21000" xr:uid="{00000000-0005-0000-0000-00001A720000}"/>
    <cellStyle name="SAPBEXstdData 15 9" xfId="23507" xr:uid="{00000000-0005-0000-0000-00001B720000}"/>
    <cellStyle name="SAPBEXstdData 16" xfId="3656" xr:uid="{00000000-0005-0000-0000-00001C720000}"/>
    <cellStyle name="SAPBEXstdData 16 2" xfId="6194" xr:uid="{00000000-0005-0000-0000-00001D720000}"/>
    <cellStyle name="SAPBEXstdData 16 3" xfId="8312" xr:uid="{00000000-0005-0000-0000-00001E720000}"/>
    <cellStyle name="SAPBEXstdData 16 4" xfId="11297" xr:uid="{00000000-0005-0000-0000-00001F720000}"/>
    <cellStyle name="SAPBEXstdData 16 5" xfId="13704" xr:uid="{00000000-0005-0000-0000-000020720000}"/>
    <cellStyle name="SAPBEXstdData 16 6" xfId="15636" xr:uid="{00000000-0005-0000-0000-000021720000}"/>
    <cellStyle name="SAPBEXstdData 16 7" xfId="18400" xr:uid="{00000000-0005-0000-0000-000022720000}"/>
    <cellStyle name="SAPBEXstdData 16 8" xfId="20332" xr:uid="{00000000-0005-0000-0000-000023720000}"/>
    <cellStyle name="SAPBEXstdData 16 9" xfId="22971" xr:uid="{00000000-0005-0000-0000-000024720000}"/>
    <cellStyle name="SAPBEXstdData 17" xfId="3828" xr:uid="{00000000-0005-0000-0000-000025720000}"/>
    <cellStyle name="SAPBEXstdData 17 2" xfId="6366" xr:uid="{00000000-0005-0000-0000-000026720000}"/>
    <cellStyle name="SAPBEXstdData 17 3" xfId="9344" xr:uid="{00000000-0005-0000-0000-000027720000}"/>
    <cellStyle name="SAPBEXstdData 17 4" xfId="11419" xr:uid="{00000000-0005-0000-0000-000028720000}"/>
    <cellStyle name="SAPBEXstdData 17 5" xfId="13836" xr:uid="{00000000-0005-0000-0000-000029720000}"/>
    <cellStyle name="SAPBEXstdData 17 6" xfId="15826" xr:uid="{00000000-0005-0000-0000-00002A720000}"/>
    <cellStyle name="SAPBEXstdData 17 7" xfId="18532" xr:uid="{00000000-0005-0000-0000-00002B720000}"/>
    <cellStyle name="SAPBEXstdData 17 8" xfId="20522" xr:uid="{00000000-0005-0000-0000-00002C720000}"/>
    <cellStyle name="SAPBEXstdData 17 9" xfId="23093" xr:uid="{00000000-0005-0000-0000-00002D720000}"/>
    <cellStyle name="SAPBEXstdData 18" xfId="3834" xr:uid="{00000000-0005-0000-0000-00002E720000}"/>
    <cellStyle name="SAPBEXstdData 18 2" xfId="6372" xr:uid="{00000000-0005-0000-0000-00002F720000}"/>
    <cellStyle name="SAPBEXstdData 18 3" xfId="8579" xr:uid="{00000000-0005-0000-0000-000030720000}"/>
    <cellStyle name="SAPBEXstdData 18 4" xfId="11264" xr:uid="{00000000-0005-0000-0000-000031720000}"/>
    <cellStyle name="SAPBEXstdData 18 5" xfId="13670" xr:uid="{00000000-0005-0000-0000-000032720000}"/>
    <cellStyle name="SAPBEXstdData 18 6" xfId="16385" xr:uid="{00000000-0005-0000-0000-000033720000}"/>
    <cellStyle name="SAPBEXstdData 18 7" xfId="18366" xr:uid="{00000000-0005-0000-0000-000034720000}"/>
    <cellStyle name="SAPBEXstdData 18 8" xfId="21081" xr:uid="{00000000-0005-0000-0000-000035720000}"/>
    <cellStyle name="SAPBEXstdData 18 9" xfId="22938" xr:uid="{00000000-0005-0000-0000-000036720000}"/>
    <cellStyle name="SAPBEXstdData 19" xfId="3918" xr:uid="{00000000-0005-0000-0000-000037720000}"/>
    <cellStyle name="SAPBEXstdData 19 2" xfId="6456" xr:uid="{00000000-0005-0000-0000-000038720000}"/>
    <cellStyle name="SAPBEXstdData 19 3" xfId="9601" xr:uid="{00000000-0005-0000-0000-000039720000}"/>
    <cellStyle name="SAPBEXstdData 19 4" xfId="11277" xr:uid="{00000000-0005-0000-0000-00003A720000}"/>
    <cellStyle name="SAPBEXstdData 19 5" xfId="13683" xr:uid="{00000000-0005-0000-0000-00003B720000}"/>
    <cellStyle name="SAPBEXstdData 19 6" xfId="15990" xr:uid="{00000000-0005-0000-0000-00003C720000}"/>
    <cellStyle name="SAPBEXstdData 19 7" xfId="18379" xr:uid="{00000000-0005-0000-0000-00003D720000}"/>
    <cellStyle name="SAPBEXstdData 19 8" xfId="20686" xr:uid="{00000000-0005-0000-0000-00003E720000}"/>
    <cellStyle name="SAPBEXstdData 19 9" xfId="22951" xr:uid="{00000000-0005-0000-0000-00003F720000}"/>
    <cellStyle name="SAPBEXstdData 2" xfId="3094" xr:uid="{00000000-0005-0000-0000-000040720000}"/>
    <cellStyle name="SAPBEXstdData 2 2" xfId="5421" xr:uid="{00000000-0005-0000-0000-000041720000}"/>
    <cellStyle name="SAPBEXstdData 2 3" xfId="9133" xr:uid="{00000000-0005-0000-0000-000042720000}"/>
    <cellStyle name="SAPBEXstdData 2 4" xfId="11224" xr:uid="{00000000-0005-0000-0000-000043720000}"/>
    <cellStyle name="SAPBEXstdData 2 5" xfId="13627" xr:uid="{00000000-0005-0000-0000-000044720000}"/>
    <cellStyle name="SAPBEXstdData 2 6" xfId="16140" xr:uid="{00000000-0005-0000-0000-000045720000}"/>
    <cellStyle name="SAPBEXstdData 2 7" xfId="18323" xr:uid="{00000000-0005-0000-0000-000046720000}"/>
    <cellStyle name="SAPBEXstdData 2 8" xfId="20836" xr:uid="{00000000-0005-0000-0000-000047720000}"/>
    <cellStyle name="SAPBEXstdData 2 9" xfId="22899" xr:uid="{00000000-0005-0000-0000-000048720000}"/>
    <cellStyle name="SAPBEXstdData 20" xfId="3961" xr:uid="{00000000-0005-0000-0000-000049720000}"/>
    <cellStyle name="SAPBEXstdData 20 2" xfId="6499" xr:uid="{00000000-0005-0000-0000-00004A720000}"/>
    <cellStyle name="SAPBEXstdData 20 3" xfId="7981" xr:uid="{00000000-0005-0000-0000-00004B720000}"/>
    <cellStyle name="SAPBEXstdData 20 4" xfId="11963" xr:uid="{00000000-0005-0000-0000-00004C720000}"/>
    <cellStyle name="SAPBEXstdData 20 5" xfId="14439" xr:uid="{00000000-0005-0000-0000-00004D720000}"/>
    <cellStyle name="SAPBEXstdData 20 6" xfId="15266" xr:uid="{00000000-0005-0000-0000-00004E720000}"/>
    <cellStyle name="SAPBEXstdData 20 7" xfId="19135" xr:uid="{00000000-0005-0000-0000-00004F720000}"/>
    <cellStyle name="SAPBEXstdData 20 8" xfId="19962" xr:uid="{00000000-0005-0000-0000-000050720000}"/>
    <cellStyle name="SAPBEXstdData 20 9" xfId="23638" xr:uid="{00000000-0005-0000-0000-000051720000}"/>
    <cellStyle name="SAPBEXstdData 21" xfId="3644" xr:uid="{00000000-0005-0000-0000-000052720000}"/>
    <cellStyle name="SAPBEXstdData 21 2" xfId="6182" xr:uid="{00000000-0005-0000-0000-000053720000}"/>
    <cellStyle name="SAPBEXstdData 21 3" xfId="8523" xr:uid="{00000000-0005-0000-0000-000054720000}"/>
    <cellStyle name="SAPBEXstdData 21 4" xfId="11205" xr:uid="{00000000-0005-0000-0000-000055720000}"/>
    <cellStyle name="SAPBEXstdData 21 5" xfId="13606" xr:uid="{00000000-0005-0000-0000-000056720000}"/>
    <cellStyle name="SAPBEXstdData 21 6" xfId="14970" xr:uid="{00000000-0005-0000-0000-000057720000}"/>
    <cellStyle name="SAPBEXstdData 21 7" xfId="18302" xr:uid="{00000000-0005-0000-0000-000058720000}"/>
    <cellStyle name="SAPBEXstdData 21 8" xfId="19666" xr:uid="{00000000-0005-0000-0000-000059720000}"/>
    <cellStyle name="SAPBEXstdData 21 9" xfId="22880" xr:uid="{00000000-0005-0000-0000-00005A720000}"/>
    <cellStyle name="SAPBEXstdData 22" xfId="4087" xr:uid="{00000000-0005-0000-0000-00005B720000}"/>
    <cellStyle name="SAPBEXstdData 22 2" xfId="6625" xr:uid="{00000000-0005-0000-0000-00005C720000}"/>
    <cellStyle name="SAPBEXstdData 22 3" xfId="8005" xr:uid="{00000000-0005-0000-0000-00005D720000}"/>
    <cellStyle name="SAPBEXstdData 22 4" xfId="10328" xr:uid="{00000000-0005-0000-0000-00005E720000}"/>
    <cellStyle name="SAPBEXstdData 22 5" xfId="12647" xr:uid="{00000000-0005-0000-0000-00005F720000}"/>
    <cellStyle name="SAPBEXstdData 22 6" xfId="15258" xr:uid="{00000000-0005-0000-0000-000060720000}"/>
    <cellStyle name="SAPBEXstdData 22 7" xfId="17343" xr:uid="{00000000-0005-0000-0000-000061720000}"/>
    <cellStyle name="SAPBEXstdData 22 8" xfId="19954" xr:uid="{00000000-0005-0000-0000-000062720000}"/>
    <cellStyle name="SAPBEXstdData 22 9" xfId="21999" xr:uid="{00000000-0005-0000-0000-000063720000}"/>
    <cellStyle name="SAPBEXstdData 23" xfId="4109" xr:uid="{00000000-0005-0000-0000-000064720000}"/>
    <cellStyle name="SAPBEXstdData 23 2" xfId="6647" xr:uid="{00000000-0005-0000-0000-000065720000}"/>
    <cellStyle name="SAPBEXstdData 23 3" xfId="8573" xr:uid="{00000000-0005-0000-0000-000066720000}"/>
    <cellStyle name="SAPBEXstdData 23 4" xfId="10595" xr:uid="{00000000-0005-0000-0000-000067720000}"/>
    <cellStyle name="SAPBEXstdData 23 5" xfId="12943" xr:uid="{00000000-0005-0000-0000-000068720000}"/>
    <cellStyle name="SAPBEXstdData 23 6" xfId="15377" xr:uid="{00000000-0005-0000-0000-000069720000}"/>
    <cellStyle name="SAPBEXstdData 23 7" xfId="17639" xr:uid="{00000000-0005-0000-0000-00006A720000}"/>
    <cellStyle name="SAPBEXstdData 23 8" xfId="20073" xr:uid="{00000000-0005-0000-0000-00006B720000}"/>
    <cellStyle name="SAPBEXstdData 23 9" xfId="22268" xr:uid="{00000000-0005-0000-0000-00006C720000}"/>
    <cellStyle name="SAPBEXstdData 24" xfId="4152" xr:uid="{00000000-0005-0000-0000-00006D720000}"/>
    <cellStyle name="SAPBEXstdData 24 2" xfId="6690" xr:uid="{00000000-0005-0000-0000-00006E720000}"/>
    <cellStyle name="SAPBEXstdData 24 3" xfId="8810" xr:uid="{00000000-0005-0000-0000-00006F720000}"/>
    <cellStyle name="SAPBEXstdData 24 4" xfId="11985" xr:uid="{00000000-0005-0000-0000-000070720000}"/>
    <cellStyle name="SAPBEXstdData 24 5" xfId="14463" xr:uid="{00000000-0005-0000-0000-000071720000}"/>
    <cellStyle name="SAPBEXstdData 24 6" xfId="16627" xr:uid="{00000000-0005-0000-0000-000072720000}"/>
    <cellStyle name="SAPBEXstdData 24 7" xfId="19159" xr:uid="{00000000-0005-0000-0000-000073720000}"/>
    <cellStyle name="SAPBEXstdData 24 8" xfId="21323" xr:uid="{00000000-0005-0000-0000-000074720000}"/>
    <cellStyle name="SAPBEXstdData 24 9" xfId="23660" xr:uid="{00000000-0005-0000-0000-000075720000}"/>
    <cellStyle name="SAPBEXstdData 25" xfId="4195" xr:uid="{00000000-0005-0000-0000-000076720000}"/>
    <cellStyle name="SAPBEXstdData 25 2" xfId="6733" xr:uid="{00000000-0005-0000-0000-000077720000}"/>
    <cellStyle name="SAPBEXstdData 25 3" xfId="9045" xr:uid="{00000000-0005-0000-0000-000078720000}"/>
    <cellStyle name="SAPBEXstdData 25 4" xfId="9706" xr:uid="{00000000-0005-0000-0000-000079720000}"/>
    <cellStyle name="SAPBEXstdData 25 5" xfId="14925" xr:uid="{00000000-0005-0000-0000-00007A720000}"/>
    <cellStyle name="SAPBEXstdData 25 6" xfId="16580" xr:uid="{00000000-0005-0000-0000-00007B720000}"/>
    <cellStyle name="SAPBEXstdData 25 7" xfId="19621" xr:uid="{00000000-0005-0000-0000-00007C720000}"/>
    <cellStyle name="SAPBEXstdData 25 8" xfId="21276" xr:uid="{00000000-0005-0000-0000-00007D720000}"/>
    <cellStyle name="SAPBEXstdData 25 9" xfId="24088" xr:uid="{00000000-0005-0000-0000-00007E720000}"/>
    <cellStyle name="SAPBEXstdData 26" xfId="4237" xr:uid="{00000000-0005-0000-0000-00007F720000}"/>
    <cellStyle name="SAPBEXstdData 26 2" xfId="6775" xr:uid="{00000000-0005-0000-0000-000080720000}"/>
    <cellStyle name="SAPBEXstdData 26 3" xfId="8698" xr:uid="{00000000-0005-0000-0000-000081720000}"/>
    <cellStyle name="SAPBEXstdData 26 4" xfId="10332" xr:uid="{00000000-0005-0000-0000-000082720000}"/>
    <cellStyle name="SAPBEXstdData 26 5" xfId="12651" xr:uid="{00000000-0005-0000-0000-000083720000}"/>
    <cellStyle name="SAPBEXstdData 26 6" xfId="15756" xr:uid="{00000000-0005-0000-0000-000084720000}"/>
    <cellStyle name="SAPBEXstdData 26 7" xfId="17347" xr:uid="{00000000-0005-0000-0000-000085720000}"/>
    <cellStyle name="SAPBEXstdData 26 8" xfId="20452" xr:uid="{00000000-0005-0000-0000-000086720000}"/>
    <cellStyle name="SAPBEXstdData 26 9" xfId="22003" xr:uid="{00000000-0005-0000-0000-000087720000}"/>
    <cellStyle name="SAPBEXstdData 27" xfId="4280" xr:uid="{00000000-0005-0000-0000-000088720000}"/>
    <cellStyle name="SAPBEXstdData 27 2" xfId="6818" xr:uid="{00000000-0005-0000-0000-000089720000}"/>
    <cellStyle name="SAPBEXstdData 27 3" xfId="8147" xr:uid="{00000000-0005-0000-0000-00008A720000}"/>
    <cellStyle name="SAPBEXstdData 27 4" xfId="10988" xr:uid="{00000000-0005-0000-0000-00008B720000}"/>
    <cellStyle name="SAPBEXstdData 27 5" xfId="13362" xr:uid="{00000000-0005-0000-0000-00008C720000}"/>
    <cellStyle name="SAPBEXstdData 27 6" xfId="16285" xr:uid="{00000000-0005-0000-0000-00008D720000}"/>
    <cellStyle name="SAPBEXstdData 27 7" xfId="18058" xr:uid="{00000000-0005-0000-0000-00008E720000}"/>
    <cellStyle name="SAPBEXstdData 27 8" xfId="20981" xr:uid="{00000000-0005-0000-0000-00008F720000}"/>
    <cellStyle name="SAPBEXstdData 27 9" xfId="22661" xr:uid="{00000000-0005-0000-0000-000090720000}"/>
    <cellStyle name="SAPBEXstdData 28" xfId="4323" xr:uid="{00000000-0005-0000-0000-000091720000}"/>
    <cellStyle name="SAPBEXstdData 28 2" xfId="6861" xr:uid="{00000000-0005-0000-0000-000092720000}"/>
    <cellStyle name="SAPBEXstdData 28 3" xfId="8317" xr:uid="{00000000-0005-0000-0000-000093720000}"/>
    <cellStyle name="SAPBEXstdData 28 4" xfId="9667" xr:uid="{00000000-0005-0000-0000-000094720000}"/>
    <cellStyle name="SAPBEXstdData 28 5" xfId="12383" xr:uid="{00000000-0005-0000-0000-000095720000}"/>
    <cellStyle name="SAPBEXstdData 28 6" xfId="16666" xr:uid="{00000000-0005-0000-0000-000096720000}"/>
    <cellStyle name="SAPBEXstdData 28 7" xfId="17079" xr:uid="{00000000-0005-0000-0000-000097720000}"/>
    <cellStyle name="SAPBEXstdData 28 8" xfId="21362" xr:uid="{00000000-0005-0000-0000-000098720000}"/>
    <cellStyle name="SAPBEXstdData 28 9" xfId="21768" xr:uid="{00000000-0005-0000-0000-000099720000}"/>
    <cellStyle name="SAPBEXstdData 29" xfId="4366" xr:uid="{00000000-0005-0000-0000-00009A720000}"/>
    <cellStyle name="SAPBEXstdData 29 2" xfId="6904" xr:uid="{00000000-0005-0000-0000-00009B720000}"/>
    <cellStyle name="SAPBEXstdData 29 3" xfId="8629" xr:uid="{00000000-0005-0000-0000-00009C720000}"/>
    <cellStyle name="SAPBEXstdData 29 4" xfId="11549" xr:uid="{00000000-0005-0000-0000-00009D720000}"/>
    <cellStyle name="SAPBEXstdData 29 5" xfId="13983" xr:uid="{00000000-0005-0000-0000-00009E720000}"/>
    <cellStyle name="SAPBEXstdData 29 6" xfId="15596" xr:uid="{00000000-0005-0000-0000-00009F720000}"/>
    <cellStyle name="SAPBEXstdData 29 7" xfId="18679" xr:uid="{00000000-0005-0000-0000-0000A0720000}"/>
    <cellStyle name="SAPBEXstdData 29 8" xfId="20292" xr:uid="{00000000-0005-0000-0000-0000A1720000}"/>
    <cellStyle name="SAPBEXstdData 29 9" xfId="23223" xr:uid="{00000000-0005-0000-0000-0000A2720000}"/>
    <cellStyle name="SAPBEXstdData 3" xfId="3140" xr:uid="{00000000-0005-0000-0000-0000A3720000}"/>
    <cellStyle name="SAPBEXstdData 3 2" xfId="5678" xr:uid="{00000000-0005-0000-0000-0000A4720000}"/>
    <cellStyle name="SAPBEXstdData 3 3" xfId="8860" xr:uid="{00000000-0005-0000-0000-0000A5720000}"/>
    <cellStyle name="SAPBEXstdData 3 4" xfId="11075" xr:uid="{00000000-0005-0000-0000-0000A6720000}"/>
    <cellStyle name="SAPBEXstdData 3 5" xfId="13464" xr:uid="{00000000-0005-0000-0000-0000A7720000}"/>
    <cellStyle name="SAPBEXstdData 3 6" xfId="13423" xr:uid="{00000000-0005-0000-0000-0000A8720000}"/>
    <cellStyle name="SAPBEXstdData 3 7" xfId="18160" xr:uid="{00000000-0005-0000-0000-0000A9720000}"/>
    <cellStyle name="SAPBEXstdData 3 8" xfId="18119" xr:uid="{00000000-0005-0000-0000-0000AA720000}"/>
    <cellStyle name="SAPBEXstdData 3 9" xfId="22748" xr:uid="{00000000-0005-0000-0000-0000AB720000}"/>
    <cellStyle name="SAPBEXstdData 30" xfId="4409" xr:uid="{00000000-0005-0000-0000-0000AC720000}"/>
    <cellStyle name="SAPBEXstdData 30 2" xfId="6947" xr:uid="{00000000-0005-0000-0000-0000AD720000}"/>
    <cellStyle name="SAPBEXstdData 30 3" xfId="10007" xr:uid="{00000000-0005-0000-0000-0000AE720000}"/>
    <cellStyle name="SAPBEXstdData 30 4" xfId="11379" xr:uid="{00000000-0005-0000-0000-0000AF720000}"/>
    <cellStyle name="SAPBEXstdData 30 5" xfId="13793" xr:uid="{00000000-0005-0000-0000-0000B0720000}"/>
    <cellStyle name="SAPBEXstdData 30 6" xfId="14978" xr:uid="{00000000-0005-0000-0000-0000B1720000}"/>
    <cellStyle name="SAPBEXstdData 30 7" xfId="18489" xr:uid="{00000000-0005-0000-0000-0000B2720000}"/>
    <cellStyle name="SAPBEXstdData 30 8" xfId="19674" xr:uid="{00000000-0005-0000-0000-0000B3720000}"/>
    <cellStyle name="SAPBEXstdData 30 9" xfId="23053" xr:uid="{00000000-0005-0000-0000-0000B4720000}"/>
    <cellStyle name="SAPBEXstdData 31" xfId="4452" xr:uid="{00000000-0005-0000-0000-0000B5720000}"/>
    <cellStyle name="SAPBEXstdData 31 2" xfId="6990" xr:uid="{00000000-0005-0000-0000-0000B6720000}"/>
    <cellStyle name="SAPBEXstdData 31 3" xfId="8446" xr:uid="{00000000-0005-0000-0000-0000B7720000}"/>
    <cellStyle name="SAPBEXstdData 31 4" xfId="10975" xr:uid="{00000000-0005-0000-0000-0000B8720000}"/>
    <cellStyle name="SAPBEXstdData 31 5" xfId="13347" xr:uid="{00000000-0005-0000-0000-0000B9720000}"/>
    <cellStyle name="SAPBEXstdData 31 6" xfId="15669" xr:uid="{00000000-0005-0000-0000-0000BA720000}"/>
    <cellStyle name="SAPBEXstdData 31 7" xfId="18043" xr:uid="{00000000-0005-0000-0000-0000BB720000}"/>
    <cellStyle name="SAPBEXstdData 31 8" xfId="20365" xr:uid="{00000000-0005-0000-0000-0000BC720000}"/>
    <cellStyle name="SAPBEXstdData 31 9" xfId="22646" xr:uid="{00000000-0005-0000-0000-0000BD720000}"/>
    <cellStyle name="SAPBEXstdData 32" xfId="4516" xr:uid="{00000000-0005-0000-0000-0000BE720000}"/>
    <cellStyle name="SAPBEXstdData 32 2" xfId="7054" xr:uid="{00000000-0005-0000-0000-0000BF720000}"/>
    <cellStyle name="SAPBEXstdData 32 3" xfId="9573" xr:uid="{00000000-0005-0000-0000-0000C0720000}"/>
    <cellStyle name="SAPBEXstdData 32 4" xfId="12022" xr:uid="{00000000-0005-0000-0000-0000C1720000}"/>
    <cellStyle name="SAPBEXstdData 32 5" xfId="14502" xr:uid="{00000000-0005-0000-0000-0000C2720000}"/>
    <cellStyle name="SAPBEXstdData 32 6" xfId="16937" xr:uid="{00000000-0005-0000-0000-0000C3720000}"/>
    <cellStyle name="SAPBEXstdData 32 7" xfId="19198" xr:uid="{00000000-0005-0000-0000-0000C4720000}"/>
    <cellStyle name="SAPBEXstdData 32 8" xfId="21633" xr:uid="{00000000-0005-0000-0000-0000C5720000}"/>
    <cellStyle name="SAPBEXstdData 32 9" xfId="23697" xr:uid="{00000000-0005-0000-0000-0000C6720000}"/>
    <cellStyle name="SAPBEXstdData 33" xfId="4538" xr:uid="{00000000-0005-0000-0000-0000C7720000}"/>
    <cellStyle name="SAPBEXstdData 33 2" xfId="7076" xr:uid="{00000000-0005-0000-0000-0000C8720000}"/>
    <cellStyle name="SAPBEXstdData 33 3" xfId="5445" xr:uid="{00000000-0005-0000-0000-0000C9720000}"/>
    <cellStyle name="SAPBEXstdData 33 4" xfId="11346" xr:uid="{00000000-0005-0000-0000-0000CA720000}"/>
    <cellStyle name="SAPBEXstdData 33 5" xfId="13758" xr:uid="{00000000-0005-0000-0000-0000CB720000}"/>
    <cellStyle name="SAPBEXstdData 33 6" xfId="16216" xr:uid="{00000000-0005-0000-0000-0000CC720000}"/>
    <cellStyle name="SAPBEXstdData 33 7" xfId="18454" xr:uid="{00000000-0005-0000-0000-0000CD720000}"/>
    <cellStyle name="SAPBEXstdData 33 8" xfId="20912" xr:uid="{00000000-0005-0000-0000-0000CE720000}"/>
    <cellStyle name="SAPBEXstdData 33 9" xfId="23020" xr:uid="{00000000-0005-0000-0000-0000CF720000}"/>
    <cellStyle name="SAPBEXstdData 34" xfId="4581" xr:uid="{00000000-0005-0000-0000-0000D0720000}"/>
    <cellStyle name="SAPBEXstdData 34 2" xfId="7119" xr:uid="{00000000-0005-0000-0000-0000D1720000}"/>
    <cellStyle name="SAPBEXstdData 34 3" xfId="9381" xr:uid="{00000000-0005-0000-0000-0000D2720000}"/>
    <cellStyle name="SAPBEXstdData 34 4" xfId="11846" xr:uid="{00000000-0005-0000-0000-0000D3720000}"/>
    <cellStyle name="SAPBEXstdData 34 5" xfId="14307" xr:uid="{00000000-0005-0000-0000-0000D4720000}"/>
    <cellStyle name="SAPBEXstdData 34 6" xfId="14987" xr:uid="{00000000-0005-0000-0000-0000D5720000}"/>
    <cellStyle name="SAPBEXstdData 34 7" xfId="19003" xr:uid="{00000000-0005-0000-0000-0000D6720000}"/>
    <cellStyle name="SAPBEXstdData 34 8" xfId="19683" xr:uid="{00000000-0005-0000-0000-0000D7720000}"/>
    <cellStyle name="SAPBEXstdData 34 9" xfId="23521" xr:uid="{00000000-0005-0000-0000-0000D8720000}"/>
    <cellStyle name="SAPBEXstdData 35" xfId="4624" xr:uid="{00000000-0005-0000-0000-0000D9720000}"/>
    <cellStyle name="SAPBEXstdData 35 2" xfId="7162" xr:uid="{00000000-0005-0000-0000-0000DA720000}"/>
    <cellStyle name="SAPBEXstdData 35 3" xfId="10097" xr:uid="{00000000-0005-0000-0000-0000DB720000}"/>
    <cellStyle name="SAPBEXstdData 35 4" xfId="11590" xr:uid="{00000000-0005-0000-0000-0000DC720000}"/>
    <cellStyle name="SAPBEXstdData 35 5" xfId="14028" xr:uid="{00000000-0005-0000-0000-0000DD720000}"/>
    <cellStyle name="SAPBEXstdData 35 6" xfId="15861" xr:uid="{00000000-0005-0000-0000-0000DE720000}"/>
    <cellStyle name="SAPBEXstdData 35 7" xfId="18724" xr:uid="{00000000-0005-0000-0000-0000DF720000}"/>
    <cellStyle name="SAPBEXstdData 35 8" xfId="20557" xr:uid="{00000000-0005-0000-0000-0000E0720000}"/>
    <cellStyle name="SAPBEXstdData 35 9" xfId="23264" xr:uid="{00000000-0005-0000-0000-0000E1720000}"/>
    <cellStyle name="SAPBEXstdData 36" xfId="4667" xr:uid="{00000000-0005-0000-0000-0000E2720000}"/>
    <cellStyle name="SAPBEXstdData 36 2" xfId="7205" xr:uid="{00000000-0005-0000-0000-0000E3720000}"/>
    <cellStyle name="SAPBEXstdData 36 3" xfId="8746" xr:uid="{00000000-0005-0000-0000-0000E4720000}"/>
    <cellStyle name="SAPBEXstdData 36 4" xfId="11612" xr:uid="{00000000-0005-0000-0000-0000E5720000}"/>
    <cellStyle name="SAPBEXstdData 36 5" xfId="14052" xr:uid="{00000000-0005-0000-0000-0000E6720000}"/>
    <cellStyle name="SAPBEXstdData 36 6" xfId="15320" xr:uid="{00000000-0005-0000-0000-0000E7720000}"/>
    <cellStyle name="SAPBEXstdData 36 7" xfId="18748" xr:uid="{00000000-0005-0000-0000-0000E8720000}"/>
    <cellStyle name="SAPBEXstdData 36 8" xfId="20016" xr:uid="{00000000-0005-0000-0000-0000E9720000}"/>
    <cellStyle name="SAPBEXstdData 36 9" xfId="23286" xr:uid="{00000000-0005-0000-0000-0000EA720000}"/>
    <cellStyle name="SAPBEXstdData 37" xfId="4709" xr:uid="{00000000-0005-0000-0000-0000EB720000}"/>
    <cellStyle name="SAPBEXstdData 37 2" xfId="7247" xr:uid="{00000000-0005-0000-0000-0000EC720000}"/>
    <cellStyle name="SAPBEXstdData 37 3" xfId="5505" xr:uid="{00000000-0005-0000-0000-0000ED720000}"/>
    <cellStyle name="SAPBEXstdData 37 4" xfId="12198" xr:uid="{00000000-0005-0000-0000-0000EE720000}"/>
    <cellStyle name="SAPBEXstdData 37 5" xfId="12792" xr:uid="{00000000-0005-0000-0000-0000EF720000}"/>
    <cellStyle name="SAPBEXstdData 37 6" xfId="15062" xr:uid="{00000000-0005-0000-0000-0000F0720000}"/>
    <cellStyle name="SAPBEXstdData 37 7" xfId="17488" xr:uid="{00000000-0005-0000-0000-0000F1720000}"/>
    <cellStyle name="SAPBEXstdData 37 8" xfId="19758" xr:uid="{00000000-0005-0000-0000-0000F2720000}"/>
    <cellStyle name="SAPBEXstdData 37 9" xfId="22131" xr:uid="{00000000-0005-0000-0000-0000F3720000}"/>
    <cellStyle name="SAPBEXstdData 38" xfId="4601" xr:uid="{00000000-0005-0000-0000-0000F4720000}"/>
    <cellStyle name="SAPBEXstdData 38 2" xfId="7139" xr:uid="{00000000-0005-0000-0000-0000F5720000}"/>
    <cellStyle name="SAPBEXstdData 38 3" xfId="8295" xr:uid="{00000000-0005-0000-0000-0000F6720000}"/>
    <cellStyle name="SAPBEXstdData 38 4" xfId="10825" xr:uid="{00000000-0005-0000-0000-0000F7720000}"/>
    <cellStyle name="SAPBEXstdData 38 5" xfId="13188" xr:uid="{00000000-0005-0000-0000-0000F8720000}"/>
    <cellStyle name="SAPBEXstdData 38 6" xfId="15328" xr:uid="{00000000-0005-0000-0000-0000F9720000}"/>
    <cellStyle name="SAPBEXstdData 38 7" xfId="17884" xr:uid="{00000000-0005-0000-0000-0000FA720000}"/>
    <cellStyle name="SAPBEXstdData 38 8" xfId="20024" xr:uid="{00000000-0005-0000-0000-0000FB720000}"/>
    <cellStyle name="SAPBEXstdData 38 9" xfId="22496" xr:uid="{00000000-0005-0000-0000-0000FC720000}"/>
    <cellStyle name="SAPBEXstdData 39" xfId="4814" xr:uid="{00000000-0005-0000-0000-0000FD720000}"/>
    <cellStyle name="SAPBEXstdData 39 2" xfId="7352" xr:uid="{00000000-0005-0000-0000-0000FE720000}"/>
    <cellStyle name="SAPBEXstdData 39 3" xfId="8188" xr:uid="{00000000-0005-0000-0000-0000FF720000}"/>
    <cellStyle name="SAPBEXstdData 39 4" xfId="11474" xr:uid="{00000000-0005-0000-0000-000000730000}"/>
    <cellStyle name="SAPBEXstdData 39 5" xfId="13897" xr:uid="{00000000-0005-0000-0000-000001730000}"/>
    <cellStyle name="SAPBEXstdData 39 6" xfId="12469" xr:uid="{00000000-0005-0000-0000-000002730000}"/>
    <cellStyle name="SAPBEXstdData 39 7" xfId="18593" xr:uid="{00000000-0005-0000-0000-000003730000}"/>
    <cellStyle name="SAPBEXstdData 39 8" xfId="17165" xr:uid="{00000000-0005-0000-0000-000004730000}"/>
    <cellStyle name="SAPBEXstdData 39 9" xfId="23149" xr:uid="{00000000-0005-0000-0000-000005730000}"/>
    <cellStyle name="SAPBEXstdData 4" xfId="3183" xr:uid="{00000000-0005-0000-0000-000006730000}"/>
    <cellStyle name="SAPBEXstdData 4 2" xfId="5721" xr:uid="{00000000-0005-0000-0000-000007730000}"/>
    <cellStyle name="SAPBEXstdData 4 3" xfId="10062" xr:uid="{00000000-0005-0000-0000-000008730000}"/>
    <cellStyle name="SAPBEXstdData 4 4" xfId="12009" xr:uid="{00000000-0005-0000-0000-000009730000}"/>
    <cellStyle name="SAPBEXstdData 4 5" xfId="14489" xr:uid="{00000000-0005-0000-0000-00000A730000}"/>
    <cellStyle name="SAPBEXstdData 4 6" xfId="15317" xr:uid="{00000000-0005-0000-0000-00000B730000}"/>
    <cellStyle name="SAPBEXstdData 4 7" xfId="19185" xr:uid="{00000000-0005-0000-0000-00000C730000}"/>
    <cellStyle name="SAPBEXstdData 4 8" xfId="20013" xr:uid="{00000000-0005-0000-0000-00000D730000}"/>
    <cellStyle name="SAPBEXstdData 4 9" xfId="23684" xr:uid="{00000000-0005-0000-0000-00000E730000}"/>
    <cellStyle name="SAPBEXstdData 40" xfId="4857" xr:uid="{00000000-0005-0000-0000-00000F730000}"/>
    <cellStyle name="SAPBEXstdData 40 2" xfId="7395" xr:uid="{00000000-0005-0000-0000-000010730000}"/>
    <cellStyle name="SAPBEXstdData 40 3" xfId="8653" xr:uid="{00000000-0005-0000-0000-000011730000}"/>
    <cellStyle name="SAPBEXstdData 40 4" xfId="11081" xr:uid="{00000000-0005-0000-0000-000012730000}"/>
    <cellStyle name="SAPBEXstdData 40 5" xfId="13471" xr:uid="{00000000-0005-0000-0000-000013730000}"/>
    <cellStyle name="SAPBEXstdData 40 6" xfId="13052" xr:uid="{00000000-0005-0000-0000-000014730000}"/>
    <cellStyle name="SAPBEXstdData 40 7" xfId="18167" xr:uid="{00000000-0005-0000-0000-000015730000}"/>
    <cellStyle name="SAPBEXstdData 40 8" xfId="17748" xr:uid="{00000000-0005-0000-0000-000016730000}"/>
    <cellStyle name="SAPBEXstdData 40 9" xfId="22754" xr:uid="{00000000-0005-0000-0000-000017730000}"/>
    <cellStyle name="SAPBEXstdData 41" xfId="4916" xr:uid="{00000000-0005-0000-0000-000018730000}"/>
    <cellStyle name="SAPBEXstdData 41 2" xfId="7454" xr:uid="{00000000-0005-0000-0000-000019730000}"/>
    <cellStyle name="SAPBEXstdData 41 3" xfId="8755" xr:uid="{00000000-0005-0000-0000-00001A730000}"/>
    <cellStyle name="SAPBEXstdData 41 4" xfId="11853" xr:uid="{00000000-0005-0000-0000-00001B730000}"/>
    <cellStyle name="SAPBEXstdData 41 5" xfId="14315" xr:uid="{00000000-0005-0000-0000-00001C730000}"/>
    <cellStyle name="SAPBEXstdData 41 6" xfId="15783" xr:uid="{00000000-0005-0000-0000-00001D730000}"/>
    <cellStyle name="SAPBEXstdData 41 7" xfId="19011" xr:uid="{00000000-0005-0000-0000-00001E730000}"/>
    <cellStyle name="SAPBEXstdData 41 8" xfId="20479" xr:uid="{00000000-0005-0000-0000-00001F730000}"/>
    <cellStyle name="SAPBEXstdData 41 9" xfId="23529" xr:uid="{00000000-0005-0000-0000-000020730000}"/>
    <cellStyle name="SAPBEXstdData 42" xfId="4937" xr:uid="{00000000-0005-0000-0000-000021730000}"/>
    <cellStyle name="SAPBEXstdData 42 2" xfId="7475" xr:uid="{00000000-0005-0000-0000-000022730000}"/>
    <cellStyle name="SAPBEXstdData 42 3" xfId="8796" xr:uid="{00000000-0005-0000-0000-000023730000}"/>
    <cellStyle name="SAPBEXstdData 42 4" xfId="10951" xr:uid="{00000000-0005-0000-0000-000024730000}"/>
    <cellStyle name="SAPBEXstdData 42 5" xfId="13322" xr:uid="{00000000-0005-0000-0000-000025730000}"/>
    <cellStyle name="SAPBEXstdData 42 6" xfId="15742" xr:uid="{00000000-0005-0000-0000-000026730000}"/>
    <cellStyle name="SAPBEXstdData 42 7" xfId="18018" xr:uid="{00000000-0005-0000-0000-000027730000}"/>
    <cellStyle name="SAPBEXstdData 42 8" xfId="20438" xr:uid="{00000000-0005-0000-0000-000028730000}"/>
    <cellStyle name="SAPBEXstdData 42 9" xfId="22622" xr:uid="{00000000-0005-0000-0000-000029730000}"/>
    <cellStyle name="SAPBEXstdData 43" xfId="4975" xr:uid="{00000000-0005-0000-0000-00002A730000}"/>
    <cellStyle name="SAPBEXstdData 43 2" xfId="7513" xr:uid="{00000000-0005-0000-0000-00002B730000}"/>
    <cellStyle name="SAPBEXstdData 43 3" xfId="8267" xr:uid="{00000000-0005-0000-0000-00002C730000}"/>
    <cellStyle name="SAPBEXstdData 43 4" xfId="10904" xr:uid="{00000000-0005-0000-0000-00002D730000}"/>
    <cellStyle name="SAPBEXstdData 43 5" xfId="13274" xr:uid="{00000000-0005-0000-0000-00002E730000}"/>
    <cellStyle name="SAPBEXstdData 43 6" xfId="15309" xr:uid="{00000000-0005-0000-0000-00002F730000}"/>
    <cellStyle name="SAPBEXstdData 43 7" xfId="17970" xr:uid="{00000000-0005-0000-0000-000030730000}"/>
    <cellStyle name="SAPBEXstdData 43 8" xfId="20005" xr:uid="{00000000-0005-0000-0000-000031730000}"/>
    <cellStyle name="SAPBEXstdData 43 9" xfId="22575" xr:uid="{00000000-0005-0000-0000-000032730000}"/>
    <cellStyle name="SAPBEXstdData 44" xfId="5013" xr:uid="{00000000-0005-0000-0000-000033730000}"/>
    <cellStyle name="SAPBEXstdData 44 2" xfId="7551" xr:uid="{00000000-0005-0000-0000-000034730000}"/>
    <cellStyle name="SAPBEXstdData 44 3" xfId="9478" xr:uid="{00000000-0005-0000-0000-000035730000}"/>
    <cellStyle name="SAPBEXstdData 44 4" xfId="10812" xr:uid="{00000000-0005-0000-0000-000036730000}"/>
    <cellStyle name="SAPBEXstdData 44 5" xfId="13175" xr:uid="{00000000-0005-0000-0000-000037730000}"/>
    <cellStyle name="SAPBEXstdData 44 6" xfId="16957" xr:uid="{00000000-0005-0000-0000-000038730000}"/>
    <cellStyle name="SAPBEXstdData 44 7" xfId="17871" xr:uid="{00000000-0005-0000-0000-000039730000}"/>
    <cellStyle name="SAPBEXstdData 44 8" xfId="21653" xr:uid="{00000000-0005-0000-0000-00003A730000}"/>
    <cellStyle name="SAPBEXstdData 44 9" xfId="22483" xr:uid="{00000000-0005-0000-0000-00003B730000}"/>
    <cellStyle name="SAPBEXstdData 45" xfId="5050" xr:uid="{00000000-0005-0000-0000-00003C730000}"/>
    <cellStyle name="SAPBEXstdData 45 2" xfId="7588" xr:uid="{00000000-0005-0000-0000-00003D730000}"/>
    <cellStyle name="SAPBEXstdData 45 3" xfId="10078" xr:uid="{00000000-0005-0000-0000-00003E730000}"/>
    <cellStyle name="SAPBEXstdData 45 4" xfId="11344" xr:uid="{00000000-0005-0000-0000-00003F730000}"/>
    <cellStyle name="SAPBEXstdData 45 5" xfId="13755" xr:uid="{00000000-0005-0000-0000-000040730000}"/>
    <cellStyle name="SAPBEXstdData 45 6" xfId="15446" xr:uid="{00000000-0005-0000-0000-000041730000}"/>
    <cellStyle name="SAPBEXstdData 45 7" xfId="18451" xr:uid="{00000000-0005-0000-0000-000042730000}"/>
    <cellStyle name="SAPBEXstdData 45 8" xfId="20142" xr:uid="{00000000-0005-0000-0000-000043730000}"/>
    <cellStyle name="SAPBEXstdData 45 9" xfId="23018" xr:uid="{00000000-0005-0000-0000-000044730000}"/>
    <cellStyle name="SAPBEXstdData 46" xfId="5080" xr:uid="{00000000-0005-0000-0000-000045730000}"/>
    <cellStyle name="SAPBEXstdData 46 2" xfId="7618" xr:uid="{00000000-0005-0000-0000-000046730000}"/>
    <cellStyle name="SAPBEXstdData 46 3" xfId="9359" xr:uid="{00000000-0005-0000-0000-000047730000}"/>
    <cellStyle name="SAPBEXstdData 46 4" xfId="10533" xr:uid="{00000000-0005-0000-0000-000048730000}"/>
    <cellStyle name="SAPBEXstdData 46 5" xfId="12876" xr:uid="{00000000-0005-0000-0000-000049730000}"/>
    <cellStyle name="SAPBEXstdData 46 6" xfId="13159" xr:uid="{00000000-0005-0000-0000-00004A730000}"/>
    <cellStyle name="SAPBEXstdData 46 7" xfId="17572" xr:uid="{00000000-0005-0000-0000-00004B730000}"/>
    <cellStyle name="SAPBEXstdData 46 8" xfId="17855" xr:uid="{00000000-0005-0000-0000-00004C730000}"/>
    <cellStyle name="SAPBEXstdData 46 9" xfId="22204" xr:uid="{00000000-0005-0000-0000-00004D730000}"/>
    <cellStyle name="SAPBEXstdData 47" xfId="5106" xr:uid="{00000000-0005-0000-0000-00004E730000}"/>
    <cellStyle name="SAPBEXstdData 47 2" xfId="7644" xr:uid="{00000000-0005-0000-0000-00004F730000}"/>
    <cellStyle name="SAPBEXstdData 47 3" xfId="8966" xr:uid="{00000000-0005-0000-0000-000050730000}"/>
    <cellStyle name="SAPBEXstdData 47 4" xfId="10965" xr:uid="{00000000-0005-0000-0000-000051730000}"/>
    <cellStyle name="SAPBEXstdData 47 5" xfId="13337" xr:uid="{00000000-0005-0000-0000-000052730000}"/>
    <cellStyle name="SAPBEXstdData 47 6" xfId="15163" xr:uid="{00000000-0005-0000-0000-000053730000}"/>
    <cellStyle name="SAPBEXstdData 47 7" xfId="18033" xr:uid="{00000000-0005-0000-0000-000054730000}"/>
    <cellStyle name="SAPBEXstdData 47 8" xfId="19859" xr:uid="{00000000-0005-0000-0000-000055730000}"/>
    <cellStyle name="SAPBEXstdData 47 9" xfId="22636" xr:uid="{00000000-0005-0000-0000-000056730000}"/>
    <cellStyle name="SAPBEXstdData 48" xfId="5154" xr:uid="{00000000-0005-0000-0000-000057730000}"/>
    <cellStyle name="SAPBEXstdData 48 2" xfId="7692" xr:uid="{00000000-0005-0000-0000-000058730000}"/>
    <cellStyle name="SAPBEXstdData 48 3" xfId="9454" xr:uid="{00000000-0005-0000-0000-000059730000}"/>
    <cellStyle name="SAPBEXstdData 48 4" xfId="10217" xr:uid="{00000000-0005-0000-0000-00005A730000}"/>
    <cellStyle name="SAPBEXstdData 48 5" xfId="12526" xr:uid="{00000000-0005-0000-0000-00005B730000}"/>
    <cellStyle name="SAPBEXstdData 48 6" xfId="15195" xr:uid="{00000000-0005-0000-0000-00005C730000}"/>
    <cellStyle name="SAPBEXstdData 48 7" xfId="17222" xr:uid="{00000000-0005-0000-0000-00005D730000}"/>
    <cellStyle name="SAPBEXstdData 48 8" xfId="19891" xr:uid="{00000000-0005-0000-0000-00005E730000}"/>
    <cellStyle name="SAPBEXstdData 48 9" xfId="21893" xr:uid="{00000000-0005-0000-0000-00005F730000}"/>
    <cellStyle name="SAPBEXstdData 49" xfId="5223" xr:uid="{00000000-0005-0000-0000-000060730000}"/>
    <cellStyle name="SAPBEXstdData 49 2" xfId="7762" xr:uid="{00000000-0005-0000-0000-000061730000}"/>
    <cellStyle name="SAPBEXstdData 49 3" xfId="8829" xr:uid="{00000000-0005-0000-0000-000062730000}"/>
    <cellStyle name="SAPBEXstdData 49 4" xfId="10813" xr:uid="{00000000-0005-0000-0000-000063730000}"/>
    <cellStyle name="SAPBEXstdData 49 5" xfId="13176" xr:uid="{00000000-0005-0000-0000-000064730000}"/>
    <cellStyle name="SAPBEXstdData 49 6" xfId="15768" xr:uid="{00000000-0005-0000-0000-000065730000}"/>
    <cellStyle name="SAPBEXstdData 49 7" xfId="17872" xr:uid="{00000000-0005-0000-0000-000066730000}"/>
    <cellStyle name="SAPBEXstdData 49 8" xfId="20464" xr:uid="{00000000-0005-0000-0000-000067730000}"/>
    <cellStyle name="SAPBEXstdData 49 9" xfId="22484" xr:uid="{00000000-0005-0000-0000-000068730000}"/>
    <cellStyle name="SAPBEXstdData 5" xfId="3226" xr:uid="{00000000-0005-0000-0000-000069730000}"/>
    <cellStyle name="SAPBEXstdData 5 2" xfId="5764" xr:uid="{00000000-0005-0000-0000-00006A730000}"/>
    <cellStyle name="SAPBEXstdData 5 3" xfId="10218" xr:uid="{00000000-0005-0000-0000-00006B730000}"/>
    <cellStyle name="SAPBEXstdData 5 4" xfId="11906" xr:uid="{00000000-0005-0000-0000-00006C730000}"/>
    <cellStyle name="SAPBEXstdData 5 5" xfId="14378" xr:uid="{00000000-0005-0000-0000-00006D730000}"/>
    <cellStyle name="SAPBEXstdData 5 6" xfId="16919" xr:uid="{00000000-0005-0000-0000-00006E730000}"/>
    <cellStyle name="SAPBEXstdData 5 7" xfId="19074" xr:uid="{00000000-0005-0000-0000-00006F730000}"/>
    <cellStyle name="SAPBEXstdData 5 8" xfId="21615" xr:uid="{00000000-0005-0000-0000-000070730000}"/>
    <cellStyle name="SAPBEXstdData 5 9" xfId="23581" xr:uid="{00000000-0005-0000-0000-000071730000}"/>
    <cellStyle name="SAPBEXstdData 50" xfId="5261" xr:uid="{00000000-0005-0000-0000-000072730000}"/>
    <cellStyle name="SAPBEXstdData 50 2" xfId="9154" xr:uid="{00000000-0005-0000-0000-000073730000}"/>
    <cellStyle name="SAPBEXstdData 50 3" xfId="11279" xr:uid="{00000000-0005-0000-0000-000074730000}"/>
    <cellStyle name="SAPBEXstdData 50 4" xfId="13685" xr:uid="{00000000-0005-0000-0000-000075730000}"/>
    <cellStyle name="SAPBEXstdData 50 5" xfId="15529" xr:uid="{00000000-0005-0000-0000-000076730000}"/>
    <cellStyle name="SAPBEXstdData 50 6" xfId="18381" xr:uid="{00000000-0005-0000-0000-000077730000}"/>
    <cellStyle name="SAPBEXstdData 50 7" xfId="20225" xr:uid="{00000000-0005-0000-0000-000078730000}"/>
    <cellStyle name="SAPBEXstdData 50 8" xfId="22953" xr:uid="{00000000-0005-0000-0000-000079730000}"/>
    <cellStyle name="SAPBEXstdData 51" xfId="8780" xr:uid="{00000000-0005-0000-0000-00007A730000}"/>
    <cellStyle name="SAPBEXstdData 52" xfId="10081" xr:uid="{00000000-0005-0000-0000-00007B730000}"/>
    <cellStyle name="SAPBEXstdData 53" xfId="12535" xr:uid="{00000000-0005-0000-0000-00007C730000}"/>
    <cellStyle name="SAPBEXstdData 54" xfId="15692" xr:uid="{00000000-0005-0000-0000-00007D730000}"/>
    <cellStyle name="SAPBEXstdData 55" xfId="17231" xr:uid="{00000000-0005-0000-0000-00007E730000}"/>
    <cellStyle name="SAPBEXstdData 56" xfId="20388" xr:uid="{00000000-0005-0000-0000-00007F730000}"/>
    <cellStyle name="SAPBEXstdData 57" xfId="21899" xr:uid="{00000000-0005-0000-0000-000080730000}"/>
    <cellStyle name="SAPBEXstdData 58" xfId="25937" xr:uid="{00000000-0005-0000-0000-000081730000}"/>
    <cellStyle name="SAPBEXstdData 59" xfId="42176" xr:uid="{8BFAC62B-7962-41C7-A4A4-7D35579A5583}"/>
    <cellStyle name="SAPBEXstdData 6" xfId="3269" xr:uid="{00000000-0005-0000-0000-000082730000}"/>
    <cellStyle name="SAPBEXstdData 6 2" xfId="5807" xr:uid="{00000000-0005-0000-0000-000083730000}"/>
    <cellStyle name="SAPBEXstdData 6 3" xfId="9503" xr:uid="{00000000-0005-0000-0000-000084730000}"/>
    <cellStyle name="SAPBEXstdData 6 4" xfId="12147" xr:uid="{00000000-0005-0000-0000-000085730000}"/>
    <cellStyle name="SAPBEXstdData 6 5" xfId="14630" xr:uid="{00000000-0005-0000-0000-000086730000}"/>
    <cellStyle name="SAPBEXstdData 6 6" xfId="16642" xr:uid="{00000000-0005-0000-0000-000087730000}"/>
    <cellStyle name="SAPBEXstdData 6 7" xfId="19326" xr:uid="{00000000-0005-0000-0000-000088730000}"/>
    <cellStyle name="SAPBEXstdData 6 8" xfId="21338" xr:uid="{00000000-0005-0000-0000-000089730000}"/>
    <cellStyle name="SAPBEXstdData 6 9" xfId="23821" xr:uid="{00000000-0005-0000-0000-00008A730000}"/>
    <cellStyle name="SAPBEXstdData 7" xfId="3312" xr:uid="{00000000-0005-0000-0000-00008B730000}"/>
    <cellStyle name="SAPBEXstdData 7 2" xfId="5850" xr:uid="{00000000-0005-0000-0000-00008C730000}"/>
    <cellStyle name="SAPBEXstdData 7 3" xfId="9648" xr:uid="{00000000-0005-0000-0000-00008D730000}"/>
    <cellStyle name="SAPBEXstdData 7 4" xfId="10231" xr:uid="{00000000-0005-0000-0000-00008E730000}"/>
    <cellStyle name="SAPBEXstdData 7 5" xfId="14928" xr:uid="{00000000-0005-0000-0000-00008F730000}"/>
    <cellStyle name="SAPBEXstdData 7 6" xfId="15083" xr:uid="{00000000-0005-0000-0000-000090730000}"/>
    <cellStyle name="SAPBEXstdData 7 7" xfId="19624" xr:uid="{00000000-0005-0000-0000-000091730000}"/>
    <cellStyle name="SAPBEXstdData 7 8" xfId="19779" xr:uid="{00000000-0005-0000-0000-000092730000}"/>
    <cellStyle name="SAPBEXstdData 7 9" xfId="24091" xr:uid="{00000000-0005-0000-0000-000093730000}"/>
    <cellStyle name="SAPBEXstdData 8" xfId="3355" xr:uid="{00000000-0005-0000-0000-000094730000}"/>
    <cellStyle name="SAPBEXstdData 8 2" xfId="5893" xr:uid="{00000000-0005-0000-0000-000095730000}"/>
    <cellStyle name="SAPBEXstdData 8 3" xfId="9487" xr:uid="{00000000-0005-0000-0000-000096730000}"/>
    <cellStyle name="SAPBEXstdData 8 4" xfId="11553" xr:uid="{00000000-0005-0000-0000-000097730000}"/>
    <cellStyle name="SAPBEXstdData 8 5" xfId="13988" xr:uid="{00000000-0005-0000-0000-000098730000}"/>
    <cellStyle name="SAPBEXstdData 8 6" xfId="12820" xr:uid="{00000000-0005-0000-0000-000099730000}"/>
    <cellStyle name="SAPBEXstdData 8 7" xfId="18684" xr:uid="{00000000-0005-0000-0000-00009A730000}"/>
    <cellStyle name="SAPBEXstdData 8 8" xfId="17516" xr:uid="{00000000-0005-0000-0000-00009B730000}"/>
    <cellStyle name="SAPBEXstdData 8 9" xfId="23227" xr:uid="{00000000-0005-0000-0000-00009C730000}"/>
    <cellStyle name="SAPBEXstdData 9" xfId="3398" xr:uid="{00000000-0005-0000-0000-00009D730000}"/>
    <cellStyle name="SAPBEXstdData 9 2" xfId="5936" xr:uid="{00000000-0005-0000-0000-00009E730000}"/>
    <cellStyle name="SAPBEXstdData 9 3" xfId="8624" xr:uid="{00000000-0005-0000-0000-00009F730000}"/>
    <cellStyle name="SAPBEXstdData 9 4" xfId="8450" xr:uid="{00000000-0005-0000-0000-0000A0730000}"/>
    <cellStyle name="SAPBEXstdData 9 5" xfId="12394" xr:uid="{00000000-0005-0000-0000-0000A1730000}"/>
    <cellStyle name="SAPBEXstdData 9 6" xfId="15578" xr:uid="{00000000-0005-0000-0000-0000A2730000}"/>
    <cellStyle name="SAPBEXstdData 9 7" xfId="17090" xr:uid="{00000000-0005-0000-0000-0000A3730000}"/>
    <cellStyle name="SAPBEXstdData 9 8" xfId="20274" xr:uid="{00000000-0005-0000-0000-0000A4730000}"/>
    <cellStyle name="SAPBEXstdData 9 9" xfId="21779" xr:uid="{00000000-0005-0000-0000-0000A5730000}"/>
    <cellStyle name="SAPBEXstdDataEmph" xfId="2976" xr:uid="{00000000-0005-0000-0000-0000A6730000}"/>
    <cellStyle name="SAPBEXstdDataEmph 10" xfId="3442" xr:uid="{00000000-0005-0000-0000-0000A7730000}"/>
    <cellStyle name="SAPBEXstdDataEmph 10 2" xfId="5980" xr:uid="{00000000-0005-0000-0000-0000A8730000}"/>
    <cellStyle name="SAPBEXstdDataEmph 10 3" xfId="10117" xr:uid="{00000000-0005-0000-0000-0000A9730000}"/>
    <cellStyle name="SAPBEXstdDataEmph 10 4" xfId="11807" xr:uid="{00000000-0005-0000-0000-0000AA730000}"/>
    <cellStyle name="SAPBEXstdDataEmph 10 5" xfId="14264" xr:uid="{00000000-0005-0000-0000-0000AB730000}"/>
    <cellStyle name="SAPBEXstdDataEmph 10 6" xfId="16834" xr:uid="{00000000-0005-0000-0000-0000AC730000}"/>
    <cellStyle name="SAPBEXstdDataEmph 10 7" xfId="18960" xr:uid="{00000000-0005-0000-0000-0000AD730000}"/>
    <cellStyle name="SAPBEXstdDataEmph 10 8" xfId="21530" xr:uid="{00000000-0005-0000-0000-0000AE730000}"/>
    <cellStyle name="SAPBEXstdDataEmph 10 9" xfId="23482" xr:uid="{00000000-0005-0000-0000-0000AF730000}"/>
    <cellStyle name="SAPBEXstdDataEmph 11" xfId="3349" xr:uid="{00000000-0005-0000-0000-0000B0730000}"/>
    <cellStyle name="SAPBEXstdDataEmph 11 2" xfId="5887" xr:uid="{00000000-0005-0000-0000-0000B1730000}"/>
    <cellStyle name="SAPBEXstdDataEmph 11 3" xfId="7957" xr:uid="{00000000-0005-0000-0000-0000B2730000}"/>
    <cellStyle name="SAPBEXstdDataEmph 11 4" xfId="11790" xr:uid="{00000000-0005-0000-0000-0000B3730000}"/>
    <cellStyle name="SAPBEXstdDataEmph 11 5" xfId="14247" xr:uid="{00000000-0005-0000-0000-0000B4730000}"/>
    <cellStyle name="SAPBEXstdDataEmph 11 6" xfId="15404" xr:uid="{00000000-0005-0000-0000-0000B5730000}"/>
    <cellStyle name="SAPBEXstdDataEmph 11 7" xfId="18943" xr:uid="{00000000-0005-0000-0000-0000B6730000}"/>
    <cellStyle name="SAPBEXstdDataEmph 11 8" xfId="20100" xr:uid="{00000000-0005-0000-0000-0000B7730000}"/>
    <cellStyle name="SAPBEXstdDataEmph 11 9" xfId="23465" xr:uid="{00000000-0005-0000-0000-0000B8730000}"/>
    <cellStyle name="SAPBEXstdDataEmph 12" xfId="3528" xr:uid="{00000000-0005-0000-0000-0000B9730000}"/>
    <cellStyle name="SAPBEXstdDataEmph 12 2" xfId="6066" xr:uid="{00000000-0005-0000-0000-0000BA730000}"/>
    <cellStyle name="SAPBEXstdDataEmph 12 3" xfId="9709" xr:uid="{00000000-0005-0000-0000-0000BB730000}"/>
    <cellStyle name="SAPBEXstdDataEmph 12 4" xfId="11704" xr:uid="{00000000-0005-0000-0000-0000BC730000}"/>
    <cellStyle name="SAPBEXstdDataEmph 12 5" xfId="14153" xr:uid="{00000000-0005-0000-0000-0000BD730000}"/>
    <cellStyle name="SAPBEXstdDataEmph 12 6" xfId="15403" xr:uid="{00000000-0005-0000-0000-0000BE730000}"/>
    <cellStyle name="SAPBEXstdDataEmph 12 7" xfId="18849" xr:uid="{00000000-0005-0000-0000-0000BF730000}"/>
    <cellStyle name="SAPBEXstdDataEmph 12 8" xfId="20099" xr:uid="{00000000-0005-0000-0000-0000C0730000}"/>
    <cellStyle name="SAPBEXstdDataEmph 12 9" xfId="23378" xr:uid="{00000000-0005-0000-0000-0000C1730000}"/>
    <cellStyle name="SAPBEXstdDataEmph 13" xfId="3319" xr:uid="{00000000-0005-0000-0000-0000C2730000}"/>
    <cellStyle name="SAPBEXstdDataEmph 13 2" xfId="5857" xr:uid="{00000000-0005-0000-0000-0000C3730000}"/>
    <cellStyle name="SAPBEXstdDataEmph 13 3" xfId="8600" xr:uid="{00000000-0005-0000-0000-0000C4730000}"/>
    <cellStyle name="SAPBEXstdDataEmph 13 4" xfId="11723" xr:uid="{00000000-0005-0000-0000-0000C5730000}"/>
    <cellStyle name="SAPBEXstdDataEmph 13 5" xfId="14174" xr:uid="{00000000-0005-0000-0000-0000C6730000}"/>
    <cellStyle name="SAPBEXstdDataEmph 13 6" xfId="16973" xr:uid="{00000000-0005-0000-0000-0000C7730000}"/>
    <cellStyle name="SAPBEXstdDataEmph 13 7" xfId="18870" xr:uid="{00000000-0005-0000-0000-0000C8730000}"/>
    <cellStyle name="SAPBEXstdDataEmph 13 8" xfId="21669" xr:uid="{00000000-0005-0000-0000-0000C9730000}"/>
    <cellStyle name="SAPBEXstdDataEmph 13 9" xfId="23397" xr:uid="{00000000-0005-0000-0000-0000CA730000}"/>
    <cellStyle name="SAPBEXstdDataEmph 14" xfId="3640" xr:uid="{00000000-0005-0000-0000-0000CB730000}"/>
    <cellStyle name="SAPBEXstdDataEmph 14 2" xfId="6178" xr:uid="{00000000-0005-0000-0000-0000CC730000}"/>
    <cellStyle name="SAPBEXstdDataEmph 14 3" xfId="8059" xr:uid="{00000000-0005-0000-0000-0000CD730000}"/>
    <cellStyle name="SAPBEXstdDataEmph 14 4" xfId="11972" xr:uid="{00000000-0005-0000-0000-0000CE730000}"/>
    <cellStyle name="SAPBEXstdDataEmph 14 5" xfId="14449" xr:uid="{00000000-0005-0000-0000-0000CF730000}"/>
    <cellStyle name="SAPBEXstdDataEmph 14 6" xfId="15772" xr:uid="{00000000-0005-0000-0000-0000D0730000}"/>
    <cellStyle name="SAPBEXstdDataEmph 14 7" xfId="19145" xr:uid="{00000000-0005-0000-0000-0000D1730000}"/>
    <cellStyle name="SAPBEXstdDataEmph 14 8" xfId="20468" xr:uid="{00000000-0005-0000-0000-0000D2730000}"/>
    <cellStyle name="SAPBEXstdDataEmph 14 9" xfId="23647" xr:uid="{00000000-0005-0000-0000-0000D3730000}"/>
    <cellStyle name="SAPBEXstdDataEmph 15" xfId="3708" xr:uid="{00000000-0005-0000-0000-0000D4730000}"/>
    <cellStyle name="SAPBEXstdDataEmph 15 2" xfId="6246" xr:uid="{00000000-0005-0000-0000-0000D5730000}"/>
    <cellStyle name="SAPBEXstdDataEmph 15 3" xfId="9172" xr:uid="{00000000-0005-0000-0000-0000D6730000}"/>
    <cellStyle name="SAPBEXstdDataEmph 15 4" xfId="11915" xr:uid="{00000000-0005-0000-0000-0000D7730000}"/>
    <cellStyle name="SAPBEXstdDataEmph 15 5" xfId="14387" xr:uid="{00000000-0005-0000-0000-0000D8730000}"/>
    <cellStyle name="SAPBEXstdDataEmph 15 6" xfId="16112" xr:uid="{00000000-0005-0000-0000-0000D9730000}"/>
    <cellStyle name="SAPBEXstdDataEmph 15 7" xfId="19083" xr:uid="{00000000-0005-0000-0000-0000DA730000}"/>
    <cellStyle name="SAPBEXstdDataEmph 15 8" xfId="20808" xr:uid="{00000000-0005-0000-0000-0000DB730000}"/>
    <cellStyle name="SAPBEXstdDataEmph 15 9" xfId="23590" xr:uid="{00000000-0005-0000-0000-0000DC730000}"/>
    <cellStyle name="SAPBEXstdDataEmph 16" xfId="3770" xr:uid="{00000000-0005-0000-0000-0000DD730000}"/>
    <cellStyle name="SAPBEXstdDataEmph 16 2" xfId="6308" xr:uid="{00000000-0005-0000-0000-0000DE730000}"/>
    <cellStyle name="SAPBEXstdDataEmph 16 3" xfId="8999" xr:uid="{00000000-0005-0000-0000-0000DF730000}"/>
    <cellStyle name="SAPBEXstdDataEmph 16 4" xfId="11622" xr:uid="{00000000-0005-0000-0000-0000E0730000}"/>
    <cellStyle name="SAPBEXstdDataEmph 16 5" xfId="14064" xr:uid="{00000000-0005-0000-0000-0000E1730000}"/>
    <cellStyle name="SAPBEXstdDataEmph 16 6" xfId="15913" xr:uid="{00000000-0005-0000-0000-0000E2730000}"/>
    <cellStyle name="SAPBEXstdDataEmph 16 7" xfId="18760" xr:uid="{00000000-0005-0000-0000-0000E3730000}"/>
    <cellStyle name="SAPBEXstdDataEmph 16 8" xfId="20609" xr:uid="{00000000-0005-0000-0000-0000E4730000}"/>
    <cellStyle name="SAPBEXstdDataEmph 16 9" xfId="23297" xr:uid="{00000000-0005-0000-0000-0000E5730000}"/>
    <cellStyle name="SAPBEXstdDataEmph 17" xfId="3821" xr:uid="{00000000-0005-0000-0000-0000E6730000}"/>
    <cellStyle name="SAPBEXstdDataEmph 17 2" xfId="6359" xr:uid="{00000000-0005-0000-0000-0000E7730000}"/>
    <cellStyle name="SAPBEXstdDataEmph 17 3" xfId="8794" xr:uid="{00000000-0005-0000-0000-0000E8730000}"/>
    <cellStyle name="SAPBEXstdDataEmph 17 4" xfId="12157" xr:uid="{00000000-0005-0000-0000-0000E9730000}"/>
    <cellStyle name="SAPBEXstdDataEmph 17 5" xfId="14640" xr:uid="{00000000-0005-0000-0000-0000EA730000}"/>
    <cellStyle name="SAPBEXstdDataEmph 17 6" xfId="16576" xr:uid="{00000000-0005-0000-0000-0000EB730000}"/>
    <cellStyle name="SAPBEXstdDataEmph 17 7" xfId="19336" xr:uid="{00000000-0005-0000-0000-0000EC730000}"/>
    <cellStyle name="SAPBEXstdDataEmph 17 8" xfId="21272" xr:uid="{00000000-0005-0000-0000-0000ED730000}"/>
    <cellStyle name="SAPBEXstdDataEmph 17 9" xfId="23831" xr:uid="{00000000-0005-0000-0000-0000EE730000}"/>
    <cellStyle name="SAPBEXstdDataEmph 18" xfId="3882" xr:uid="{00000000-0005-0000-0000-0000EF730000}"/>
    <cellStyle name="SAPBEXstdDataEmph 18 2" xfId="6420" xr:uid="{00000000-0005-0000-0000-0000F0730000}"/>
    <cellStyle name="SAPBEXstdDataEmph 18 3" xfId="10088" xr:uid="{00000000-0005-0000-0000-0000F1730000}"/>
    <cellStyle name="SAPBEXstdDataEmph 18 4" xfId="10978" xr:uid="{00000000-0005-0000-0000-0000F2730000}"/>
    <cellStyle name="SAPBEXstdDataEmph 18 5" xfId="13351" xr:uid="{00000000-0005-0000-0000-0000F3730000}"/>
    <cellStyle name="SAPBEXstdDataEmph 18 6" xfId="15401" xr:uid="{00000000-0005-0000-0000-0000F4730000}"/>
    <cellStyle name="SAPBEXstdDataEmph 18 7" xfId="18047" xr:uid="{00000000-0005-0000-0000-0000F5730000}"/>
    <cellStyle name="SAPBEXstdDataEmph 18 8" xfId="20097" xr:uid="{00000000-0005-0000-0000-0000F6730000}"/>
    <cellStyle name="SAPBEXstdDataEmph 18 9" xfId="22650" xr:uid="{00000000-0005-0000-0000-0000F7730000}"/>
    <cellStyle name="SAPBEXstdDataEmph 19" xfId="3919" xr:uid="{00000000-0005-0000-0000-0000F8730000}"/>
    <cellStyle name="SAPBEXstdDataEmph 19 2" xfId="6457" xr:uid="{00000000-0005-0000-0000-0000F9730000}"/>
    <cellStyle name="SAPBEXstdDataEmph 19 3" xfId="8491" xr:uid="{00000000-0005-0000-0000-0000FA730000}"/>
    <cellStyle name="SAPBEXstdDataEmph 19 4" xfId="11583" xr:uid="{00000000-0005-0000-0000-0000FB730000}"/>
    <cellStyle name="SAPBEXstdDataEmph 19 5" xfId="14020" xr:uid="{00000000-0005-0000-0000-0000FC730000}"/>
    <cellStyle name="SAPBEXstdDataEmph 19 6" xfId="16621" xr:uid="{00000000-0005-0000-0000-0000FD730000}"/>
    <cellStyle name="SAPBEXstdDataEmph 19 7" xfId="18716" xr:uid="{00000000-0005-0000-0000-0000FE730000}"/>
    <cellStyle name="SAPBEXstdDataEmph 19 8" xfId="21317" xr:uid="{00000000-0005-0000-0000-0000FF730000}"/>
    <cellStyle name="SAPBEXstdDataEmph 19 9" xfId="23257" xr:uid="{00000000-0005-0000-0000-000000740000}"/>
    <cellStyle name="SAPBEXstdDataEmph 2" xfId="3095" xr:uid="{00000000-0005-0000-0000-000001740000}"/>
    <cellStyle name="SAPBEXstdDataEmph 2 2" xfId="5633" xr:uid="{00000000-0005-0000-0000-000002740000}"/>
    <cellStyle name="SAPBEXstdDataEmph 2 3" xfId="8591" xr:uid="{00000000-0005-0000-0000-000003740000}"/>
    <cellStyle name="SAPBEXstdDataEmph 2 4" xfId="10780" xr:uid="{00000000-0005-0000-0000-000004740000}"/>
    <cellStyle name="SAPBEXstdDataEmph 2 5" xfId="13136" xr:uid="{00000000-0005-0000-0000-000005740000}"/>
    <cellStyle name="SAPBEXstdDataEmph 2 6" xfId="15632" xr:uid="{00000000-0005-0000-0000-000006740000}"/>
    <cellStyle name="SAPBEXstdDataEmph 2 7" xfId="17832" xr:uid="{00000000-0005-0000-0000-000007740000}"/>
    <cellStyle name="SAPBEXstdDataEmph 2 8" xfId="20328" xr:uid="{00000000-0005-0000-0000-000008740000}"/>
    <cellStyle name="SAPBEXstdDataEmph 2 9" xfId="22451" xr:uid="{00000000-0005-0000-0000-000009740000}"/>
    <cellStyle name="SAPBEXstdDataEmph 20" xfId="3962" xr:uid="{00000000-0005-0000-0000-00000A740000}"/>
    <cellStyle name="SAPBEXstdDataEmph 20 2" xfId="6500" xr:uid="{00000000-0005-0000-0000-00000B740000}"/>
    <cellStyle name="SAPBEXstdDataEmph 20 3" xfId="8095" xr:uid="{00000000-0005-0000-0000-00000C740000}"/>
    <cellStyle name="SAPBEXstdDataEmph 20 4" xfId="10857" xr:uid="{00000000-0005-0000-0000-00000D740000}"/>
    <cellStyle name="SAPBEXstdDataEmph 20 5" xfId="13222" xr:uid="{00000000-0005-0000-0000-00000E740000}"/>
    <cellStyle name="SAPBEXstdDataEmph 20 6" xfId="14105" xr:uid="{00000000-0005-0000-0000-00000F740000}"/>
    <cellStyle name="SAPBEXstdDataEmph 20 7" xfId="17918" xr:uid="{00000000-0005-0000-0000-000010740000}"/>
    <cellStyle name="SAPBEXstdDataEmph 20 8" xfId="18801" xr:uid="{00000000-0005-0000-0000-000011740000}"/>
    <cellStyle name="SAPBEXstdDataEmph 20 9" xfId="22528" xr:uid="{00000000-0005-0000-0000-000012740000}"/>
    <cellStyle name="SAPBEXstdDataEmph 21" xfId="4030" xr:uid="{00000000-0005-0000-0000-000013740000}"/>
    <cellStyle name="SAPBEXstdDataEmph 21 2" xfId="6568" xr:uid="{00000000-0005-0000-0000-000014740000}"/>
    <cellStyle name="SAPBEXstdDataEmph 21 3" xfId="10023" xr:uid="{00000000-0005-0000-0000-000015740000}"/>
    <cellStyle name="SAPBEXstdDataEmph 21 4" xfId="8798" xr:uid="{00000000-0005-0000-0000-000016740000}"/>
    <cellStyle name="SAPBEXstdDataEmph 21 5" xfId="12518" xr:uid="{00000000-0005-0000-0000-000017740000}"/>
    <cellStyle name="SAPBEXstdDataEmph 21 6" xfId="16869" xr:uid="{00000000-0005-0000-0000-000018740000}"/>
    <cellStyle name="SAPBEXstdDataEmph 21 7" xfId="17214" xr:uid="{00000000-0005-0000-0000-000019740000}"/>
    <cellStyle name="SAPBEXstdDataEmph 21 8" xfId="21565" xr:uid="{00000000-0005-0000-0000-00001A740000}"/>
    <cellStyle name="SAPBEXstdDataEmph 21 9" xfId="21885" xr:uid="{00000000-0005-0000-0000-00001B740000}"/>
    <cellStyle name="SAPBEXstdDataEmph 22" xfId="4083" xr:uid="{00000000-0005-0000-0000-00001C740000}"/>
    <cellStyle name="SAPBEXstdDataEmph 22 2" xfId="6621" xr:uid="{00000000-0005-0000-0000-00001D740000}"/>
    <cellStyle name="SAPBEXstdDataEmph 22 3" xfId="9911" xr:uid="{00000000-0005-0000-0000-00001E740000}"/>
    <cellStyle name="SAPBEXstdDataEmph 22 4" xfId="11986" xr:uid="{00000000-0005-0000-0000-00001F740000}"/>
    <cellStyle name="SAPBEXstdDataEmph 22 5" xfId="14464" xr:uid="{00000000-0005-0000-0000-000020740000}"/>
    <cellStyle name="SAPBEXstdDataEmph 22 6" xfId="14985" xr:uid="{00000000-0005-0000-0000-000021740000}"/>
    <cellStyle name="SAPBEXstdDataEmph 22 7" xfId="19160" xr:uid="{00000000-0005-0000-0000-000022740000}"/>
    <cellStyle name="SAPBEXstdDataEmph 22 8" xfId="19681" xr:uid="{00000000-0005-0000-0000-000023740000}"/>
    <cellStyle name="SAPBEXstdDataEmph 22 9" xfId="23661" xr:uid="{00000000-0005-0000-0000-000024740000}"/>
    <cellStyle name="SAPBEXstdDataEmph 23" xfId="4110" xr:uid="{00000000-0005-0000-0000-000025740000}"/>
    <cellStyle name="SAPBEXstdDataEmph 23 2" xfId="6648" xr:uid="{00000000-0005-0000-0000-000026740000}"/>
    <cellStyle name="SAPBEXstdDataEmph 23 3" xfId="8778" xr:uid="{00000000-0005-0000-0000-000027740000}"/>
    <cellStyle name="SAPBEXstdDataEmph 23 4" xfId="10287" xr:uid="{00000000-0005-0000-0000-000028740000}"/>
    <cellStyle name="SAPBEXstdDataEmph 23 5" xfId="12600" xr:uid="{00000000-0005-0000-0000-000029740000}"/>
    <cellStyle name="SAPBEXstdDataEmph 23 6" xfId="16313" xr:uid="{00000000-0005-0000-0000-00002A740000}"/>
    <cellStyle name="SAPBEXstdDataEmph 23 7" xfId="17296" xr:uid="{00000000-0005-0000-0000-00002B740000}"/>
    <cellStyle name="SAPBEXstdDataEmph 23 8" xfId="21009" xr:uid="{00000000-0005-0000-0000-00002C740000}"/>
    <cellStyle name="SAPBEXstdDataEmph 23 9" xfId="21957" xr:uid="{00000000-0005-0000-0000-00002D740000}"/>
    <cellStyle name="SAPBEXstdDataEmph 24" xfId="4153" xr:uid="{00000000-0005-0000-0000-00002E740000}"/>
    <cellStyle name="SAPBEXstdDataEmph 24 2" xfId="6691" xr:uid="{00000000-0005-0000-0000-00002F740000}"/>
    <cellStyle name="SAPBEXstdDataEmph 24 3" xfId="8186" xr:uid="{00000000-0005-0000-0000-000030740000}"/>
    <cellStyle name="SAPBEXstdDataEmph 24 4" xfId="9111" xr:uid="{00000000-0005-0000-0000-000031740000}"/>
    <cellStyle name="SAPBEXstdDataEmph 24 5" xfId="12452" xr:uid="{00000000-0005-0000-0000-000032740000}"/>
    <cellStyle name="SAPBEXstdDataEmph 24 6" xfId="15786" xr:uid="{00000000-0005-0000-0000-000033740000}"/>
    <cellStyle name="SAPBEXstdDataEmph 24 7" xfId="17148" xr:uid="{00000000-0005-0000-0000-000034740000}"/>
    <cellStyle name="SAPBEXstdDataEmph 24 8" xfId="20482" xr:uid="{00000000-0005-0000-0000-000035740000}"/>
    <cellStyle name="SAPBEXstdDataEmph 24 9" xfId="21831" xr:uid="{00000000-0005-0000-0000-000036740000}"/>
    <cellStyle name="SAPBEXstdDataEmph 25" xfId="4196" xr:uid="{00000000-0005-0000-0000-000037740000}"/>
    <cellStyle name="SAPBEXstdDataEmph 25 2" xfId="6734" xr:uid="{00000000-0005-0000-0000-000038740000}"/>
    <cellStyle name="SAPBEXstdDataEmph 25 3" xfId="9348" xr:uid="{00000000-0005-0000-0000-000039740000}"/>
    <cellStyle name="SAPBEXstdDataEmph 25 4" xfId="9968" xr:uid="{00000000-0005-0000-0000-00003A740000}"/>
    <cellStyle name="SAPBEXstdDataEmph 25 5" xfId="12363" xr:uid="{00000000-0005-0000-0000-00003B740000}"/>
    <cellStyle name="SAPBEXstdDataEmph 25 6" xfId="12494" xr:uid="{00000000-0005-0000-0000-00003C740000}"/>
    <cellStyle name="SAPBEXstdDataEmph 25 7" xfId="17059" xr:uid="{00000000-0005-0000-0000-00003D740000}"/>
    <cellStyle name="SAPBEXstdDataEmph 25 8" xfId="17190" xr:uid="{00000000-0005-0000-0000-00003E740000}"/>
    <cellStyle name="SAPBEXstdDataEmph 25 9" xfId="21749" xr:uid="{00000000-0005-0000-0000-00003F740000}"/>
    <cellStyle name="SAPBEXstdDataEmph 26" xfId="4238" xr:uid="{00000000-0005-0000-0000-000040740000}"/>
    <cellStyle name="SAPBEXstdDataEmph 26 2" xfId="6776" xr:uid="{00000000-0005-0000-0000-000041740000}"/>
    <cellStyle name="SAPBEXstdDataEmph 26 3" xfId="8896" xr:uid="{00000000-0005-0000-0000-000042740000}"/>
    <cellStyle name="SAPBEXstdDataEmph 26 4" xfId="10245" xr:uid="{00000000-0005-0000-0000-000043740000}"/>
    <cellStyle name="SAPBEXstdDataEmph 26 5" xfId="12552" xr:uid="{00000000-0005-0000-0000-000044740000}"/>
    <cellStyle name="SAPBEXstdDataEmph 26 6" xfId="15474" xr:uid="{00000000-0005-0000-0000-000045740000}"/>
    <cellStyle name="SAPBEXstdDataEmph 26 7" xfId="17248" xr:uid="{00000000-0005-0000-0000-000046740000}"/>
    <cellStyle name="SAPBEXstdDataEmph 26 8" xfId="20170" xr:uid="{00000000-0005-0000-0000-000047740000}"/>
    <cellStyle name="SAPBEXstdDataEmph 26 9" xfId="21914" xr:uid="{00000000-0005-0000-0000-000048740000}"/>
    <cellStyle name="SAPBEXstdDataEmph 27" xfId="4281" xr:uid="{00000000-0005-0000-0000-000049740000}"/>
    <cellStyle name="SAPBEXstdDataEmph 27 2" xfId="6819" xr:uid="{00000000-0005-0000-0000-00004A740000}"/>
    <cellStyle name="SAPBEXstdDataEmph 27 3" xfId="9063" xr:uid="{00000000-0005-0000-0000-00004B740000}"/>
    <cellStyle name="SAPBEXstdDataEmph 27 4" xfId="11900" xr:uid="{00000000-0005-0000-0000-00004C740000}"/>
    <cellStyle name="SAPBEXstdDataEmph 27 5" xfId="14372" xr:uid="{00000000-0005-0000-0000-00004D740000}"/>
    <cellStyle name="SAPBEXstdDataEmph 27 6" xfId="16413" xr:uid="{00000000-0005-0000-0000-00004E740000}"/>
    <cellStyle name="SAPBEXstdDataEmph 27 7" xfId="19068" xr:uid="{00000000-0005-0000-0000-00004F740000}"/>
    <cellStyle name="SAPBEXstdDataEmph 27 8" xfId="21109" xr:uid="{00000000-0005-0000-0000-000050740000}"/>
    <cellStyle name="SAPBEXstdDataEmph 27 9" xfId="23575" xr:uid="{00000000-0005-0000-0000-000051740000}"/>
    <cellStyle name="SAPBEXstdDataEmph 28" xfId="4324" xr:uid="{00000000-0005-0000-0000-000052740000}"/>
    <cellStyle name="SAPBEXstdDataEmph 28 2" xfId="6862" xr:uid="{00000000-0005-0000-0000-000053740000}"/>
    <cellStyle name="SAPBEXstdDataEmph 28 3" xfId="9521" xr:uid="{00000000-0005-0000-0000-000054740000}"/>
    <cellStyle name="SAPBEXstdDataEmph 28 4" xfId="10790" xr:uid="{00000000-0005-0000-0000-000055740000}"/>
    <cellStyle name="SAPBEXstdDataEmph 28 5" xfId="13149" xr:uid="{00000000-0005-0000-0000-000056740000}"/>
    <cellStyle name="SAPBEXstdDataEmph 28 6" xfId="15295" xr:uid="{00000000-0005-0000-0000-000057740000}"/>
    <cellStyle name="SAPBEXstdDataEmph 28 7" xfId="17845" xr:uid="{00000000-0005-0000-0000-000058740000}"/>
    <cellStyle name="SAPBEXstdDataEmph 28 8" xfId="19991" xr:uid="{00000000-0005-0000-0000-000059740000}"/>
    <cellStyle name="SAPBEXstdDataEmph 28 9" xfId="22461" xr:uid="{00000000-0005-0000-0000-00005A740000}"/>
    <cellStyle name="SAPBEXstdDataEmph 29" xfId="4367" xr:uid="{00000000-0005-0000-0000-00005B740000}"/>
    <cellStyle name="SAPBEXstdDataEmph 29 2" xfId="6905" xr:uid="{00000000-0005-0000-0000-00005C740000}"/>
    <cellStyle name="SAPBEXstdDataEmph 29 3" xfId="9083" xr:uid="{00000000-0005-0000-0000-00005D740000}"/>
    <cellStyle name="SAPBEXstdDataEmph 29 4" xfId="11610" xr:uid="{00000000-0005-0000-0000-00005E740000}"/>
    <cellStyle name="SAPBEXstdDataEmph 29 5" xfId="14049" xr:uid="{00000000-0005-0000-0000-00005F740000}"/>
    <cellStyle name="SAPBEXstdDataEmph 29 6" xfId="15056" xr:uid="{00000000-0005-0000-0000-000060740000}"/>
    <cellStyle name="SAPBEXstdDataEmph 29 7" xfId="18745" xr:uid="{00000000-0005-0000-0000-000061740000}"/>
    <cellStyle name="SAPBEXstdDataEmph 29 8" xfId="19752" xr:uid="{00000000-0005-0000-0000-000062740000}"/>
    <cellStyle name="SAPBEXstdDataEmph 29 9" xfId="23284" xr:uid="{00000000-0005-0000-0000-000063740000}"/>
    <cellStyle name="SAPBEXstdDataEmph 3" xfId="3141" xr:uid="{00000000-0005-0000-0000-000064740000}"/>
    <cellStyle name="SAPBEXstdDataEmph 3 2" xfId="5679" xr:uid="{00000000-0005-0000-0000-000065740000}"/>
    <cellStyle name="SAPBEXstdDataEmph 3 3" xfId="9112" xr:uid="{00000000-0005-0000-0000-000066740000}"/>
    <cellStyle name="SAPBEXstdDataEmph 3 4" xfId="11542" xr:uid="{00000000-0005-0000-0000-000067740000}"/>
    <cellStyle name="SAPBEXstdDataEmph 3 5" xfId="13975" xr:uid="{00000000-0005-0000-0000-000068740000}"/>
    <cellStyle name="SAPBEXstdDataEmph 3 6" xfId="16523" xr:uid="{00000000-0005-0000-0000-000069740000}"/>
    <cellStyle name="SAPBEXstdDataEmph 3 7" xfId="18671" xr:uid="{00000000-0005-0000-0000-00006A740000}"/>
    <cellStyle name="SAPBEXstdDataEmph 3 8" xfId="21219" xr:uid="{00000000-0005-0000-0000-00006B740000}"/>
    <cellStyle name="SAPBEXstdDataEmph 3 9" xfId="23216" xr:uid="{00000000-0005-0000-0000-00006C740000}"/>
    <cellStyle name="SAPBEXstdDataEmph 30" xfId="4410" xr:uid="{00000000-0005-0000-0000-00006D740000}"/>
    <cellStyle name="SAPBEXstdDataEmph 30 2" xfId="6948" xr:uid="{00000000-0005-0000-0000-00006E740000}"/>
    <cellStyle name="SAPBEXstdDataEmph 30 3" xfId="9152" xr:uid="{00000000-0005-0000-0000-00006F740000}"/>
    <cellStyle name="SAPBEXstdDataEmph 30 4" xfId="8291" xr:uid="{00000000-0005-0000-0000-000070740000}"/>
    <cellStyle name="SAPBEXstdDataEmph 30 5" xfId="14804" xr:uid="{00000000-0005-0000-0000-000071740000}"/>
    <cellStyle name="SAPBEXstdDataEmph 30 6" xfId="15304" xr:uid="{00000000-0005-0000-0000-000072740000}"/>
    <cellStyle name="SAPBEXstdDataEmph 30 7" xfId="19500" xr:uid="{00000000-0005-0000-0000-000073740000}"/>
    <cellStyle name="SAPBEXstdDataEmph 30 8" xfId="20000" xr:uid="{00000000-0005-0000-0000-000074740000}"/>
    <cellStyle name="SAPBEXstdDataEmph 30 9" xfId="23988" xr:uid="{00000000-0005-0000-0000-000075740000}"/>
    <cellStyle name="SAPBEXstdDataEmph 31" xfId="4453" xr:uid="{00000000-0005-0000-0000-000076740000}"/>
    <cellStyle name="SAPBEXstdDataEmph 31 2" xfId="6991" xr:uid="{00000000-0005-0000-0000-000077740000}"/>
    <cellStyle name="SAPBEXstdDataEmph 31 3" xfId="8815" xr:uid="{00000000-0005-0000-0000-000078740000}"/>
    <cellStyle name="SAPBEXstdDataEmph 31 4" xfId="7774" xr:uid="{00000000-0005-0000-0000-000079740000}"/>
    <cellStyle name="SAPBEXstdDataEmph 31 5" xfId="14774" xr:uid="{00000000-0005-0000-0000-00007A740000}"/>
    <cellStyle name="SAPBEXstdDataEmph 31 6" xfId="16340" xr:uid="{00000000-0005-0000-0000-00007B740000}"/>
    <cellStyle name="SAPBEXstdDataEmph 31 7" xfId="19470" xr:uid="{00000000-0005-0000-0000-00007C740000}"/>
    <cellStyle name="SAPBEXstdDataEmph 31 8" xfId="21036" xr:uid="{00000000-0005-0000-0000-00007D740000}"/>
    <cellStyle name="SAPBEXstdDataEmph 31 9" xfId="23958" xr:uid="{00000000-0005-0000-0000-00007E740000}"/>
    <cellStyle name="SAPBEXstdDataEmph 32" xfId="4512" xr:uid="{00000000-0005-0000-0000-00007F740000}"/>
    <cellStyle name="SAPBEXstdDataEmph 32 2" xfId="7050" xr:uid="{00000000-0005-0000-0000-000080740000}"/>
    <cellStyle name="SAPBEXstdDataEmph 32 3" xfId="10224" xr:uid="{00000000-0005-0000-0000-000081740000}"/>
    <cellStyle name="SAPBEXstdDataEmph 32 4" xfId="10507" xr:uid="{00000000-0005-0000-0000-000082740000}"/>
    <cellStyle name="SAPBEXstdDataEmph 32 5" xfId="12845" xr:uid="{00000000-0005-0000-0000-000083740000}"/>
    <cellStyle name="SAPBEXstdDataEmph 32 6" xfId="14974" xr:uid="{00000000-0005-0000-0000-000084740000}"/>
    <cellStyle name="SAPBEXstdDataEmph 32 7" xfId="17541" xr:uid="{00000000-0005-0000-0000-000085740000}"/>
    <cellStyle name="SAPBEXstdDataEmph 32 8" xfId="19670" xr:uid="{00000000-0005-0000-0000-000086740000}"/>
    <cellStyle name="SAPBEXstdDataEmph 32 9" xfId="22178" xr:uid="{00000000-0005-0000-0000-000087740000}"/>
    <cellStyle name="SAPBEXstdDataEmph 33" xfId="4539" xr:uid="{00000000-0005-0000-0000-000088740000}"/>
    <cellStyle name="SAPBEXstdDataEmph 33 2" xfId="7077" xr:uid="{00000000-0005-0000-0000-000089740000}"/>
    <cellStyle name="SAPBEXstdDataEmph 33 3" xfId="9127" xr:uid="{00000000-0005-0000-0000-00008A740000}"/>
    <cellStyle name="SAPBEXstdDataEmph 33 4" xfId="10583" xr:uid="{00000000-0005-0000-0000-00008B740000}"/>
    <cellStyle name="SAPBEXstdDataEmph 33 5" xfId="12930" xr:uid="{00000000-0005-0000-0000-00008C740000}"/>
    <cellStyle name="SAPBEXstdDataEmph 33 6" xfId="16362" xr:uid="{00000000-0005-0000-0000-00008D740000}"/>
    <cellStyle name="SAPBEXstdDataEmph 33 7" xfId="17626" xr:uid="{00000000-0005-0000-0000-00008E740000}"/>
    <cellStyle name="SAPBEXstdDataEmph 33 8" xfId="21058" xr:uid="{00000000-0005-0000-0000-00008F740000}"/>
    <cellStyle name="SAPBEXstdDataEmph 33 9" xfId="22256" xr:uid="{00000000-0005-0000-0000-000090740000}"/>
    <cellStyle name="SAPBEXstdDataEmph 34" xfId="4582" xr:uid="{00000000-0005-0000-0000-000091740000}"/>
    <cellStyle name="SAPBEXstdDataEmph 34 2" xfId="7120" xr:uid="{00000000-0005-0000-0000-000092740000}"/>
    <cellStyle name="SAPBEXstdDataEmph 34 3" xfId="8817" xr:uid="{00000000-0005-0000-0000-000093740000}"/>
    <cellStyle name="SAPBEXstdDataEmph 34 4" xfId="11586" xr:uid="{00000000-0005-0000-0000-000094740000}"/>
    <cellStyle name="SAPBEXstdDataEmph 34 5" xfId="12849" xr:uid="{00000000-0005-0000-0000-000095740000}"/>
    <cellStyle name="SAPBEXstdDataEmph 34 6" xfId="16925" xr:uid="{00000000-0005-0000-0000-000096740000}"/>
    <cellStyle name="SAPBEXstdDataEmph 34 7" xfId="17545" xr:uid="{00000000-0005-0000-0000-000097740000}"/>
    <cellStyle name="SAPBEXstdDataEmph 34 8" xfId="21621" xr:uid="{00000000-0005-0000-0000-000098740000}"/>
    <cellStyle name="SAPBEXstdDataEmph 34 9" xfId="22180" xr:uid="{00000000-0005-0000-0000-000099740000}"/>
    <cellStyle name="SAPBEXstdDataEmph 35" xfId="4625" xr:uid="{00000000-0005-0000-0000-00009A740000}"/>
    <cellStyle name="SAPBEXstdDataEmph 35 2" xfId="7163" xr:uid="{00000000-0005-0000-0000-00009B740000}"/>
    <cellStyle name="SAPBEXstdDataEmph 35 3" xfId="8370" xr:uid="{00000000-0005-0000-0000-00009C740000}"/>
    <cellStyle name="SAPBEXstdDataEmph 35 4" xfId="10408" xr:uid="{00000000-0005-0000-0000-00009D740000}"/>
    <cellStyle name="SAPBEXstdDataEmph 35 5" xfId="12732" xr:uid="{00000000-0005-0000-0000-00009E740000}"/>
    <cellStyle name="SAPBEXstdDataEmph 35 6" xfId="16294" xr:uid="{00000000-0005-0000-0000-00009F740000}"/>
    <cellStyle name="SAPBEXstdDataEmph 35 7" xfId="17428" xr:uid="{00000000-0005-0000-0000-0000A0740000}"/>
    <cellStyle name="SAPBEXstdDataEmph 35 8" xfId="20990" xr:uid="{00000000-0005-0000-0000-0000A1740000}"/>
    <cellStyle name="SAPBEXstdDataEmph 35 9" xfId="22079" xr:uid="{00000000-0005-0000-0000-0000A2740000}"/>
    <cellStyle name="SAPBEXstdDataEmph 36" xfId="4668" xr:uid="{00000000-0005-0000-0000-0000A3740000}"/>
    <cellStyle name="SAPBEXstdDataEmph 36 2" xfId="7206" xr:uid="{00000000-0005-0000-0000-0000A4740000}"/>
    <cellStyle name="SAPBEXstdDataEmph 36 3" xfId="9371" xr:uid="{00000000-0005-0000-0000-0000A5740000}"/>
    <cellStyle name="SAPBEXstdDataEmph 36 4" xfId="10931" xr:uid="{00000000-0005-0000-0000-0000A6740000}"/>
    <cellStyle name="SAPBEXstdDataEmph 36 5" xfId="13301" xr:uid="{00000000-0005-0000-0000-0000A7740000}"/>
    <cellStyle name="SAPBEXstdDataEmph 36 6" xfId="16037" xr:uid="{00000000-0005-0000-0000-0000A8740000}"/>
    <cellStyle name="SAPBEXstdDataEmph 36 7" xfId="17997" xr:uid="{00000000-0005-0000-0000-0000A9740000}"/>
    <cellStyle name="SAPBEXstdDataEmph 36 8" xfId="20733" xr:uid="{00000000-0005-0000-0000-0000AA740000}"/>
    <cellStyle name="SAPBEXstdDataEmph 36 9" xfId="22602" xr:uid="{00000000-0005-0000-0000-0000AB740000}"/>
    <cellStyle name="SAPBEXstdDataEmph 37" xfId="4710" xr:uid="{00000000-0005-0000-0000-0000AC740000}"/>
    <cellStyle name="SAPBEXstdDataEmph 37 2" xfId="7248" xr:uid="{00000000-0005-0000-0000-0000AD740000}"/>
    <cellStyle name="SAPBEXstdDataEmph 37 3" xfId="8340" xr:uid="{00000000-0005-0000-0000-0000AE740000}"/>
    <cellStyle name="SAPBEXstdDataEmph 37 4" xfId="11543" xr:uid="{00000000-0005-0000-0000-0000AF740000}"/>
    <cellStyle name="SAPBEXstdDataEmph 37 5" xfId="13977" xr:uid="{00000000-0005-0000-0000-0000B0740000}"/>
    <cellStyle name="SAPBEXstdDataEmph 37 6" xfId="15489" xr:uid="{00000000-0005-0000-0000-0000B1740000}"/>
    <cellStyle name="SAPBEXstdDataEmph 37 7" xfId="18673" xr:uid="{00000000-0005-0000-0000-0000B2740000}"/>
    <cellStyle name="SAPBEXstdDataEmph 37 8" xfId="20185" xr:uid="{00000000-0005-0000-0000-0000B3740000}"/>
    <cellStyle name="SAPBEXstdDataEmph 37 9" xfId="23217" xr:uid="{00000000-0005-0000-0000-0000B4740000}"/>
    <cellStyle name="SAPBEXstdDataEmph 38" xfId="4778" xr:uid="{00000000-0005-0000-0000-0000B5740000}"/>
    <cellStyle name="SAPBEXstdDataEmph 38 2" xfId="7316" xr:uid="{00000000-0005-0000-0000-0000B6740000}"/>
    <cellStyle name="SAPBEXstdDataEmph 38 3" xfId="8364" xr:uid="{00000000-0005-0000-0000-0000B7740000}"/>
    <cellStyle name="SAPBEXstdDataEmph 38 4" xfId="10546" xr:uid="{00000000-0005-0000-0000-0000B8740000}"/>
    <cellStyle name="SAPBEXstdDataEmph 38 5" xfId="12329" xr:uid="{00000000-0005-0000-0000-0000B9740000}"/>
    <cellStyle name="SAPBEXstdDataEmph 38 6" xfId="14050" xr:uid="{00000000-0005-0000-0000-0000BA740000}"/>
    <cellStyle name="SAPBEXstdDataEmph 38 7" xfId="17025" xr:uid="{00000000-0005-0000-0000-0000BB740000}"/>
    <cellStyle name="SAPBEXstdDataEmph 38 8" xfId="18746" xr:uid="{00000000-0005-0000-0000-0000BC740000}"/>
    <cellStyle name="SAPBEXstdDataEmph 38 9" xfId="21719" xr:uid="{00000000-0005-0000-0000-0000BD740000}"/>
    <cellStyle name="SAPBEXstdDataEmph 39" xfId="4815" xr:uid="{00000000-0005-0000-0000-0000BE740000}"/>
    <cellStyle name="SAPBEXstdDataEmph 39 2" xfId="7353" xr:uid="{00000000-0005-0000-0000-0000BF740000}"/>
    <cellStyle name="SAPBEXstdDataEmph 39 3" xfId="9758" xr:uid="{00000000-0005-0000-0000-0000C0740000}"/>
    <cellStyle name="SAPBEXstdDataEmph 39 4" xfId="10944" xr:uid="{00000000-0005-0000-0000-0000C1740000}"/>
    <cellStyle name="SAPBEXstdDataEmph 39 5" xfId="13315" xr:uid="{00000000-0005-0000-0000-0000C2740000}"/>
    <cellStyle name="SAPBEXstdDataEmph 39 6" xfId="15992" xr:uid="{00000000-0005-0000-0000-0000C3740000}"/>
    <cellStyle name="SAPBEXstdDataEmph 39 7" xfId="18011" xr:uid="{00000000-0005-0000-0000-0000C4740000}"/>
    <cellStyle name="SAPBEXstdDataEmph 39 8" xfId="20688" xr:uid="{00000000-0005-0000-0000-0000C5740000}"/>
    <cellStyle name="SAPBEXstdDataEmph 39 9" xfId="22615" xr:uid="{00000000-0005-0000-0000-0000C6740000}"/>
    <cellStyle name="SAPBEXstdDataEmph 4" xfId="3184" xr:uid="{00000000-0005-0000-0000-0000C7740000}"/>
    <cellStyle name="SAPBEXstdDataEmph 4 2" xfId="5722" xr:uid="{00000000-0005-0000-0000-0000C8740000}"/>
    <cellStyle name="SAPBEXstdDataEmph 4 3" xfId="9905" xr:uid="{00000000-0005-0000-0000-0000C9740000}"/>
    <cellStyle name="SAPBEXstdDataEmph 4 4" xfId="11073" xr:uid="{00000000-0005-0000-0000-0000CA740000}"/>
    <cellStyle name="SAPBEXstdDataEmph 4 5" xfId="13462" xr:uid="{00000000-0005-0000-0000-0000CB740000}"/>
    <cellStyle name="SAPBEXstdDataEmph 4 6" xfId="16529" xr:uid="{00000000-0005-0000-0000-0000CC740000}"/>
    <cellStyle name="SAPBEXstdDataEmph 4 7" xfId="18158" xr:uid="{00000000-0005-0000-0000-0000CD740000}"/>
    <cellStyle name="SAPBEXstdDataEmph 4 8" xfId="21225" xr:uid="{00000000-0005-0000-0000-0000CE740000}"/>
    <cellStyle name="SAPBEXstdDataEmph 4 9" xfId="22746" xr:uid="{00000000-0005-0000-0000-0000CF740000}"/>
    <cellStyle name="SAPBEXstdDataEmph 40" xfId="4858" xr:uid="{00000000-0005-0000-0000-0000D0740000}"/>
    <cellStyle name="SAPBEXstdDataEmph 40 2" xfId="7396" xr:uid="{00000000-0005-0000-0000-0000D1740000}"/>
    <cellStyle name="SAPBEXstdDataEmph 40 3" xfId="9786" xr:uid="{00000000-0005-0000-0000-0000D2740000}"/>
    <cellStyle name="SAPBEXstdDataEmph 40 4" xfId="11789" xr:uid="{00000000-0005-0000-0000-0000D3740000}"/>
    <cellStyle name="SAPBEXstdDataEmph 40 5" xfId="14246" xr:uid="{00000000-0005-0000-0000-0000D4740000}"/>
    <cellStyle name="SAPBEXstdDataEmph 40 6" xfId="13470" xr:uid="{00000000-0005-0000-0000-0000D5740000}"/>
    <cellStyle name="SAPBEXstdDataEmph 40 7" xfId="18942" xr:uid="{00000000-0005-0000-0000-0000D6740000}"/>
    <cellStyle name="SAPBEXstdDataEmph 40 8" xfId="18166" xr:uid="{00000000-0005-0000-0000-0000D7740000}"/>
    <cellStyle name="SAPBEXstdDataEmph 40 9" xfId="23464" xr:uid="{00000000-0005-0000-0000-0000D8740000}"/>
    <cellStyle name="SAPBEXstdDataEmph 41" xfId="4913" xr:uid="{00000000-0005-0000-0000-0000D9740000}"/>
    <cellStyle name="SAPBEXstdDataEmph 41 2" xfId="7451" xr:uid="{00000000-0005-0000-0000-0000DA740000}"/>
    <cellStyle name="SAPBEXstdDataEmph 41 3" xfId="9851" xr:uid="{00000000-0005-0000-0000-0000DB740000}"/>
    <cellStyle name="SAPBEXstdDataEmph 41 4" xfId="11778" xr:uid="{00000000-0005-0000-0000-0000DC740000}"/>
    <cellStyle name="SAPBEXstdDataEmph 41 5" xfId="14232" xr:uid="{00000000-0005-0000-0000-0000DD740000}"/>
    <cellStyle name="SAPBEXstdDataEmph 41 6" xfId="15483" xr:uid="{00000000-0005-0000-0000-0000DE740000}"/>
    <cellStyle name="SAPBEXstdDataEmph 41 7" xfId="18928" xr:uid="{00000000-0005-0000-0000-0000DF740000}"/>
    <cellStyle name="SAPBEXstdDataEmph 41 8" xfId="20179" xr:uid="{00000000-0005-0000-0000-0000E0740000}"/>
    <cellStyle name="SAPBEXstdDataEmph 41 9" xfId="23452" xr:uid="{00000000-0005-0000-0000-0000E1740000}"/>
    <cellStyle name="SAPBEXstdDataEmph 42" xfId="4938" xr:uid="{00000000-0005-0000-0000-0000E2740000}"/>
    <cellStyle name="SAPBEXstdDataEmph 42 2" xfId="7476" xr:uid="{00000000-0005-0000-0000-0000E3740000}"/>
    <cellStyle name="SAPBEXstdDataEmph 42 3" xfId="9681" xr:uid="{00000000-0005-0000-0000-0000E4740000}"/>
    <cellStyle name="SAPBEXstdDataEmph 42 4" xfId="10946" xr:uid="{00000000-0005-0000-0000-0000E5740000}"/>
    <cellStyle name="SAPBEXstdDataEmph 42 5" xfId="13317" xr:uid="{00000000-0005-0000-0000-0000E6740000}"/>
    <cellStyle name="SAPBEXstdDataEmph 42 6" xfId="16333" xr:uid="{00000000-0005-0000-0000-0000E7740000}"/>
    <cellStyle name="SAPBEXstdDataEmph 42 7" xfId="18013" xr:uid="{00000000-0005-0000-0000-0000E8740000}"/>
    <cellStyle name="SAPBEXstdDataEmph 42 8" xfId="21029" xr:uid="{00000000-0005-0000-0000-0000E9740000}"/>
    <cellStyle name="SAPBEXstdDataEmph 42 9" xfId="22617" xr:uid="{00000000-0005-0000-0000-0000EA740000}"/>
    <cellStyle name="SAPBEXstdDataEmph 43" xfId="4976" xr:uid="{00000000-0005-0000-0000-0000EB740000}"/>
    <cellStyle name="SAPBEXstdDataEmph 43 2" xfId="7514" xr:uid="{00000000-0005-0000-0000-0000EC740000}"/>
    <cellStyle name="SAPBEXstdDataEmph 43 3" xfId="10149" xr:uid="{00000000-0005-0000-0000-0000ED740000}"/>
    <cellStyle name="SAPBEXstdDataEmph 43 4" xfId="11769" xr:uid="{00000000-0005-0000-0000-0000EE740000}"/>
    <cellStyle name="SAPBEXstdDataEmph 43 5" xfId="14221" xr:uid="{00000000-0005-0000-0000-0000EF740000}"/>
    <cellStyle name="SAPBEXstdDataEmph 43 6" xfId="16585" xr:uid="{00000000-0005-0000-0000-0000F0740000}"/>
    <cellStyle name="SAPBEXstdDataEmph 43 7" xfId="18917" xr:uid="{00000000-0005-0000-0000-0000F1740000}"/>
    <cellStyle name="SAPBEXstdDataEmph 43 8" xfId="21281" xr:uid="{00000000-0005-0000-0000-0000F2740000}"/>
    <cellStyle name="SAPBEXstdDataEmph 43 9" xfId="23443" xr:uid="{00000000-0005-0000-0000-0000F3740000}"/>
    <cellStyle name="SAPBEXstdDataEmph 44" xfId="5014" xr:uid="{00000000-0005-0000-0000-0000F4740000}"/>
    <cellStyle name="SAPBEXstdDataEmph 44 2" xfId="7552" xr:uid="{00000000-0005-0000-0000-0000F5740000}"/>
    <cellStyle name="SAPBEXstdDataEmph 44 3" xfId="8847" xr:uid="{00000000-0005-0000-0000-0000F6740000}"/>
    <cellStyle name="SAPBEXstdDataEmph 44 4" xfId="11018" xr:uid="{00000000-0005-0000-0000-0000F7740000}"/>
    <cellStyle name="SAPBEXstdDataEmph 44 5" xfId="13398" xr:uid="{00000000-0005-0000-0000-0000F8740000}"/>
    <cellStyle name="SAPBEXstdDataEmph 44 6" xfId="15458" xr:uid="{00000000-0005-0000-0000-0000F9740000}"/>
    <cellStyle name="SAPBEXstdDataEmph 44 7" xfId="18094" xr:uid="{00000000-0005-0000-0000-0000FA740000}"/>
    <cellStyle name="SAPBEXstdDataEmph 44 8" xfId="20154" xr:uid="{00000000-0005-0000-0000-0000FB740000}"/>
    <cellStyle name="SAPBEXstdDataEmph 44 9" xfId="22691" xr:uid="{00000000-0005-0000-0000-0000FC740000}"/>
    <cellStyle name="SAPBEXstdDataEmph 45" xfId="5051" xr:uid="{00000000-0005-0000-0000-0000FD740000}"/>
    <cellStyle name="SAPBEXstdDataEmph 45 2" xfId="7589" xr:uid="{00000000-0005-0000-0000-0000FE740000}"/>
    <cellStyle name="SAPBEXstdDataEmph 45 3" xfId="9299" xr:uid="{00000000-0005-0000-0000-0000FF740000}"/>
    <cellStyle name="SAPBEXstdDataEmph 45 4" xfId="10949" xr:uid="{00000000-0005-0000-0000-000000750000}"/>
    <cellStyle name="SAPBEXstdDataEmph 45 5" xfId="14898" xr:uid="{00000000-0005-0000-0000-000001750000}"/>
    <cellStyle name="SAPBEXstdDataEmph 45 6" xfId="15507" xr:uid="{00000000-0005-0000-0000-000002750000}"/>
    <cellStyle name="SAPBEXstdDataEmph 45 7" xfId="19594" xr:uid="{00000000-0005-0000-0000-000003750000}"/>
    <cellStyle name="SAPBEXstdDataEmph 45 8" xfId="20203" xr:uid="{00000000-0005-0000-0000-000004750000}"/>
    <cellStyle name="SAPBEXstdDataEmph 45 9" xfId="24064" xr:uid="{00000000-0005-0000-0000-000005750000}"/>
    <cellStyle name="SAPBEXstdDataEmph 46" xfId="5081" xr:uid="{00000000-0005-0000-0000-000006750000}"/>
    <cellStyle name="SAPBEXstdDataEmph 46 2" xfId="7619" xr:uid="{00000000-0005-0000-0000-000007750000}"/>
    <cellStyle name="SAPBEXstdDataEmph 46 3" xfId="5510" xr:uid="{00000000-0005-0000-0000-000008750000}"/>
    <cellStyle name="SAPBEXstdDataEmph 46 4" xfId="11305" xr:uid="{00000000-0005-0000-0000-000009750000}"/>
    <cellStyle name="SAPBEXstdDataEmph 46 5" xfId="13713" xr:uid="{00000000-0005-0000-0000-00000A750000}"/>
    <cellStyle name="SAPBEXstdDataEmph 46 6" xfId="16684" xr:uid="{00000000-0005-0000-0000-00000B750000}"/>
    <cellStyle name="SAPBEXstdDataEmph 46 7" xfId="18409" xr:uid="{00000000-0005-0000-0000-00000C750000}"/>
    <cellStyle name="SAPBEXstdDataEmph 46 8" xfId="21380" xr:uid="{00000000-0005-0000-0000-00000D750000}"/>
    <cellStyle name="SAPBEXstdDataEmph 46 9" xfId="22979" xr:uid="{00000000-0005-0000-0000-00000E750000}"/>
    <cellStyle name="SAPBEXstdDataEmph 47" xfId="5107" xr:uid="{00000000-0005-0000-0000-00000F750000}"/>
    <cellStyle name="SAPBEXstdDataEmph 47 2" xfId="7645" xr:uid="{00000000-0005-0000-0000-000010750000}"/>
    <cellStyle name="SAPBEXstdDataEmph 47 3" xfId="8035" xr:uid="{00000000-0005-0000-0000-000011750000}"/>
    <cellStyle name="SAPBEXstdDataEmph 47 4" xfId="10692" xr:uid="{00000000-0005-0000-0000-000012750000}"/>
    <cellStyle name="SAPBEXstdDataEmph 47 5" xfId="13044" xr:uid="{00000000-0005-0000-0000-000013750000}"/>
    <cellStyle name="SAPBEXstdDataEmph 47 6" xfId="16107" xr:uid="{00000000-0005-0000-0000-000014750000}"/>
    <cellStyle name="SAPBEXstdDataEmph 47 7" xfId="17740" xr:uid="{00000000-0005-0000-0000-000015750000}"/>
    <cellStyle name="SAPBEXstdDataEmph 47 8" xfId="20803" xr:uid="{00000000-0005-0000-0000-000016750000}"/>
    <cellStyle name="SAPBEXstdDataEmph 47 9" xfId="22365" xr:uid="{00000000-0005-0000-0000-000017750000}"/>
    <cellStyle name="SAPBEXstdDataEmph 48" xfId="5155" xr:uid="{00000000-0005-0000-0000-000018750000}"/>
    <cellStyle name="SAPBEXstdDataEmph 48 2" xfId="7693" xr:uid="{00000000-0005-0000-0000-000019750000}"/>
    <cellStyle name="SAPBEXstdDataEmph 48 3" xfId="9166" xr:uid="{00000000-0005-0000-0000-00001A750000}"/>
    <cellStyle name="SAPBEXstdDataEmph 48 4" xfId="11674" xr:uid="{00000000-0005-0000-0000-00001B750000}"/>
    <cellStyle name="SAPBEXstdDataEmph 48 5" xfId="14121" xr:uid="{00000000-0005-0000-0000-00001C750000}"/>
    <cellStyle name="SAPBEXstdDataEmph 48 6" xfId="15957" xr:uid="{00000000-0005-0000-0000-00001D750000}"/>
    <cellStyle name="SAPBEXstdDataEmph 48 7" xfId="18817" xr:uid="{00000000-0005-0000-0000-00001E750000}"/>
    <cellStyle name="SAPBEXstdDataEmph 48 8" xfId="20653" xr:uid="{00000000-0005-0000-0000-00001F750000}"/>
    <cellStyle name="SAPBEXstdDataEmph 48 9" xfId="23348" xr:uid="{00000000-0005-0000-0000-000020750000}"/>
    <cellStyle name="SAPBEXstdDataEmph 49" xfId="5224" xr:uid="{00000000-0005-0000-0000-000021750000}"/>
    <cellStyle name="SAPBEXstdDataEmph 49 2" xfId="7763" xr:uid="{00000000-0005-0000-0000-000022750000}"/>
    <cellStyle name="SAPBEXstdDataEmph 49 3" xfId="8372" xr:uid="{00000000-0005-0000-0000-000023750000}"/>
    <cellStyle name="SAPBEXstdDataEmph 49 4" xfId="11762" xr:uid="{00000000-0005-0000-0000-000024750000}"/>
    <cellStyle name="SAPBEXstdDataEmph 49 5" xfId="12577" xr:uid="{00000000-0005-0000-0000-000025750000}"/>
    <cellStyle name="SAPBEXstdDataEmph 49 6" xfId="16872" xr:uid="{00000000-0005-0000-0000-000026750000}"/>
    <cellStyle name="SAPBEXstdDataEmph 49 7" xfId="17273" xr:uid="{00000000-0005-0000-0000-000027750000}"/>
    <cellStyle name="SAPBEXstdDataEmph 49 8" xfId="21568" xr:uid="{00000000-0005-0000-0000-000028750000}"/>
    <cellStyle name="SAPBEXstdDataEmph 49 9" xfId="21936" xr:uid="{00000000-0005-0000-0000-000029750000}"/>
    <cellStyle name="SAPBEXstdDataEmph 5" xfId="3227" xr:uid="{00000000-0005-0000-0000-00002A750000}"/>
    <cellStyle name="SAPBEXstdDataEmph 5 2" xfId="5765" xr:uid="{00000000-0005-0000-0000-00002B750000}"/>
    <cellStyle name="SAPBEXstdDataEmph 5 3" xfId="9387" xr:uid="{00000000-0005-0000-0000-00002C750000}"/>
    <cellStyle name="SAPBEXstdDataEmph 5 4" xfId="11454" xr:uid="{00000000-0005-0000-0000-00002D750000}"/>
    <cellStyle name="SAPBEXstdDataEmph 5 5" xfId="13874" xr:uid="{00000000-0005-0000-0000-00002E750000}"/>
    <cellStyle name="SAPBEXstdDataEmph 5 6" xfId="15852" xr:uid="{00000000-0005-0000-0000-00002F750000}"/>
    <cellStyle name="SAPBEXstdDataEmph 5 7" xfId="18570" xr:uid="{00000000-0005-0000-0000-000030750000}"/>
    <cellStyle name="SAPBEXstdDataEmph 5 8" xfId="20548" xr:uid="{00000000-0005-0000-0000-000031750000}"/>
    <cellStyle name="SAPBEXstdDataEmph 5 9" xfId="23129" xr:uid="{00000000-0005-0000-0000-000032750000}"/>
    <cellStyle name="SAPBEXstdDataEmph 50" xfId="5262" xr:uid="{00000000-0005-0000-0000-000033750000}"/>
    <cellStyle name="SAPBEXstdDataEmph 50 2" xfId="9549" xr:uid="{00000000-0005-0000-0000-000034750000}"/>
    <cellStyle name="SAPBEXstdDataEmph 50 3" xfId="10922" xr:uid="{00000000-0005-0000-0000-000035750000}"/>
    <cellStyle name="SAPBEXstdDataEmph 50 4" xfId="13292" xr:uid="{00000000-0005-0000-0000-000036750000}"/>
    <cellStyle name="SAPBEXstdDataEmph 50 5" xfId="15051" xr:uid="{00000000-0005-0000-0000-000037750000}"/>
    <cellStyle name="SAPBEXstdDataEmph 50 6" xfId="17988" xr:uid="{00000000-0005-0000-0000-000038750000}"/>
    <cellStyle name="SAPBEXstdDataEmph 50 7" xfId="19747" xr:uid="{00000000-0005-0000-0000-000039750000}"/>
    <cellStyle name="SAPBEXstdDataEmph 50 8" xfId="22593" xr:uid="{00000000-0005-0000-0000-00003A750000}"/>
    <cellStyle name="SAPBEXstdDataEmph 51" xfId="9224" xr:uid="{00000000-0005-0000-0000-00003B750000}"/>
    <cellStyle name="SAPBEXstdDataEmph 52" xfId="10985" xr:uid="{00000000-0005-0000-0000-00003C750000}"/>
    <cellStyle name="SAPBEXstdDataEmph 53" xfId="13359" xr:uid="{00000000-0005-0000-0000-00003D750000}"/>
    <cellStyle name="SAPBEXstdDataEmph 54" xfId="15999" xr:uid="{00000000-0005-0000-0000-00003E750000}"/>
    <cellStyle name="SAPBEXstdDataEmph 55" xfId="18055" xr:uid="{00000000-0005-0000-0000-00003F750000}"/>
    <cellStyle name="SAPBEXstdDataEmph 56" xfId="20695" xr:uid="{00000000-0005-0000-0000-000040750000}"/>
    <cellStyle name="SAPBEXstdDataEmph 57" xfId="22658" xr:uid="{00000000-0005-0000-0000-000041750000}"/>
    <cellStyle name="SAPBEXstdDataEmph 58" xfId="42175" xr:uid="{1976ED70-ACC5-4D19-8C7D-54ED66C3107B}"/>
    <cellStyle name="SAPBEXstdDataEmph 6" xfId="3270" xr:uid="{00000000-0005-0000-0000-000042750000}"/>
    <cellStyle name="SAPBEXstdDataEmph 6 2" xfId="5808" xr:uid="{00000000-0005-0000-0000-000043750000}"/>
    <cellStyle name="SAPBEXstdDataEmph 6 3" xfId="8298" xr:uid="{00000000-0005-0000-0000-000044750000}"/>
    <cellStyle name="SAPBEXstdDataEmph 6 4" xfId="10926" xr:uid="{00000000-0005-0000-0000-000045750000}"/>
    <cellStyle name="SAPBEXstdDataEmph 6 5" xfId="13296" xr:uid="{00000000-0005-0000-0000-000046750000}"/>
    <cellStyle name="SAPBEXstdDataEmph 6 6" xfId="13191" xr:uid="{00000000-0005-0000-0000-000047750000}"/>
    <cellStyle name="SAPBEXstdDataEmph 6 7" xfId="17992" xr:uid="{00000000-0005-0000-0000-000048750000}"/>
    <cellStyle name="SAPBEXstdDataEmph 6 8" xfId="17887" xr:uid="{00000000-0005-0000-0000-000049750000}"/>
    <cellStyle name="SAPBEXstdDataEmph 6 9" xfId="22597" xr:uid="{00000000-0005-0000-0000-00004A750000}"/>
    <cellStyle name="SAPBEXstdDataEmph 7" xfId="3313" xr:uid="{00000000-0005-0000-0000-00004B750000}"/>
    <cellStyle name="SAPBEXstdDataEmph 7 2" xfId="5851" xr:uid="{00000000-0005-0000-0000-00004C750000}"/>
    <cellStyle name="SAPBEXstdDataEmph 7 3" xfId="9999" xr:uid="{00000000-0005-0000-0000-00004D750000}"/>
    <cellStyle name="SAPBEXstdDataEmph 7 4" xfId="8897" xr:uid="{00000000-0005-0000-0000-00004E750000}"/>
    <cellStyle name="SAPBEXstdDataEmph 7 5" xfId="12505" xr:uid="{00000000-0005-0000-0000-00004F750000}"/>
    <cellStyle name="SAPBEXstdDataEmph 7 6" xfId="16554" xr:uid="{00000000-0005-0000-0000-000050750000}"/>
    <cellStyle name="SAPBEXstdDataEmph 7 7" xfId="17201" xr:uid="{00000000-0005-0000-0000-000051750000}"/>
    <cellStyle name="SAPBEXstdDataEmph 7 8" xfId="21250" xr:uid="{00000000-0005-0000-0000-000052750000}"/>
    <cellStyle name="SAPBEXstdDataEmph 7 9" xfId="21873" xr:uid="{00000000-0005-0000-0000-000053750000}"/>
    <cellStyle name="SAPBEXstdDataEmph 8" xfId="3356" xr:uid="{00000000-0005-0000-0000-000054750000}"/>
    <cellStyle name="SAPBEXstdDataEmph 8 2" xfId="5894" xr:uid="{00000000-0005-0000-0000-000055750000}"/>
    <cellStyle name="SAPBEXstdDataEmph 8 3" xfId="7952" xr:uid="{00000000-0005-0000-0000-000056750000}"/>
    <cellStyle name="SAPBEXstdDataEmph 8 4" xfId="11967" xr:uid="{00000000-0005-0000-0000-000057750000}"/>
    <cellStyle name="SAPBEXstdDataEmph 8 5" xfId="14444" xr:uid="{00000000-0005-0000-0000-000058750000}"/>
    <cellStyle name="SAPBEXstdDataEmph 8 6" xfId="16745" xr:uid="{00000000-0005-0000-0000-000059750000}"/>
    <cellStyle name="SAPBEXstdDataEmph 8 7" xfId="19140" xr:uid="{00000000-0005-0000-0000-00005A750000}"/>
    <cellStyle name="SAPBEXstdDataEmph 8 8" xfId="21441" xr:uid="{00000000-0005-0000-0000-00005B750000}"/>
    <cellStyle name="SAPBEXstdDataEmph 8 9" xfId="23642" xr:uid="{00000000-0005-0000-0000-00005C750000}"/>
    <cellStyle name="SAPBEXstdDataEmph 9" xfId="3399" xr:uid="{00000000-0005-0000-0000-00005D750000}"/>
    <cellStyle name="SAPBEXstdDataEmph 9 2" xfId="5937" xr:uid="{00000000-0005-0000-0000-00005E750000}"/>
    <cellStyle name="SAPBEXstdDataEmph 9 3" xfId="9048" xr:uid="{00000000-0005-0000-0000-00005F750000}"/>
    <cellStyle name="SAPBEXstdDataEmph 9 4" xfId="12184" xr:uid="{00000000-0005-0000-0000-000060750000}"/>
    <cellStyle name="SAPBEXstdDataEmph 9 5" xfId="14668" xr:uid="{00000000-0005-0000-0000-000061750000}"/>
    <cellStyle name="SAPBEXstdDataEmph 9 6" xfId="16981" xr:uid="{00000000-0005-0000-0000-000062750000}"/>
    <cellStyle name="SAPBEXstdDataEmph 9 7" xfId="19364" xr:uid="{00000000-0005-0000-0000-000063750000}"/>
    <cellStyle name="SAPBEXstdDataEmph 9 8" xfId="21677" xr:uid="{00000000-0005-0000-0000-000064750000}"/>
    <cellStyle name="SAPBEXstdDataEmph 9 9" xfId="23858" xr:uid="{00000000-0005-0000-0000-000065750000}"/>
    <cellStyle name="SAPBEXstdItem" xfId="2977" xr:uid="{00000000-0005-0000-0000-000066750000}"/>
    <cellStyle name="SAPBEXstdItem 10" xfId="3443" xr:uid="{00000000-0005-0000-0000-000067750000}"/>
    <cellStyle name="SAPBEXstdItem 10 2" xfId="5981" xr:uid="{00000000-0005-0000-0000-000068750000}"/>
    <cellStyle name="SAPBEXstdItem 10 3" xfId="7800" xr:uid="{00000000-0005-0000-0000-000069750000}"/>
    <cellStyle name="SAPBEXstdItem 10 4" xfId="12152" xr:uid="{00000000-0005-0000-0000-00006A750000}"/>
    <cellStyle name="SAPBEXstdItem 10 5" xfId="14635" xr:uid="{00000000-0005-0000-0000-00006B750000}"/>
    <cellStyle name="SAPBEXstdItem 10 6" xfId="13147" xr:uid="{00000000-0005-0000-0000-00006C750000}"/>
    <cellStyle name="SAPBEXstdItem 10 7" xfId="19331" xr:uid="{00000000-0005-0000-0000-00006D750000}"/>
    <cellStyle name="SAPBEXstdItem 10 8" xfId="17843" xr:uid="{00000000-0005-0000-0000-00006E750000}"/>
    <cellStyle name="SAPBEXstdItem 10 9" xfId="23826" xr:uid="{00000000-0005-0000-0000-00006F750000}"/>
    <cellStyle name="SAPBEXstdItem 11" xfId="3223" xr:uid="{00000000-0005-0000-0000-000070750000}"/>
    <cellStyle name="SAPBEXstdItem 11 2" xfId="5761" xr:uid="{00000000-0005-0000-0000-000071750000}"/>
    <cellStyle name="SAPBEXstdItem 11 3" xfId="8561" xr:uid="{00000000-0005-0000-0000-000072750000}"/>
    <cellStyle name="SAPBEXstdItem 11 4" xfId="10514" xr:uid="{00000000-0005-0000-0000-000073750000}"/>
    <cellStyle name="SAPBEXstdItem 11 5" xfId="12854" xr:uid="{00000000-0005-0000-0000-000074750000}"/>
    <cellStyle name="SAPBEXstdItem 11 6" xfId="12777" xr:uid="{00000000-0005-0000-0000-000075750000}"/>
    <cellStyle name="SAPBEXstdItem 11 7" xfId="17550" xr:uid="{00000000-0005-0000-0000-000076750000}"/>
    <cellStyle name="SAPBEXstdItem 11 8" xfId="17473" xr:uid="{00000000-0005-0000-0000-000077750000}"/>
    <cellStyle name="SAPBEXstdItem 11 9" xfId="22185" xr:uid="{00000000-0005-0000-0000-000078750000}"/>
    <cellStyle name="SAPBEXstdItem 12" xfId="3529" xr:uid="{00000000-0005-0000-0000-000079750000}"/>
    <cellStyle name="SAPBEXstdItem 12 2" xfId="6067" xr:uid="{00000000-0005-0000-0000-00007A750000}"/>
    <cellStyle name="SAPBEXstdItem 12 3" xfId="9223" xr:uid="{00000000-0005-0000-0000-00007B750000}"/>
    <cellStyle name="SAPBEXstdItem 12 4" xfId="8183" xr:uid="{00000000-0005-0000-0000-00007C750000}"/>
    <cellStyle name="SAPBEXstdItem 12 5" xfId="13508" xr:uid="{00000000-0005-0000-0000-00007D750000}"/>
    <cellStyle name="SAPBEXstdItem 12 6" xfId="15774" xr:uid="{00000000-0005-0000-0000-00007E750000}"/>
    <cellStyle name="SAPBEXstdItem 12 7" xfId="18204" xr:uid="{00000000-0005-0000-0000-00007F750000}"/>
    <cellStyle name="SAPBEXstdItem 12 8" xfId="20470" xr:uid="{00000000-0005-0000-0000-000080750000}"/>
    <cellStyle name="SAPBEXstdItem 12 9" xfId="22787" xr:uid="{00000000-0005-0000-0000-000081750000}"/>
    <cellStyle name="SAPBEXstdItem 13" xfId="3549" xr:uid="{00000000-0005-0000-0000-000082750000}"/>
    <cellStyle name="SAPBEXstdItem 13 2" xfId="6087" xr:uid="{00000000-0005-0000-0000-000083750000}"/>
    <cellStyle name="SAPBEXstdItem 13 3" xfId="9340" xr:uid="{00000000-0005-0000-0000-000084750000}"/>
    <cellStyle name="SAPBEXstdItem 13 4" xfId="10964" xr:uid="{00000000-0005-0000-0000-000085750000}"/>
    <cellStyle name="SAPBEXstdItem 13 5" xfId="13336" xr:uid="{00000000-0005-0000-0000-000086750000}"/>
    <cellStyle name="SAPBEXstdItem 13 6" xfId="16160" xr:uid="{00000000-0005-0000-0000-000087750000}"/>
    <cellStyle name="SAPBEXstdItem 13 7" xfId="18032" xr:uid="{00000000-0005-0000-0000-000088750000}"/>
    <cellStyle name="SAPBEXstdItem 13 8" xfId="20856" xr:uid="{00000000-0005-0000-0000-000089750000}"/>
    <cellStyle name="SAPBEXstdItem 13 9" xfId="22635" xr:uid="{00000000-0005-0000-0000-00008A750000}"/>
    <cellStyle name="SAPBEXstdItem 14" xfId="3641" xr:uid="{00000000-0005-0000-0000-00008B750000}"/>
    <cellStyle name="SAPBEXstdItem 14 2" xfId="6179" xr:uid="{00000000-0005-0000-0000-00008C750000}"/>
    <cellStyle name="SAPBEXstdItem 14 3" xfId="9276" xr:uid="{00000000-0005-0000-0000-00008D750000}"/>
    <cellStyle name="SAPBEXstdItem 14 4" xfId="11976" xr:uid="{00000000-0005-0000-0000-00008E750000}"/>
    <cellStyle name="SAPBEXstdItem 14 5" xfId="14454" xr:uid="{00000000-0005-0000-0000-00008F750000}"/>
    <cellStyle name="SAPBEXstdItem 14 6" xfId="15376" xr:uid="{00000000-0005-0000-0000-000090750000}"/>
    <cellStyle name="SAPBEXstdItem 14 7" xfId="19150" xr:uid="{00000000-0005-0000-0000-000091750000}"/>
    <cellStyle name="SAPBEXstdItem 14 8" xfId="20072" xr:uid="{00000000-0005-0000-0000-000092750000}"/>
    <cellStyle name="SAPBEXstdItem 14 9" xfId="23651" xr:uid="{00000000-0005-0000-0000-000093750000}"/>
    <cellStyle name="SAPBEXstdItem 15" xfId="3706" xr:uid="{00000000-0005-0000-0000-000094750000}"/>
    <cellStyle name="SAPBEXstdItem 15 2" xfId="6244" xr:uid="{00000000-0005-0000-0000-000095750000}"/>
    <cellStyle name="SAPBEXstdItem 15 3" xfId="9883" xr:uid="{00000000-0005-0000-0000-000096750000}"/>
    <cellStyle name="SAPBEXstdItem 15 4" xfId="10441" xr:uid="{00000000-0005-0000-0000-000097750000}"/>
    <cellStyle name="SAPBEXstdItem 15 5" xfId="12767" xr:uid="{00000000-0005-0000-0000-000098750000}"/>
    <cellStyle name="SAPBEXstdItem 15 6" xfId="16858" xr:uid="{00000000-0005-0000-0000-000099750000}"/>
    <cellStyle name="SAPBEXstdItem 15 7" xfId="17463" xr:uid="{00000000-0005-0000-0000-00009A750000}"/>
    <cellStyle name="SAPBEXstdItem 15 8" xfId="21554" xr:uid="{00000000-0005-0000-0000-00009B750000}"/>
    <cellStyle name="SAPBEXstdItem 15 9" xfId="22112" xr:uid="{00000000-0005-0000-0000-00009C750000}"/>
    <cellStyle name="SAPBEXstdItem 16" xfId="3768" xr:uid="{00000000-0005-0000-0000-00009D750000}"/>
    <cellStyle name="SAPBEXstdItem 16 2" xfId="6306" xr:uid="{00000000-0005-0000-0000-00009E750000}"/>
    <cellStyle name="SAPBEXstdItem 16 3" xfId="9420" xr:uid="{00000000-0005-0000-0000-00009F750000}"/>
    <cellStyle name="SAPBEXstdItem 16 4" xfId="10444" xr:uid="{00000000-0005-0000-0000-0000A0750000}"/>
    <cellStyle name="SAPBEXstdItem 16 5" xfId="12771" xr:uid="{00000000-0005-0000-0000-0000A1750000}"/>
    <cellStyle name="SAPBEXstdItem 16 6" xfId="15340" xr:uid="{00000000-0005-0000-0000-0000A2750000}"/>
    <cellStyle name="SAPBEXstdItem 16 7" xfId="17467" xr:uid="{00000000-0005-0000-0000-0000A3750000}"/>
    <cellStyle name="SAPBEXstdItem 16 8" xfId="20036" xr:uid="{00000000-0005-0000-0000-0000A4750000}"/>
    <cellStyle name="SAPBEXstdItem 16 9" xfId="22115" xr:uid="{00000000-0005-0000-0000-0000A5750000}"/>
    <cellStyle name="SAPBEXstdItem 17" xfId="3796" xr:uid="{00000000-0005-0000-0000-0000A6750000}"/>
    <cellStyle name="SAPBEXstdItem 17 2" xfId="6334" xr:uid="{00000000-0005-0000-0000-0000A7750000}"/>
    <cellStyle name="SAPBEXstdItem 17 3" xfId="8241" xr:uid="{00000000-0005-0000-0000-0000A8750000}"/>
    <cellStyle name="SAPBEXstdItem 17 4" xfId="11215" xr:uid="{00000000-0005-0000-0000-0000A9750000}"/>
    <cellStyle name="SAPBEXstdItem 17 5" xfId="13617" xr:uid="{00000000-0005-0000-0000-0000AA750000}"/>
    <cellStyle name="SAPBEXstdItem 17 6" xfId="15154" xr:uid="{00000000-0005-0000-0000-0000AB750000}"/>
    <cellStyle name="SAPBEXstdItem 17 7" xfId="18313" xr:uid="{00000000-0005-0000-0000-0000AC750000}"/>
    <cellStyle name="SAPBEXstdItem 17 8" xfId="19850" xr:uid="{00000000-0005-0000-0000-0000AD750000}"/>
    <cellStyle name="SAPBEXstdItem 17 9" xfId="22890" xr:uid="{00000000-0005-0000-0000-0000AE750000}"/>
    <cellStyle name="SAPBEXstdItem 18" xfId="3880" xr:uid="{00000000-0005-0000-0000-0000AF750000}"/>
    <cellStyle name="SAPBEXstdItem 18 2" xfId="6418" xr:uid="{00000000-0005-0000-0000-0000B0750000}"/>
    <cellStyle name="SAPBEXstdItem 18 3" xfId="8259" xr:uid="{00000000-0005-0000-0000-0000B1750000}"/>
    <cellStyle name="SAPBEXstdItem 18 4" xfId="10771" xr:uid="{00000000-0005-0000-0000-0000B2750000}"/>
    <cellStyle name="SAPBEXstdItem 18 5" xfId="13126" xr:uid="{00000000-0005-0000-0000-0000B3750000}"/>
    <cellStyle name="SAPBEXstdItem 18 6" xfId="15948" xr:uid="{00000000-0005-0000-0000-0000B4750000}"/>
    <cellStyle name="SAPBEXstdItem 18 7" xfId="17822" xr:uid="{00000000-0005-0000-0000-0000B5750000}"/>
    <cellStyle name="SAPBEXstdItem 18 8" xfId="20644" xr:uid="{00000000-0005-0000-0000-0000B6750000}"/>
    <cellStyle name="SAPBEXstdItem 18 9" xfId="22443" xr:uid="{00000000-0005-0000-0000-0000B7750000}"/>
    <cellStyle name="SAPBEXstdItem 19" xfId="3920" xr:uid="{00000000-0005-0000-0000-0000B8750000}"/>
    <cellStyle name="SAPBEXstdItem 19 2" xfId="6458" xr:uid="{00000000-0005-0000-0000-0000B9750000}"/>
    <cellStyle name="SAPBEXstdItem 19 3" xfId="8045" xr:uid="{00000000-0005-0000-0000-0000BA750000}"/>
    <cellStyle name="SAPBEXstdItem 19 4" xfId="11623" xr:uid="{00000000-0005-0000-0000-0000BB750000}"/>
    <cellStyle name="SAPBEXstdItem 19 5" xfId="14065" xr:uid="{00000000-0005-0000-0000-0000BC750000}"/>
    <cellStyle name="SAPBEXstdItem 19 6" xfId="16255" xr:uid="{00000000-0005-0000-0000-0000BD750000}"/>
    <cellStyle name="SAPBEXstdItem 19 7" xfId="18761" xr:uid="{00000000-0005-0000-0000-0000BE750000}"/>
    <cellStyle name="SAPBEXstdItem 19 8" xfId="20951" xr:uid="{00000000-0005-0000-0000-0000BF750000}"/>
    <cellStyle name="SAPBEXstdItem 19 9" xfId="23298" xr:uid="{00000000-0005-0000-0000-0000C0750000}"/>
    <cellStyle name="SAPBEXstdItem 2" xfId="3096" xr:uid="{00000000-0005-0000-0000-0000C1750000}"/>
    <cellStyle name="SAPBEXstdItem 2 10" xfId="25939" xr:uid="{00000000-0005-0000-0000-0000C2750000}"/>
    <cellStyle name="SAPBEXstdItem 2 2" xfId="5422" xr:uid="{00000000-0005-0000-0000-0000C3750000}"/>
    <cellStyle name="SAPBEXstdItem 2 2 2" xfId="25940" xr:uid="{00000000-0005-0000-0000-0000C4750000}"/>
    <cellStyle name="SAPBEXstdItem 2 3" xfId="5514" xr:uid="{00000000-0005-0000-0000-0000C5750000}"/>
    <cellStyle name="SAPBEXstdItem 2 4" xfId="10466" xr:uid="{00000000-0005-0000-0000-0000C6750000}"/>
    <cellStyle name="SAPBEXstdItem 2 5" xfId="12798" xr:uid="{00000000-0005-0000-0000-0000C7750000}"/>
    <cellStyle name="SAPBEXstdItem 2 6" xfId="16950" xr:uid="{00000000-0005-0000-0000-0000C8750000}"/>
    <cellStyle name="SAPBEXstdItem 2 7" xfId="17494" xr:uid="{00000000-0005-0000-0000-0000C9750000}"/>
    <cellStyle name="SAPBEXstdItem 2 8" xfId="21646" xr:uid="{00000000-0005-0000-0000-0000CA750000}"/>
    <cellStyle name="SAPBEXstdItem 2 9" xfId="22137" xr:uid="{00000000-0005-0000-0000-0000CB750000}"/>
    <cellStyle name="SAPBEXstdItem 20" xfId="3963" xr:uid="{00000000-0005-0000-0000-0000CC750000}"/>
    <cellStyle name="SAPBEXstdItem 20 2" xfId="6501" xr:uid="{00000000-0005-0000-0000-0000CD750000}"/>
    <cellStyle name="SAPBEXstdItem 20 3" xfId="8470" xr:uid="{00000000-0005-0000-0000-0000CE750000}"/>
    <cellStyle name="SAPBEXstdItem 20 4" xfId="11476" xr:uid="{00000000-0005-0000-0000-0000CF750000}"/>
    <cellStyle name="SAPBEXstdItem 20 5" xfId="13899" xr:uid="{00000000-0005-0000-0000-0000D0750000}"/>
    <cellStyle name="SAPBEXstdItem 20 6" xfId="14362" xr:uid="{00000000-0005-0000-0000-0000D1750000}"/>
    <cellStyle name="SAPBEXstdItem 20 7" xfId="18595" xr:uid="{00000000-0005-0000-0000-0000D2750000}"/>
    <cellStyle name="SAPBEXstdItem 20 8" xfId="19058" xr:uid="{00000000-0005-0000-0000-0000D3750000}"/>
    <cellStyle name="SAPBEXstdItem 20 9" xfId="23151" xr:uid="{00000000-0005-0000-0000-0000D4750000}"/>
    <cellStyle name="SAPBEXstdItem 21" xfId="4028" xr:uid="{00000000-0005-0000-0000-0000D5750000}"/>
    <cellStyle name="SAPBEXstdItem 21 2" xfId="6566" xr:uid="{00000000-0005-0000-0000-0000D6750000}"/>
    <cellStyle name="SAPBEXstdItem 21 3" xfId="8711" xr:uid="{00000000-0005-0000-0000-0000D7750000}"/>
    <cellStyle name="SAPBEXstdItem 21 4" xfId="10705" xr:uid="{00000000-0005-0000-0000-0000D8750000}"/>
    <cellStyle name="SAPBEXstdItem 21 5" xfId="13058" xr:uid="{00000000-0005-0000-0000-0000D9750000}"/>
    <cellStyle name="SAPBEXstdItem 21 6" xfId="16254" xr:uid="{00000000-0005-0000-0000-0000DA750000}"/>
    <cellStyle name="SAPBEXstdItem 21 7" xfId="17754" xr:uid="{00000000-0005-0000-0000-0000DB750000}"/>
    <cellStyle name="SAPBEXstdItem 21 8" xfId="20950" xr:uid="{00000000-0005-0000-0000-0000DC750000}"/>
    <cellStyle name="SAPBEXstdItem 21 9" xfId="22378" xr:uid="{00000000-0005-0000-0000-0000DD750000}"/>
    <cellStyle name="SAPBEXstdItem 22" xfId="3736" xr:uid="{00000000-0005-0000-0000-0000DE750000}"/>
    <cellStyle name="SAPBEXstdItem 22 2" xfId="6274" xr:uid="{00000000-0005-0000-0000-0000DF750000}"/>
    <cellStyle name="SAPBEXstdItem 22 3" xfId="9598" xr:uid="{00000000-0005-0000-0000-0000E0750000}"/>
    <cellStyle name="SAPBEXstdItem 22 4" xfId="11105" xr:uid="{00000000-0005-0000-0000-0000E1750000}"/>
    <cellStyle name="SAPBEXstdItem 22 5" xfId="13499" xr:uid="{00000000-0005-0000-0000-0000E2750000}"/>
    <cellStyle name="SAPBEXstdItem 22 6" xfId="15545" xr:uid="{00000000-0005-0000-0000-0000E3750000}"/>
    <cellStyle name="SAPBEXstdItem 22 7" xfId="18195" xr:uid="{00000000-0005-0000-0000-0000E4750000}"/>
    <cellStyle name="SAPBEXstdItem 22 8" xfId="20241" xr:uid="{00000000-0005-0000-0000-0000E5750000}"/>
    <cellStyle name="SAPBEXstdItem 22 9" xfId="22778" xr:uid="{00000000-0005-0000-0000-0000E6750000}"/>
    <cellStyle name="SAPBEXstdItem 23" xfId="4111" xr:uid="{00000000-0005-0000-0000-0000E7750000}"/>
    <cellStyle name="SAPBEXstdItem 23 2" xfId="6649" xr:uid="{00000000-0005-0000-0000-0000E8750000}"/>
    <cellStyle name="SAPBEXstdItem 23 3" xfId="9720" xr:uid="{00000000-0005-0000-0000-0000E9750000}"/>
    <cellStyle name="SAPBEXstdItem 23 4" xfId="11829" xr:uid="{00000000-0005-0000-0000-0000EA750000}"/>
    <cellStyle name="SAPBEXstdItem 23 5" xfId="14287" xr:uid="{00000000-0005-0000-0000-0000EB750000}"/>
    <cellStyle name="SAPBEXstdItem 23 6" xfId="16754" xr:uid="{00000000-0005-0000-0000-0000EC750000}"/>
    <cellStyle name="SAPBEXstdItem 23 7" xfId="18983" xr:uid="{00000000-0005-0000-0000-0000ED750000}"/>
    <cellStyle name="SAPBEXstdItem 23 8" xfId="21450" xr:uid="{00000000-0005-0000-0000-0000EE750000}"/>
    <cellStyle name="SAPBEXstdItem 23 9" xfId="23504" xr:uid="{00000000-0005-0000-0000-0000EF750000}"/>
    <cellStyle name="SAPBEXstdItem 24" xfId="4154" xr:uid="{00000000-0005-0000-0000-0000F0750000}"/>
    <cellStyle name="SAPBEXstdItem 24 2" xfId="6692" xr:uid="{00000000-0005-0000-0000-0000F1750000}"/>
    <cellStyle name="SAPBEXstdItem 24 3" xfId="8845" xr:uid="{00000000-0005-0000-0000-0000F2750000}"/>
    <cellStyle name="SAPBEXstdItem 24 4" xfId="11513" xr:uid="{00000000-0005-0000-0000-0000F3750000}"/>
    <cellStyle name="SAPBEXstdItem 24 5" xfId="13940" xr:uid="{00000000-0005-0000-0000-0000F4750000}"/>
    <cellStyle name="SAPBEXstdItem 24 6" xfId="16591" xr:uid="{00000000-0005-0000-0000-0000F5750000}"/>
    <cellStyle name="SAPBEXstdItem 24 7" xfId="18636" xr:uid="{00000000-0005-0000-0000-0000F6750000}"/>
    <cellStyle name="SAPBEXstdItem 24 8" xfId="21287" xr:uid="{00000000-0005-0000-0000-0000F7750000}"/>
    <cellStyle name="SAPBEXstdItem 24 9" xfId="23187" xr:uid="{00000000-0005-0000-0000-0000F8750000}"/>
    <cellStyle name="SAPBEXstdItem 25" xfId="4197" xr:uid="{00000000-0005-0000-0000-0000F9750000}"/>
    <cellStyle name="SAPBEXstdItem 25 2" xfId="6735" xr:uid="{00000000-0005-0000-0000-0000FA750000}"/>
    <cellStyle name="SAPBEXstdItem 25 3" xfId="7992" xr:uid="{00000000-0005-0000-0000-0000FB750000}"/>
    <cellStyle name="SAPBEXstdItem 25 4" xfId="10511" xr:uid="{00000000-0005-0000-0000-0000FC750000}"/>
    <cellStyle name="SAPBEXstdItem 25 5" xfId="12851" xr:uid="{00000000-0005-0000-0000-0000FD750000}"/>
    <cellStyle name="SAPBEXstdItem 25 6" xfId="15983" xr:uid="{00000000-0005-0000-0000-0000FE750000}"/>
    <cellStyle name="SAPBEXstdItem 25 7" xfId="17547" xr:uid="{00000000-0005-0000-0000-0000FF750000}"/>
    <cellStyle name="SAPBEXstdItem 25 8" xfId="20679" xr:uid="{00000000-0005-0000-0000-000000760000}"/>
    <cellStyle name="SAPBEXstdItem 25 9" xfId="22182" xr:uid="{00000000-0005-0000-0000-000001760000}"/>
    <cellStyle name="SAPBEXstdItem 26" xfId="4239" xr:uid="{00000000-0005-0000-0000-000002760000}"/>
    <cellStyle name="SAPBEXstdItem 26 2" xfId="6777" xr:uid="{00000000-0005-0000-0000-000003760000}"/>
    <cellStyle name="SAPBEXstdItem 26 3" xfId="9452" xr:uid="{00000000-0005-0000-0000-000004760000}"/>
    <cellStyle name="SAPBEXstdItem 26 4" xfId="10509" xr:uid="{00000000-0005-0000-0000-000005760000}"/>
    <cellStyle name="SAPBEXstdItem 26 5" xfId="14909" xr:uid="{00000000-0005-0000-0000-000006760000}"/>
    <cellStyle name="SAPBEXstdItem 26 6" xfId="16734" xr:uid="{00000000-0005-0000-0000-000007760000}"/>
    <cellStyle name="SAPBEXstdItem 26 7" xfId="19605" xr:uid="{00000000-0005-0000-0000-000008760000}"/>
    <cellStyle name="SAPBEXstdItem 26 8" xfId="21430" xr:uid="{00000000-0005-0000-0000-000009760000}"/>
    <cellStyle name="SAPBEXstdItem 26 9" xfId="24074" xr:uid="{00000000-0005-0000-0000-00000A760000}"/>
    <cellStyle name="SAPBEXstdItem 27" xfId="4282" xr:uid="{00000000-0005-0000-0000-00000B760000}"/>
    <cellStyle name="SAPBEXstdItem 27 2" xfId="6820" xr:uid="{00000000-0005-0000-0000-00000C760000}"/>
    <cellStyle name="SAPBEXstdItem 27 3" xfId="9211" xr:uid="{00000000-0005-0000-0000-00000D760000}"/>
    <cellStyle name="SAPBEXstdItem 27 4" xfId="9205" xr:uid="{00000000-0005-0000-0000-00000E760000}"/>
    <cellStyle name="SAPBEXstdItem 27 5" xfId="14922" xr:uid="{00000000-0005-0000-0000-00000F760000}"/>
    <cellStyle name="SAPBEXstdItem 27 6" xfId="16296" xr:uid="{00000000-0005-0000-0000-000010760000}"/>
    <cellStyle name="SAPBEXstdItem 27 7" xfId="19618" xr:uid="{00000000-0005-0000-0000-000011760000}"/>
    <cellStyle name="SAPBEXstdItem 27 8" xfId="20992" xr:uid="{00000000-0005-0000-0000-000012760000}"/>
    <cellStyle name="SAPBEXstdItem 27 9" xfId="24085" xr:uid="{00000000-0005-0000-0000-000013760000}"/>
    <cellStyle name="SAPBEXstdItem 28" xfId="4325" xr:uid="{00000000-0005-0000-0000-000014760000}"/>
    <cellStyle name="SAPBEXstdItem 28 2" xfId="6863" xr:uid="{00000000-0005-0000-0000-000015760000}"/>
    <cellStyle name="SAPBEXstdItem 28 3" xfId="8318" xr:uid="{00000000-0005-0000-0000-000016760000}"/>
    <cellStyle name="SAPBEXstdItem 28 4" xfId="10807" xr:uid="{00000000-0005-0000-0000-000017760000}"/>
    <cellStyle name="SAPBEXstdItem 28 5" xfId="13168" xr:uid="{00000000-0005-0000-0000-000018760000}"/>
    <cellStyle name="SAPBEXstdItem 28 6" xfId="15010" xr:uid="{00000000-0005-0000-0000-000019760000}"/>
    <cellStyle name="SAPBEXstdItem 28 7" xfId="17864" xr:uid="{00000000-0005-0000-0000-00001A760000}"/>
    <cellStyle name="SAPBEXstdItem 28 8" xfId="19706" xr:uid="{00000000-0005-0000-0000-00001B760000}"/>
    <cellStyle name="SAPBEXstdItem 28 9" xfId="22478" xr:uid="{00000000-0005-0000-0000-00001C760000}"/>
    <cellStyle name="SAPBEXstdItem 29" xfId="4368" xr:uid="{00000000-0005-0000-0000-00001D760000}"/>
    <cellStyle name="SAPBEXstdItem 29 2" xfId="6906" xr:uid="{00000000-0005-0000-0000-00001E760000}"/>
    <cellStyle name="SAPBEXstdItem 29 3" xfId="9580" xr:uid="{00000000-0005-0000-0000-00001F760000}"/>
    <cellStyle name="SAPBEXstdItem 29 4" xfId="11402" xr:uid="{00000000-0005-0000-0000-000020760000}"/>
    <cellStyle name="SAPBEXstdItem 29 5" xfId="13817" xr:uid="{00000000-0005-0000-0000-000021760000}"/>
    <cellStyle name="SAPBEXstdItem 29 6" xfId="16930" xr:uid="{00000000-0005-0000-0000-000022760000}"/>
    <cellStyle name="SAPBEXstdItem 29 7" xfId="18513" xr:uid="{00000000-0005-0000-0000-000023760000}"/>
    <cellStyle name="SAPBEXstdItem 29 8" xfId="21626" xr:uid="{00000000-0005-0000-0000-000024760000}"/>
    <cellStyle name="SAPBEXstdItem 29 9" xfId="23076" xr:uid="{00000000-0005-0000-0000-000025760000}"/>
    <cellStyle name="SAPBEXstdItem 3" xfId="3142" xr:uid="{00000000-0005-0000-0000-000026760000}"/>
    <cellStyle name="SAPBEXstdItem 3 10" xfId="25941" xr:uid="{00000000-0005-0000-0000-000027760000}"/>
    <cellStyle name="SAPBEXstdItem 3 2" xfId="5680" xr:uid="{00000000-0005-0000-0000-000028760000}"/>
    <cellStyle name="SAPBEXstdItem 3 3" xfId="9721" xr:uid="{00000000-0005-0000-0000-000029760000}"/>
    <cellStyle name="SAPBEXstdItem 3 4" xfId="10392" xr:uid="{00000000-0005-0000-0000-00002A760000}"/>
    <cellStyle name="SAPBEXstdItem 3 5" xfId="12715" xr:uid="{00000000-0005-0000-0000-00002B760000}"/>
    <cellStyle name="SAPBEXstdItem 3 6" xfId="16603" xr:uid="{00000000-0005-0000-0000-00002C760000}"/>
    <cellStyle name="SAPBEXstdItem 3 7" xfId="17411" xr:uid="{00000000-0005-0000-0000-00002D760000}"/>
    <cellStyle name="SAPBEXstdItem 3 8" xfId="21299" xr:uid="{00000000-0005-0000-0000-00002E760000}"/>
    <cellStyle name="SAPBEXstdItem 3 9" xfId="22063" xr:uid="{00000000-0005-0000-0000-00002F760000}"/>
    <cellStyle name="SAPBEXstdItem 30" xfId="4411" xr:uid="{00000000-0005-0000-0000-000030760000}"/>
    <cellStyle name="SAPBEXstdItem 30 2" xfId="6949" xr:uid="{00000000-0005-0000-0000-000031760000}"/>
    <cellStyle name="SAPBEXstdItem 30 3" xfId="8359" xr:uid="{00000000-0005-0000-0000-000032760000}"/>
    <cellStyle name="SAPBEXstdItem 30 4" xfId="9767" xr:uid="{00000000-0005-0000-0000-000033760000}"/>
    <cellStyle name="SAPBEXstdItem 30 5" xfId="14939" xr:uid="{00000000-0005-0000-0000-000034760000}"/>
    <cellStyle name="SAPBEXstdItem 30 6" xfId="15130" xr:uid="{00000000-0005-0000-0000-000035760000}"/>
    <cellStyle name="SAPBEXstdItem 30 7" xfId="19635" xr:uid="{00000000-0005-0000-0000-000036760000}"/>
    <cellStyle name="SAPBEXstdItem 30 8" xfId="19826" xr:uid="{00000000-0005-0000-0000-000037760000}"/>
    <cellStyle name="SAPBEXstdItem 30 9" xfId="24102" xr:uid="{00000000-0005-0000-0000-000038760000}"/>
    <cellStyle name="SAPBEXstdItem 31" xfId="4454" xr:uid="{00000000-0005-0000-0000-000039760000}"/>
    <cellStyle name="SAPBEXstdItem 31 2" xfId="6992" xr:uid="{00000000-0005-0000-0000-00003A760000}"/>
    <cellStyle name="SAPBEXstdItem 31 3" xfId="8585" xr:uid="{00000000-0005-0000-0000-00003B760000}"/>
    <cellStyle name="SAPBEXstdItem 31 4" xfId="8222" xr:uid="{00000000-0005-0000-0000-00003C760000}"/>
    <cellStyle name="SAPBEXstdItem 31 5" xfId="12400" xr:uid="{00000000-0005-0000-0000-00003D760000}"/>
    <cellStyle name="SAPBEXstdItem 31 6" xfId="15904" xr:uid="{00000000-0005-0000-0000-00003E760000}"/>
    <cellStyle name="SAPBEXstdItem 31 7" xfId="17096" xr:uid="{00000000-0005-0000-0000-00003F760000}"/>
    <cellStyle name="SAPBEXstdItem 31 8" xfId="20600" xr:uid="{00000000-0005-0000-0000-000040760000}"/>
    <cellStyle name="SAPBEXstdItem 31 9" xfId="21783" xr:uid="{00000000-0005-0000-0000-000041760000}"/>
    <cellStyle name="SAPBEXstdItem 32" xfId="4360" xr:uid="{00000000-0005-0000-0000-000042760000}"/>
    <cellStyle name="SAPBEXstdItem 32 2" xfId="6898" xr:uid="{00000000-0005-0000-0000-000043760000}"/>
    <cellStyle name="SAPBEXstdItem 32 3" xfId="7882" xr:uid="{00000000-0005-0000-0000-000044760000}"/>
    <cellStyle name="SAPBEXstdItem 32 4" xfId="10452" xr:uid="{00000000-0005-0000-0000-000045760000}"/>
    <cellStyle name="SAPBEXstdItem 32 5" xfId="12783" xr:uid="{00000000-0005-0000-0000-000046760000}"/>
    <cellStyle name="SAPBEXstdItem 32 6" xfId="15779" xr:uid="{00000000-0005-0000-0000-000047760000}"/>
    <cellStyle name="SAPBEXstdItem 32 7" xfId="17479" xr:uid="{00000000-0005-0000-0000-000048760000}"/>
    <cellStyle name="SAPBEXstdItem 32 8" xfId="20475" xr:uid="{00000000-0005-0000-0000-000049760000}"/>
    <cellStyle name="SAPBEXstdItem 32 9" xfId="22123" xr:uid="{00000000-0005-0000-0000-00004A760000}"/>
    <cellStyle name="SAPBEXstdItem 33" xfId="4540" xr:uid="{00000000-0005-0000-0000-00004B760000}"/>
    <cellStyle name="SAPBEXstdItem 33 2" xfId="7078" xr:uid="{00000000-0005-0000-0000-00004C760000}"/>
    <cellStyle name="SAPBEXstdItem 33 3" xfId="8256" xr:uid="{00000000-0005-0000-0000-00004D760000}"/>
    <cellStyle name="SAPBEXstdItem 33 4" xfId="10870" xr:uid="{00000000-0005-0000-0000-00004E760000}"/>
    <cellStyle name="SAPBEXstdItem 33 5" xfId="13235" xr:uid="{00000000-0005-0000-0000-00004F760000}"/>
    <cellStyle name="SAPBEXstdItem 33 6" xfId="14997" xr:uid="{00000000-0005-0000-0000-000050760000}"/>
    <cellStyle name="SAPBEXstdItem 33 7" xfId="17931" xr:uid="{00000000-0005-0000-0000-000051760000}"/>
    <cellStyle name="SAPBEXstdItem 33 8" xfId="19693" xr:uid="{00000000-0005-0000-0000-000052760000}"/>
    <cellStyle name="SAPBEXstdItem 33 9" xfId="22541" xr:uid="{00000000-0005-0000-0000-000053760000}"/>
    <cellStyle name="SAPBEXstdItem 34" xfId="4583" xr:uid="{00000000-0005-0000-0000-000054760000}"/>
    <cellStyle name="SAPBEXstdItem 34 2" xfId="7121" xr:uid="{00000000-0005-0000-0000-000055760000}"/>
    <cellStyle name="SAPBEXstdItem 34 3" xfId="9678" xr:uid="{00000000-0005-0000-0000-000056760000}"/>
    <cellStyle name="SAPBEXstdItem 34 4" xfId="12193" xr:uid="{00000000-0005-0000-0000-000057760000}"/>
    <cellStyle name="SAPBEXstdItem 34 5" xfId="14680" xr:uid="{00000000-0005-0000-0000-000058760000}"/>
    <cellStyle name="SAPBEXstdItem 34 6" xfId="16898" xr:uid="{00000000-0005-0000-0000-000059760000}"/>
    <cellStyle name="SAPBEXstdItem 34 7" xfId="19376" xr:uid="{00000000-0005-0000-0000-00005A760000}"/>
    <cellStyle name="SAPBEXstdItem 34 8" xfId="21594" xr:uid="{00000000-0005-0000-0000-00005B760000}"/>
    <cellStyle name="SAPBEXstdItem 34 9" xfId="23867" xr:uid="{00000000-0005-0000-0000-00005C760000}"/>
    <cellStyle name="SAPBEXstdItem 35" xfId="4626" xr:uid="{00000000-0005-0000-0000-00005D760000}"/>
    <cellStyle name="SAPBEXstdItem 35 2" xfId="7164" xr:uid="{00000000-0005-0000-0000-00005E760000}"/>
    <cellStyle name="SAPBEXstdItem 35 3" xfId="9526" xr:uid="{00000000-0005-0000-0000-00005F760000}"/>
    <cellStyle name="SAPBEXstdItem 35 4" xfId="10043" xr:uid="{00000000-0005-0000-0000-000060760000}"/>
    <cellStyle name="SAPBEXstdItem 35 5" xfId="12421" xr:uid="{00000000-0005-0000-0000-000061760000}"/>
    <cellStyle name="SAPBEXstdItem 35 6" xfId="16355" xr:uid="{00000000-0005-0000-0000-000062760000}"/>
    <cellStyle name="SAPBEXstdItem 35 7" xfId="17117" xr:uid="{00000000-0005-0000-0000-000063760000}"/>
    <cellStyle name="SAPBEXstdItem 35 8" xfId="21051" xr:uid="{00000000-0005-0000-0000-000064760000}"/>
    <cellStyle name="SAPBEXstdItem 35 9" xfId="21801" xr:uid="{00000000-0005-0000-0000-000065760000}"/>
    <cellStyle name="SAPBEXstdItem 36" xfId="4669" xr:uid="{00000000-0005-0000-0000-000066760000}"/>
    <cellStyle name="SAPBEXstdItem 36 2" xfId="7207" xr:uid="{00000000-0005-0000-0000-000067760000}"/>
    <cellStyle name="SAPBEXstdItem 36 3" xfId="10060" xr:uid="{00000000-0005-0000-0000-000068760000}"/>
    <cellStyle name="SAPBEXstdItem 36 4" xfId="10586" xr:uid="{00000000-0005-0000-0000-000069760000}"/>
    <cellStyle name="SAPBEXstdItem 36 5" xfId="12933" xr:uid="{00000000-0005-0000-0000-00006A760000}"/>
    <cellStyle name="SAPBEXstdItem 36 6" xfId="13959" xr:uid="{00000000-0005-0000-0000-00006B760000}"/>
    <cellStyle name="SAPBEXstdItem 36 7" xfId="17629" xr:uid="{00000000-0005-0000-0000-00006C760000}"/>
    <cellStyle name="SAPBEXstdItem 36 8" xfId="18655" xr:uid="{00000000-0005-0000-0000-00006D760000}"/>
    <cellStyle name="SAPBEXstdItem 36 9" xfId="22259" xr:uid="{00000000-0005-0000-0000-00006E760000}"/>
    <cellStyle name="SAPBEXstdItem 37" xfId="4711" xr:uid="{00000000-0005-0000-0000-00006F760000}"/>
    <cellStyle name="SAPBEXstdItem 37 2" xfId="7249" xr:uid="{00000000-0005-0000-0000-000070760000}"/>
    <cellStyle name="SAPBEXstdItem 37 3" xfId="9751" xr:uid="{00000000-0005-0000-0000-000071760000}"/>
    <cellStyle name="SAPBEXstdItem 37 4" xfId="11772" xr:uid="{00000000-0005-0000-0000-000072760000}"/>
    <cellStyle name="SAPBEXstdItem 37 5" xfId="14225" xr:uid="{00000000-0005-0000-0000-000073760000}"/>
    <cellStyle name="SAPBEXstdItem 37 6" xfId="15583" xr:uid="{00000000-0005-0000-0000-000074760000}"/>
    <cellStyle name="SAPBEXstdItem 37 7" xfId="18921" xr:uid="{00000000-0005-0000-0000-000075760000}"/>
    <cellStyle name="SAPBEXstdItem 37 8" xfId="20279" xr:uid="{00000000-0005-0000-0000-000076760000}"/>
    <cellStyle name="SAPBEXstdItem 37 9" xfId="23446" xr:uid="{00000000-0005-0000-0000-000077760000}"/>
    <cellStyle name="SAPBEXstdItem 38" xfId="4776" xr:uid="{00000000-0005-0000-0000-000078760000}"/>
    <cellStyle name="SAPBEXstdItem 38 2" xfId="7314" xr:uid="{00000000-0005-0000-0000-000079760000}"/>
    <cellStyle name="SAPBEXstdItem 38 3" xfId="10067" xr:uid="{00000000-0005-0000-0000-00007A760000}"/>
    <cellStyle name="SAPBEXstdItem 38 4" xfId="10334" xr:uid="{00000000-0005-0000-0000-00007B760000}"/>
    <cellStyle name="SAPBEXstdItem 38 5" xfId="12653" xr:uid="{00000000-0005-0000-0000-00007C760000}"/>
    <cellStyle name="SAPBEXstdItem 38 6" xfId="16265" xr:uid="{00000000-0005-0000-0000-00007D760000}"/>
    <cellStyle name="SAPBEXstdItem 38 7" xfId="17349" xr:uid="{00000000-0005-0000-0000-00007E760000}"/>
    <cellStyle name="SAPBEXstdItem 38 8" xfId="20961" xr:uid="{00000000-0005-0000-0000-00007F760000}"/>
    <cellStyle name="SAPBEXstdItem 38 9" xfId="22005" xr:uid="{00000000-0005-0000-0000-000080760000}"/>
    <cellStyle name="SAPBEXstdItem 39" xfId="4816" xr:uid="{00000000-0005-0000-0000-000081760000}"/>
    <cellStyle name="SAPBEXstdItem 39 2" xfId="7354" xr:uid="{00000000-0005-0000-0000-000082760000}"/>
    <cellStyle name="SAPBEXstdItem 39 3" xfId="8306" xr:uid="{00000000-0005-0000-0000-000083760000}"/>
    <cellStyle name="SAPBEXstdItem 39 4" xfId="10010" xr:uid="{00000000-0005-0000-0000-000084760000}"/>
    <cellStyle name="SAPBEXstdItem 39 5" xfId="12447" xr:uid="{00000000-0005-0000-0000-000085760000}"/>
    <cellStyle name="SAPBEXstdItem 39 6" xfId="16478" xr:uid="{00000000-0005-0000-0000-000086760000}"/>
    <cellStyle name="SAPBEXstdItem 39 7" xfId="17143" xr:uid="{00000000-0005-0000-0000-000087760000}"/>
    <cellStyle name="SAPBEXstdItem 39 8" xfId="21174" xr:uid="{00000000-0005-0000-0000-000088760000}"/>
    <cellStyle name="SAPBEXstdItem 39 9" xfId="21826" xr:uid="{00000000-0005-0000-0000-000089760000}"/>
    <cellStyle name="SAPBEXstdItem 4" xfId="3185" xr:uid="{00000000-0005-0000-0000-00008A760000}"/>
    <cellStyle name="SAPBEXstdItem 4 2" xfId="5723" xr:uid="{00000000-0005-0000-0000-00008B760000}"/>
    <cellStyle name="SAPBEXstdItem 4 3" xfId="8377" xr:uid="{00000000-0005-0000-0000-00008C760000}"/>
    <cellStyle name="SAPBEXstdItem 4 4" xfId="11278" xr:uid="{00000000-0005-0000-0000-00008D760000}"/>
    <cellStyle name="SAPBEXstdItem 4 5" xfId="13684" xr:uid="{00000000-0005-0000-0000-00008E760000}"/>
    <cellStyle name="SAPBEXstdItem 4 6" xfId="15968" xr:uid="{00000000-0005-0000-0000-00008F760000}"/>
    <cellStyle name="SAPBEXstdItem 4 7" xfId="18380" xr:uid="{00000000-0005-0000-0000-000090760000}"/>
    <cellStyle name="SAPBEXstdItem 4 8" xfId="20664" xr:uid="{00000000-0005-0000-0000-000091760000}"/>
    <cellStyle name="SAPBEXstdItem 4 9" xfId="22952" xr:uid="{00000000-0005-0000-0000-000092760000}"/>
    <cellStyle name="SAPBEXstdItem 40" xfId="4859" xr:uid="{00000000-0005-0000-0000-000093760000}"/>
    <cellStyle name="SAPBEXstdItem 40 2" xfId="7397" xr:uid="{00000000-0005-0000-0000-000094760000}"/>
    <cellStyle name="SAPBEXstdItem 40 3" xfId="9002" xr:uid="{00000000-0005-0000-0000-000095760000}"/>
    <cellStyle name="SAPBEXstdItem 40 4" xfId="12100" xr:uid="{00000000-0005-0000-0000-000096760000}"/>
    <cellStyle name="SAPBEXstdItem 40 5" xfId="12706" xr:uid="{00000000-0005-0000-0000-000097760000}"/>
    <cellStyle name="SAPBEXstdItem 40 6" xfId="16277" xr:uid="{00000000-0005-0000-0000-000098760000}"/>
    <cellStyle name="SAPBEXstdItem 40 7" xfId="17402" xr:uid="{00000000-0005-0000-0000-000099760000}"/>
    <cellStyle name="SAPBEXstdItem 40 8" xfId="20973" xr:uid="{00000000-0005-0000-0000-00009A760000}"/>
    <cellStyle name="SAPBEXstdItem 40 9" xfId="22055" xr:uid="{00000000-0005-0000-0000-00009B760000}"/>
    <cellStyle name="SAPBEXstdItem 41" xfId="4764" xr:uid="{00000000-0005-0000-0000-00009C760000}"/>
    <cellStyle name="SAPBEXstdItem 41 2" xfId="7302" xr:uid="{00000000-0005-0000-0000-00009D760000}"/>
    <cellStyle name="SAPBEXstdItem 41 3" xfId="8365" xr:uid="{00000000-0005-0000-0000-00009E760000}"/>
    <cellStyle name="SAPBEXstdItem 41 4" xfId="10937" xr:uid="{00000000-0005-0000-0000-00009F760000}"/>
    <cellStyle name="SAPBEXstdItem 41 5" xfId="13308" xr:uid="{00000000-0005-0000-0000-0000A0760000}"/>
    <cellStyle name="SAPBEXstdItem 41 6" xfId="15939" xr:uid="{00000000-0005-0000-0000-0000A1760000}"/>
    <cellStyle name="SAPBEXstdItem 41 7" xfId="18004" xr:uid="{00000000-0005-0000-0000-0000A2760000}"/>
    <cellStyle name="SAPBEXstdItem 41 8" xfId="20635" xr:uid="{00000000-0005-0000-0000-0000A3760000}"/>
    <cellStyle name="SAPBEXstdItem 41 9" xfId="22608" xr:uid="{00000000-0005-0000-0000-0000A4760000}"/>
    <cellStyle name="SAPBEXstdItem 42" xfId="4939" xr:uid="{00000000-0005-0000-0000-0000A5760000}"/>
    <cellStyle name="SAPBEXstdItem 42 2" xfId="7477" xr:uid="{00000000-0005-0000-0000-0000A6760000}"/>
    <cellStyle name="SAPBEXstdItem 42 3" xfId="8981" xr:uid="{00000000-0005-0000-0000-0000A7760000}"/>
    <cellStyle name="SAPBEXstdItem 42 4" xfId="11221" xr:uid="{00000000-0005-0000-0000-0000A8760000}"/>
    <cellStyle name="SAPBEXstdItem 42 5" xfId="13624" xr:uid="{00000000-0005-0000-0000-0000A9760000}"/>
    <cellStyle name="SAPBEXstdItem 42 6" xfId="15091" xr:uid="{00000000-0005-0000-0000-0000AA760000}"/>
    <cellStyle name="SAPBEXstdItem 42 7" xfId="18320" xr:uid="{00000000-0005-0000-0000-0000AB760000}"/>
    <cellStyle name="SAPBEXstdItem 42 8" xfId="19787" xr:uid="{00000000-0005-0000-0000-0000AC760000}"/>
    <cellStyle name="SAPBEXstdItem 42 9" xfId="22896" xr:uid="{00000000-0005-0000-0000-0000AD760000}"/>
    <cellStyle name="SAPBEXstdItem 43" xfId="4977" xr:uid="{00000000-0005-0000-0000-0000AE760000}"/>
    <cellStyle name="SAPBEXstdItem 43 2" xfId="7515" xr:uid="{00000000-0005-0000-0000-0000AF760000}"/>
    <cellStyle name="SAPBEXstdItem 43 3" xfId="8947" xr:uid="{00000000-0005-0000-0000-0000B0760000}"/>
    <cellStyle name="SAPBEXstdItem 43 4" xfId="12073" xr:uid="{00000000-0005-0000-0000-0000B1760000}"/>
    <cellStyle name="SAPBEXstdItem 43 5" xfId="14553" xr:uid="{00000000-0005-0000-0000-0000B2760000}"/>
    <cellStyle name="SAPBEXstdItem 43 6" xfId="15217" xr:uid="{00000000-0005-0000-0000-0000B3760000}"/>
    <cellStyle name="SAPBEXstdItem 43 7" xfId="19249" xr:uid="{00000000-0005-0000-0000-0000B4760000}"/>
    <cellStyle name="SAPBEXstdItem 43 8" xfId="19913" xr:uid="{00000000-0005-0000-0000-0000B5760000}"/>
    <cellStyle name="SAPBEXstdItem 43 9" xfId="23745" xr:uid="{00000000-0005-0000-0000-0000B6760000}"/>
    <cellStyle name="SAPBEXstdItem 44" xfId="5015" xr:uid="{00000000-0005-0000-0000-0000B7760000}"/>
    <cellStyle name="SAPBEXstdItem 44 2" xfId="7553" xr:uid="{00000000-0005-0000-0000-0000B8760000}"/>
    <cellStyle name="SAPBEXstdItem 44 3" xfId="9865" xr:uid="{00000000-0005-0000-0000-0000B9760000}"/>
    <cellStyle name="SAPBEXstdItem 44 4" xfId="10698" xr:uid="{00000000-0005-0000-0000-0000BA760000}"/>
    <cellStyle name="SAPBEXstdItem 44 5" xfId="13050" xr:uid="{00000000-0005-0000-0000-0000BB760000}"/>
    <cellStyle name="SAPBEXstdItem 44 6" xfId="15444" xr:uid="{00000000-0005-0000-0000-0000BC760000}"/>
    <cellStyle name="SAPBEXstdItem 44 7" xfId="17746" xr:uid="{00000000-0005-0000-0000-0000BD760000}"/>
    <cellStyle name="SAPBEXstdItem 44 8" xfId="20140" xr:uid="{00000000-0005-0000-0000-0000BE760000}"/>
    <cellStyle name="SAPBEXstdItem 44 9" xfId="22371" xr:uid="{00000000-0005-0000-0000-0000BF760000}"/>
    <cellStyle name="SAPBEXstdItem 45" xfId="5052" xr:uid="{00000000-0005-0000-0000-0000C0760000}"/>
    <cellStyle name="SAPBEXstdItem 45 2" xfId="7590" xr:uid="{00000000-0005-0000-0000-0000C1760000}"/>
    <cellStyle name="SAPBEXstdItem 45 3" xfId="9380" xr:uid="{00000000-0005-0000-0000-0000C2760000}"/>
    <cellStyle name="SAPBEXstdItem 45 4" xfId="12270" xr:uid="{00000000-0005-0000-0000-0000C3760000}"/>
    <cellStyle name="SAPBEXstdItem 45 5" xfId="13131" xr:uid="{00000000-0005-0000-0000-0000C4760000}"/>
    <cellStyle name="SAPBEXstdItem 45 6" xfId="12846" xr:uid="{00000000-0005-0000-0000-0000C5760000}"/>
    <cellStyle name="SAPBEXstdItem 45 7" xfId="17827" xr:uid="{00000000-0005-0000-0000-0000C6760000}"/>
    <cellStyle name="SAPBEXstdItem 45 8" xfId="17542" xr:uid="{00000000-0005-0000-0000-0000C7760000}"/>
    <cellStyle name="SAPBEXstdItem 45 9" xfId="22448" xr:uid="{00000000-0005-0000-0000-0000C8760000}"/>
    <cellStyle name="SAPBEXstdItem 46" xfId="5082" xr:uid="{00000000-0005-0000-0000-0000C9760000}"/>
    <cellStyle name="SAPBEXstdItem 46 2" xfId="7620" xr:uid="{00000000-0005-0000-0000-0000CA760000}"/>
    <cellStyle name="SAPBEXstdItem 46 3" xfId="10132" xr:uid="{00000000-0005-0000-0000-0000CB760000}"/>
    <cellStyle name="SAPBEXstdItem 46 4" xfId="12211" xr:uid="{00000000-0005-0000-0000-0000CC760000}"/>
    <cellStyle name="SAPBEXstdItem 46 5" xfId="14843" xr:uid="{00000000-0005-0000-0000-0000CD760000}"/>
    <cellStyle name="SAPBEXstdItem 46 6" xfId="16906" xr:uid="{00000000-0005-0000-0000-0000CE760000}"/>
    <cellStyle name="SAPBEXstdItem 46 7" xfId="19539" xr:uid="{00000000-0005-0000-0000-0000CF760000}"/>
    <cellStyle name="SAPBEXstdItem 46 8" xfId="21602" xr:uid="{00000000-0005-0000-0000-0000D0760000}"/>
    <cellStyle name="SAPBEXstdItem 46 9" xfId="24024" xr:uid="{00000000-0005-0000-0000-0000D1760000}"/>
    <cellStyle name="SAPBEXstdItem 47" xfId="5108" xr:uid="{00000000-0005-0000-0000-0000D2760000}"/>
    <cellStyle name="SAPBEXstdItem 47 2" xfId="7646" xr:uid="{00000000-0005-0000-0000-0000D3760000}"/>
    <cellStyle name="SAPBEXstdItem 47 3" xfId="8029" xr:uid="{00000000-0005-0000-0000-0000D4760000}"/>
    <cellStyle name="SAPBEXstdItem 47 4" xfId="10433" xr:uid="{00000000-0005-0000-0000-0000D5760000}"/>
    <cellStyle name="SAPBEXstdItem 47 5" xfId="12759" xr:uid="{00000000-0005-0000-0000-0000D6760000}"/>
    <cellStyle name="SAPBEXstdItem 47 6" xfId="15644" xr:uid="{00000000-0005-0000-0000-0000D7760000}"/>
    <cellStyle name="SAPBEXstdItem 47 7" xfId="17455" xr:uid="{00000000-0005-0000-0000-0000D8760000}"/>
    <cellStyle name="SAPBEXstdItem 47 8" xfId="20340" xr:uid="{00000000-0005-0000-0000-0000D9760000}"/>
    <cellStyle name="SAPBEXstdItem 47 9" xfId="22104" xr:uid="{00000000-0005-0000-0000-0000DA760000}"/>
    <cellStyle name="SAPBEXstdItem 48" xfId="5156" xr:uid="{00000000-0005-0000-0000-0000DB760000}"/>
    <cellStyle name="SAPBEXstdItem 48 2" xfId="7694" xr:uid="{00000000-0005-0000-0000-0000DC760000}"/>
    <cellStyle name="SAPBEXstdItem 48 3" xfId="5493" xr:uid="{00000000-0005-0000-0000-0000DD760000}"/>
    <cellStyle name="SAPBEXstdItem 48 4" xfId="8198" xr:uid="{00000000-0005-0000-0000-0000DE760000}"/>
    <cellStyle name="SAPBEXstdItem 48 5" xfId="12450" xr:uid="{00000000-0005-0000-0000-0000DF760000}"/>
    <cellStyle name="SAPBEXstdItem 48 6" xfId="15708" xr:uid="{00000000-0005-0000-0000-0000E0760000}"/>
    <cellStyle name="SAPBEXstdItem 48 7" xfId="17146" xr:uid="{00000000-0005-0000-0000-0000E1760000}"/>
    <cellStyle name="SAPBEXstdItem 48 8" xfId="20404" xr:uid="{00000000-0005-0000-0000-0000E2760000}"/>
    <cellStyle name="SAPBEXstdItem 48 9" xfId="21829" xr:uid="{00000000-0005-0000-0000-0000E3760000}"/>
    <cellStyle name="SAPBEXstdItem 49" xfId="5225" xr:uid="{00000000-0005-0000-0000-0000E4760000}"/>
    <cellStyle name="SAPBEXstdItem 49 2" xfId="7764" xr:uid="{00000000-0005-0000-0000-0000E5760000}"/>
    <cellStyle name="SAPBEXstdItem 49 3" xfId="10030" xr:uid="{00000000-0005-0000-0000-0000E6760000}"/>
    <cellStyle name="SAPBEXstdItem 49 4" xfId="11741" xr:uid="{00000000-0005-0000-0000-0000E7760000}"/>
    <cellStyle name="SAPBEXstdItem 49 5" xfId="14192" xr:uid="{00000000-0005-0000-0000-0000E8760000}"/>
    <cellStyle name="SAPBEXstdItem 49 6" xfId="15715" xr:uid="{00000000-0005-0000-0000-0000E9760000}"/>
    <cellStyle name="SAPBEXstdItem 49 7" xfId="18888" xr:uid="{00000000-0005-0000-0000-0000EA760000}"/>
    <cellStyle name="SAPBEXstdItem 49 8" xfId="20411" xr:uid="{00000000-0005-0000-0000-0000EB760000}"/>
    <cellStyle name="SAPBEXstdItem 49 9" xfId="23415" xr:uid="{00000000-0005-0000-0000-0000EC760000}"/>
    <cellStyle name="SAPBEXstdItem 5" xfId="3228" xr:uid="{00000000-0005-0000-0000-0000ED760000}"/>
    <cellStyle name="SAPBEXstdItem 5 2" xfId="5766" xr:uid="{00000000-0005-0000-0000-0000EE760000}"/>
    <cellStyle name="SAPBEXstdItem 5 3" xfId="8666" xr:uid="{00000000-0005-0000-0000-0000EF760000}"/>
    <cellStyle name="SAPBEXstdItem 5 4" xfId="11879" xr:uid="{00000000-0005-0000-0000-0000F0760000}"/>
    <cellStyle name="SAPBEXstdItem 5 5" xfId="14344" xr:uid="{00000000-0005-0000-0000-0000F1760000}"/>
    <cellStyle name="SAPBEXstdItem 5 6" xfId="16695" xr:uid="{00000000-0005-0000-0000-0000F2760000}"/>
    <cellStyle name="SAPBEXstdItem 5 7" xfId="19040" xr:uid="{00000000-0005-0000-0000-0000F3760000}"/>
    <cellStyle name="SAPBEXstdItem 5 8" xfId="21391" xr:uid="{00000000-0005-0000-0000-0000F4760000}"/>
    <cellStyle name="SAPBEXstdItem 5 9" xfId="23555" xr:uid="{00000000-0005-0000-0000-0000F5760000}"/>
    <cellStyle name="SAPBEXstdItem 50" xfId="5263" xr:uid="{00000000-0005-0000-0000-0000F6760000}"/>
    <cellStyle name="SAPBEXstdItem 50 2" xfId="9134" xr:uid="{00000000-0005-0000-0000-0000F7760000}"/>
    <cellStyle name="SAPBEXstdItem 50 3" xfId="11363" xr:uid="{00000000-0005-0000-0000-0000F8760000}"/>
    <cellStyle name="SAPBEXstdItem 50 4" xfId="13776" xr:uid="{00000000-0005-0000-0000-0000F9760000}"/>
    <cellStyle name="SAPBEXstdItem 50 5" xfId="16289" xr:uid="{00000000-0005-0000-0000-0000FA760000}"/>
    <cellStyle name="SAPBEXstdItem 50 6" xfId="18472" xr:uid="{00000000-0005-0000-0000-0000FB760000}"/>
    <cellStyle name="SAPBEXstdItem 50 7" xfId="20985" xr:uid="{00000000-0005-0000-0000-0000FC760000}"/>
    <cellStyle name="SAPBEXstdItem 50 8" xfId="23037" xr:uid="{00000000-0005-0000-0000-0000FD760000}"/>
    <cellStyle name="SAPBEXstdItem 51" xfId="9196" xr:uid="{00000000-0005-0000-0000-0000FE760000}"/>
    <cellStyle name="SAPBEXstdItem 52" xfId="12202" xr:uid="{00000000-0005-0000-0000-0000FF760000}"/>
    <cellStyle name="SAPBEXstdItem 53" xfId="14405" xr:uid="{00000000-0005-0000-0000-000000770000}"/>
    <cellStyle name="SAPBEXstdItem 54" xfId="14299" xr:uid="{00000000-0005-0000-0000-000001770000}"/>
    <cellStyle name="SAPBEXstdItem 55" xfId="19101" xr:uid="{00000000-0005-0000-0000-000002770000}"/>
    <cellStyle name="SAPBEXstdItem 56" xfId="18995" xr:uid="{00000000-0005-0000-0000-000003770000}"/>
    <cellStyle name="SAPBEXstdItem 57" xfId="23607" xr:uid="{00000000-0005-0000-0000-000004770000}"/>
    <cellStyle name="SAPBEXstdItem 58" xfId="25938" xr:uid="{00000000-0005-0000-0000-000005770000}"/>
    <cellStyle name="SAPBEXstdItem 6" xfId="3271" xr:uid="{00000000-0005-0000-0000-000006770000}"/>
    <cellStyle name="SAPBEXstdItem 6 2" xfId="5809" xr:uid="{00000000-0005-0000-0000-000007770000}"/>
    <cellStyle name="SAPBEXstdItem 6 3" xfId="8707" xr:uid="{00000000-0005-0000-0000-000008770000}"/>
    <cellStyle name="SAPBEXstdItem 6 4" xfId="10961" xr:uid="{00000000-0005-0000-0000-000009770000}"/>
    <cellStyle name="SAPBEXstdItem 6 5" xfId="13332" xr:uid="{00000000-0005-0000-0000-00000A770000}"/>
    <cellStyle name="SAPBEXstdItem 6 6" xfId="15653" xr:uid="{00000000-0005-0000-0000-00000B770000}"/>
    <cellStyle name="SAPBEXstdItem 6 7" xfId="18028" xr:uid="{00000000-0005-0000-0000-00000C770000}"/>
    <cellStyle name="SAPBEXstdItem 6 8" xfId="20349" xr:uid="{00000000-0005-0000-0000-00000D770000}"/>
    <cellStyle name="SAPBEXstdItem 6 9" xfId="22632" xr:uid="{00000000-0005-0000-0000-00000E770000}"/>
    <cellStyle name="SAPBEXstdItem 7" xfId="3314" xr:uid="{00000000-0005-0000-0000-00000F770000}"/>
    <cellStyle name="SAPBEXstdItem 7 2" xfId="5852" xr:uid="{00000000-0005-0000-0000-000010770000}"/>
    <cellStyle name="SAPBEXstdItem 7 3" xfId="10238" xr:uid="{00000000-0005-0000-0000-000011770000}"/>
    <cellStyle name="SAPBEXstdItem 7 4" xfId="12169" xr:uid="{00000000-0005-0000-0000-000012770000}"/>
    <cellStyle name="SAPBEXstdItem 7 5" xfId="14652" xr:uid="{00000000-0005-0000-0000-000013770000}"/>
    <cellStyle name="SAPBEXstdItem 7 6" xfId="16111" xr:uid="{00000000-0005-0000-0000-000014770000}"/>
    <cellStyle name="SAPBEXstdItem 7 7" xfId="19348" xr:uid="{00000000-0005-0000-0000-000015770000}"/>
    <cellStyle name="SAPBEXstdItem 7 8" xfId="20807" xr:uid="{00000000-0005-0000-0000-000016770000}"/>
    <cellStyle name="SAPBEXstdItem 7 9" xfId="23843" xr:uid="{00000000-0005-0000-0000-000017770000}"/>
    <cellStyle name="SAPBEXstdItem 8" xfId="3357" xr:uid="{00000000-0005-0000-0000-000018770000}"/>
    <cellStyle name="SAPBEXstdItem 8 2" xfId="5895" xr:uid="{00000000-0005-0000-0000-000019770000}"/>
    <cellStyle name="SAPBEXstdItem 8 3" xfId="8128" xr:uid="{00000000-0005-0000-0000-00001A770000}"/>
    <cellStyle name="SAPBEXstdItem 8 4" xfId="10749" xr:uid="{00000000-0005-0000-0000-00001B770000}"/>
    <cellStyle name="SAPBEXstdItem 8 5" xfId="13104" xr:uid="{00000000-0005-0000-0000-00001C770000}"/>
    <cellStyle name="SAPBEXstdItem 8 6" xfId="16164" xr:uid="{00000000-0005-0000-0000-00001D770000}"/>
    <cellStyle name="SAPBEXstdItem 8 7" xfId="17800" xr:uid="{00000000-0005-0000-0000-00001E770000}"/>
    <cellStyle name="SAPBEXstdItem 8 8" xfId="20860" xr:uid="{00000000-0005-0000-0000-00001F770000}"/>
    <cellStyle name="SAPBEXstdItem 8 9" xfId="22421" xr:uid="{00000000-0005-0000-0000-000020770000}"/>
    <cellStyle name="SAPBEXstdItem 9" xfId="3400" xr:uid="{00000000-0005-0000-0000-000021770000}"/>
    <cellStyle name="SAPBEXstdItem 9 2" xfId="5938" xr:uid="{00000000-0005-0000-0000-000022770000}"/>
    <cellStyle name="SAPBEXstdItem 9 3" xfId="8349" xr:uid="{00000000-0005-0000-0000-000023770000}"/>
    <cellStyle name="SAPBEXstdItem 9 4" xfId="11652" xr:uid="{00000000-0005-0000-0000-000024770000}"/>
    <cellStyle name="SAPBEXstdItem 9 5" xfId="14098" xr:uid="{00000000-0005-0000-0000-000025770000}"/>
    <cellStyle name="SAPBEXstdItem 9 6" xfId="16542" xr:uid="{00000000-0005-0000-0000-000026770000}"/>
    <cellStyle name="SAPBEXstdItem 9 7" xfId="18794" xr:uid="{00000000-0005-0000-0000-000027770000}"/>
    <cellStyle name="SAPBEXstdItem 9 8" xfId="21238" xr:uid="{00000000-0005-0000-0000-000028770000}"/>
    <cellStyle name="SAPBEXstdItem 9 9" xfId="23327" xr:uid="{00000000-0005-0000-0000-000029770000}"/>
    <cellStyle name="SAPBEXstdItemX" xfId="2978" xr:uid="{00000000-0005-0000-0000-00002A770000}"/>
    <cellStyle name="SAPBEXstdItemX 10" xfId="3444" xr:uid="{00000000-0005-0000-0000-00002B770000}"/>
    <cellStyle name="SAPBEXstdItemX 10 2" xfId="5982" xr:uid="{00000000-0005-0000-0000-00002C770000}"/>
    <cellStyle name="SAPBEXstdItemX 10 3" xfId="10027" xr:uid="{00000000-0005-0000-0000-00002D770000}"/>
    <cellStyle name="SAPBEXstdItemX 10 4" xfId="12137" xr:uid="{00000000-0005-0000-0000-00002E770000}"/>
    <cellStyle name="SAPBEXstdItemX 10 5" xfId="14620" xr:uid="{00000000-0005-0000-0000-00002F770000}"/>
    <cellStyle name="SAPBEXstdItemX 10 6" xfId="15356" xr:uid="{00000000-0005-0000-0000-000030770000}"/>
    <cellStyle name="SAPBEXstdItemX 10 7" xfId="19316" xr:uid="{00000000-0005-0000-0000-000031770000}"/>
    <cellStyle name="SAPBEXstdItemX 10 8" xfId="20052" xr:uid="{00000000-0005-0000-0000-000032770000}"/>
    <cellStyle name="SAPBEXstdItemX 10 9" xfId="23811" xr:uid="{00000000-0005-0000-0000-000033770000}"/>
    <cellStyle name="SAPBEXstdItemX 11" xfId="3426" xr:uid="{00000000-0005-0000-0000-000034770000}"/>
    <cellStyle name="SAPBEXstdItemX 11 2" xfId="5964" xr:uid="{00000000-0005-0000-0000-000035770000}"/>
    <cellStyle name="SAPBEXstdItemX 11 3" xfId="8067" xr:uid="{00000000-0005-0000-0000-000036770000}"/>
    <cellStyle name="SAPBEXstdItemX 11 4" xfId="10438" xr:uid="{00000000-0005-0000-0000-000037770000}"/>
    <cellStyle name="SAPBEXstdItemX 11 5" xfId="12764" xr:uid="{00000000-0005-0000-0000-000038770000}"/>
    <cellStyle name="SAPBEXstdItemX 11 6" xfId="16128" xr:uid="{00000000-0005-0000-0000-000039770000}"/>
    <cellStyle name="SAPBEXstdItemX 11 7" xfId="17460" xr:uid="{00000000-0005-0000-0000-00003A770000}"/>
    <cellStyle name="SAPBEXstdItemX 11 8" xfId="20824" xr:uid="{00000000-0005-0000-0000-00003B770000}"/>
    <cellStyle name="SAPBEXstdItemX 11 9" xfId="22109" xr:uid="{00000000-0005-0000-0000-00003C770000}"/>
    <cellStyle name="SAPBEXstdItemX 12" xfId="3530" xr:uid="{00000000-0005-0000-0000-00003D770000}"/>
    <cellStyle name="SAPBEXstdItemX 12 2" xfId="6068" xr:uid="{00000000-0005-0000-0000-00003E770000}"/>
    <cellStyle name="SAPBEXstdItemX 12 3" xfId="9262" xr:uid="{00000000-0005-0000-0000-00003F770000}"/>
    <cellStyle name="SAPBEXstdItemX 12 4" xfId="10568" xr:uid="{00000000-0005-0000-0000-000040770000}"/>
    <cellStyle name="SAPBEXstdItemX 12 5" xfId="12913" xr:uid="{00000000-0005-0000-0000-000041770000}"/>
    <cellStyle name="SAPBEXstdItemX 12 6" xfId="13461" xr:uid="{00000000-0005-0000-0000-000042770000}"/>
    <cellStyle name="SAPBEXstdItemX 12 7" xfId="17609" xr:uid="{00000000-0005-0000-0000-000043770000}"/>
    <cellStyle name="SAPBEXstdItemX 12 8" xfId="18157" xr:uid="{00000000-0005-0000-0000-000044770000}"/>
    <cellStyle name="SAPBEXstdItemX 12 9" xfId="22240" xr:uid="{00000000-0005-0000-0000-000045770000}"/>
    <cellStyle name="SAPBEXstdItemX 13" xfId="3573" xr:uid="{00000000-0005-0000-0000-000046770000}"/>
    <cellStyle name="SAPBEXstdItemX 13 2" xfId="6111" xr:uid="{00000000-0005-0000-0000-000047770000}"/>
    <cellStyle name="SAPBEXstdItemX 13 3" xfId="8250" xr:uid="{00000000-0005-0000-0000-000048770000}"/>
    <cellStyle name="SAPBEXstdItemX 13 4" xfId="10757" xr:uid="{00000000-0005-0000-0000-000049770000}"/>
    <cellStyle name="SAPBEXstdItemX 13 5" xfId="13189" xr:uid="{00000000-0005-0000-0000-00004A770000}"/>
    <cellStyle name="SAPBEXstdItemX 13 6" xfId="16306" xr:uid="{00000000-0005-0000-0000-00004B770000}"/>
    <cellStyle name="SAPBEXstdItemX 13 7" xfId="17885" xr:uid="{00000000-0005-0000-0000-00004C770000}"/>
    <cellStyle name="SAPBEXstdItemX 13 8" xfId="21002" xr:uid="{00000000-0005-0000-0000-00004D770000}"/>
    <cellStyle name="SAPBEXstdItemX 13 9" xfId="22497" xr:uid="{00000000-0005-0000-0000-00004E770000}"/>
    <cellStyle name="SAPBEXstdItemX 14" xfId="3489" xr:uid="{00000000-0005-0000-0000-00004F770000}"/>
    <cellStyle name="SAPBEXstdItemX 14 2" xfId="6027" xr:uid="{00000000-0005-0000-0000-000050770000}"/>
    <cellStyle name="SAPBEXstdItemX 14 3" xfId="8228" xr:uid="{00000000-0005-0000-0000-000051770000}"/>
    <cellStyle name="SAPBEXstdItemX 14 4" xfId="12233" xr:uid="{00000000-0005-0000-0000-000052770000}"/>
    <cellStyle name="SAPBEXstdItemX 14 5" xfId="14259" xr:uid="{00000000-0005-0000-0000-000053770000}"/>
    <cellStyle name="SAPBEXstdItemX 14 6" xfId="15718" xr:uid="{00000000-0005-0000-0000-000054770000}"/>
    <cellStyle name="SAPBEXstdItemX 14 7" xfId="18955" xr:uid="{00000000-0005-0000-0000-000055770000}"/>
    <cellStyle name="SAPBEXstdItemX 14 8" xfId="20414" xr:uid="{00000000-0005-0000-0000-000056770000}"/>
    <cellStyle name="SAPBEXstdItemX 14 9" xfId="23477" xr:uid="{00000000-0005-0000-0000-000057770000}"/>
    <cellStyle name="SAPBEXstdItemX 15" xfId="3642" xr:uid="{00000000-0005-0000-0000-000058770000}"/>
    <cellStyle name="SAPBEXstdItemX 15 2" xfId="6180" xr:uid="{00000000-0005-0000-0000-000059770000}"/>
    <cellStyle name="SAPBEXstdItemX 15 3" xfId="8492" xr:uid="{00000000-0005-0000-0000-00005A770000}"/>
    <cellStyle name="SAPBEXstdItemX 15 4" xfId="10506" xr:uid="{00000000-0005-0000-0000-00005B770000}"/>
    <cellStyle name="SAPBEXstdItemX 15 5" xfId="12844" xr:uid="{00000000-0005-0000-0000-00005C770000}"/>
    <cellStyle name="SAPBEXstdItemX 15 6" xfId="15041" xr:uid="{00000000-0005-0000-0000-00005D770000}"/>
    <cellStyle name="SAPBEXstdItemX 15 7" xfId="17540" xr:uid="{00000000-0005-0000-0000-00005E770000}"/>
    <cellStyle name="SAPBEXstdItemX 15 8" xfId="19737" xr:uid="{00000000-0005-0000-0000-00005F770000}"/>
    <cellStyle name="SAPBEXstdItemX 15 9" xfId="22177" xr:uid="{00000000-0005-0000-0000-000060770000}"/>
    <cellStyle name="SAPBEXstdItemX 16" xfId="3685" xr:uid="{00000000-0005-0000-0000-000061770000}"/>
    <cellStyle name="SAPBEXstdItemX 16 2" xfId="6223" xr:uid="{00000000-0005-0000-0000-000062770000}"/>
    <cellStyle name="SAPBEXstdItemX 16 3" xfId="8403" xr:uid="{00000000-0005-0000-0000-000063770000}"/>
    <cellStyle name="SAPBEXstdItemX 16 4" xfId="11173" xr:uid="{00000000-0005-0000-0000-000064770000}"/>
    <cellStyle name="SAPBEXstdItemX 16 5" xfId="13570" xr:uid="{00000000-0005-0000-0000-000065770000}"/>
    <cellStyle name="SAPBEXstdItemX 16 6" xfId="14991" xr:uid="{00000000-0005-0000-0000-000066770000}"/>
    <cellStyle name="SAPBEXstdItemX 16 7" xfId="18266" xr:uid="{00000000-0005-0000-0000-000067770000}"/>
    <cellStyle name="SAPBEXstdItemX 16 8" xfId="19687" xr:uid="{00000000-0005-0000-0000-000068770000}"/>
    <cellStyle name="SAPBEXstdItemX 16 9" xfId="22846" xr:uid="{00000000-0005-0000-0000-000069770000}"/>
    <cellStyle name="SAPBEXstdItemX 17" xfId="3693" xr:uid="{00000000-0005-0000-0000-00006A770000}"/>
    <cellStyle name="SAPBEXstdItemX 17 2" xfId="6231" xr:uid="{00000000-0005-0000-0000-00006B770000}"/>
    <cellStyle name="SAPBEXstdItemX 17 3" xfId="8419" xr:uid="{00000000-0005-0000-0000-00006C770000}"/>
    <cellStyle name="SAPBEXstdItemX 17 4" xfId="11980" xr:uid="{00000000-0005-0000-0000-00006D770000}"/>
    <cellStyle name="SAPBEXstdItemX 17 5" xfId="14458" xr:uid="{00000000-0005-0000-0000-00006E770000}"/>
    <cellStyle name="SAPBEXstdItemX 17 6" xfId="16102" xr:uid="{00000000-0005-0000-0000-00006F770000}"/>
    <cellStyle name="SAPBEXstdItemX 17 7" xfId="19154" xr:uid="{00000000-0005-0000-0000-000070770000}"/>
    <cellStyle name="SAPBEXstdItemX 17 8" xfId="20798" xr:uid="{00000000-0005-0000-0000-000071770000}"/>
    <cellStyle name="SAPBEXstdItemX 17 9" xfId="23655" xr:uid="{00000000-0005-0000-0000-000072770000}"/>
    <cellStyle name="SAPBEXstdItemX 18" xfId="3747" xr:uid="{00000000-0005-0000-0000-000073770000}"/>
    <cellStyle name="SAPBEXstdItemX 18 2" xfId="6285" xr:uid="{00000000-0005-0000-0000-000074770000}"/>
    <cellStyle name="SAPBEXstdItemX 18 3" xfId="8951" xr:uid="{00000000-0005-0000-0000-000075770000}"/>
    <cellStyle name="SAPBEXstdItemX 18 4" xfId="10921" xr:uid="{00000000-0005-0000-0000-000076770000}"/>
    <cellStyle name="SAPBEXstdItemX 18 5" xfId="13291" xr:uid="{00000000-0005-0000-0000-000077770000}"/>
    <cellStyle name="SAPBEXstdItemX 18 6" xfId="16705" xr:uid="{00000000-0005-0000-0000-000078770000}"/>
    <cellStyle name="SAPBEXstdItemX 18 7" xfId="17987" xr:uid="{00000000-0005-0000-0000-000079770000}"/>
    <cellStyle name="SAPBEXstdItemX 18 8" xfId="21401" xr:uid="{00000000-0005-0000-0000-00007A770000}"/>
    <cellStyle name="SAPBEXstdItemX 18 9" xfId="22592" xr:uid="{00000000-0005-0000-0000-00007B770000}"/>
    <cellStyle name="SAPBEXstdItemX 19" xfId="3755" xr:uid="{00000000-0005-0000-0000-00007C770000}"/>
    <cellStyle name="SAPBEXstdItemX 19 2" xfId="6293" xr:uid="{00000000-0005-0000-0000-00007D770000}"/>
    <cellStyle name="SAPBEXstdItemX 19 3" xfId="9830" xr:uid="{00000000-0005-0000-0000-00007E770000}"/>
    <cellStyle name="SAPBEXstdItemX 19 4" xfId="12084" xr:uid="{00000000-0005-0000-0000-00007F770000}"/>
    <cellStyle name="SAPBEXstdItemX 19 5" xfId="14564" xr:uid="{00000000-0005-0000-0000-000080770000}"/>
    <cellStyle name="SAPBEXstdItemX 19 6" xfId="15683" xr:uid="{00000000-0005-0000-0000-000081770000}"/>
    <cellStyle name="SAPBEXstdItemX 19 7" xfId="19260" xr:uid="{00000000-0005-0000-0000-000082770000}"/>
    <cellStyle name="SAPBEXstdItemX 19 8" xfId="20379" xr:uid="{00000000-0005-0000-0000-000083770000}"/>
    <cellStyle name="SAPBEXstdItemX 19 9" xfId="23756" xr:uid="{00000000-0005-0000-0000-000084770000}"/>
    <cellStyle name="SAPBEXstdItemX 2" xfId="3097" xr:uid="{00000000-0005-0000-0000-000085770000}"/>
    <cellStyle name="SAPBEXstdItemX 2 10" xfId="25943" xr:uid="{00000000-0005-0000-0000-000086770000}"/>
    <cellStyle name="SAPBEXstdItemX 2 2" xfId="5635" xr:uid="{00000000-0005-0000-0000-000087770000}"/>
    <cellStyle name="SAPBEXstdItemX 2 2 2" xfId="25944" xr:uid="{00000000-0005-0000-0000-000088770000}"/>
    <cellStyle name="SAPBEXstdItemX 2 3" xfId="8915" xr:uid="{00000000-0005-0000-0000-000089770000}"/>
    <cellStyle name="SAPBEXstdItemX 2 4" xfId="11479" xr:uid="{00000000-0005-0000-0000-00008A770000}"/>
    <cellStyle name="SAPBEXstdItemX 2 5" xfId="13903" xr:uid="{00000000-0005-0000-0000-00008B770000}"/>
    <cellStyle name="SAPBEXstdItemX 2 6" xfId="16427" xr:uid="{00000000-0005-0000-0000-00008C770000}"/>
    <cellStyle name="SAPBEXstdItemX 2 7" xfId="18599" xr:uid="{00000000-0005-0000-0000-00008D770000}"/>
    <cellStyle name="SAPBEXstdItemX 2 8" xfId="21123" xr:uid="{00000000-0005-0000-0000-00008E770000}"/>
    <cellStyle name="SAPBEXstdItemX 2 9" xfId="23154" xr:uid="{00000000-0005-0000-0000-00008F770000}"/>
    <cellStyle name="SAPBEXstdItemX 20" xfId="3792" xr:uid="{00000000-0005-0000-0000-000090770000}"/>
    <cellStyle name="SAPBEXstdItemX 20 2" xfId="6330" xr:uid="{00000000-0005-0000-0000-000091770000}"/>
    <cellStyle name="SAPBEXstdItemX 20 3" xfId="8911" xr:uid="{00000000-0005-0000-0000-000092770000}"/>
    <cellStyle name="SAPBEXstdItemX 20 4" xfId="11508" xr:uid="{00000000-0005-0000-0000-000093770000}"/>
    <cellStyle name="SAPBEXstdItemX 20 5" xfId="13935" xr:uid="{00000000-0005-0000-0000-000094770000}"/>
    <cellStyle name="SAPBEXstdItemX 20 6" xfId="15297" xr:uid="{00000000-0005-0000-0000-000095770000}"/>
    <cellStyle name="SAPBEXstdItemX 20 7" xfId="18631" xr:uid="{00000000-0005-0000-0000-000096770000}"/>
    <cellStyle name="SAPBEXstdItemX 20 8" xfId="19993" xr:uid="{00000000-0005-0000-0000-000097770000}"/>
    <cellStyle name="SAPBEXstdItemX 20 9" xfId="23182" xr:uid="{00000000-0005-0000-0000-000098770000}"/>
    <cellStyle name="SAPBEXstdItemX 21" xfId="3859" xr:uid="{00000000-0005-0000-0000-000099770000}"/>
    <cellStyle name="SAPBEXstdItemX 21 2" xfId="6397" xr:uid="{00000000-0005-0000-0000-00009A770000}"/>
    <cellStyle name="SAPBEXstdItemX 21 3" xfId="9849" xr:uid="{00000000-0005-0000-0000-00009B770000}"/>
    <cellStyle name="SAPBEXstdItemX 21 4" xfId="11864" xr:uid="{00000000-0005-0000-0000-00009C770000}"/>
    <cellStyle name="SAPBEXstdItemX 21 5" xfId="14327" xr:uid="{00000000-0005-0000-0000-00009D770000}"/>
    <cellStyle name="SAPBEXstdItemX 21 6" xfId="16713" xr:uid="{00000000-0005-0000-0000-00009E770000}"/>
    <cellStyle name="SAPBEXstdItemX 21 7" xfId="19023" xr:uid="{00000000-0005-0000-0000-00009F770000}"/>
    <cellStyle name="SAPBEXstdItemX 21 8" xfId="21409" xr:uid="{00000000-0005-0000-0000-0000A0770000}"/>
    <cellStyle name="SAPBEXstdItemX 21 9" xfId="23540" xr:uid="{00000000-0005-0000-0000-0000A1770000}"/>
    <cellStyle name="SAPBEXstdItemX 22" xfId="3867" xr:uid="{00000000-0005-0000-0000-0000A2770000}"/>
    <cellStyle name="SAPBEXstdItemX 22 2" xfId="6405" xr:uid="{00000000-0005-0000-0000-0000A3770000}"/>
    <cellStyle name="SAPBEXstdItemX 22 3" xfId="10008" xr:uid="{00000000-0005-0000-0000-0000A4770000}"/>
    <cellStyle name="SAPBEXstdItemX 22 4" xfId="11463" xr:uid="{00000000-0005-0000-0000-0000A5770000}"/>
    <cellStyle name="SAPBEXstdItemX 22 5" xfId="13886" xr:uid="{00000000-0005-0000-0000-0000A6770000}"/>
    <cellStyle name="SAPBEXstdItemX 22 6" xfId="15784" xr:uid="{00000000-0005-0000-0000-0000A7770000}"/>
    <cellStyle name="SAPBEXstdItemX 22 7" xfId="18582" xr:uid="{00000000-0005-0000-0000-0000A8770000}"/>
    <cellStyle name="SAPBEXstdItemX 22 8" xfId="20480" xr:uid="{00000000-0005-0000-0000-0000A9770000}"/>
    <cellStyle name="SAPBEXstdItemX 22 9" xfId="23138" xr:uid="{00000000-0005-0000-0000-0000AA770000}"/>
    <cellStyle name="SAPBEXstdItemX 23" xfId="3921" xr:uid="{00000000-0005-0000-0000-0000AB770000}"/>
    <cellStyle name="SAPBEXstdItemX 23 2" xfId="6459" xr:uid="{00000000-0005-0000-0000-0000AC770000}"/>
    <cellStyle name="SAPBEXstdItemX 23 3" xfId="10095" xr:uid="{00000000-0005-0000-0000-0000AD770000}"/>
    <cellStyle name="SAPBEXstdItemX 23 4" xfId="12000" xr:uid="{00000000-0005-0000-0000-0000AE770000}"/>
    <cellStyle name="SAPBEXstdItemX 23 5" xfId="14478" xr:uid="{00000000-0005-0000-0000-0000AF770000}"/>
    <cellStyle name="SAPBEXstdItemX 23 6" xfId="16738" xr:uid="{00000000-0005-0000-0000-0000B0770000}"/>
    <cellStyle name="SAPBEXstdItemX 23 7" xfId="19174" xr:uid="{00000000-0005-0000-0000-0000B1770000}"/>
    <cellStyle name="SAPBEXstdItemX 23 8" xfId="21434" xr:uid="{00000000-0005-0000-0000-0000B2770000}"/>
    <cellStyle name="SAPBEXstdItemX 23 9" xfId="23675" xr:uid="{00000000-0005-0000-0000-0000B3770000}"/>
    <cellStyle name="SAPBEXstdItemX 24" xfId="3964" xr:uid="{00000000-0005-0000-0000-0000B4770000}"/>
    <cellStyle name="SAPBEXstdItemX 24 2" xfId="6502" xr:uid="{00000000-0005-0000-0000-0000B5770000}"/>
    <cellStyle name="SAPBEXstdItemX 24 3" xfId="9084" xr:uid="{00000000-0005-0000-0000-0000B6770000}"/>
    <cellStyle name="SAPBEXstdItemX 24 4" xfId="11616" xr:uid="{00000000-0005-0000-0000-0000B7770000}"/>
    <cellStyle name="SAPBEXstdItemX 24 5" xfId="14057" xr:uid="{00000000-0005-0000-0000-0000B8770000}"/>
    <cellStyle name="SAPBEXstdItemX 24 6" xfId="16515" xr:uid="{00000000-0005-0000-0000-0000B9770000}"/>
    <cellStyle name="SAPBEXstdItemX 24 7" xfId="18753" xr:uid="{00000000-0005-0000-0000-0000BA770000}"/>
    <cellStyle name="SAPBEXstdItemX 24 8" xfId="21211" xr:uid="{00000000-0005-0000-0000-0000BB770000}"/>
    <cellStyle name="SAPBEXstdItemX 24 9" xfId="23291" xr:uid="{00000000-0005-0000-0000-0000BC770000}"/>
    <cellStyle name="SAPBEXstdItemX 25" xfId="4007" xr:uid="{00000000-0005-0000-0000-0000BD770000}"/>
    <cellStyle name="SAPBEXstdItemX 25 2" xfId="6545" xr:uid="{00000000-0005-0000-0000-0000BE770000}"/>
    <cellStyle name="SAPBEXstdItemX 25 3" xfId="5474" xr:uid="{00000000-0005-0000-0000-0000BF770000}"/>
    <cellStyle name="SAPBEXstdItemX 25 4" xfId="11781" xr:uid="{00000000-0005-0000-0000-0000C0770000}"/>
    <cellStyle name="SAPBEXstdItemX 25 5" xfId="14235" xr:uid="{00000000-0005-0000-0000-0000C1770000}"/>
    <cellStyle name="SAPBEXstdItemX 25 6" xfId="16892" xr:uid="{00000000-0005-0000-0000-0000C2770000}"/>
    <cellStyle name="SAPBEXstdItemX 25 7" xfId="18931" xr:uid="{00000000-0005-0000-0000-0000C3770000}"/>
    <cellStyle name="SAPBEXstdItemX 25 8" xfId="21588" xr:uid="{00000000-0005-0000-0000-0000C4770000}"/>
    <cellStyle name="SAPBEXstdItemX 25 9" xfId="23455" xr:uid="{00000000-0005-0000-0000-0000C5770000}"/>
    <cellStyle name="SAPBEXstdItemX 26" xfId="4015" xr:uid="{00000000-0005-0000-0000-0000C6770000}"/>
    <cellStyle name="SAPBEXstdItemX 26 2" xfId="6553" xr:uid="{00000000-0005-0000-0000-0000C7770000}"/>
    <cellStyle name="SAPBEXstdItemX 26 3" xfId="9393" xr:uid="{00000000-0005-0000-0000-0000C8770000}"/>
    <cellStyle name="SAPBEXstdItemX 26 4" xfId="12003" xr:uid="{00000000-0005-0000-0000-0000C9770000}"/>
    <cellStyle name="SAPBEXstdItemX 26 5" xfId="14482" xr:uid="{00000000-0005-0000-0000-0000CA770000}"/>
    <cellStyle name="SAPBEXstdItemX 26 6" xfId="16143" xr:uid="{00000000-0005-0000-0000-0000CB770000}"/>
    <cellStyle name="SAPBEXstdItemX 26 7" xfId="19178" xr:uid="{00000000-0005-0000-0000-0000CC770000}"/>
    <cellStyle name="SAPBEXstdItemX 26 8" xfId="20839" xr:uid="{00000000-0005-0000-0000-0000CD770000}"/>
    <cellStyle name="SAPBEXstdItemX 26 9" xfId="23678" xr:uid="{00000000-0005-0000-0000-0000CE770000}"/>
    <cellStyle name="SAPBEXstdItemX 27" xfId="4001" xr:uid="{00000000-0005-0000-0000-0000CF770000}"/>
    <cellStyle name="SAPBEXstdItemX 27 2" xfId="6539" xr:uid="{00000000-0005-0000-0000-0000D0770000}"/>
    <cellStyle name="SAPBEXstdItemX 27 3" xfId="8271" xr:uid="{00000000-0005-0000-0000-0000D1770000}"/>
    <cellStyle name="SAPBEXstdItemX 27 4" xfId="11785" xr:uid="{00000000-0005-0000-0000-0000D2770000}"/>
    <cellStyle name="SAPBEXstdItemX 27 5" xfId="14239" xr:uid="{00000000-0005-0000-0000-0000D3770000}"/>
    <cellStyle name="SAPBEXstdItemX 27 6" xfId="15424" xr:uid="{00000000-0005-0000-0000-0000D4770000}"/>
    <cellStyle name="SAPBEXstdItemX 27 7" xfId="18935" xr:uid="{00000000-0005-0000-0000-0000D5770000}"/>
    <cellStyle name="SAPBEXstdItemX 27 8" xfId="20120" xr:uid="{00000000-0005-0000-0000-0000D6770000}"/>
    <cellStyle name="SAPBEXstdItemX 27 9" xfId="23459" xr:uid="{00000000-0005-0000-0000-0000D7770000}"/>
    <cellStyle name="SAPBEXstdItemX 28" xfId="4112" xr:uid="{00000000-0005-0000-0000-0000D8770000}"/>
    <cellStyle name="SAPBEXstdItemX 28 2" xfId="6650" xr:uid="{00000000-0005-0000-0000-0000D9770000}"/>
    <cellStyle name="SAPBEXstdItemX 28 3" xfId="9059" xr:uid="{00000000-0005-0000-0000-0000DA770000}"/>
    <cellStyle name="SAPBEXstdItemX 28 4" xfId="10545" xr:uid="{00000000-0005-0000-0000-0000DB770000}"/>
    <cellStyle name="SAPBEXstdItemX 28 5" xfId="12888" xr:uid="{00000000-0005-0000-0000-0000DC770000}"/>
    <cellStyle name="SAPBEXstdItemX 28 6" xfId="15749" xr:uid="{00000000-0005-0000-0000-0000DD770000}"/>
    <cellStyle name="SAPBEXstdItemX 28 7" xfId="17584" xr:uid="{00000000-0005-0000-0000-0000DE770000}"/>
    <cellStyle name="SAPBEXstdItemX 28 8" xfId="20445" xr:uid="{00000000-0005-0000-0000-0000DF770000}"/>
    <cellStyle name="SAPBEXstdItemX 28 9" xfId="22216" xr:uid="{00000000-0005-0000-0000-0000E0770000}"/>
    <cellStyle name="SAPBEXstdItemX 29" xfId="4155" xr:uid="{00000000-0005-0000-0000-0000E1770000}"/>
    <cellStyle name="SAPBEXstdItemX 29 2" xfId="6693" xr:uid="{00000000-0005-0000-0000-0000E2770000}"/>
    <cellStyle name="SAPBEXstdItemX 29 3" xfId="10033" xr:uid="{00000000-0005-0000-0000-0000E3770000}"/>
    <cellStyle name="SAPBEXstdItemX 29 4" xfId="11773" xr:uid="{00000000-0005-0000-0000-0000E4770000}"/>
    <cellStyle name="SAPBEXstdItemX 29 5" xfId="14226" xr:uid="{00000000-0005-0000-0000-0000E5770000}"/>
    <cellStyle name="SAPBEXstdItemX 29 6" xfId="15199" xr:uid="{00000000-0005-0000-0000-0000E6770000}"/>
    <cellStyle name="SAPBEXstdItemX 29 7" xfId="18922" xr:uid="{00000000-0005-0000-0000-0000E7770000}"/>
    <cellStyle name="SAPBEXstdItemX 29 8" xfId="19895" xr:uid="{00000000-0005-0000-0000-0000E8770000}"/>
    <cellStyle name="SAPBEXstdItemX 29 9" xfId="23447" xr:uid="{00000000-0005-0000-0000-0000E9770000}"/>
    <cellStyle name="SAPBEXstdItemX 3" xfId="3143" xr:uid="{00000000-0005-0000-0000-0000EA770000}"/>
    <cellStyle name="SAPBEXstdItemX 3 10" xfId="25945" xr:uid="{00000000-0005-0000-0000-0000EB770000}"/>
    <cellStyle name="SAPBEXstdItemX 3 2" xfId="5681" xr:uid="{00000000-0005-0000-0000-0000EC770000}"/>
    <cellStyle name="SAPBEXstdItemX 3 3" xfId="8334" xr:uid="{00000000-0005-0000-0000-0000ED770000}"/>
    <cellStyle name="SAPBEXstdItemX 3 4" xfId="10308" xr:uid="{00000000-0005-0000-0000-0000EE770000}"/>
    <cellStyle name="SAPBEXstdItemX 3 5" xfId="14867" xr:uid="{00000000-0005-0000-0000-0000EF770000}"/>
    <cellStyle name="SAPBEXstdItemX 3 6" xfId="15343" xr:uid="{00000000-0005-0000-0000-0000F0770000}"/>
    <cellStyle name="SAPBEXstdItemX 3 7" xfId="19563" xr:uid="{00000000-0005-0000-0000-0000F1770000}"/>
    <cellStyle name="SAPBEXstdItemX 3 8" xfId="20039" xr:uid="{00000000-0005-0000-0000-0000F2770000}"/>
    <cellStyle name="SAPBEXstdItemX 3 9" xfId="24037" xr:uid="{00000000-0005-0000-0000-0000F3770000}"/>
    <cellStyle name="SAPBEXstdItemX 30" xfId="4198" xr:uid="{00000000-0005-0000-0000-0000F4770000}"/>
    <cellStyle name="SAPBEXstdItemX 30 2" xfId="6736" xr:uid="{00000000-0005-0000-0000-0000F5770000}"/>
    <cellStyle name="SAPBEXstdItemX 30 3" xfId="10211" xr:uid="{00000000-0005-0000-0000-0000F6770000}"/>
    <cellStyle name="SAPBEXstdItemX 30 4" xfId="10403" xr:uid="{00000000-0005-0000-0000-0000F7770000}"/>
    <cellStyle name="SAPBEXstdItemX 30 5" xfId="12726" xr:uid="{00000000-0005-0000-0000-0000F8770000}"/>
    <cellStyle name="SAPBEXstdItemX 30 6" xfId="16142" xr:uid="{00000000-0005-0000-0000-0000F9770000}"/>
    <cellStyle name="SAPBEXstdItemX 30 7" xfId="17422" xr:uid="{00000000-0005-0000-0000-0000FA770000}"/>
    <cellStyle name="SAPBEXstdItemX 30 8" xfId="20838" xr:uid="{00000000-0005-0000-0000-0000FB770000}"/>
    <cellStyle name="SAPBEXstdItemX 30 9" xfId="22074" xr:uid="{00000000-0005-0000-0000-0000FC770000}"/>
    <cellStyle name="SAPBEXstdItemX 31" xfId="4240" xr:uid="{00000000-0005-0000-0000-0000FD770000}"/>
    <cellStyle name="SAPBEXstdItemX 31 2" xfId="6778" xr:uid="{00000000-0005-0000-0000-0000FE770000}"/>
    <cellStyle name="SAPBEXstdItemX 31 3" xfId="8595" xr:uid="{00000000-0005-0000-0000-0000FF770000}"/>
    <cellStyle name="SAPBEXstdItemX 31 4" xfId="11749" xr:uid="{00000000-0005-0000-0000-000000780000}"/>
    <cellStyle name="SAPBEXstdItemX 31 5" xfId="14200" xr:uid="{00000000-0005-0000-0000-000001780000}"/>
    <cellStyle name="SAPBEXstdItemX 31 6" xfId="16365" xr:uid="{00000000-0005-0000-0000-000002780000}"/>
    <cellStyle name="SAPBEXstdItemX 31 7" xfId="18896" xr:uid="{00000000-0005-0000-0000-000003780000}"/>
    <cellStyle name="SAPBEXstdItemX 31 8" xfId="21061" xr:uid="{00000000-0005-0000-0000-000004780000}"/>
    <cellStyle name="SAPBEXstdItemX 31 9" xfId="23423" xr:uid="{00000000-0005-0000-0000-000005780000}"/>
    <cellStyle name="SAPBEXstdItemX 32" xfId="4283" xr:uid="{00000000-0005-0000-0000-000006780000}"/>
    <cellStyle name="SAPBEXstdItemX 32 2" xfId="6821" xr:uid="{00000000-0005-0000-0000-000007780000}"/>
    <cellStyle name="SAPBEXstdItemX 32 3" xfId="9690" xr:uid="{00000000-0005-0000-0000-000008780000}"/>
    <cellStyle name="SAPBEXstdItemX 32 4" xfId="12015" xr:uid="{00000000-0005-0000-0000-000009780000}"/>
    <cellStyle name="SAPBEXstdItemX 32 5" xfId="14495" xr:uid="{00000000-0005-0000-0000-00000A780000}"/>
    <cellStyle name="SAPBEXstdItemX 32 6" xfId="16911" xr:uid="{00000000-0005-0000-0000-00000B780000}"/>
    <cellStyle name="SAPBEXstdItemX 32 7" xfId="19191" xr:uid="{00000000-0005-0000-0000-00000C780000}"/>
    <cellStyle name="SAPBEXstdItemX 32 8" xfId="21607" xr:uid="{00000000-0005-0000-0000-00000D780000}"/>
    <cellStyle name="SAPBEXstdItemX 32 9" xfId="23690" xr:uid="{00000000-0005-0000-0000-00000E780000}"/>
    <cellStyle name="SAPBEXstdItemX 33" xfId="4326" xr:uid="{00000000-0005-0000-0000-00000F780000}"/>
    <cellStyle name="SAPBEXstdItemX 33 2" xfId="6864" xr:uid="{00000000-0005-0000-0000-000010780000}"/>
    <cellStyle name="SAPBEXstdItemX 33 3" xfId="9014" xr:uid="{00000000-0005-0000-0000-000011780000}"/>
    <cellStyle name="SAPBEXstdItemX 33 4" xfId="11372" xr:uid="{00000000-0005-0000-0000-000012780000}"/>
    <cellStyle name="SAPBEXstdItemX 33 5" xfId="13786" xr:uid="{00000000-0005-0000-0000-000013780000}"/>
    <cellStyle name="SAPBEXstdItemX 33 6" xfId="15898" xr:uid="{00000000-0005-0000-0000-000014780000}"/>
    <cellStyle name="SAPBEXstdItemX 33 7" xfId="18482" xr:uid="{00000000-0005-0000-0000-000015780000}"/>
    <cellStyle name="SAPBEXstdItemX 33 8" xfId="20594" xr:uid="{00000000-0005-0000-0000-000016780000}"/>
    <cellStyle name="SAPBEXstdItemX 33 9" xfId="23046" xr:uid="{00000000-0005-0000-0000-000017780000}"/>
    <cellStyle name="SAPBEXstdItemX 34" xfId="4369" xr:uid="{00000000-0005-0000-0000-000018780000}"/>
    <cellStyle name="SAPBEXstdItemX 34 2" xfId="6907" xr:uid="{00000000-0005-0000-0000-000019780000}"/>
    <cellStyle name="SAPBEXstdItemX 34 3" xfId="10188" xr:uid="{00000000-0005-0000-0000-00001A780000}"/>
    <cellStyle name="SAPBEXstdItemX 34 4" xfId="10736" xr:uid="{00000000-0005-0000-0000-00001B780000}"/>
    <cellStyle name="SAPBEXstdItemX 34 5" xfId="13091" xr:uid="{00000000-0005-0000-0000-00001C780000}"/>
    <cellStyle name="SAPBEXstdItemX 34 6" xfId="16804" xr:uid="{00000000-0005-0000-0000-00001D780000}"/>
    <cellStyle name="SAPBEXstdItemX 34 7" xfId="17787" xr:uid="{00000000-0005-0000-0000-00001E780000}"/>
    <cellStyle name="SAPBEXstdItemX 34 8" xfId="21500" xr:uid="{00000000-0005-0000-0000-00001F780000}"/>
    <cellStyle name="SAPBEXstdItemX 34 9" xfId="22409" xr:uid="{00000000-0005-0000-0000-000020780000}"/>
    <cellStyle name="SAPBEXstdItemX 35" xfId="4412" xr:uid="{00000000-0005-0000-0000-000021780000}"/>
    <cellStyle name="SAPBEXstdItemX 35 2" xfId="6950" xr:uid="{00000000-0005-0000-0000-000022780000}"/>
    <cellStyle name="SAPBEXstdItemX 35 3" xfId="10041" xr:uid="{00000000-0005-0000-0000-000023780000}"/>
    <cellStyle name="SAPBEXstdItemX 35 4" xfId="7955" xr:uid="{00000000-0005-0000-0000-000024780000}"/>
    <cellStyle name="SAPBEXstdItemX 35 5" xfId="13801" xr:uid="{00000000-0005-0000-0000-000025780000}"/>
    <cellStyle name="SAPBEXstdItemX 35 6" xfId="16014" xr:uid="{00000000-0005-0000-0000-000026780000}"/>
    <cellStyle name="SAPBEXstdItemX 35 7" xfId="18497" xr:uid="{00000000-0005-0000-0000-000027780000}"/>
    <cellStyle name="SAPBEXstdItemX 35 8" xfId="20710" xr:uid="{00000000-0005-0000-0000-000028780000}"/>
    <cellStyle name="SAPBEXstdItemX 35 9" xfId="23060" xr:uid="{00000000-0005-0000-0000-000029780000}"/>
    <cellStyle name="SAPBEXstdItemX 36" xfId="4455" xr:uid="{00000000-0005-0000-0000-00002A780000}"/>
    <cellStyle name="SAPBEXstdItemX 36 2" xfId="6993" xr:uid="{00000000-0005-0000-0000-00002B780000}"/>
    <cellStyle name="SAPBEXstdItemX 36 3" xfId="9464" xr:uid="{00000000-0005-0000-0000-00002C780000}"/>
    <cellStyle name="SAPBEXstdItemX 36 4" xfId="12165" xr:uid="{00000000-0005-0000-0000-00002D780000}"/>
    <cellStyle name="SAPBEXstdItemX 36 5" xfId="14648" xr:uid="{00000000-0005-0000-0000-00002E780000}"/>
    <cellStyle name="SAPBEXstdItemX 36 6" xfId="15078" xr:uid="{00000000-0005-0000-0000-00002F780000}"/>
    <cellStyle name="SAPBEXstdItemX 36 7" xfId="19344" xr:uid="{00000000-0005-0000-0000-000030780000}"/>
    <cellStyle name="SAPBEXstdItemX 36 8" xfId="19774" xr:uid="{00000000-0005-0000-0000-000031780000}"/>
    <cellStyle name="SAPBEXstdItemX 36 9" xfId="23839" xr:uid="{00000000-0005-0000-0000-000032780000}"/>
    <cellStyle name="SAPBEXstdItemX 37" xfId="4234" xr:uid="{00000000-0005-0000-0000-000033780000}"/>
    <cellStyle name="SAPBEXstdItemX 37 2" xfId="6772" xr:uid="{00000000-0005-0000-0000-000034780000}"/>
    <cellStyle name="SAPBEXstdItemX 37 3" xfId="8775" xr:uid="{00000000-0005-0000-0000-000035780000}"/>
    <cellStyle name="SAPBEXstdItemX 37 4" xfId="11711" xr:uid="{00000000-0005-0000-0000-000036780000}"/>
    <cellStyle name="SAPBEXstdItemX 37 5" xfId="14160" xr:uid="{00000000-0005-0000-0000-000037780000}"/>
    <cellStyle name="SAPBEXstdItemX 37 6" xfId="16837" xr:uid="{00000000-0005-0000-0000-000038780000}"/>
    <cellStyle name="SAPBEXstdItemX 37 7" xfId="18856" xr:uid="{00000000-0005-0000-0000-000039780000}"/>
    <cellStyle name="SAPBEXstdItemX 37 8" xfId="21533" xr:uid="{00000000-0005-0000-0000-00003A780000}"/>
    <cellStyle name="SAPBEXstdItemX 37 9" xfId="23385" xr:uid="{00000000-0005-0000-0000-00003B780000}"/>
    <cellStyle name="SAPBEXstdItemX 38" xfId="4541" xr:uid="{00000000-0005-0000-0000-00003C780000}"/>
    <cellStyle name="SAPBEXstdItemX 38 2" xfId="7079" xr:uid="{00000000-0005-0000-0000-00003D780000}"/>
    <cellStyle name="SAPBEXstdItemX 38 3" xfId="9217" xr:uid="{00000000-0005-0000-0000-00003E780000}"/>
    <cellStyle name="SAPBEXstdItemX 38 4" xfId="10822" xr:uid="{00000000-0005-0000-0000-00003F780000}"/>
    <cellStyle name="SAPBEXstdItemX 38 5" xfId="13185" xr:uid="{00000000-0005-0000-0000-000040780000}"/>
    <cellStyle name="SAPBEXstdItemX 38 6" xfId="15197" xr:uid="{00000000-0005-0000-0000-000041780000}"/>
    <cellStyle name="SAPBEXstdItemX 38 7" xfId="17881" xr:uid="{00000000-0005-0000-0000-000042780000}"/>
    <cellStyle name="SAPBEXstdItemX 38 8" xfId="19893" xr:uid="{00000000-0005-0000-0000-000043780000}"/>
    <cellStyle name="SAPBEXstdItemX 38 9" xfId="22493" xr:uid="{00000000-0005-0000-0000-000044780000}"/>
    <cellStyle name="SAPBEXstdItemX 39" xfId="4584" xr:uid="{00000000-0005-0000-0000-000045780000}"/>
    <cellStyle name="SAPBEXstdItemX 39 2" xfId="7122" xr:uid="{00000000-0005-0000-0000-000046780000}"/>
    <cellStyle name="SAPBEXstdItemX 39 3" xfId="8783" xr:uid="{00000000-0005-0000-0000-000047780000}"/>
    <cellStyle name="SAPBEXstdItemX 39 4" xfId="11939" xr:uid="{00000000-0005-0000-0000-000048780000}"/>
    <cellStyle name="SAPBEXstdItemX 39 5" xfId="14412" xr:uid="{00000000-0005-0000-0000-000049780000}"/>
    <cellStyle name="SAPBEXstdItemX 39 6" xfId="15651" xr:uid="{00000000-0005-0000-0000-00004A780000}"/>
    <cellStyle name="SAPBEXstdItemX 39 7" xfId="19108" xr:uid="{00000000-0005-0000-0000-00004B780000}"/>
    <cellStyle name="SAPBEXstdItemX 39 8" xfId="20347" xr:uid="{00000000-0005-0000-0000-00004C780000}"/>
    <cellStyle name="SAPBEXstdItemX 39 9" xfId="23614" xr:uid="{00000000-0005-0000-0000-00004D780000}"/>
    <cellStyle name="SAPBEXstdItemX 4" xfId="3186" xr:uid="{00000000-0005-0000-0000-00004E780000}"/>
    <cellStyle name="SAPBEXstdItemX 4 2" xfId="5724" xr:uid="{00000000-0005-0000-0000-00004F780000}"/>
    <cellStyle name="SAPBEXstdItemX 4 3" xfId="5466" xr:uid="{00000000-0005-0000-0000-000050780000}"/>
    <cellStyle name="SAPBEXstdItemX 4 4" xfId="10650" xr:uid="{00000000-0005-0000-0000-000051780000}"/>
    <cellStyle name="SAPBEXstdItemX 4 5" xfId="12999" xr:uid="{00000000-0005-0000-0000-000052780000}"/>
    <cellStyle name="SAPBEXstdItemX 4 6" xfId="15760" xr:uid="{00000000-0005-0000-0000-000053780000}"/>
    <cellStyle name="SAPBEXstdItemX 4 7" xfId="17695" xr:uid="{00000000-0005-0000-0000-000054780000}"/>
    <cellStyle name="SAPBEXstdItemX 4 8" xfId="20456" xr:uid="{00000000-0005-0000-0000-000055780000}"/>
    <cellStyle name="SAPBEXstdItemX 4 9" xfId="22323" xr:uid="{00000000-0005-0000-0000-000056780000}"/>
    <cellStyle name="SAPBEXstdItemX 40" xfId="4627" xr:uid="{00000000-0005-0000-0000-000057780000}"/>
    <cellStyle name="SAPBEXstdItemX 40 2" xfId="7165" xr:uid="{00000000-0005-0000-0000-000058780000}"/>
    <cellStyle name="SAPBEXstdItemX 40 3" xfId="8619" xr:uid="{00000000-0005-0000-0000-000059780000}"/>
    <cellStyle name="SAPBEXstdItemX 40 4" xfId="11171" xr:uid="{00000000-0005-0000-0000-00005A780000}"/>
    <cellStyle name="SAPBEXstdItemX 40 5" xfId="13567" xr:uid="{00000000-0005-0000-0000-00005B780000}"/>
    <cellStyle name="SAPBEXstdItemX 40 6" xfId="15013" xr:uid="{00000000-0005-0000-0000-00005C780000}"/>
    <cellStyle name="SAPBEXstdItemX 40 7" xfId="18263" xr:uid="{00000000-0005-0000-0000-00005D780000}"/>
    <cellStyle name="SAPBEXstdItemX 40 8" xfId="19709" xr:uid="{00000000-0005-0000-0000-00005E780000}"/>
    <cellStyle name="SAPBEXstdItemX 40 9" xfId="22844" xr:uid="{00000000-0005-0000-0000-00005F780000}"/>
    <cellStyle name="SAPBEXstdItemX 41" xfId="4670" xr:uid="{00000000-0005-0000-0000-000060780000}"/>
    <cellStyle name="SAPBEXstdItemX 41 2" xfId="7208" xr:uid="{00000000-0005-0000-0000-000061780000}"/>
    <cellStyle name="SAPBEXstdItemX 41 3" xfId="5501" xr:uid="{00000000-0005-0000-0000-000062780000}"/>
    <cellStyle name="SAPBEXstdItemX 41 4" xfId="11536" xr:uid="{00000000-0005-0000-0000-000063780000}"/>
    <cellStyle name="SAPBEXstdItemX 41 5" xfId="13968" xr:uid="{00000000-0005-0000-0000-000064780000}"/>
    <cellStyle name="SAPBEXstdItemX 41 6" xfId="16971" xr:uid="{00000000-0005-0000-0000-000065780000}"/>
    <cellStyle name="SAPBEXstdItemX 41 7" xfId="18664" xr:uid="{00000000-0005-0000-0000-000066780000}"/>
    <cellStyle name="SAPBEXstdItemX 41 8" xfId="21667" xr:uid="{00000000-0005-0000-0000-000067780000}"/>
    <cellStyle name="SAPBEXstdItemX 41 9" xfId="23210" xr:uid="{00000000-0005-0000-0000-000068780000}"/>
    <cellStyle name="SAPBEXstdItemX 42" xfId="4712" xr:uid="{00000000-0005-0000-0000-000069780000}"/>
    <cellStyle name="SAPBEXstdItemX 42 2" xfId="7250" xr:uid="{00000000-0005-0000-0000-00006A780000}"/>
    <cellStyle name="SAPBEXstdItemX 42 3" xfId="9810" xr:uid="{00000000-0005-0000-0000-00006B780000}"/>
    <cellStyle name="SAPBEXstdItemX 42 4" xfId="12012" xr:uid="{00000000-0005-0000-0000-00006C780000}"/>
    <cellStyle name="SAPBEXstdItemX 42 5" xfId="14492" xr:uid="{00000000-0005-0000-0000-00006D780000}"/>
    <cellStyle name="SAPBEXstdItemX 42 6" xfId="16987" xr:uid="{00000000-0005-0000-0000-00006E780000}"/>
    <cellStyle name="SAPBEXstdItemX 42 7" xfId="19188" xr:uid="{00000000-0005-0000-0000-00006F780000}"/>
    <cellStyle name="SAPBEXstdItemX 42 8" xfId="21683" xr:uid="{00000000-0005-0000-0000-000070780000}"/>
    <cellStyle name="SAPBEXstdItemX 42 9" xfId="23687" xr:uid="{00000000-0005-0000-0000-000071780000}"/>
    <cellStyle name="SAPBEXstdItemX 43" xfId="4755" xr:uid="{00000000-0005-0000-0000-000072780000}"/>
    <cellStyle name="SAPBEXstdItemX 43 2" xfId="7293" xr:uid="{00000000-0005-0000-0000-000073780000}"/>
    <cellStyle name="SAPBEXstdItemX 43 3" xfId="8880" xr:uid="{00000000-0005-0000-0000-000074780000}"/>
    <cellStyle name="SAPBEXstdItemX 43 4" xfId="11698" xr:uid="{00000000-0005-0000-0000-000075780000}"/>
    <cellStyle name="SAPBEXstdItemX 43 5" xfId="14147" xr:uid="{00000000-0005-0000-0000-000076780000}"/>
    <cellStyle name="SAPBEXstdItemX 43 6" xfId="15349" xr:uid="{00000000-0005-0000-0000-000077780000}"/>
    <cellStyle name="SAPBEXstdItemX 43 7" xfId="18843" xr:uid="{00000000-0005-0000-0000-000078780000}"/>
    <cellStyle name="SAPBEXstdItemX 43 8" xfId="20045" xr:uid="{00000000-0005-0000-0000-000079780000}"/>
    <cellStyle name="SAPBEXstdItemX 43 9" xfId="23372" xr:uid="{00000000-0005-0000-0000-00007A780000}"/>
    <cellStyle name="SAPBEXstdItemX 44" xfId="4763" xr:uid="{00000000-0005-0000-0000-00007B780000}"/>
    <cellStyle name="SAPBEXstdItemX 44 2" xfId="7301" xr:uid="{00000000-0005-0000-0000-00007C780000}"/>
    <cellStyle name="SAPBEXstdItemX 44 3" xfId="10190" xr:uid="{00000000-0005-0000-0000-00007D780000}"/>
    <cellStyle name="SAPBEXstdItemX 44 4" xfId="10656" xr:uid="{00000000-0005-0000-0000-00007E780000}"/>
    <cellStyle name="SAPBEXstdItemX 44 5" xfId="13005" xr:uid="{00000000-0005-0000-0000-00007F780000}"/>
    <cellStyle name="SAPBEXstdItemX 44 6" xfId="16732" xr:uid="{00000000-0005-0000-0000-000080780000}"/>
    <cellStyle name="SAPBEXstdItemX 44 7" xfId="17701" xr:uid="{00000000-0005-0000-0000-000081780000}"/>
    <cellStyle name="SAPBEXstdItemX 44 8" xfId="21428" xr:uid="{00000000-0005-0000-0000-000082780000}"/>
    <cellStyle name="SAPBEXstdItemX 44 9" xfId="22329" xr:uid="{00000000-0005-0000-0000-000083780000}"/>
    <cellStyle name="SAPBEXstdItemX 45" xfId="4817" xr:uid="{00000000-0005-0000-0000-000084780000}"/>
    <cellStyle name="SAPBEXstdItemX 45 2" xfId="7355" xr:uid="{00000000-0005-0000-0000-000085780000}"/>
    <cellStyle name="SAPBEXstdItemX 45 3" xfId="10034" xr:uid="{00000000-0005-0000-0000-000086780000}"/>
    <cellStyle name="SAPBEXstdItemX 45 4" xfId="10484" xr:uid="{00000000-0005-0000-0000-000087780000}"/>
    <cellStyle name="SAPBEXstdItemX 45 5" xfId="12818" xr:uid="{00000000-0005-0000-0000-000088780000}"/>
    <cellStyle name="SAPBEXstdItemX 45 6" xfId="16497" xr:uid="{00000000-0005-0000-0000-000089780000}"/>
    <cellStyle name="SAPBEXstdItemX 45 7" xfId="17514" xr:uid="{00000000-0005-0000-0000-00008A780000}"/>
    <cellStyle name="SAPBEXstdItemX 45 8" xfId="21193" xr:uid="{00000000-0005-0000-0000-00008B780000}"/>
    <cellStyle name="SAPBEXstdItemX 45 9" xfId="22154" xr:uid="{00000000-0005-0000-0000-00008C780000}"/>
    <cellStyle name="SAPBEXstdItemX 46" xfId="4860" xr:uid="{00000000-0005-0000-0000-00008D780000}"/>
    <cellStyle name="SAPBEXstdItemX 46 2" xfId="7398" xr:uid="{00000000-0005-0000-0000-00008E780000}"/>
    <cellStyle name="SAPBEXstdItemX 46 3" xfId="8366" xr:uid="{00000000-0005-0000-0000-00008F780000}"/>
    <cellStyle name="SAPBEXstdItemX 46 4" xfId="10891" xr:uid="{00000000-0005-0000-0000-000090780000}"/>
    <cellStyle name="SAPBEXstdItemX 46 5" xfId="13259" xr:uid="{00000000-0005-0000-0000-000091780000}"/>
    <cellStyle name="SAPBEXstdItemX 46 6" xfId="16541" xr:uid="{00000000-0005-0000-0000-000092780000}"/>
    <cellStyle name="SAPBEXstdItemX 46 7" xfId="17955" xr:uid="{00000000-0005-0000-0000-000093780000}"/>
    <cellStyle name="SAPBEXstdItemX 46 8" xfId="21237" xr:uid="{00000000-0005-0000-0000-000094780000}"/>
    <cellStyle name="SAPBEXstdItemX 46 9" xfId="22562" xr:uid="{00000000-0005-0000-0000-000095780000}"/>
    <cellStyle name="SAPBEXstdItemX 47" xfId="4752" xr:uid="{00000000-0005-0000-0000-000096780000}"/>
    <cellStyle name="SAPBEXstdItemX 47 2" xfId="7290" xr:uid="{00000000-0005-0000-0000-000097780000}"/>
    <cellStyle name="SAPBEXstdItemX 47 3" xfId="9119" xr:uid="{00000000-0005-0000-0000-000098780000}"/>
    <cellStyle name="SAPBEXstdItemX 47 4" xfId="11515" xr:uid="{00000000-0005-0000-0000-000099780000}"/>
    <cellStyle name="SAPBEXstdItemX 47 5" xfId="13943" xr:uid="{00000000-0005-0000-0000-00009A780000}"/>
    <cellStyle name="SAPBEXstdItemX 47 6" xfId="15298" xr:uid="{00000000-0005-0000-0000-00009B780000}"/>
    <cellStyle name="SAPBEXstdItemX 47 7" xfId="18639" xr:uid="{00000000-0005-0000-0000-00009C780000}"/>
    <cellStyle name="SAPBEXstdItemX 47 8" xfId="19994" xr:uid="{00000000-0005-0000-0000-00009D780000}"/>
    <cellStyle name="SAPBEXstdItemX 47 9" xfId="23189" xr:uid="{00000000-0005-0000-0000-00009E780000}"/>
    <cellStyle name="SAPBEXstdItemX 48" xfId="4940" xr:uid="{00000000-0005-0000-0000-00009F780000}"/>
    <cellStyle name="SAPBEXstdItemX 48 2" xfId="7478" xr:uid="{00000000-0005-0000-0000-0000A0780000}"/>
    <cellStyle name="SAPBEXstdItemX 48 3" xfId="9711" xr:uid="{00000000-0005-0000-0000-0000A1780000}"/>
    <cellStyle name="SAPBEXstdItemX 48 4" xfId="11196" xr:uid="{00000000-0005-0000-0000-0000A2780000}"/>
    <cellStyle name="SAPBEXstdItemX 48 5" xfId="13597" xr:uid="{00000000-0005-0000-0000-0000A3780000}"/>
    <cellStyle name="SAPBEXstdItemX 48 6" xfId="15735" xr:uid="{00000000-0005-0000-0000-0000A4780000}"/>
    <cellStyle name="SAPBEXstdItemX 48 7" xfId="18293" xr:uid="{00000000-0005-0000-0000-0000A5780000}"/>
    <cellStyle name="SAPBEXstdItemX 48 8" xfId="20431" xr:uid="{00000000-0005-0000-0000-0000A6780000}"/>
    <cellStyle name="SAPBEXstdItemX 48 9" xfId="22871" xr:uid="{00000000-0005-0000-0000-0000A7780000}"/>
    <cellStyle name="SAPBEXstdItemX 49" xfId="4978" xr:uid="{00000000-0005-0000-0000-0000A8780000}"/>
    <cellStyle name="SAPBEXstdItemX 49 2" xfId="7516" xr:uid="{00000000-0005-0000-0000-0000A9780000}"/>
    <cellStyle name="SAPBEXstdItemX 49 3" xfId="8134" xr:uid="{00000000-0005-0000-0000-0000AA780000}"/>
    <cellStyle name="SAPBEXstdItemX 49 4" xfId="12281" xr:uid="{00000000-0005-0000-0000-0000AB780000}"/>
    <cellStyle name="SAPBEXstdItemX 49 5" xfId="13682" xr:uid="{00000000-0005-0000-0000-0000AC780000}"/>
    <cellStyle name="SAPBEXstdItemX 49 6" xfId="15392" xr:uid="{00000000-0005-0000-0000-0000AD780000}"/>
    <cellStyle name="SAPBEXstdItemX 49 7" xfId="18378" xr:uid="{00000000-0005-0000-0000-0000AE780000}"/>
    <cellStyle name="SAPBEXstdItemX 49 8" xfId="20088" xr:uid="{00000000-0005-0000-0000-0000AF780000}"/>
    <cellStyle name="SAPBEXstdItemX 49 9" xfId="22950" xr:uid="{00000000-0005-0000-0000-0000B0780000}"/>
    <cellStyle name="SAPBEXstdItemX 5" xfId="3229" xr:uid="{00000000-0005-0000-0000-0000B1780000}"/>
    <cellStyle name="SAPBEXstdItemX 5 2" xfId="5767" xr:uid="{00000000-0005-0000-0000-0000B2780000}"/>
    <cellStyle name="SAPBEXstdItemX 5 3" xfId="8425" xr:uid="{00000000-0005-0000-0000-0000B3780000}"/>
    <cellStyle name="SAPBEXstdItemX 5 4" xfId="11212" xr:uid="{00000000-0005-0000-0000-0000B4780000}"/>
    <cellStyle name="SAPBEXstdItemX 5 5" xfId="13614" xr:uid="{00000000-0005-0000-0000-0000B5780000}"/>
    <cellStyle name="SAPBEXstdItemX 5 6" xfId="15810" xr:uid="{00000000-0005-0000-0000-0000B6780000}"/>
    <cellStyle name="SAPBEXstdItemX 5 7" xfId="18310" xr:uid="{00000000-0005-0000-0000-0000B7780000}"/>
    <cellStyle name="SAPBEXstdItemX 5 8" xfId="20506" xr:uid="{00000000-0005-0000-0000-0000B8780000}"/>
    <cellStyle name="SAPBEXstdItemX 5 9" xfId="22887" xr:uid="{00000000-0005-0000-0000-0000B9780000}"/>
    <cellStyle name="SAPBEXstdItemX 50" xfId="5016" xr:uid="{00000000-0005-0000-0000-0000BA780000}"/>
    <cellStyle name="SAPBEXstdItemX 50 2" xfId="7554" xr:uid="{00000000-0005-0000-0000-0000BB780000}"/>
    <cellStyle name="SAPBEXstdItemX 50 3" xfId="8611" xr:uid="{00000000-0005-0000-0000-0000BC780000}"/>
    <cellStyle name="SAPBEXstdItemX 50 4" xfId="9409" xr:uid="{00000000-0005-0000-0000-0000BD780000}"/>
    <cellStyle name="SAPBEXstdItemX 50 5" xfId="12463" xr:uid="{00000000-0005-0000-0000-0000BE780000}"/>
    <cellStyle name="SAPBEXstdItemX 50 6" xfId="16709" xr:uid="{00000000-0005-0000-0000-0000BF780000}"/>
    <cellStyle name="SAPBEXstdItemX 50 7" xfId="17159" xr:uid="{00000000-0005-0000-0000-0000C0780000}"/>
    <cellStyle name="SAPBEXstdItemX 50 8" xfId="21405" xr:uid="{00000000-0005-0000-0000-0000C1780000}"/>
    <cellStyle name="SAPBEXstdItemX 50 9" xfId="21840" xr:uid="{00000000-0005-0000-0000-0000C2780000}"/>
    <cellStyle name="SAPBEXstdItemX 51" xfId="5053" xr:uid="{00000000-0005-0000-0000-0000C3780000}"/>
    <cellStyle name="SAPBEXstdItemX 51 2" xfId="7591" xr:uid="{00000000-0005-0000-0000-0000C4780000}"/>
    <cellStyle name="SAPBEXstdItemX 51 3" xfId="9538" xr:uid="{00000000-0005-0000-0000-0000C5780000}"/>
    <cellStyle name="SAPBEXstdItemX 51 4" xfId="11765" xr:uid="{00000000-0005-0000-0000-0000C6780000}"/>
    <cellStyle name="SAPBEXstdItemX 51 5" xfId="14217" xr:uid="{00000000-0005-0000-0000-0000C7780000}"/>
    <cellStyle name="SAPBEXstdItemX 51 6" xfId="15157" xr:uid="{00000000-0005-0000-0000-0000C8780000}"/>
    <cellStyle name="SAPBEXstdItemX 51 7" xfId="18913" xr:uid="{00000000-0005-0000-0000-0000C9780000}"/>
    <cellStyle name="SAPBEXstdItemX 51 8" xfId="19853" xr:uid="{00000000-0005-0000-0000-0000CA780000}"/>
    <cellStyle name="SAPBEXstdItemX 51 9" xfId="23439" xr:uid="{00000000-0005-0000-0000-0000CB780000}"/>
    <cellStyle name="SAPBEXstdItemX 52" xfId="5083" xr:uid="{00000000-0005-0000-0000-0000CC780000}"/>
    <cellStyle name="SAPBEXstdItemX 52 2" xfId="7621" xr:uid="{00000000-0005-0000-0000-0000CD780000}"/>
    <cellStyle name="SAPBEXstdItemX 52 3" xfId="9327" xr:uid="{00000000-0005-0000-0000-0000CE780000}"/>
    <cellStyle name="SAPBEXstdItemX 52 4" xfId="10731" xr:uid="{00000000-0005-0000-0000-0000CF780000}"/>
    <cellStyle name="SAPBEXstdItemX 52 5" xfId="13086" xr:uid="{00000000-0005-0000-0000-0000D0780000}"/>
    <cellStyle name="SAPBEXstdItemX 52 6" xfId="15598" xr:uid="{00000000-0005-0000-0000-0000D1780000}"/>
    <cellStyle name="SAPBEXstdItemX 52 7" xfId="17782" xr:uid="{00000000-0005-0000-0000-0000D2780000}"/>
    <cellStyle name="SAPBEXstdItemX 52 8" xfId="20294" xr:uid="{00000000-0005-0000-0000-0000D3780000}"/>
    <cellStyle name="SAPBEXstdItemX 52 9" xfId="22404" xr:uid="{00000000-0005-0000-0000-0000D4780000}"/>
    <cellStyle name="SAPBEXstdItemX 53" xfId="5109" xr:uid="{00000000-0005-0000-0000-0000D5780000}"/>
    <cellStyle name="SAPBEXstdItemX 53 2" xfId="7647" xr:uid="{00000000-0005-0000-0000-0000D6780000}"/>
    <cellStyle name="SAPBEXstdItemX 53 3" xfId="9560" xr:uid="{00000000-0005-0000-0000-0000D7780000}"/>
    <cellStyle name="SAPBEXstdItemX 53 4" xfId="11854" xr:uid="{00000000-0005-0000-0000-0000D8780000}"/>
    <cellStyle name="SAPBEXstdItemX 53 5" xfId="14316" xr:uid="{00000000-0005-0000-0000-0000D9780000}"/>
    <cellStyle name="SAPBEXstdItemX 53 6" xfId="15790" xr:uid="{00000000-0005-0000-0000-0000DA780000}"/>
    <cellStyle name="SAPBEXstdItemX 53 7" xfId="19012" xr:uid="{00000000-0005-0000-0000-0000DB780000}"/>
    <cellStyle name="SAPBEXstdItemX 53 8" xfId="20486" xr:uid="{00000000-0005-0000-0000-0000DC780000}"/>
    <cellStyle name="SAPBEXstdItemX 53 9" xfId="23530" xr:uid="{00000000-0005-0000-0000-0000DD780000}"/>
    <cellStyle name="SAPBEXstdItemX 54" xfId="5157" xr:uid="{00000000-0005-0000-0000-0000DE780000}"/>
    <cellStyle name="SAPBEXstdItemX 54 2" xfId="7695" xr:uid="{00000000-0005-0000-0000-0000DF780000}"/>
    <cellStyle name="SAPBEXstdItemX 54 3" xfId="8009" xr:uid="{00000000-0005-0000-0000-0000E0780000}"/>
    <cellStyle name="SAPBEXstdItemX 54 4" xfId="11828" xr:uid="{00000000-0005-0000-0000-0000E1780000}"/>
    <cellStyle name="SAPBEXstdItemX 54 5" xfId="14286" xr:uid="{00000000-0005-0000-0000-0000E2780000}"/>
    <cellStyle name="SAPBEXstdItemX 54 6" xfId="15395" xr:uid="{00000000-0005-0000-0000-0000E3780000}"/>
    <cellStyle name="SAPBEXstdItemX 54 7" xfId="18982" xr:uid="{00000000-0005-0000-0000-0000E4780000}"/>
    <cellStyle name="SAPBEXstdItemX 54 8" xfId="20091" xr:uid="{00000000-0005-0000-0000-0000E5780000}"/>
    <cellStyle name="SAPBEXstdItemX 54 9" xfId="23503" xr:uid="{00000000-0005-0000-0000-0000E6780000}"/>
    <cellStyle name="SAPBEXstdItemX 55" xfId="5226" xr:uid="{00000000-0005-0000-0000-0000E7780000}"/>
    <cellStyle name="SAPBEXstdItemX 55 2" xfId="7765" xr:uid="{00000000-0005-0000-0000-0000E8780000}"/>
    <cellStyle name="SAPBEXstdItemX 55 3" xfId="9791" xr:uid="{00000000-0005-0000-0000-0000E9780000}"/>
    <cellStyle name="SAPBEXstdItemX 55 4" xfId="10865" xr:uid="{00000000-0005-0000-0000-0000EA780000}"/>
    <cellStyle name="SAPBEXstdItemX 55 5" xfId="13230" xr:uid="{00000000-0005-0000-0000-0000EB780000}"/>
    <cellStyle name="SAPBEXstdItemX 55 6" xfId="16402" xr:uid="{00000000-0005-0000-0000-0000EC780000}"/>
    <cellStyle name="SAPBEXstdItemX 55 7" xfId="17926" xr:uid="{00000000-0005-0000-0000-0000ED780000}"/>
    <cellStyle name="SAPBEXstdItemX 55 8" xfId="21098" xr:uid="{00000000-0005-0000-0000-0000EE780000}"/>
    <cellStyle name="SAPBEXstdItemX 55 9" xfId="22536" xr:uid="{00000000-0005-0000-0000-0000EF780000}"/>
    <cellStyle name="SAPBEXstdItemX 56" xfId="5264" xr:uid="{00000000-0005-0000-0000-0000F0780000}"/>
    <cellStyle name="SAPBEXstdItemX 56 2" xfId="8804" xr:uid="{00000000-0005-0000-0000-0000F1780000}"/>
    <cellStyle name="SAPBEXstdItemX 56 3" xfId="9995" xr:uid="{00000000-0005-0000-0000-0000F2780000}"/>
    <cellStyle name="SAPBEXstdItemX 56 4" xfId="12328" xr:uid="{00000000-0005-0000-0000-0000F3780000}"/>
    <cellStyle name="SAPBEXstdItemX 56 5" xfId="16309" xr:uid="{00000000-0005-0000-0000-0000F4780000}"/>
    <cellStyle name="SAPBEXstdItemX 56 6" xfId="17024" xr:uid="{00000000-0005-0000-0000-0000F5780000}"/>
    <cellStyle name="SAPBEXstdItemX 56 7" xfId="21005" xr:uid="{00000000-0005-0000-0000-0000F6780000}"/>
    <cellStyle name="SAPBEXstdItemX 56 8" xfId="21718" xr:uid="{00000000-0005-0000-0000-0000F7780000}"/>
    <cellStyle name="SAPBEXstdItemX 57" xfId="9613" xr:uid="{00000000-0005-0000-0000-0000F8780000}"/>
    <cellStyle name="SAPBEXstdItemX 58" xfId="10573" xr:uid="{00000000-0005-0000-0000-0000F9780000}"/>
    <cellStyle name="SAPBEXstdItemX 59" xfId="12919" xr:uid="{00000000-0005-0000-0000-0000FA780000}"/>
    <cellStyle name="SAPBEXstdItemX 6" xfId="3272" xr:uid="{00000000-0005-0000-0000-0000FB780000}"/>
    <cellStyle name="SAPBEXstdItemX 6 2" xfId="5810" xr:uid="{00000000-0005-0000-0000-0000FC780000}"/>
    <cellStyle name="SAPBEXstdItemX 6 3" xfId="9701" xr:uid="{00000000-0005-0000-0000-0000FD780000}"/>
    <cellStyle name="SAPBEXstdItemX 6 4" xfId="11605" xr:uid="{00000000-0005-0000-0000-0000FE780000}"/>
    <cellStyle name="SAPBEXstdItemX 6 5" xfId="14043" xr:uid="{00000000-0005-0000-0000-0000FF780000}"/>
    <cellStyle name="SAPBEXstdItemX 6 6" xfId="16323" xr:uid="{00000000-0005-0000-0000-000000790000}"/>
    <cellStyle name="SAPBEXstdItemX 6 7" xfId="18739" xr:uid="{00000000-0005-0000-0000-000001790000}"/>
    <cellStyle name="SAPBEXstdItemX 6 8" xfId="21019" xr:uid="{00000000-0005-0000-0000-000002790000}"/>
    <cellStyle name="SAPBEXstdItemX 6 9" xfId="23279" xr:uid="{00000000-0005-0000-0000-000003790000}"/>
    <cellStyle name="SAPBEXstdItemX 60" xfId="15492" xr:uid="{00000000-0005-0000-0000-000004790000}"/>
    <cellStyle name="SAPBEXstdItemX 61" xfId="17615" xr:uid="{00000000-0005-0000-0000-000005790000}"/>
    <cellStyle name="SAPBEXstdItemX 62" xfId="20188" xr:uid="{00000000-0005-0000-0000-000006790000}"/>
    <cellStyle name="SAPBEXstdItemX 63" xfId="22245" xr:uid="{00000000-0005-0000-0000-000007790000}"/>
    <cellStyle name="SAPBEXstdItemX 64" xfId="25942" xr:uid="{00000000-0005-0000-0000-000008790000}"/>
    <cellStyle name="SAPBEXstdItemX 7" xfId="3315" xr:uid="{00000000-0005-0000-0000-000009790000}"/>
    <cellStyle name="SAPBEXstdItemX 7 2" xfId="5853" xr:uid="{00000000-0005-0000-0000-00000A790000}"/>
    <cellStyle name="SAPBEXstdItemX 7 3" xfId="9692" xr:uid="{00000000-0005-0000-0000-00000B790000}"/>
    <cellStyle name="SAPBEXstdItemX 7 4" xfId="10805" xr:uid="{00000000-0005-0000-0000-00000C790000}"/>
    <cellStyle name="SAPBEXstdItemX 7 5" xfId="13165" xr:uid="{00000000-0005-0000-0000-00000D790000}"/>
    <cellStyle name="SAPBEXstdItemX 7 6" xfId="14964" xr:uid="{00000000-0005-0000-0000-00000E790000}"/>
    <cellStyle name="SAPBEXstdItemX 7 7" xfId="17861" xr:uid="{00000000-0005-0000-0000-00000F790000}"/>
    <cellStyle name="SAPBEXstdItemX 7 8" xfId="19660" xr:uid="{00000000-0005-0000-0000-000010790000}"/>
    <cellStyle name="SAPBEXstdItemX 7 9" xfId="22476" xr:uid="{00000000-0005-0000-0000-000011790000}"/>
    <cellStyle name="SAPBEXstdItemX 8" xfId="3358" xr:uid="{00000000-0005-0000-0000-000012790000}"/>
    <cellStyle name="SAPBEXstdItemX 8 2" xfId="5896" xr:uid="{00000000-0005-0000-0000-000013790000}"/>
    <cellStyle name="SAPBEXstdItemX 8 3" xfId="8563" xr:uid="{00000000-0005-0000-0000-000014790000}"/>
    <cellStyle name="SAPBEXstdItemX 8 4" xfId="11634" xr:uid="{00000000-0005-0000-0000-000015790000}"/>
    <cellStyle name="SAPBEXstdItemX 8 5" xfId="14077" xr:uid="{00000000-0005-0000-0000-000016790000}"/>
    <cellStyle name="SAPBEXstdItemX 8 6" xfId="16997" xr:uid="{00000000-0005-0000-0000-000017790000}"/>
    <cellStyle name="SAPBEXstdItemX 8 7" xfId="18773" xr:uid="{00000000-0005-0000-0000-000018790000}"/>
    <cellStyle name="SAPBEXstdItemX 8 8" xfId="21693" xr:uid="{00000000-0005-0000-0000-000019790000}"/>
    <cellStyle name="SAPBEXstdItemX 8 9" xfId="23309" xr:uid="{00000000-0005-0000-0000-00001A790000}"/>
    <cellStyle name="SAPBEXstdItemX 9" xfId="3401" xr:uid="{00000000-0005-0000-0000-00001B790000}"/>
    <cellStyle name="SAPBEXstdItemX 9 2" xfId="5939" xr:uid="{00000000-0005-0000-0000-00001C790000}"/>
    <cellStyle name="SAPBEXstdItemX 9 3" xfId="8717" xr:uid="{00000000-0005-0000-0000-00001D790000}"/>
    <cellStyle name="SAPBEXstdItemX 9 4" xfId="12031" xr:uid="{00000000-0005-0000-0000-00001E790000}"/>
    <cellStyle name="SAPBEXstdItemX 9 5" xfId="14512" xr:uid="{00000000-0005-0000-0000-00001F790000}"/>
    <cellStyle name="SAPBEXstdItemX 9 6" xfId="16982" xr:uid="{00000000-0005-0000-0000-000020790000}"/>
    <cellStyle name="SAPBEXstdItemX 9 7" xfId="19208" xr:uid="{00000000-0005-0000-0000-000021790000}"/>
    <cellStyle name="SAPBEXstdItemX 9 8" xfId="21678" xr:uid="{00000000-0005-0000-0000-000022790000}"/>
    <cellStyle name="SAPBEXstdItemX 9 9" xfId="23706" xr:uid="{00000000-0005-0000-0000-000023790000}"/>
    <cellStyle name="SAPBEXtitle" xfId="2979" xr:uid="{00000000-0005-0000-0000-000024790000}"/>
    <cellStyle name="SAPBEXtitle 10" xfId="3445" xr:uid="{00000000-0005-0000-0000-000025790000}"/>
    <cellStyle name="SAPBEXtitle 10 2" xfId="5983" xr:uid="{00000000-0005-0000-0000-000026790000}"/>
    <cellStyle name="SAPBEXtitle 10 3" xfId="8926" xr:uid="{00000000-0005-0000-0000-000027790000}"/>
    <cellStyle name="SAPBEXtitle 10 4" xfId="11031" xr:uid="{00000000-0005-0000-0000-000028790000}"/>
    <cellStyle name="SAPBEXtitle 10 5" xfId="13413" xr:uid="{00000000-0005-0000-0000-000029790000}"/>
    <cellStyle name="SAPBEXtitle 10 6" xfId="15161" xr:uid="{00000000-0005-0000-0000-00002A790000}"/>
    <cellStyle name="SAPBEXtitle 10 7" xfId="18109" xr:uid="{00000000-0005-0000-0000-00002B790000}"/>
    <cellStyle name="SAPBEXtitle 10 8" xfId="19857" xr:uid="{00000000-0005-0000-0000-00002C790000}"/>
    <cellStyle name="SAPBEXtitle 10 9" xfId="22704" xr:uid="{00000000-0005-0000-0000-00002D790000}"/>
    <cellStyle name="SAPBEXtitle 11" xfId="3299" xr:uid="{00000000-0005-0000-0000-00002E790000}"/>
    <cellStyle name="SAPBEXtitle 11 2" xfId="5837" xr:uid="{00000000-0005-0000-0000-00002F790000}"/>
    <cellStyle name="SAPBEXtitle 11 3" xfId="10221" xr:uid="{00000000-0005-0000-0000-000030790000}"/>
    <cellStyle name="SAPBEXtitle 11 4" xfId="11135" xr:uid="{00000000-0005-0000-0000-000031790000}"/>
    <cellStyle name="SAPBEXtitle 11 5" xfId="13531" xr:uid="{00000000-0005-0000-0000-000032790000}"/>
    <cellStyle name="SAPBEXtitle 11 6" xfId="14977" xr:uid="{00000000-0005-0000-0000-000033790000}"/>
    <cellStyle name="SAPBEXtitle 11 7" xfId="18227" xr:uid="{00000000-0005-0000-0000-000034790000}"/>
    <cellStyle name="SAPBEXtitle 11 8" xfId="19673" xr:uid="{00000000-0005-0000-0000-000035790000}"/>
    <cellStyle name="SAPBEXtitle 11 9" xfId="22808" xr:uid="{00000000-0005-0000-0000-000036790000}"/>
    <cellStyle name="SAPBEXtitle 12" xfId="3531" xr:uid="{00000000-0005-0000-0000-000037790000}"/>
    <cellStyle name="SAPBEXtitle 12 2" xfId="6069" xr:uid="{00000000-0005-0000-0000-000038790000}"/>
    <cellStyle name="SAPBEXtitle 12 3" xfId="5526" xr:uid="{00000000-0005-0000-0000-000039790000}"/>
    <cellStyle name="SAPBEXtitle 12 4" xfId="11901" xr:uid="{00000000-0005-0000-0000-00003A790000}"/>
    <cellStyle name="SAPBEXtitle 12 5" xfId="14373" xr:uid="{00000000-0005-0000-0000-00003B790000}"/>
    <cellStyle name="SAPBEXtitle 12 6" xfId="15246" xr:uid="{00000000-0005-0000-0000-00003C790000}"/>
    <cellStyle name="SAPBEXtitle 12 7" xfId="19069" xr:uid="{00000000-0005-0000-0000-00003D790000}"/>
    <cellStyle name="SAPBEXtitle 12 8" xfId="19942" xr:uid="{00000000-0005-0000-0000-00003E790000}"/>
    <cellStyle name="SAPBEXtitle 12 9" xfId="23576" xr:uid="{00000000-0005-0000-0000-00003F790000}"/>
    <cellStyle name="SAPBEXtitle 13" xfId="3574" xr:uid="{00000000-0005-0000-0000-000040790000}"/>
    <cellStyle name="SAPBEXtitle 13 2" xfId="6112" xr:uid="{00000000-0005-0000-0000-000041790000}"/>
    <cellStyle name="SAPBEXtitle 13 3" xfId="9663" xr:uid="{00000000-0005-0000-0000-000042790000}"/>
    <cellStyle name="SAPBEXtitle 13 4" xfId="10419" xr:uid="{00000000-0005-0000-0000-000043790000}"/>
    <cellStyle name="SAPBEXtitle 13 5" xfId="12744" xr:uid="{00000000-0005-0000-0000-000044790000}"/>
    <cellStyle name="SAPBEXtitle 13 6" xfId="16281" xr:uid="{00000000-0005-0000-0000-000045790000}"/>
    <cellStyle name="SAPBEXtitle 13 7" xfId="17440" xr:uid="{00000000-0005-0000-0000-000046790000}"/>
    <cellStyle name="SAPBEXtitle 13 8" xfId="20977" xr:uid="{00000000-0005-0000-0000-000047790000}"/>
    <cellStyle name="SAPBEXtitle 13 9" xfId="22090" xr:uid="{00000000-0005-0000-0000-000048790000}"/>
    <cellStyle name="SAPBEXtitle 14" xfId="3467" xr:uid="{00000000-0005-0000-0000-000049790000}"/>
    <cellStyle name="SAPBEXtitle 14 2" xfId="6005" xr:uid="{00000000-0005-0000-0000-00004A790000}"/>
    <cellStyle name="SAPBEXtitle 14 3" xfId="5536" xr:uid="{00000000-0005-0000-0000-00004B790000}"/>
    <cellStyle name="SAPBEXtitle 14 4" xfId="10779" xr:uid="{00000000-0005-0000-0000-00004C790000}"/>
    <cellStyle name="SAPBEXtitle 14 5" xfId="12848" xr:uid="{00000000-0005-0000-0000-00004D790000}"/>
    <cellStyle name="SAPBEXtitle 14 6" xfId="15846" xr:uid="{00000000-0005-0000-0000-00004E790000}"/>
    <cellStyle name="SAPBEXtitle 14 7" xfId="17544" xr:uid="{00000000-0005-0000-0000-00004F790000}"/>
    <cellStyle name="SAPBEXtitle 14 8" xfId="20542" xr:uid="{00000000-0005-0000-0000-000050790000}"/>
    <cellStyle name="SAPBEXtitle 14 9" xfId="22179" xr:uid="{00000000-0005-0000-0000-000051790000}"/>
    <cellStyle name="SAPBEXtitle 15" xfId="3480" xr:uid="{00000000-0005-0000-0000-000052790000}"/>
    <cellStyle name="SAPBEXtitle 15 2" xfId="6018" xr:uid="{00000000-0005-0000-0000-000053790000}"/>
    <cellStyle name="SAPBEXtitle 15 3" xfId="7778" xr:uid="{00000000-0005-0000-0000-000054790000}"/>
    <cellStyle name="SAPBEXtitle 15 4" xfId="11635" xr:uid="{00000000-0005-0000-0000-000055790000}"/>
    <cellStyle name="SAPBEXtitle 15 5" xfId="14079" xr:uid="{00000000-0005-0000-0000-000056790000}"/>
    <cellStyle name="SAPBEXtitle 15 6" xfId="16816" xr:uid="{00000000-0005-0000-0000-000057790000}"/>
    <cellStyle name="SAPBEXtitle 15 7" xfId="18775" xr:uid="{00000000-0005-0000-0000-000058790000}"/>
    <cellStyle name="SAPBEXtitle 15 8" xfId="21512" xr:uid="{00000000-0005-0000-0000-000059790000}"/>
    <cellStyle name="SAPBEXtitle 15 9" xfId="23310" xr:uid="{00000000-0005-0000-0000-00005A790000}"/>
    <cellStyle name="SAPBEXtitle 16" xfId="3643" xr:uid="{00000000-0005-0000-0000-00005B790000}"/>
    <cellStyle name="SAPBEXtitle 16 2" xfId="6181" xr:uid="{00000000-0005-0000-0000-00005C790000}"/>
    <cellStyle name="SAPBEXtitle 16 3" xfId="8333" xr:uid="{00000000-0005-0000-0000-00005D790000}"/>
    <cellStyle name="SAPBEXtitle 16 4" xfId="10133" xr:uid="{00000000-0005-0000-0000-00005E790000}"/>
    <cellStyle name="SAPBEXtitle 16 5" xfId="12960" xr:uid="{00000000-0005-0000-0000-00005F790000}"/>
    <cellStyle name="SAPBEXtitle 16 6" xfId="16889" xr:uid="{00000000-0005-0000-0000-000060790000}"/>
    <cellStyle name="SAPBEXtitle 16 7" xfId="17656" xr:uid="{00000000-0005-0000-0000-000061790000}"/>
    <cellStyle name="SAPBEXtitle 16 8" xfId="21585" xr:uid="{00000000-0005-0000-0000-000062790000}"/>
    <cellStyle name="SAPBEXtitle 16 9" xfId="22285" xr:uid="{00000000-0005-0000-0000-000063790000}"/>
    <cellStyle name="SAPBEXtitle 17" xfId="3686" xr:uid="{00000000-0005-0000-0000-000064790000}"/>
    <cellStyle name="SAPBEXtitle 17 2" xfId="6224" xr:uid="{00000000-0005-0000-0000-000065790000}"/>
    <cellStyle name="SAPBEXtitle 17 3" xfId="9076" xr:uid="{00000000-0005-0000-0000-000066790000}"/>
    <cellStyle name="SAPBEXtitle 17 4" xfId="11449" xr:uid="{00000000-0005-0000-0000-000067790000}"/>
    <cellStyle name="SAPBEXtitle 17 5" xfId="13868" xr:uid="{00000000-0005-0000-0000-000068790000}"/>
    <cellStyle name="SAPBEXtitle 17 6" xfId="15087" xr:uid="{00000000-0005-0000-0000-000069790000}"/>
    <cellStyle name="SAPBEXtitle 17 7" xfId="18564" xr:uid="{00000000-0005-0000-0000-00006A790000}"/>
    <cellStyle name="SAPBEXtitle 17 8" xfId="19783" xr:uid="{00000000-0005-0000-0000-00006B790000}"/>
    <cellStyle name="SAPBEXtitle 17 9" xfId="23124" xr:uid="{00000000-0005-0000-0000-00006C790000}"/>
    <cellStyle name="SAPBEXtitle 18" xfId="3491" xr:uid="{00000000-0005-0000-0000-00006D790000}"/>
    <cellStyle name="SAPBEXtitle 18 2" xfId="6029" xr:uid="{00000000-0005-0000-0000-00006E790000}"/>
    <cellStyle name="SAPBEXtitle 18 3" xfId="9033" xr:uid="{00000000-0005-0000-0000-00006F790000}"/>
    <cellStyle name="SAPBEXtitle 18 4" xfId="11398" xr:uid="{00000000-0005-0000-0000-000070790000}"/>
    <cellStyle name="SAPBEXtitle 18 5" xfId="13813" xr:uid="{00000000-0005-0000-0000-000071790000}"/>
    <cellStyle name="SAPBEXtitle 18 6" xfId="15311" xr:uid="{00000000-0005-0000-0000-000072790000}"/>
    <cellStyle name="SAPBEXtitle 18 7" xfId="18509" xr:uid="{00000000-0005-0000-0000-000073790000}"/>
    <cellStyle name="SAPBEXtitle 18 8" xfId="20007" xr:uid="{00000000-0005-0000-0000-000074790000}"/>
    <cellStyle name="SAPBEXtitle 18 9" xfId="23072" xr:uid="{00000000-0005-0000-0000-000075790000}"/>
    <cellStyle name="SAPBEXtitle 19" xfId="3748" xr:uid="{00000000-0005-0000-0000-000076790000}"/>
    <cellStyle name="SAPBEXtitle 19 2" xfId="6286" xr:uid="{00000000-0005-0000-0000-000077790000}"/>
    <cellStyle name="SAPBEXtitle 19 3" xfId="8149" xr:uid="{00000000-0005-0000-0000-000078790000}"/>
    <cellStyle name="SAPBEXtitle 19 4" xfId="10901" xr:uid="{00000000-0005-0000-0000-000079790000}"/>
    <cellStyle name="SAPBEXtitle 19 5" xfId="13270" xr:uid="{00000000-0005-0000-0000-00007A790000}"/>
    <cellStyle name="SAPBEXtitle 19 6" xfId="15347" xr:uid="{00000000-0005-0000-0000-00007B790000}"/>
    <cellStyle name="SAPBEXtitle 19 7" xfId="17966" xr:uid="{00000000-0005-0000-0000-00007C790000}"/>
    <cellStyle name="SAPBEXtitle 19 8" xfId="20043" xr:uid="{00000000-0005-0000-0000-00007D790000}"/>
    <cellStyle name="SAPBEXtitle 19 9" xfId="22572" xr:uid="{00000000-0005-0000-0000-00007E790000}"/>
    <cellStyle name="SAPBEXtitle 2" xfId="3098" xr:uid="{00000000-0005-0000-0000-00007F790000}"/>
    <cellStyle name="SAPBEXtitle 2 2" xfId="5636" xr:uid="{00000000-0005-0000-0000-000080790000}"/>
    <cellStyle name="SAPBEXtitle 2 3" xfId="8550" xr:uid="{00000000-0005-0000-0000-000081790000}"/>
    <cellStyle name="SAPBEXtitle 2 4" xfId="10565" xr:uid="{00000000-0005-0000-0000-000082790000}"/>
    <cellStyle name="SAPBEXtitle 2 5" xfId="12910" xr:uid="{00000000-0005-0000-0000-000083790000}"/>
    <cellStyle name="SAPBEXtitle 2 6" xfId="16444" xr:uid="{00000000-0005-0000-0000-000084790000}"/>
    <cellStyle name="SAPBEXtitle 2 7" xfId="17606" xr:uid="{00000000-0005-0000-0000-000085790000}"/>
    <cellStyle name="SAPBEXtitle 2 8" xfId="21140" xr:uid="{00000000-0005-0000-0000-000086790000}"/>
    <cellStyle name="SAPBEXtitle 2 9" xfId="22237" xr:uid="{00000000-0005-0000-0000-000087790000}"/>
    <cellStyle name="SAPBEXtitle 20" xfId="3615" xr:uid="{00000000-0005-0000-0000-000088790000}"/>
    <cellStyle name="SAPBEXtitle 20 2" xfId="6153" xr:uid="{00000000-0005-0000-0000-000089790000}"/>
    <cellStyle name="SAPBEXtitle 20 3" xfId="10103" xr:uid="{00000000-0005-0000-0000-00008A790000}"/>
    <cellStyle name="SAPBEXtitle 20 4" xfId="11552" xr:uid="{00000000-0005-0000-0000-00008B790000}"/>
    <cellStyle name="SAPBEXtitle 20 5" xfId="13987" xr:uid="{00000000-0005-0000-0000-00008C790000}"/>
    <cellStyle name="SAPBEXtitle 20 6" xfId="15568" xr:uid="{00000000-0005-0000-0000-00008D790000}"/>
    <cellStyle name="SAPBEXtitle 20 7" xfId="18683" xr:uid="{00000000-0005-0000-0000-00008E790000}"/>
    <cellStyle name="SAPBEXtitle 20 8" xfId="20264" xr:uid="{00000000-0005-0000-0000-00008F790000}"/>
    <cellStyle name="SAPBEXtitle 20 9" xfId="23226" xr:uid="{00000000-0005-0000-0000-000090790000}"/>
    <cellStyle name="SAPBEXtitle 21" xfId="3810" xr:uid="{00000000-0005-0000-0000-000091790000}"/>
    <cellStyle name="SAPBEXtitle 21 2" xfId="6348" xr:uid="{00000000-0005-0000-0000-000092790000}"/>
    <cellStyle name="SAPBEXtitle 21 3" xfId="8220" xr:uid="{00000000-0005-0000-0000-000093790000}"/>
    <cellStyle name="SAPBEXtitle 21 4" xfId="11042" xr:uid="{00000000-0005-0000-0000-000094790000}"/>
    <cellStyle name="SAPBEXtitle 21 5" xfId="13426" xr:uid="{00000000-0005-0000-0000-000095790000}"/>
    <cellStyle name="SAPBEXtitle 21 6" xfId="15552" xr:uid="{00000000-0005-0000-0000-000096790000}"/>
    <cellStyle name="SAPBEXtitle 21 7" xfId="18122" xr:uid="{00000000-0005-0000-0000-000097790000}"/>
    <cellStyle name="SAPBEXtitle 21 8" xfId="20248" xr:uid="{00000000-0005-0000-0000-000098790000}"/>
    <cellStyle name="SAPBEXtitle 21 9" xfId="22715" xr:uid="{00000000-0005-0000-0000-000099790000}"/>
    <cellStyle name="SAPBEXtitle 22" xfId="3794" xr:uid="{00000000-0005-0000-0000-00009A790000}"/>
    <cellStyle name="SAPBEXtitle 22 2" xfId="6332" xr:uid="{00000000-0005-0000-0000-00009B790000}"/>
    <cellStyle name="SAPBEXtitle 22 3" xfId="9239" xr:uid="{00000000-0005-0000-0000-00009C790000}"/>
    <cellStyle name="SAPBEXtitle 22 4" xfId="11153" xr:uid="{00000000-0005-0000-0000-00009D790000}"/>
    <cellStyle name="SAPBEXtitle 22 5" xfId="13549" xr:uid="{00000000-0005-0000-0000-00009E790000}"/>
    <cellStyle name="SAPBEXtitle 22 6" xfId="15821" xr:uid="{00000000-0005-0000-0000-00009F790000}"/>
    <cellStyle name="SAPBEXtitle 22 7" xfId="18245" xr:uid="{00000000-0005-0000-0000-0000A0790000}"/>
    <cellStyle name="SAPBEXtitle 22 8" xfId="20517" xr:uid="{00000000-0005-0000-0000-0000A1790000}"/>
    <cellStyle name="SAPBEXtitle 22 9" xfId="22826" xr:uid="{00000000-0005-0000-0000-0000A2790000}"/>
    <cellStyle name="SAPBEXtitle 23" xfId="3860" xr:uid="{00000000-0005-0000-0000-0000A3790000}"/>
    <cellStyle name="SAPBEXtitle 23 2" xfId="6398" xr:uid="{00000000-0005-0000-0000-0000A4790000}"/>
    <cellStyle name="SAPBEXtitle 23 3" xfId="9740" xr:uid="{00000000-0005-0000-0000-0000A5790000}"/>
    <cellStyle name="SAPBEXtitle 23 4" xfId="11895" xr:uid="{00000000-0005-0000-0000-0000A6790000}"/>
    <cellStyle name="SAPBEXtitle 23 5" xfId="14364" xr:uid="{00000000-0005-0000-0000-0000A7790000}"/>
    <cellStyle name="SAPBEXtitle 23 6" xfId="14341" xr:uid="{00000000-0005-0000-0000-0000A8790000}"/>
    <cellStyle name="SAPBEXtitle 23 7" xfId="19060" xr:uid="{00000000-0005-0000-0000-0000A9790000}"/>
    <cellStyle name="SAPBEXtitle 23 8" xfId="19037" xr:uid="{00000000-0005-0000-0000-0000AA790000}"/>
    <cellStyle name="SAPBEXtitle 23 9" xfId="23570" xr:uid="{00000000-0005-0000-0000-0000AB790000}"/>
    <cellStyle name="SAPBEXtitle 24" xfId="3745" xr:uid="{00000000-0005-0000-0000-0000AC790000}"/>
    <cellStyle name="SAPBEXtitle 24 2" xfId="6283" xr:uid="{00000000-0005-0000-0000-0000AD790000}"/>
    <cellStyle name="SAPBEXtitle 24 3" xfId="8959" xr:uid="{00000000-0005-0000-0000-0000AE790000}"/>
    <cellStyle name="SAPBEXtitle 24 4" xfId="11198" xr:uid="{00000000-0005-0000-0000-0000AF790000}"/>
    <cellStyle name="SAPBEXtitle 24 5" xfId="13599" xr:uid="{00000000-0005-0000-0000-0000B0790000}"/>
    <cellStyle name="SAPBEXtitle 24 6" xfId="15118" xr:uid="{00000000-0005-0000-0000-0000B1790000}"/>
    <cellStyle name="SAPBEXtitle 24 7" xfId="18295" xr:uid="{00000000-0005-0000-0000-0000B2790000}"/>
    <cellStyle name="SAPBEXtitle 24 8" xfId="19814" xr:uid="{00000000-0005-0000-0000-0000B3790000}"/>
    <cellStyle name="SAPBEXtitle 24 9" xfId="22873" xr:uid="{00000000-0005-0000-0000-0000B4790000}"/>
    <cellStyle name="SAPBEXtitle 25" xfId="3922" xr:uid="{00000000-0005-0000-0000-0000B5790000}"/>
    <cellStyle name="SAPBEXtitle 25 2" xfId="6460" xr:uid="{00000000-0005-0000-0000-0000B6790000}"/>
    <cellStyle name="SAPBEXtitle 25 3" xfId="7980" xr:uid="{00000000-0005-0000-0000-0000B7790000}"/>
    <cellStyle name="SAPBEXtitle 25 4" xfId="11630" xr:uid="{00000000-0005-0000-0000-0000B8790000}"/>
    <cellStyle name="SAPBEXtitle 25 5" xfId="14073" xr:uid="{00000000-0005-0000-0000-0000B9790000}"/>
    <cellStyle name="SAPBEXtitle 25 6" xfId="16924" xr:uid="{00000000-0005-0000-0000-0000BA790000}"/>
    <cellStyle name="SAPBEXtitle 25 7" xfId="18769" xr:uid="{00000000-0005-0000-0000-0000BB790000}"/>
    <cellStyle name="SAPBEXtitle 25 8" xfId="21620" xr:uid="{00000000-0005-0000-0000-0000BC790000}"/>
    <cellStyle name="SAPBEXtitle 25 9" xfId="23305" xr:uid="{00000000-0005-0000-0000-0000BD790000}"/>
    <cellStyle name="SAPBEXtitle 26" xfId="3965" xr:uid="{00000000-0005-0000-0000-0000BE790000}"/>
    <cellStyle name="SAPBEXtitle 26 2" xfId="6503" xr:uid="{00000000-0005-0000-0000-0000BF790000}"/>
    <cellStyle name="SAPBEXtitle 26 3" xfId="9385" xr:uid="{00000000-0005-0000-0000-0000C0790000}"/>
    <cellStyle name="SAPBEXtitle 26 4" xfId="12266" xr:uid="{00000000-0005-0000-0000-0000C1790000}"/>
    <cellStyle name="SAPBEXtitle 26 5" xfId="13019" xr:uid="{00000000-0005-0000-0000-0000C2790000}"/>
    <cellStyle name="SAPBEXtitle 26 6" xfId="15714" xr:uid="{00000000-0005-0000-0000-0000C3790000}"/>
    <cellStyle name="SAPBEXtitle 26 7" xfId="17715" xr:uid="{00000000-0005-0000-0000-0000C4790000}"/>
    <cellStyle name="SAPBEXtitle 26 8" xfId="20410" xr:uid="{00000000-0005-0000-0000-0000C5790000}"/>
    <cellStyle name="SAPBEXtitle 26 9" xfId="22343" xr:uid="{00000000-0005-0000-0000-0000C6790000}"/>
    <cellStyle name="SAPBEXtitle 27" xfId="4008" xr:uid="{00000000-0005-0000-0000-0000C7790000}"/>
    <cellStyle name="SAPBEXtitle 27 2" xfId="6546" xr:uid="{00000000-0005-0000-0000-0000C8790000}"/>
    <cellStyle name="SAPBEXtitle 27 3" xfId="8448" xr:uid="{00000000-0005-0000-0000-0000C9790000}"/>
    <cellStyle name="SAPBEXtitle 27 4" xfId="10756" xr:uid="{00000000-0005-0000-0000-0000CA790000}"/>
    <cellStyle name="SAPBEXtitle 27 5" xfId="13111" xr:uid="{00000000-0005-0000-0000-0000CB790000}"/>
    <cellStyle name="SAPBEXtitle 27 6" xfId="16587" xr:uid="{00000000-0005-0000-0000-0000CC790000}"/>
    <cellStyle name="SAPBEXtitle 27 7" xfId="17807" xr:uid="{00000000-0005-0000-0000-0000CD790000}"/>
    <cellStyle name="SAPBEXtitle 27 8" xfId="21283" xr:uid="{00000000-0005-0000-0000-0000CE790000}"/>
    <cellStyle name="SAPBEXtitle 27 9" xfId="22428" xr:uid="{00000000-0005-0000-0000-0000CF790000}"/>
    <cellStyle name="SAPBEXtitle 28" xfId="3727" xr:uid="{00000000-0005-0000-0000-0000D0790000}"/>
    <cellStyle name="SAPBEXtitle 28 2" xfId="6265" xr:uid="{00000000-0005-0000-0000-0000D1790000}"/>
    <cellStyle name="SAPBEXtitle 28 3" xfId="9496" xr:uid="{00000000-0005-0000-0000-0000D2790000}"/>
    <cellStyle name="SAPBEXtitle 28 4" xfId="11036" xr:uid="{00000000-0005-0000-0000-0000D3790000}"/>
    <cellStyle name="SAPBEXtitle 28 5" xfId="13419" xr:uid="{00000000-0005-0000-0000-0000D4790000}"/>
    <cellStyle name="SAPBEXtitle 28 6" xfId="13525" xr:uid="{00000000-0005-0000-0000-0000D5790000}"/>
    <cellStyle name="SAPBEXtitle 28 7" xfId="18115" xr:uid="{00000000-0005-0000-0000-0000D6790000}"/>
    <cellStyle name="SAPBEXtitle 28 8" xfId="18221" xr:uid="{00000000-0005-0000-0000-0000D7790000}"/>
    <cellStyle name="SAPBEXtitle 28 9" xfId="22709" xr:uid="{00000000-0005-0000-0000-0000D8790000}"/>
    <cellStyle name="SAPBEXtitle 29" xfId="3996" xr:uid="{00000000-0005-0000-0000-0000D9790000}"/>
    <cellStyle name="SAPBEXtitle 29 2" xfId="6534" xr:uid="{00000000-0005-0000-0000-0000DA790000}"/>
    <cellStyle name="SAPBEXtitle 29 3" xfId="9856" xr:uid="{00000000-0005-0000-0000-0000DB790000}"/>
    <cellStyle name="SAPBEXtitle 29 4" xfId="12229" xr:uid="{00000000-0005-0000-0000-0000DC790000}"/>
    <cellStyle name="SAPBEXtitle 29 5" xfId="14066" xr:uid="{00000000-0005-0000-0000-0000DD790000}"/>
    <cellStyle name="SAPBEXtitle 29 6" xfId="15427" xr:uid="{00000000-0005-0000-0000-0000DE790000}"/>
    <cellStyle name="SAPBEXtitle 29 7" xfId="18762" xr:uid="{00000000-0005-0000-0000-0000DF790000}"/>
    <cellStyle name="SAPBEXtitle 29 8" xfId="20123" xr:uid="{00000000-0005-0000-0000-0000E0790000}"/>
    <cellStyle name="SAPBEXtitle 29 9" xfId="23299" xr:uid="{00000000-0005-0000-0000-0000E1790000}"/>
    <cellStyle name="SAPBEXtitle 3" xfId="3144" xr:uid="{00000000-0005-0000-0000-0000E2790000}"/>
    <cellStyle name="SAPBEXtitle 3 2" xfId="5682" xr:uid="{00000000-0005-0000-0000-0000E3790000}"/>
    <cellStyle name="SAPBEXtitle 3 3" xfId="8873" xr:uid="{00000000-0005-0000-0000-0000E4790000}"/>
    <cellStyle name="SAPBEXtitle 3 4" xfId="11281" xr:uid="{00000000-0005-0000-0000-0000E5790000}"/>
    <cellStyle name="SAPBEXtitle 3 5" xfId="13687" xr:uid="{00000000-0005-0000-0000-0000E6790000}"/>
    <cellStyle name="SAPBEXtitle 3 6" xfId="15763" xr:uid="{00000000-0005-0000-0000-0000E7790000}"/>
    <cellStyle name="SAPBEXtitle 3 7" xfId="18383" xr:uid="{00000000-0005-0000-0000-0000E8790000}"/>
    <cellStyle name="SAPBEXtitle 3 8" xfId="20459" xr:uid="{00000000-0005-0000-0000-0000E9790000}"/>
    <cellStyle name="SAPBEXtitle 3 9" xfId="22955" xr:uid="{00000000-0005-0000-0000-0000EA790000}"/>
    <cellStyle name="SAPBEXtitle 30" xfId="4113" xr:uid="{00000000-0005-0000-0000-0000EB790000}"/>
    <cellStyle name="SAPBEXtitle 30 2" xfId="6651" xr:uid="{00000000-0005-0000-0000-0000EC790000}"/>
    <cellStyle name="SAPBEXtitle 30 3" xfId="10072" xr:uid="{00000000-0005-0000-0000-0000ED790000}"/>
    <cellStyle name="SAPBEXtitle 30 4" xfId="10580" xr:uid="{00000000-0005-0000-0000-0000EE790000}"/>
    <cellStyle name="SAPBEXtitle 30 5" xfId="12926" xr:uid="{00000000-0005-0000-0000-0000EF790000}"/>
    <cellStyle name="SAPBEXtitle 30 6" xfId="16435" xr:uid="{00000000-0005-0000-0000-0000F0790000}"/>
    <cellStyle name="SAPBEXtitle 30 7" xfId="17622" xr:uid="{00000000-0005-0000-0000-0000F1790000}"/>
    <cellStyle name="SAPBEXtitle 30 8" xfId="21131" xr:uid="{00000000-0005-0000-0000-0000F2790000}"/>
    <cellStyle name="SAPBEXtitle 30 9" xfId="22252" xr:uid="{00000000-0005-0000-0000-0000F3790000}"/>
    <cellStyle name="SAPBEXtitle 31" xfId="4156" xr:uid="{00000000-0005-0000-0000-0000F4790000}"/>
    <cellStyle name="SAPBEXtitle 31 2" xfId="6694" xr:uid="{00000000-0005-0000-0000-0000F5790000}"/>
    <cellStyle name="SAPBEXtitle 31 3" xfId="9540" xr:uid="{00000000-0005-0000-0000-0000F6790000}"/>
    <cellStyle name="SAPBEXtitle 31 4" xfId="10996" xr:uid="{00000000-0005-0000-0000-0000F7790000}"/>
    <cellStyle name="SAPBEXtitle 31 5" xfId="13370" xr:uid="{00000000-0005-0000-0000-0000F8790000}"/>
    <cellStyle name="SAPBEXtitle 31 6" xfId="16076" xr:uid="{00000000-0005-0000-0000-0000F9790000}"/>
    <cellStyle name="SAPBEXtitle 31 7" xfId="18066" xr:uid="{00000000-0005-0000-0000-0000FA790000}"/>
    <cellStyle name="SAPBEXtitle 31 8" xfId="20772" xr:uid="{00000000-0005-0000-0000-0000FB790000}"/>
    <cellStyle name="SAPBEXtitle 31 9" xfId="22669" xr:uid="{00000000-0005-0000-0000-0000FC790000}"/>
    <cellStyle name="SAPBEXtitle 32" xfId="4199" xr:uid="{00000000-0005-0000-0000-0000FD790000}"/>
    <cellStyle name="SAPBEXtitle 32 2" xfId="6737" xr:uid="{00000000-0005-0000-0000-0000FE790000}"/>
    <cellStyle name="SAPBEXtitle 32 3" xfId="10047" xr:uid="{00000000-0005-0000-0000-0000FF790000}"/>
    <cellStyle name="SAPBEXtitle 32 4" xfId="10666" xr:uid="{00000000-0005-0000-0000-0000007A0000}"/>
    <cellStyle name="SAPBEXtitle 32 5" xfId="12833" xr:uid="{00000000-0005-0000-0000-0000017A0000}"/>
    <cellStyle name="SAPBEXtitle 32 6" xfId="15079" xr:uid="{00000000-0005-0000-0000-0000027A0000}"/>
    <cellStyle name="SAPBEXtitle 32 7" xfId="17529" xr:uid="{00000000-0005-0000-0000-0000037A0000}"/>
    <cellStyle name="SAPBEXtitle 32 8" xfId="19775" xr:uid="{00000000-0005-0000-0000-0000047A0000}"/>
    <cellStyle name="SAPBEXtitle 32 9" xfId="22167" xr:uid="{00000000-0005-0000-0000-0000057A0000}"/>
    <cellStyle name="SAPBEXtitle 33" xfId="4241" xr:uid="{00000000-0005-0000-0000-0000067A0000}"/>
    <cellStyle name="SAPBEXtitle 33 2" xfId="6779" xr:uid="{00000000-0005-0000-0000-0000077A0000}"/>
    <cellStyle name="SAPBEXtitle 33 3" xfId="5429" xr:uid="{00000000-0005-0000-0000-0000087A0000}"/>
    <cellStyle name="SAPBEXtitle 33 4" xfId="11375" xr:uid="{00000000-0005-0000-0000-0000097A0000}"/>
    <cellStyle name="SAPBEXtitle 33 5" xfId="13789" xr:uid="{00000000-0005-0000-0000-00000A7A0000}"/>
    <cellStyle name="SAPBEXtitle 33 6" xfId="15251" xr:uid="{00000000-0005-0000-0000-00000B7A0000}"/>
    <cellStyle name="SAPBEXtitle 33 7" xfId="18485" xr:uid="{00000000-0005-0000-0000-00000C7A0000}"/>
    <cellStyle name="SAPBEXtitle 33 8" xfId="19947" xr:uid="{00000000-0005-0000-0000-00000D7A0000}"/>
    <cellStyle name="SAPBEXtitle 33 9" xfId="23049" xr:uid="{00000000-0005-0000-0000-00000E7A0000}"/>
    <cellStyle name="SAPBEXtitle 34" xfId="4284" xr:uid="{00000000-0005-0000-0000-00000F7A0000}"/>
    <cellStyle name="SAPBEXtitle 34 2" xfId="6822" xr:uid="{00000000-0005-0000-0000-0000107A0000}"/>
    <cellStyle name="SAPBEXtitle 34 3" xfId="7900" xr:uid="{00000000-0005-0000-0000-0000117A0000}"/>
    <cellStyle name="SAPBEXtitle 34 4" xfId="8427" xr:uid="{00000000-0005-0000-0000-0000127A0000}"/>
    <cellStyle name="SAPBEXtitle 34 5" xfId="12517" xr:uid="{00000000-0005-0000-0000-0000137A0000}"/>
    <cellStyle name="SAPBEXtitle 34 6" xfId="15515" xr:uid="{00000000-0005-0000-0000-0000147A0000}"/>
    <cellStyle name="SAPBEXtitle 34 7" xfId="17213" xr:uid="{00000000-0005-0000-0000-0000157A0000}"/>
    <cellStyle name="SAPBEXtitle 34 8" xfId="20211" xr:uid="{00000000-0005-0000-0000-0000167A0000}"/>
    <cellStyle name="SAPBEXtitle 34 9" xfId="21884" xr:uid="{00000000-0005-0000-0000-0000177A0000}"/>
    <cellStyle name="SAPBEXtitle 35" xfId="4327" xr:uid="{00000000-0005-0000-0000-0000187A0000}"/>
    <cellStyle name="SAPBEXtitle 35 2" xfId="6865" xr:uid="{00000000-0005-0000-0000-0000197A0000}"/>
    <cellStyle name="SAPBEXtitle 35 3" xfId="8914" xr:uid="{00000000-0005-0000-0000-00001A7A0000}"/>
    <cellStyle name="SAPBEXtitle 35 4" xfId="11931" xr:uid="{00000000-0005-0000-0000-00001B7A0000}"/>
    <cellStyle name="SAPBEXtitle 35 5" xfId="14404" xr:uid="{00000000-0005-0000-0000-00001C7A0000}"/>
    <cellStyle name="SAPBEXtitle 35 6" xfId="12396" xr:uid="{00000000-0005-0000-0000-00001D7A0000}"/>
    <cellStyle name="SAPBEXtitle 35 7" xfId="19100" xr:uid="{00000000-0005-0000-0000-00001E7A0000}"/>
    <cellStyle name="SAPBEXtitle 35 8" xfId="17092" xr:uid="{00000000-0005-0000-0000-00001F7A0000}"/>
    <cellStyle name="SAPBEXtitle 35 9" xfId="23606" xr:uid="{00000000-0005-0000-0000-0000207A0000}"/>
    <cellStyle name="SAPBEXtitle 36" xfId="4370" xr:uid="{00000000-0005-0000-0000-0000217A0000}"/>
    <cellStyle name="SAPBEXtitle 36 2" xfId="6908" xr:uid="{00000000-0005-0000-0000-0000227A0000}"/>
    <cellStyle name="SAPBEXtitle 36 3" xfId="9313" xr:uid="{00000000-0005-0000-0000-0000237A0000}"/>
    <cellStyle name="SAPBEXtitle 36 4" xfId="11683" xr:uid="{00000000-0005-0000-0000-0000247A0000}"/>
    <cellStyle name="SAPBEXtitle 36 5" xfId="13110" xr:uid="{00000000-0005-0000-0000-0000257A0000}"/>
    <cellStyle name="SAPBEXtitle 36 6" xfId="16020" xr:uid="{00000000-0005-0000-0000-0000267A0000}"/>
    <cellStyle name="SAPBEXtitle 36 7" xfId="17806" xr:uid="{00000000-0005-0000-0000-0000277A0000}"/>
    <cellStyle name="SAPBEXtitle 36 8" xfId="20716" xr:uid="{00000000-0005-0000-0000-0000287A0000}"/>
    <cellStyle name="SAPBEXtitle 36 9" xfId="22427" xr:uid="{00000000-0005-0000-0000-0000297A0000}"/>
    <cellStyle name="SAPBEXtitle 37" xfId="4413" xr:uid="{00000000-0005-0000-0000-00002A7A0000}"/>
    <cellStyle name="SAPBEXtitle 37 2" xfId="6951" xr:uid="{00000000-0005-0000-0000-00002B7A0000}"/>
    <cellStyle name="SAPBEXtitle 37 3" xfId="9926" xr:uid="{00000000-0005-0000-0000-00002C7A0000}"/>
    <cellStyle name="SAPBEXtitle 37 4" xfId="10873" xr:uid="{00000000-0005-0000-0000-00002D7A0000}"/>
    <cellStyle name="SAPBEXtitle 37 5" xfId="13239" xr:uid="{00000000-0005-0000-0000-00002E7A0000}"/>
    <cellStyle name="SAPBEXtitle 37 6" xfId="15844" xr:uid="{00000000-0005-0000-0000-00002F7A0000}"/>
    <cellStyle name="SAPBEXtitle 37 7" xfId="17935" xr:uid="{00000000-0005-0000-0000-0000307A0000}"/>
    <cellStyle name="SAPBEXtitle 37 8" xfId="20540" xr:uid="{00000000-0005-0000-0000-0000317A0000}"/>
    <cellStyle name="SAPBEXtitle 37 9" xfId="22544" xr:uid="{00000000-0005-0000-0000-0000327A0000}"/>
    <cellStyle name="SAPBEXtitle 38" xfId="4456" xr:uid="{00000000-0005-0000-0000-0000337A0000}"/>
    <cellStyle name="SAPBEXtitle 38 2" xfId="6994" xr:uid="{00000000-0005-0000-0000-0000347A0000}"/>
    <cellStyle name="SAPBEXtitle 38 3" xfId="8323" xr:uid="{00000000-0005-0000-0000-0000357A0000}"/>
    <cellStyle name="SAPBEXtitle 38 4" xfId="10815" xr:uid="{00000000-0005-0000-0000-0000367A0000}"/>
    <cellStyle name="SAPBEXtitle 38 5" xfId="13178" xr:uid="{00000000-0005-0000-0000-0000377A0000}"/>
    <cellStyle name="SAPBEXtitle 38 6" xfId="15659" xr:uid="{00000000-0005-0000-0000-0000387A0000}"/>
    <cellStyle name="SAPBEXtitle 38 7" xfId="17874" xr:uid="{00000000-0005-0000-0000-0000397A0000}"/>
    <cellStyle name="SAPBEXtitle 38 8" xfId="20355" xr:uid="{00000000-0005-0000-0000-00003A7A0000}"/>
    <cellStyle name="SAPBEXtitle 38 9" xfId="22486" xr:uid="{00000000-0005-0000-0000-00003B7A0000}"/>
    <cellStyle name="SAPBEXtitle 39" xfId="4437" xr:uid="{00000000-0005-0000-0000-00003C7A0000}"/>
    <cellStyle name="SAPBEXtitle 39 2" xfId="6975" xr:uid="{00000000-0005-0000-0000-00003D7A0000}"/>
    <cellStyle name="SAPBEXtitle 39 3" xfId="8200" xr:uid="{00000000-0005-0000-0000-00003E7A0000}"/>
    <cellStyle name="SAPBEXtitle 39 4" xfId="11189" xr:uid="{00000000-0005-0000-0000-00003F7A0000}"/>
    <cellStyle name="SAPBEXtitle 39 5" xfId="13589" xr:uid="{00000000-0005-0000-0000-0000407A0000}"/>
    <cellStyle name="SAPBEXtitle 39 6" xfId="16310" xr:uid="{00000000-0005-0000-0000-0000417A0000}"/>
    <cellStyle name="SAPBEXtitle 39 7" xfId="18285" xr:uid="{00000000-0005-0000-0000-0000427A0000}"/>
    <cellStyle name="SAPBEXtitle 39 8" xfId="21006" xr:uid="{00000000-0005-0000-0000-0000437A0000}"/>
    <cellStyle name="SAPBEXtitle 39 9" xfId="22864" xr:uid="{00000000-0005-0000-0000-0000447A0000}"/>
    <cellStyle name="SAPBEXtitle 4" xfId="3187" xr:uid="{00000000-0005-0000-0000-0000457A0000}"/>
    <cellStyle name="SAPBEXtitle 4 2" xfId="5725" xr:uid="{00000000-0005-0000-0000-0000467A0000}"/>
    <cellStyle name="SAPBEXtitle 4 3" xfId="9790" xr:uid="{00000000-0005-0000-0000-0000477A0000}"/>
    <cellStyle name="SAPBEXtitle 4 4" xfId="11362" xr:uid="{00000000-0005-0000-0000-0000487A0000}"/>
    <cellStyle name="SAPBEXtitle 4 5" xfId="13775" xr:uid="{00000000-0005-0000-0000-0000497A0000}"/>
    <cellStyle name="SAPBEXtitle 4 6" xfId="15190" xr:uid="{00000000-0005-0000-0000-00004A7A0000}"/>
    <cellStyle name="SAPBEXtitle 4 7" xfId="18471" xr:uid="{00000000-0005-0000-0000-00004B7A0000}"/>
    <cellStyle name="SAPBEXtitle 4 8" xfId="19886" xr:uid="{00000000-0005-0000-0000-00004C7A0000}"/>
    <cellStyle name="SAPBEXtitle 4 9" xfId="23036" xr:uid="{00000000-0005-0000-0000-00004D7A0000}"/>
    <cellStyle name="SAPBEXtitle 40" xfId="4542" xr:uid="{00000000-0005-0000-0000-00004E7A0000}"/>
    <cellStyle name="SAPBEXtitle 40 2" xfId="7080" xr:uid="{00000000-0005-0000-0000-00004F7A0000}"/>
    <cellStyle name="SAPBEXtitle 40 3" xfId="9917" xr:uid="{00000000-0005-0000-0000-0000507A0000}"/>
    <cellStyle name="SAPBEXtitle 40 4" xfId="12248" xr:uid="{00000000-0005-0000-0000-0000517A0000}"/>
    <cellStyle name="SAPBEXtitle 40 5" xfId="12319" xr:uid="{00000000-0005-0000-0000-0000527A0000}"/>
    <cellStyle name="SAPBEXtitle 40 6" xfId="15147" xr:uid="{00000000-0005-0000-0000-0000537A0000}"/>
    <cellStyle name="SAPBEXtitle 40 7" xfId="17015" xr:uid="{00000000-0005-0000-0000-0000547A0000}"/>
    <cellStyle name="SAPBEXtitle 40 8" xfId="19843" xr:uid="{00000000-0005-0000-0000-0000557A0000}"/>
    <cellStyle name="SAPBEXtitle 40 9" xfId="21709" xr:uid="{00000000-0005-0000-0000-0000567A0000}"/>
    <cellStyle name="SAPBEXtitle 41" xfId="4585" xr:uid="{00000000-0005-0000-0000-0000577A0000}"/>
    <cellStyle name="SAPBEXtitle 41 2" xfId="7123" xr:uid="{00000000-0005-0000-0000-0000587A0000}"/>
    <cellStyle name="SAPBEXtitle 41 3" xfId="10044" xr:uid="{00000000-0005-0000-0000-0000597A0000}"/>
    <cellStyle name="SAPBEXtitle 41 4" xfId="8449" xr:uid="{00000000-0005-0000-0000-00005A7A0000}"/>
    <cellStyle name="SAPBEXtitle 41 5" xfId="12364" xr:uid="{00000000-0005-0000-0000-00005B7A0000}"/>
    <cellStyle name="SAPBEXtitle 41 6" xfId="15877" xr:uid="{00000000-0005-0000-0000-00005C7A0000}"/>
    <cellStyle name="SAPBEXtitle 41 7" xfId="17060" xr:uid="{00000000-0005-0000-0000-00005D7A0000}"/>
    <cellStyle name="SAPBEXtitle 41 8" xfId="20573" xr:uid="{00000000-0005-0000-0000-00005E7A0000}"/>
    <cellStyle name="SAPBEXtitle 41 9" xfId="21750" xr:uid="{00000000-0005-0000-0000-00005F7A0000}"/>
    <cellStyle name="SAPBEXtitle 42" xfId="4628" xr:uid="{00000000-0005-0000-0000-0000607A0000}"/>
    <cellStyle name="SAPBEXtitle 42 2" xfId="7166" xr:uid="{00000000-0005-0000-0000-0000617A0000}"/>
    <cellStyle name="SAPBEXtitle 42 3" xfId="8021" xr:uid="{00000000-0005-0000-0000-0000627A0000}"/>
    <cellStyle name="SAPBEXtitle 42 4" xfId="11481" xr:uid="{00000000-0005-0000-0000-0000637A0000}"/>
    <cellStyle name="SAPBEXtitle 42 5" xfId="13906" xr:uid="{00000000-0005-0000-0000-0000647A0000}"/>
    <cellStyle name="SAPBEXtitle 42 6" xfId="16835" xr:uid="{00000000-0005-0000-0000-0000657A0000}"/>
    <cellStyle name="SAPBEXtitle 42 7" xfId="18602" xr:uid="{00000000-0005-0000-0000-0000667A0000}"/>
    <cellStyle name="SAPBEXtitle 42 8" xfId="21531" xr:uid="{00000000-0005-0000-0000-0000677A0000}"/>
    <cellStyle name="SAPBEXtitle 42 9" xfId="23156" xr:uid="{00000000-0005-0000-0000-0000687A0000}"/>
    <cellStyle name="SAPBEXtitle 43" xfId="4671" xr:uid="{00000000-0005-0000-0000-0000697A0000}"/>
    <cellStyle name="SAPBEXtitle 43 2" xfId="7209" xr:uid="{00000000-0005-0000-0000-00006A7A0000}"/>
    <cellStyle name="SAPBEXtitle 43 3" xfId="8593" xr:uid="{00000000-0005-0000-0000-00006B7A0000}"/>
    <cellStyle name="SAPBEXtitle 43 4" xfId="11682" xr:uid="{00000000-0005-0000-0000-00006C7A0000}"/>
    <cellStyle name="SAPBEXtitle 43 5" xfId="14129" xr:uid="{00000000-0005-0000-0000-00006D7A0000}"/>
    <cellStyle name="SAPBEXtitle 43 6" xfId="16464" xr:uid="{00000000-0005-0000-0000-00006E7A0000}"/>
    <cellStyle name="SAPBEXtitle 43 7" xfId="18825" xr:uid="{00000000-0005-0000-0000-00006F7A0000}"/>
    <cellStyle name="SAPBEXtitle 43 8" xfId="21160" xr:uid="{00000000-0005-0000-0000-0000707A0000}"/>
    <cellStyle name="SAPBEXtitle 43 9" xfId="23356" xr:uid="{00000000-0005-0000-0000-0000717A0000}"/>
    <cellStyle name="SAPBEXtitle 44" xfId="4713" xr:uid="{00000000-0005-0000-0000-0000727A0000}"/>
    <cellStyle name="SAPBEXtitle 44 2" xfId="7251" xr:uid="{00000000-0005-0000-0000-0000737A0000}"/>
    <cellStyle name="SAPBEXtitle 44 3" xfId="8285" xr:uid="{00000000-0005-0000-0000-0000747A0000}"/>
    <cellStyle name="SAPBEXtitle 44 4" xfId="10594" xr:uid="{00000000-0005-0000-0000-0000757A0000}"/>
    <cellStyle name="SAPBEXtitle 44 5" xfId="12942" xr:uid="{00000000-0005-0000-0000-0000767A0000}"/>
    <cellStyle name="SAPBEXtitle 44 6" xfId="13485" xr:uid="{00000000-0005-0000-0000-0000777A0000}"/>
    <cellStyle name="SAPBEXtitle 44 7" xfId="17638" xr:uid="{00000000-0005-0000-0000-0000787A0000}"/>
    <cellStyle name="SAPBEXtitle 44 8" xfId="18181" xr:uid="{00000000-0005-0000-0000-0000797A0000}"/>
    <cellStyle name="SAPBEXtitle 44 9" xfId="22267" xr:uid="{00000000-0005-0000-0000-00007A7A0000}"/>
    <cellStyle name="SAPBEXtitle 45" xfId="4756" xr:uid="{00000000-0005-0000-0000-00007B7A0000}"/>
    <cellStyle name="SAPBEXtitle 45 2" xfId="7294" xr:uid="{00000000-0005-0000-0000-00007C7A0000}"/>
    <cellStyle name="SAPBEXtitle 45 3" xfId="8049" xr:uid="{00000000-0005-0000-0000-00007D7A0000}"/>
    <cellStyle name="SAPBEXtitle 45 4" xfId="10494" xr:uid="{00000000-0005-0000-0000-00007E7A0000}"/>
    <cellStyle name="SAPBEXtitle 45 5" xfId="12829" xr:uid="{00000000-0005-0000-0000-00007F7A0000}"/>
    <cellStyle name="SAPBEXtitle 45 6" xfId="15335" xr:uid="{00000000-0005-0000-0000-0000807A0000}"/>
    <cellStyle name="SAPBEXtitle 45 7" xfId="17525" xr:uid="{00000000-0005-0000-0000-0000817A0000}"/>
    <cellStyle name="SAPBEXtitle 45 8" xfId="20031" xr:uid="{00000000-0005-0000-0000-0000827A0000}"/>
    <cellStyle name="SAPBEXtitle 45 9" xfId="22164" xr:uid="{00000000-0005-0000-0000-0000837A0000}"/>
    <cellStyle name="SAPBEXtitle 46" xfId="4501" xr:uid="{00000000-0005-0000-0000-0000847A0000}"/>
    <cellStyle name="SAPBEXtitle 46 2" xfId="7039" xr:uid="{00000000-0005-0000-0000-0000857A0000}"/>
    <cellStyle name="SAPBEXtitle 46 3" xfId="9902" xr:uid="{00000000-0005-0000-0000-0000867A0000}"/>
    <cellStyle name="SAPBEXtitle 46 4" xfId="11391" xr:uid="{00000000-0005-0000-0000-0000877A0000}"/>
    <cellStyle name="SAPBEXtitle 46 5" xfId="13806" xr:uid="{00000000-0005-0000-0000-0000887A0000}"/>
    <cellStyle name="SAPBEXtitle 46 6" xfId="16546" xr:uid="{00000000-0005-0000-0000-0000897A0000}"/>
    <cellStyle name="SAPBEXtitle 46 7" xfId="18502" xr:uid="{00000000-0005-0000-0000-00008A7A0000}"/>
    <cellStyle name="SAPBEXtitle 46 8" xfId="21242" xr:uid="{00000000-0005-0000-0000-00008B7A0000}"/>
    <cellStyle name="SAPBEXtitle 46 9" xfId="23065" xr:uid="{00000000-0005-0000-0000-00008C7A0000}"/>
    <cellStyle name="SAPBEXtitle 47" xfId="4818" xr:uid="{00000000-0005-0000-0000-00008D7A0000}"/>
    <cellStyle name="SAPBEXtitle 47 2" xfId="7356" xr:uid="{00000000-0005-0000-0000-00008E7A0000}"/>
    <cellStyle name="SAPBEXtitle 47 3" xfId="9776" xr:uid="{00000000-0005-0000-0000-00008F7A0000}"/>
    <cellStyle name="SAPBEXtitle 47 4" xfId="10268" xr:uid="{00000000-0005-0000-0000-0000907A0000}"/>
    <cellStyle name="SAPBEXtitle 47 5" xfId="12578" xr:uid="{00000000-0005-0000-0000-0000917A0000}"/>
    <cellStyle name="SAPBEXtitle 47 6" xfId="15886" xr:uid="{00000000-0005-0000-0000-0000927A0000}"/>
    <cellStyle name="SAPBEXtitle 47 7" xfId="17274" xr:uid="{00000000-0005-0000-0000-0000937A0000}"/>
    <cellStyle name="SAPBEXtitle 47 8" xfId="20582" xr:uid="{00000000-0005-0000-0000-0000947A0000}"/>
    <cellStyle name="SAPBEXtitle 47 9" xfId="21937" xr:uid="{00000000-0005-0000-0000-0000957A0000}"/>
    <cellStyle name="SAPBEXtitle 48" xfId="4861" xr:uid="{00000000-0005-0000-0000-0000967A0000}"/>
    <cellStyle name="SAPBEXtitle 48 2" xfId="7399" xr:uid="{00000000-0005-0000-0000-0000977A0000}"/>
    <cellStyle name="SAPBEXtitle 48 3" xfId="9589" xr:uid="{00000000-0005-0000-0000-0000987A0000}"/>
    <cellStyle name="SAPBEXtitle 48 4" xfId="12110" xr:uid="{00000000-0005-0000-0000-0000997A0000}"/>
    <cellStyle name="SAPBEXtitle 48 5" xfId="14592" xr:uid="{00000000-0005-0000-0000-00009A7A0000}"/>
    <cellStyle name="SAPBEXtitle 48 6" xfId="16558" xr:uid="{00000000-0005-0000-0000-00009B7A0000}"/>
    <cellStyle name="SAPBEXtitle 48 7" xfId="19288" xr:uid="{00000000-0005-0000-0000-00009C7A0000}"/>
    <cellStyle name="SAPBEXtitle 48 8" xfId="21254" xr:uid="{00000000-0005-0000-0000-00009D7A0000}"/>
    <cellStyle name="SAPBEXtitle 48 9" xfId="23784" xr:uid="{00000000-0005-0000-0000-00009E7A0000}"/>
    <cellStyle name="SAPBEXtitle 49" xfId="4842" xr:uid="{00000000-0005-0000-0000-00009F7A0000}"/>
    <cellStyle name="SAPBEXtitle 49 2" xfId="7380" xr:uid="{00000000-0005-0000-0000-0000A07A0000}"/>
    <cellStyle name="SAPBEXtitle 49 3" xfId="9930" xr:uid="{00000000-0005-0000-0000-0000A17A0000}"/>
    <cellStyle name="SAPBEXtitle 49 4" xfId="12208" xr:uid="{00000000-0005-0000-0000-0000A27A0000}"/>
    <cellStyle name="SAPBEXtitle 49 5" xfId="14855" xr:uid="{00000000-0005-0000-0000-0000A37A0000}"/>
    <cellStyle name="SAPBEXtitle 49 6" xfId="16903" xr:uid="{00000000-0005-0000-0000-0000A47A0000}"/>
    <cellStyle name="SAPBEXtitle 49 7" xfId="19551" xr:uid="{00000000-0005-0000-0000-0000A57A0000}"/>
    <cellStyle name="SAPBEXtitle 49 8" xfId="21599" xr:uid="{00000000-0005-0000-0000-0000A67A0000}"/>
    <cellStyle name="SAPBEXtitle 49 9" xfId="24027" xr:uid="{00000000-0005-0000-0000-0000A77A0000}"/>
    <cellStyle name="SAPBEXtitle 5" xfId="3230" xr:uid="{00000000-0005-0000-0000-0000A87A0000}"/>
    <cellStyle name="SAPBEXtitle 5 2" xfId="5768" xr:uid="{00000000-0005-0000-0000-0000A97A0000}"/>
    <cellStyle name="SAPBEXtitle 5 3" xfId="9697" xr:uid="{00000000-0005-0000-0000-0000AA7A0000}"/>
    <cellStyle name="SAPBEXtitle 5 4" xfId="10729" xr:uid="{00000000-0005-0000-0000-0000AB7A0000}"/>
    <cellStyle name="SAPBEXtitle 5 5" xfId="13084" xr:uid="{00000000-0005-0000-0000-0000AC7A0000}"/>
    <cellStyle name="SAPBEXtitle 5 6" xfId="15344" xr:uid="{00000000-0005-0000-0000-0000AD7A0000}"/>
    <cellStyle name="SAPBEXtitle 5 7" xfId="17780" xr:uid="{00000000-0005-0000-0000-0000AE7A0000}"/>
    <cellStyle name="SAPBEXtitle 5 8" xfId="20040" xr:uid="{00000000-0005-0000-0000-0000AF7A0000}"/>
    <cellStyle name="SAPBEXtitle 5 9" xfId="22402" xr:uid="{00000000-0005-0000-0000-0000B07A0000}"/>
    <cellStyle name="SAPBEXtitle 50" xfId="4941" xr:uid="{00000000-0005-0000-0000-0000B17A0000}"/>
    <cellStyle name="SAPBEXtitle 50 2" xfId="7479" xr:uid="{00000000-0005-0000-0000-0000B27A0000}"/>
    <cellStyle name="SAPBEXtitle 50 3" xfId="9188" xr:uid="{00000000-0005-0000-0000-0000B37A0000}"/>
    <cellStyle name="SAPBEXtitle 50 4" xfId="11787" xr:uid="{00000000-0005-0000-0000-0000B47A0000}"/>
    <cellStyle name="SAPBEXtitle 50 5" xfId="14010" xr:uid="{00000000-0005-0000-0000-0000B57A0000}"/>
    <cellStyle name="SAPBEXtitle 50 6" xfId="16238" xr:uid="{00000000-0005-0000-0000-0000B67A0000}"/>
    <cellStyle name="SAPBEXtitle 50 7" xfId="18706" xr:uid="{00000000-0005-0000-0000-0000B77A0000}"/>
    <cellStyle name="SAPBEXtitle 50 8" xfId="20934" xr:uid="{00000000-0005-0000-0000-0000B87A0000}"/>
    <cellStyle name="SAPBEXtitle 50 9" xfId="23247" xr:uid="{00000000-0005-0000-0000-0000B97A0000}"/>
    <cellStyle name="SAPBEXtitle 51" xfId="4979" xr:uid="{00000000-0005-0000-0000-0000BA7A0000}"/>
    <cellStyle name="SAPBEXtitle 51 2" xfId="7517" xr:uid="{00000000-0005-0000-0000-0000BB7A0000}"/>
    <cellStyle name="SAPBEXtitle 51 3" xfId="9811" xr:uid="{00000000-0005-0000-0000-0000BC7A0000}"/>
    <cellStyle name="SAPBEXtitle 51 4" xfId="11182" xr:uid="{00000000-0005-0000-0000-0000BD7A0000}"/>
    <cellStyle name="SAPBEXtitle 51 5" xfId="13580" xr:uid="{00000000-0005-0000-0000-0000BE7A0000}"/>
    <cellStyle name="SAPBEXtitle 51 6" xfId="16190" xr:uid="{00000000-0005-0000-0000-0000BF7A0000}"/>
    <cellStyle name="SAPBEXtitle 51 7" xfId="18276" xr:uid="{00000000-0005-0000-0000-0000C07A0000}"/>
    <cellStyle name="SAPBEXtitle 51 8" xfId="20886" xr:uid="{00000000-0005-0000-0000-0000C17A0000}"/>
    <cellStyle name="SAPBEXtitle 51 9" xfId="22855" xr:uid="{00000000-0005-0000-0000-0000C27A0000}"/>
    <cellStyle name="SAPBEXtitle 52" xfId="5017" xr:uid="{00000000-0005-0000-0000-0000C37A0000}"/>
    <cellStyle name="SAPBEXtitle 52 2" xfId="7555" xr:uid="{00000000-0005-0000-0000-0000C47A0000}"/>
    <cellStyle name="SAPBEXtitle 52 3" xfId="8494" xr:uid="{00000000-0005-0000-0000-0000C57A0000}"/>
    <cellStyle name="SAPBEXtitle 52 4" xfId="11033" xr:uid="{00000000-0005-0000-0000-0000C67A0000}"/>
    <cellStyle name="SAPBEXtitle 52 5" xfId="13415" xr:uid="{00000000-0005-0000-0000-0000C77A0000}"/>
    <cellStyle name="SAPBEXtitle 52 6" xfId="16829" xr:uid="{00000000-0005-0000-0000-0000C87A0000}"/>
    <cellStyle name="SAPBEXtitle 52 7" xfId="18111" xr:uid="{00000000-0005-0000-0000-0000C97A0000}"/>
    <cellStyle name="SAPBEXtitle 52 8" xfId="21525" xr:uid="{00000000-0005-0000-0000-0000CA7A0000}"/>
    <cellStyle name="SAPBEXtitle 52 9" xfId="22706" xr:uid="{00000000-0005-0000-0000-0000CB7A0000}"/>
    <cellStyle name="SAPBEXtitle 53" xfId="5054" xr:uid="{00000000-0005-0000-0000-0000CC7A0000}"/>
    <cellStyle name="SAPBEXtitle 53 2" xfId="7592" xr:uid="{00000000-0005-0000-0000-0000CD7A0000}"/>
    <cellStyle name="SAPBEXtitle 53 3" xfId="9241" xr:uid="{00000000-0005-0000-0000-0000CE7A0000}"/>
    <cellStyle name="SAPBEXtitle 53 4" xfId="11416" xr:uid="{00000000-0005-0000-0000-0000CF7A0000}"/>
    <cellStyle name="SAPBEXtitle 53 5" xfId="13832" xr:uid="{00000000-0005-0000-0000-0000D07A0000}"/>
    <cellStyle name="SAPBEXtitle 53 6" xfId="16602" xr:uid="{00000000-0005-0000-0000-0000D17A0000}"/>
    <cellStyle name="SAPBEXtitle 53 7" xfId="18528" xr:uid="{00000000-0005-0000-0000-0000D27A0000}"/>
    <cellStyle name="SAPBEXtitle 53 8" xfId="21298" xr:uid="{00000000-0005-0000-0000-0000D37A0000}"/>
    <cellStyle name="SAPBEXtitle 53 9" xfId="23090" xr:uid="{00000000-0005-0000-0000-0000D47A0000}"/>
    <cellStyle name="SAPBEXtitle 54" xfId="5084" xr:uid="{00000000-0005-0000-0000-0000D57A0000}"/>
    <cellStyle name="SAPBEXtitle 54 2" xfId="7622" xr:uid="{00000000-0005-0000-0000-0000D67A0000}"/>
    <cellStyle name="SAPBEXtitle 54 3" xfId="9643" xr:uid="{00000000-0005-0000-0000-0000D77A0000}"/>
    <cellStyle name="SAPBEXtitle 54 4" xfId="11432" xr:uid="{00000000-0005-0000-0000-0000D87A0000}"/>
    <cellStyle name="SAPBEXtitle 54 5" xfId="13850" xr:uid="{00000000-0005-0000-0000-0000D97A0000}"/>
    <cellStyle name="SAPBEXtitle 54 6" xfId="13059" xr:uid="{00000000-0005-0000-0000-0000DA7A0000}"/>
    <cellStyle name="SAPBEXtitle 54 7" xfId="18546" xr:uid="{00000000-0005-0000-0000-0000DB7A0000}"/>
    <cellStyle name="SAPBEXtitle 54 8" xfId="17755" xr:uid="{00000000-0005-0000-0000-0000DC7A0000}"/>
    <cellStyle name="SAPBEXtitle 54 9" xfId="23107" xr:uid="{00000000-0005-0000-0000-0000DD7A0000}"/>
    <cellStyle name="SAPBEXtitle 55" xfId="5110" xr:uid="{00000000-0005-0000-0000-0000DE7A0000}"/>
    <cellStyle name="SAPBEXtitle 55 2" xfId="7648" xr:uid="{00000000-0005-0000-0000-0000DF7A0000}"/>
    <cellStyle name="SAPBEXtitle 55 3" xfId="9108" xr:uid="{00000000-0005-0000-0000-0000E07A0000}"/>
    <cellStyle name="SAPBEXtitle 55 4" xfId="11311" xr:uid="{00000000-0005-0000-0000-0000E17A0000}"/>
    <cellStyle name="SAPBEXtitle 55 5" xfId="13719" xr:uid="{00000000-0005-0000-0000-0000E27A0000}"/>
    <cellStyle name="SAPBEXtitle 55 6" xfId="16549" xr:uid="{00000000-0005-0000-0000-0000E37A0000}"/>
    <cellStyle name="SAPBEXtitle 55 7" xfId="18415" xr:uid="{00000000-0005-0000-0000-0000E47A0000}"/>
    <cellStyle name="SAPBEXtitle 55 8" xfId="21245" xr:uid="{00000000-0005-0000-0000-0000E57A0000}"/>
    <cellStyle name="SAPBEXtitle 55 9" xfId="22985" xr:uid="{00000000-0005-0000-0000-0000E67A0000}"/>
    <cellStyle name="SAPBEXtitle 56" xfId="5158" xr:uid="{00000000-0005-0000-0000-0000E77A0000}"/>
    <cellStyle name="SAPBEXtitle 56 2" xfId="7696" xr:uid="{00000000-0005-0000-0000-0000E87A0000}"/>
    <cellStyle name="SAPBEXtitle 56 3" xfId="10169" xr:uid="{00000000-0005-0000-0000-0000E97A0000}"/>
    <cellStyle name="SAPBEXtitle 56 4" xfId="10972" xr:uid="{00000000-0005-0000-0000-0000EA7A0000}"/>
    <cellStyle name="SAPBEXtitle 56 5" xfId="13344" xr:uid="{00000000-0005-0000-0000-0000EB7A0000}"/>
    <cellStyle name="SAPBEXtitle 56 6" xfId="15393" xr:uid="{00000000-0005-0000-0000-0000EC7A0000}"/>
    <cellStyle name="SAPBEXtitle 56 7" xfId="18040" xr:uid="{00000000-0005-0000-0000-0000ED7A0000}"/>
    <cellStyle name="SAPBEXtitle 56 8" xfId="20089" xr:uid="{00000000-0005-0000-0000-0000EE7A0000}"/>
    <cellStyle name="SAPBEXtitle 56 9" xfId="22643" xr:uid="{00000000-0005-0000-0000-0000EF7A0000}"/>
    <cellStyle name="SAPBEXtitle 57" xfId="5227" xr:uid="{00000000-0005-0000-0000-0000F07A0000}"/>
    <cellStyle name="SAPBEXtitle 57 2" xfId="7766" xr:uid="{00000000-0005-0000-0000-0000F17A0000}"/>
    <cellStyle name="SAPBEXtitle 57 3" xfId="8120" xr:uid="{00000000-0005-0000-0000-0000F27A0000}"/>
    <cellStyle name="SAPBEXtitle 57 4" xfId="10859" xr:uid="{00000000-0005-0000-0000-0000F37A0000}"/>
    <cellStyle name="SAPBEXtitle 57 5" xfId="13224" xr:uid="{00000000-0005-0000-0000-0000F47A0000}"/>
    <cellStyle name="SAPBEXtitle 57 6" xfId="16958" xr:uid="{00000000-0005-0000-0000-0000F57A0000}"/>
    <cellStyle name="SAPBEXtitle 57 7" xfId="17920" xr:uid="{00000000-0005-0000-0000-0000F67A0000}"/>
    <cellStyle name="SAPBEXtitle 57 8" xfId="21654" xr:uid="{00000000-0005-0000-0000-0000F77A0000}"/>
    <cellStyle name="SAPBEXtitle 57 9" xfId="22530" xr:uid="{00000000-0005-0000-0000-0000F87A0000}"/>
    <cellStyle name="SAPBEXtitle 58" xfId="5265" xr:uid="{00000000-0005-0000-0000-0000F97A0000}"/>
    <cellStyle name="SAPBEXtitle 58 2" xfId="8576" xr:uid="{00000000-0005-0000-0000-0000FA7A0000}"/>
    <cellStyle name="SAPBEXtitle 58 3" xfId="11095" xr:uid="{00000000-0005-0000-0000-0000FB7A0000}"/>
    <cellStyle name="SAPBEXtitle 58 4" xfId="13488" xr:uid="{00000000-0005-0000-0000-0000FC7A0000}"/>
    <cellStyle name="SAPBEXtitle 58 5" xfId="16473" xr:uid="{00000000-0005-0000-0000-0000FD7A0000}"/>
    <cellStyle name="SAPBEXtitle 58 6" xfId="18184" xr:uid="{00000000-0005-0000-0000-0000FE7A0000}"/>
    <cellStyle name="SAPBEXtitle 58 7" xfId="21169" xr:uid="{00000000-0005-0000-0000-0000FF7A0000}"/>
    <cellStyle name="SAPBEXtitle 58 8" xfId="22768" xr:uid="{00000000-0005-0000-0000-0000007B0000}"/>
    <cellStyle name="SAPBEXtitle 59" xfId="10222" xr:uid="{00000000-0005-0000-0000-0000017B0000}"/>
    <cellStyle name="SAPBEXtitle 6" xfId="3273" xr:uid="{00000000-0005-0000-0000-0000027B0000}"/>
    <cellStyle name="SAPBEXtitle 6 2" xfId="5811" xr:uid="{00000000-0005-0000-0000-0000037B0000}"/>
    <cellStyle name="SAPBEXtitle 6 3" xfId="9801" xr:uid="{00000000-0005-0000-0000-0000047B0000}"/>
    <cellStyle name="SAPBEXtitle 6 4" xfId="11913" xr:uid="{00000000-0005-0000-0000-0000057B0000}"/>
    <cellStyle name="SAPBEXtitle 6 5" xfId="14385" xr:uid="{00000000-0005-0000-0000-0000067B0000}"/>
    <cellStyle name="SAPBEXtitle 6 6" xfId="15196" xr:uid="{00000000-0005-0000-0000-0000077B0000}"/>
    <cellStyle name="SAPBEXtitle 6 7" xfId="19081" xr:uid="{00000000-0005-0000-0000-0000087B0000}"/>
    <cellStyle name="SAPBEXtitle 6 8" xfId="19892" xr:uid="{00000000-0005-0000-0000-0000097B0000}"/>
    <cellStyle name="SAPBEXtitle 6 9" xfId="23588" xr:uid="{00000000-0005-0000-0000-00000A7B0000}"/>
    <cellStyle name="SAPBEXtitle 60" xfId="10483" xr:uid="{00000000-0005-0000-0000-00000B7B0000}"/>
    <cellStyle name="SAPBEXtitle 61" xfId="12817" xr:uid="{00000000-0005-0000-0000-00000C7B0000}"/>
    <cellStyle name="SAPBEXtitle 62" xfId="16604" xr:uid="{00000000-0005-0000-0000-00000D7B0000}"/>
    <cellStyle name="SAPBEXtitle 63" xfId="17513" xr:uid="{00000000-0005-0000-0000-00000E7B0000}"/>
    <cellStyle name="SAPBEXtitle 64" xfId="21300" xr:uid="{00000000-0005-0000-0000-00000F7B0000}"/>
    <cellStyle name="SAPBEXtitle 65" xfId="22153" xr:uid="{00000000-0005-0000-0000-0000107B0000}"/>
    <cellStyle name="SAPBEXtitle 66" xfId="42174" xr:uid="{15DF8132-FD5C-407E-BA99-3DB1349BC182}"/>
    <cellStyle name="SAPBEXtitle 7" xfId="3316" xr:uid="{00000000-0005-0000-0000-0000117B0000}"/>
    <cellStyle name="SAPBEXtitle 7 2" xfId="5854" xr:uid="{00000000-0005-0000-0000-0000127B0000}"/>
    <cellStyle name="SAPBEXtitle 7 3" xfId="9971" xr:uid="{00000000-0005-0000-0000-0000137B0000}"/>
    <cellStyle name="SAPBEXtitle 7 4" xfId="11775" xr:uid="{00000000-0005-0000-0000-0000147B0000}"/>
    <cellStyle name="SAPBEXtitle 7 5" xfId="14228" xr:uid="{00000000-0005-0000-0000-0000157B0000}"/>
    <cellStyle name="SAPBEXtitle 7 6" xfId="15542" xr:uid="{00000000-0005-0000-0000-0000167B0000}"/>
    <cellStyle name="SAPBEXtitle 7 7" xfId="18924" xr:uid="{00000000-0005-0000-0000-0000177B0000}"/>
    <cellStyle name="SAPBEXtitle 7 8" xfId="20238" xr:uid="{00000000-0005-0000-0000-0000187B0000}"/>
    <cellStyle name="SAPBEXtitle 7 9" xfId="23449" xr:uid="{00000000-0005-0000-0000-0000197B0000}"/>
    <cellStyle name="SAPBEXtitle 8" xfId="3359" xr:uid="{00000000-0005-0000-0000-00001A7B0000}"/>
    <cellStyle name="SAPBEXtitle 8 2" xfId="5897" xr:uid="{00000000-0005-0000-0000-00001B7B0000}"/>
    <cellStyle name="SAPBEXtitle 8 3" xfId="9803" xr:uid="{00000000-0005-0000-0000-00001C7B0000}"/>
    <cellStyle name="SAPBEXtitle 8 4" xfId="11244" xr:uid="{00000000-0005-0000-0000-00001D7B0000}"/>
    <cellStyle name="SAPBEXtitle 8 5" xfId="13649" xr:uid="{00000000-0005-0000-0000-00001E7B0000}"/>
    <cellStyle name="SAPBEXtitle 8 6" xfId="15547" xr:uid="{00000000-0005-0000-0000-00001F7B0000}"/>
    <cellStyle name="SAPBEXtitle 8 7" xfId="18345" xr:uid="{00000000-0005-0000-0000-0000207B0000}"/>
    <cellStyle name="SAPBEXtitle 8 8" xfId="20243" xr:uid="{00000000-0005-0000-0000-0000217B0000}"/>
    <cellStyle name="SAPBEXtitle 8 9" xfId="22918" xr:uid="{00000000-0005-0000-0000-0000227B0000}"/>
    <cellStyle name="SAPBEXtitle 9" xfId="3402" xr:uid="{00000000-0005-0000-0000-0000237B0000}"/>
    <cellStyle name="SAPBEXtitle 9 2" xfId="5940" xr:uid="{00000000-0005-0000-0000-0000247B0000}"/>
    <cellStyle name="SAPBEXtitle 9 3" xfId="10212" xr:uid="{00000000-0005-0000-0000-0000257B0000}"/>
    <cellStyle name="SAPBEXtitle 9 4" xfId="11999" xr:uid="{00000000-0005-0000-0000-0000267B0000}"/>
    <cellStyle name="SAPBEXtitle 9 5" xfId="14477" xr:uid="{00000000-0005-0000-0000-0000277B0000}"/>
    <cellStyle name="SAPBEXtitle 9 6" xfId="15864" xr:uid="{00000000-0005-0000-0000-0000287B0000}"/>
    <cellStyle name="SAPBEXtitle 9 7" xfId="19173" xr:uid="{00000000-0005-0000-0000-0000297B0000}"/>
    <cellStyle name="SAPBEXtitle 9 8" xfId="20560" xr:uid="{00000000-0005-0000-0000-00002A7B0000}"/>
    <cellStyle name="SAPBEXtitle 9 9" xfId="23674" xr:uid="{00000000-0005-0000-0000-00002B7B0000}"/>
    <cellStyle name="SAPBEXunassignedItem" xfId="2980" xr:uid="{00000000-0005-0000-0000-00002C7B0000}"/>
    <cellStyle name="SAPBEXundefined" xfId="2981" xr:uid="{00000000-0005-0000-0000-00002D7B0000}"/>
    <cellStyle name="SAPBEXundefined 10" xfId="3447" xr:uid="{00000000-0005-0000-0000-00002E7B0000}"/>
    <cellStyle name="SAPBEXundefined 10 2" xfId="5985" xr:uid="{00000000-0005-0000-0000-00002F7B0000}"/>
    <cellStyle name="SAPBEXundefined 10 3" xfId="8541" xr:uid="{00000000-0005-0000-0000-0000307B0000}"/>
    <cellStyle name="SAPBEXundefined 10 4" xfId="11325" xr:uid="{00000000-0005-0000-0000-0000317B0000}"/>
    <cellStyle name="SAPBEXundefined 10 5" xfId="13734" xr:uid="{00000000-0005-0000-0000-0000327B0000}"/>
    <cellStyle name="SAPBEXundefined 10 6" xfId="15176" xr:uid="{00000000-0005-0000-0000-0000337B0000}"/>
    <cellStyle name="SAPBEXundefined 10 7" xfId="18430" xr:uid="{00000000-0005-0000-0000-0000347B0000}"/>
    <cellStyle name="SAPBEXundefined 10 8" xfId="19872" xr:uid="{00000000-0005-0000-0000-0000357B0000}"/>
    <cellStyle name="SAPBEXundefined 10 9" xfId="22999" xr:uid="{00000000-0005-0000-0000-0000367B0000}"/>
    <cellStyle name="SAPBEXundefined 11" xfId="3505" xr:uid="{00000000-0005-0000-0000-0000377B0000}"/>
    <cellStyle name="SAPBEXundefined 11 2" xfId="6043" xr:uid="{00000000-0005-0000-0000-0000387B0000}"/>
    <cellStyle name="SAPBEXundefined 11 3" xfId="7964" xr:uid="{00000000-0005-0000-0000-0000397B0000}"/>
    <cellStyle name="SAPBEXundefined 11 4" xfId="11085" xr:uid="{00000000-0005-0000-0000-00003A7B0000}"/>
    <cellStyle name="SAPBEXundefined 11 5" xfId="13475" xr:uid="{00000000-0005-0000-0000-00003B7B0000}"/>
    <cellStyle name="SAPBEXundefined 11 6" xfId="16245" xr:uid="{00000000-0005-0000-0000-00003C7B0000}"/>
    <cellStyle name="SAPBEXundefined 11 7" xfId="18171" xr:uid="{00000000-0005-0000-0000-00003D7B0000}"/>
    <cellStyle name="SAPBEXundefined 11 8" xfId="20941" xr:uid="{00000000-0005-0000-0000-00003E7B0000}"/>
    <cellStyle name="SAPBEXundefined 11 9" xfId="22758" xr:uid="{00000000-0005-0000-0000-00003F7B0000}"/>
    <cellStyle name="SAPBEXundefined 12" xfId="3533" xr:uid="{00000000-0005-0000-0000-0000407B0000}"/>
    <cellStyle name="SAPBEXundefined 12 2" xfId="6071" xr:uid="{00000000-0005-0000-0000-0000417B0000}"/>
    <cellStyle name="SAPBEXundefined 12 3" xfId="9861" xr:uid="{00000000-0005-0000-0000-0000427B0000}"/>
    <cellStyle name="SAPBEXundefined 12 4" xfId="11603" xr:uid="{00000000-0005-0000-0000-0000437B0000}"/>
    <cellStyle name="SAPBEXundefined 12 5" xfId="14041" xr:uid="{00000000-0005-0000-0000-0000447B0000}"/>
    <cellStyle name="SAPBEXundefined 12 6" xfId="12596" xr:uid="{00000000-0005-0000-0000-0000457B0000}"/>
    <cellStyle name="SAPBEXundefined 12 7" xfId="18737" xr:uid="{00000000-0005-0000-0000-0000467B0000}"/>
    <cellStyle name="SAPBEXundefined 12 8" xfId="17292" xr:uid="{00000000-0005-0000-0000-0000477B0000}"/>
    <cellStyle name="SAPBEXundefined 12 9" xfId="23277" xr:uid="{00000000-0005-0000-0000-0000487B0000}"/>
    <cellStyle name="SAPBEXundefined 13" xfId="3611" xr:uid="{00000000-0005-0000-0000-0000497B0000}"/>
    <cellStyle name="SAPBEXundefined 13 2" xfId="6149" xr:uid="{00000000-0005-0000-0000-00004A7B0000}"/>
    <cellStyle name="SAPBEXundefined 13 3" xfId="8928" xr:uid="{00000000-0005-0000-0000-00004B7B0000}"/>
    <cellStyle name="SAPBEXundefined 13 4" xfId="10969" xr:uid="{00000000-0005-0000-0000-00004C7B0000}"/>
    <cellStyle name="SAPBEXundefined 13 5" xfId="13341" xr:uid="{00000000-0005-0000-0000-00004D7B0000}"/>
    <cellStyle name="SAPBEXundefined 13 6" xfId="15654" xr:uid="{00000000-0005-0000-0000-00004E7B0000}"/>
    <cellStyle name="SAPBEXundefined 13 7" xfId="18037" xr:uid="{00000000-0005-0000-0000-00004F7B0000}"/>
    <cellStyle name="SAPBEXundefined 13 8" xfId="20350" xr:uid="{00000000-0005-0000-0000-0000507B0000}"/>
    <cellStyle name="SAPBEXundefined 13 9" xfId="22640" xr:uid="{00000000-0005-0000-0000-0000517B0000}"/>
    <cellStyle name="SAPBEXundefined 14" xfId="3645" xr:uid="{00000000-0005-0000-0000-0000527B0000}"/>
    <cellStyle name="SAPBEXundefined 14 2" xfId="6183" xr:uid="{00000000-0005-0000-0000-0000537B0000}"/>
    <cellStyle name="SAPBEXundefined 14 3" xfId="9016" xr:uid="{00000000-0005-0000-0000-0000547B0000}"/>
    <cellStyle name="SAPBEXundefined 14 4" xfId="11451" xr:uid="{00000000-0005-0000-0000-0000557B0000}"/>
    <cellStyle name="SAPBEXundefined 14 5" xfId="13871" xr:uid="{00000000-0005-0000-0000-0000567B0000}"/>
    <cellStyle name="SAPBEXundefined 14 6" xfId="14981" xr:uid="{00000000-0005-0000-0000-0000577B0000}"/>
    <cellStyle name="SAPBEXundefined 14 7" xfId="18567" xr:uid="{00000000-0005-0000-0000-0000587B0000}"/>
    <cellStyle name="SAPBEXundefined 14 8" xfId="19677" xr:uid="{00000000-0005-0000-0000-0000597B0000}"/>
    <cellStyle name="SAPBEXundefined 14 9" xfId="23126" xr:uid="{00000000-0005-0000-0000-00005A7B0000}"/>
    <cellStyle name="SAPBEXundefined 15" xfId="3580" xr:uid="{00000000-0005-0000-0000-00005B7B0000}"/>
    <cellStyle name="SAPBEXundefined 15 2" xfId="6118" xr:uid="{00000000-0005-0000-0000-00005C7B0000}"/>
    <cellStyle name="SAPBEXundefined 15 3" xfId="8017" xr:uid="{00000000-0005-0000-0000-00005D7B0000}"/>
    <cellStyle name="SAPBEXundefined 15 4" xfId="10962" xr:uid="{00000000-0005-0000-0000-00005E7B0000}"/>
    <cellStyle name="SAPBEXundefined 15 5" xfId="13333" xr:uid="{00000000-0005-0000-0000-00005F7B0000}"/>
    <cellStyle name="SAPBEXundefined 15 6" xfId="16726" xr:uid="{00000000-0005-0000-0000-0000607B0000}"/>
    <cellStyle name="SAPBEXundefined 15 7" xfId="18029" xr:uid="{00000000-0005-0000-0000-0000617B0000}"/>
    <cellStyle name="SAPBEXundefined 15 8" xfId="21422" xr:uid="{00000000-0005-0000-0000-0000627B0000}"/>
    <cellStyle name="SAPBEXundefined 15 9" xfId="22633" xr:uid="{00000000-0005-0000-0000-0000637B0000}"/>
    <cellStyle name="SAPBEXundefined 16" xfId="3598" xr:uid="{00000000-0005-0000-0000-0000647B0000}"/>
    <cellStyle name="SAPBEXundefined 16 2" xfId="6136" xr:uid="{00000000-0005-0000-0000-0000657B0000}"/>
    <cellStyle name="SAPBEXundefined 16 3" xfId="9796" xr:uid="{00000000-0005-0000-0000-0000667B0000}"/>
    <cellStyle name="SAPBEXundefined 16 4" xfId="11299" xr:uid="{00000000-0005-0000-0000-0000677B0000}"/>
    <cellStyle name="SAPBEXundefined 16 5" xfId="13706" xr:uid="{00000000-0005-0000-0000-0000687B0000}"/>
    <cellStyle name="SAPBEXundefined 16 6" xfId="13444" xr:uid="{00000000-0005-0000-0000-0000697B0000}"/>
    <cellStyle name="SAPBEXundefined 16 7" xfId="18402" xr:uid="{00000000-0005-0000-0000-00006A7B0000}"/>
    <cellStyle name="SAPBEXundefined 16 8" xfId="18140" xr:uid="{00000000-0005-0000-0000-00006B7B0000}"/>
    <cellStyle name="SAPBEXundefined 16 9" xfId="22973" xr:uid="{00000000-0005-0000-0000-00006C7B0000}"/>
    <cellStyle name="SAPBEXundefined 17" xfId="3818" xr:uid="{00000000-0005-0000-0000-00006D7B0000}"/>
    <cellStyle name="SAPBEXundefined 17 2" xfId="6356" xr:uid="{00000000-0005-0000-0000-00006E7B0000}"/>
    <cellStyle name="SAPBEXundefined 17 3" xfId="5431" xr:uid="{00000000-0005-0000-0000-00006F7B0000}"/>
    <cellStyle name="SAPBEXundefined 17 4" xfId="10967" xr:uid="{00000000-0005-0000-0000-0000707B0000}"/>
    <cellStyle name="SAPBEXundefined 17 5" xfId="13339" xr:uid="{00000000-0005-0000-0000-0000717B0000}"/>
    <cellStyle name="SAPBEXundefined 17 6" xfId="16022" xr:uid="{00000000-0005-0000-0000-0000727B0000}"/>
    <cellStyle name="SAPBEXundefined 17 7" xfId="18035" xr:uid="{00000000-0005-0000-0000-0000737B0000}"/>
    <cellStyle name="SAPBEXundefined 17 8" xfId="20718" xr:uid="{00000000-0005-0000-0000-0000747B0000}"/>
    <cellStyle name="SAPBEXundefined 17 9" xfId="22638" xr:uid="{00000000-0005-0000-0000-0000757B0000}"/>
    <cellStyle name="SAPBEXundefined 18" xfId="3660" xr:uid="{00000000-0005-0000-0000-0000767B0000}"/>
    <cellStyle name="SAPBEXundefined 18 2" xfId="6198" xr:uid="{00000000-0005-0000-0000-0000777B0000}"/>
    <cellStyle name="SAPBEXundefined 18 3" xfId="9900" xr:uid="{00000000-0005-0000-0000-0000787B0000}"/>
    <cellStyle name="SAPBEXundefined 18 4" xfId="11517" xr:uid="{00000000-0005-0000-0000-0000797B0000}"/>
    <cellStyle name="SAPBEXundefined 18 5" xfId="13945" xr:uid="{00000000-0005-0000-0000-00007A7B0000}"/>
    <cellStyle name="SAPBEXundefined 18 6" xfId="15788" xr:uid="{00000000-0005-0000-0000-00007B7B0000}"/>
    <cellStyle name="SAPBEXundefined 18 7" xfId="18641" xr:uid="{00000000-0005-0000-0000-00007C7B0000}"/>
    <cellStyle name="SAPBEXundefined 18 8" xfId="20484" xr:uid="{00000000-0005-0000-0000-00007D7B0000}"/>
    <cellStyle name="SAPBEXundefined 18 9" xfId="23191" xr:uid="{00000000-0005-0000-0000-00007E7B0000}"/>
    <cellStyle name="SAPBEXundefined 19" xfId="3924" xr:uid="{00000000-0005-0000-0000-00007F7B0000}"/>
    <cellStyle name="SAPBEXundefined 19 2" xfId="6462" xr:uid="{00000000-0005-0000-0000-0000807B0000}"/>
    <cellStyle name="SAPBEXundefined 19 3" xfId="9101" xr:uid="{00000000-0005-0000-0000-0000817B0000}"/>
    <cellStyle name="SAPBEXundefined 19 4" xfId="10141" xr:uid="{00000000-0005-0000-0000-0000827B0000}"/>
    <cellStyle name="SAPBEXundefined 19 5" xfId="12498" xr:uid="{00000000-0005-0000-0000-0000837B0000}"/>
    <cellStyle name="SAPBEXundefined 19 6" xfId="15526" xr:uid="{00000000-0005-0000-0000-0000847B0000}"/>
    <cellStyle name="SAPBEXundefined 19 7" xfId="17194" xr:uid="{00000000-0005-0000-0000-0000857B0000}"/>
    <cellStyle name="SAPBEXundefined 19 8" xfId="20222" xr:uid="{00000000-0005-0000-0000-0000867B0000}"/>
    <cellStyle name="SAPBEXundefined 19 9" xfId="21868" xr:uid="{00000000-0005-0000-0000-0000877B0000}"/>
    <cellStyle name="SAPBEXundefined 2" xfId="3100" xr:uid="{00000000-0005-0000-0000-0000887B0000}"/>
    <cellStyle name="SAPBEXundefined 2 2" xfId="5638" xr:uid="{00000000-0005-0000-0000-0000897B0000}"/>
    <cellStyle name="SAPBEXundefined 2 3" xfId="8500" xr:uid="{00000000-0005-0000-0000-00008A7B0000}"/>
    <cellStyle name="SAPBEXundefined 2 4" xfId="11396" xr:uid="{00000000-0005-0000-0000-00008B7B0000}"/>
    <cellStyle name="SAPBEXundefined 2 5" xfId="13811" xr:uid="{00000000-0005-0000-0000-00008C7B0000}"/>
    <cellStyle name="SAPBEXundefined 2 6" xfId="15235" xr:uid="{00000000-0005-0000-0000-00008D7B0000}"/>
    <cellStyle name="SAPBEXundefined 2 7" xfId="18507" xr:uid="{00000000-0005-0000-0000-00008E7B0000}"/>
    <cellStyle name="SAPBEXundefined 2 8" xfId="19931" xr:uid="{00000000-0005-0000-0000-00008F7B0000}"/>
    <cellStyle name="SAPBEXundefined 2 9" xfId="23070" xr:uid="{00000000-0005-0000-0000-0000907B0000}"/>
    <cellStyle name="SAPBEXundefined 20" xfId="3967" xr:uid="{00000000-0005-0000-0000-0000917B0000}"/>
    <cellStyle name="SAPBEXundefined 20 2" xfId="6505" xr:uid="{00000000-0005-0000-0000-0000927B0000}"/>
    <cellStyle name="SAPBEXundefined 20 3" xfId="9507" xr:uid="{00000000-0005-0000-0000-0000937B0000}"/>
    <cellStyle name="SAPBEXundefined 20 4" xfId="12122" xr:uid="{00000000-0005-0000-0000-0000947B0000}"/>
    <cellStyle name="SAPBEXundefined 20 5" xfId="14241" xr:uid="{00000000-0005-0000-0000-0000957B0000}"/>
    <cellStyle name="SAPBEXundefined 20 6" xfId="15035" xr:uid="{00000000-0005-0000-0000-0000967B0000}"/>
    <cellStyle name="SAPBEXundefined 20 7" xfId="18937" xr:uid="{00000000-0005-0000-0000-0000977B0000}"/>
    <cellStyle name="SAPBEXundefined 20 8" xfId="19731" xr:uid="{00000000-0005-0000-0000-0000987B0000}"/>
    <cellStyle name="SAPBEXundefined 20 9" xfId="23461" xr:uid="{00000000-0005-0000-0000-0000997B0000}"/>
    <cellStyle name="SAPBEXundefined 21" xfId="3939" xr:uid="{00000000-0005-0000-0000-00009A7B0000}"/>
    <cellStyle name="SAPBEXundefined 21 2" xfId="6477" xr:uid="{00000000-0005-0000-0000-00009B7B0000}"/>
    <cellStyle name="SAPBEXundefined 21 3" xfId="9698" xr:uid="{00000000-0005-0000-0000-00009C7B0000}"/>
    <cellStyle name="SAPBEXundefined 21 4" xfId="10984" xr:uid="{00000000-0005-0000-0000-00009D7B0000}"/>
    <cellStyle name="SAPBEXundefined 21 5" xfId="13358" xr:uid="{00000000-0005-0000-0000-00009E7B0000}"/>
    <cellStyle name="SAPBEXundefined 21 6" xfId="14976" xr:uid="{00000000-0005-0000-0000-00009F7B0000}"/>
    <cellStyle name="SAPBEXundefined 21 7" xfId="18054" xr:uid="{00000000-0005-0000-0000-0000A07B0000}"/>
    <cellStyle name="SAPBEXundefined 21 8" xfId="19672" xr:uid="{00000000-0005-0000-0000-0000A17B0000}"/>
    <cellStyle name="SAPBEXundefined 21 9" xfId="22657" xr:uid="{00000000-0005-0000-0000-0000A27B0000}"/>
    <cellStyle name="SAPBEXundefined 22" xfId="4080" xr:uid="{00000000-0005-0000-0000-0000A37B0000}"/>
    <cellStyle name="SAPBEXundefined 22 2" xfId="6618" xr:uid="{00000000-0005-0000-0000-0000A47B0000}"/>
    <cellStyle name="SAPBEXundefined 22 3" xfId="7818" xr:uid="{00000000-0005-0000-0000-0000A57B0000}"/>
    <cellStyle name="SAPBEXundefined 22 4" xfId="11405" xr:uid="{00000000-0005-0000-0000-0000A67B0000}"/>
    <cellStyle name="SAPBEXundefined 22 5" xfId="13821" xr:uid="{00000000-0005-0000-0000-0000A77B0000}"/>
    <cellStyle name="SAPBEXundefined 22 6" xfId="15428" xr:uid="{00000000-0005-0000-0000-0000A87B0000}"/>
    <cellStyle name="SAPBEXundefined 22 7" xfId="18517" xr:uid="{00000000-0005-0000-0000-0000A97B0000}"/>
    <cellStyle name="SAPBEXundefined 22 8" xfId="20124" xr:uid="{00000000-0005-0000-0000-0000AA7B0000}"/>
    <cellStyle name="SAPBEXundefined 22 9" xfId="23079" xr:uid="{00000000-0005-0000-0000-0000AB7B0000}"/>
    <cellStyle name="SAPBEXundefined 23" xfId="4115" xr:uid="{00000000-0005-0000-0000-0000AC7B0000}"/>
    <cellStyle name="SAPBEXundefined 23 2" xfId="6653" xr:uid="{00000000-0005-0000-0000-0000AD7B0000}"/>
    <cellStyle name="SAPBEXundefined 23 3" xfId="9852" xr:uid="{00000000-0005-0000-0000-0000AE7B0000}"/>
    <cellStyle name="SAPBEXundefined 23 4" xfId="11709" xr:uid="{00000000-0005-0000-0000-0000AF7B0000}"/>
    <cellStyle name="SAPBEXundefined 23 5" xfId="14158" xr:uid="{00000000-0005-0000-0000-0000B07B0000}"/>
    <cellStyle name="SAPBEXundefined 23 6" xfId="15834" xr:uid="{00000000-0005-0000-0000-0000B17B0000}"/>
    <cellStyle name="SAPBEXundefined 23 7" xfId="18854" xr:uid="{00000000-0005-0000-0000-0000B27B0000}"/>
    <cellStyle name="SAPBEXundefined 23 8" xfId="20530" xr:uid="{00000000-0005-0000-0000-0000B37B0000}"/>
    <cellStyle name="SAPBEXundefined 23 9" xfId="23383" xr:uid="{00000000-0005-0000-0000-0000B47B0000}"/>
    <cellStyle name="SAPBEXundefined 24" xfId="4158" xr:uid="{00000000-0005-0000-0000-0000B57B0000}"/>
    <cellStyle name="SAPBEXundefined 24 2" xfId="6696" xr:uid="{00000000-0005-0000-0000-0000B67B0000}"/>
    <cellStyle name="SAPBEXundefined 24 3" xfId="8288" xr:uid="{00000000-0005-0000-0000-0000B77B0000}"/>
    <cellStyle name="SAPBEXundefined 24 4" xfId="12219" xr:uid="{00000000-0005-0000-0000-0000B87B0000}"/>
    <cellStyle name="SAPBEXundefined 24 5" xfId="14835" xr:uid="{00000000-0005-0000-0000-0000B97B0000}"/>
    <cellStyle name="SAPBEXundefined 24 6" xfId="15208" xr:uid="{00000000-0005-0000-0000-0000BA7B0000}"/>
    <cellStyle name="SAPBEXundefined 24 7" xfId="19531" xr:uid="{00000000-0005-0000-0000-0000BB7B0000}"/>
    <cellStyle name="SAPBEXundefined 24 8" xfId="19904" xr:uid="{00000000-0005-0000-0000-0000BC7B0000}"/>
    <cellStyle name="SAPBEXundefined 24 9" xfId="24016" xr:uid="{00000000-0005-0000-0000-0000BD7B0000}"/>
    <cellStyle name="SAPBEXundefined 25" xfId="4201" xr:uid="{00000000-0005-0000-0000-0000BE7B0000}"/>
    <cellStyle name="SAPBEXundefined 25 2" xfId="6739" xr:uid="{00000000-0005-0000-0000-0000BF7B0000}"/>
    <cellStyle name="SAPBEXundefined 25 3" xfId="9243" xr:uid="{00000000-0005-0000-0000-0000C07B0000}"/>
    <cellStyle name="SAPBEXundefined 25 4" xfId="9556" xr:uid="{00000000-0005-0000-0000-0000C17B0000}"/>
    <cellStyle name="SAPBEXundefined 25 5" xfId="12445" xr:uid="{00000000-0005-0000-0000-0000C27B0000}"/>
    <cellStyle name="SAPBEXundefined 25 6" xfId="15677" xr:uid="{00000000-0005-0000-0000-0000C37B0000}"/>
    <cellStyle name="SAPBEXundefined 25 7" xfId="17141" xr:uid="{00000000-0005-0000-0000-0000C47B0000}"/>
    <cellStyle name="SAPBEXundefined 25 8" xfId="20373" xr:uid="{00000000-0005-0000-0000-0000C57B0000}"/>
    <cellStyle name="SAPBEXundefined 25 9" xfId="21824" xr:uid="{00000000-0005-0000-0000-0000C67B0000}"/>
    <cellStyle name="SAPBEXundefined 26" xfId="4243" xr:uid="{00000000-0005-0000-0000-0000C77B0000}"/>
    <cellStyle name="SAPBEXundefined 26 2" xfId="6781" xr:uid="{00000000-0005-0000-0000-0000C87B0000}"/>
    <cellStyle name="SAPBEXundefined 26 3" xfId="9687" xr:uid="{00000000-0005-0000-0000-0000C97B0000}"/>
    <cellStyle name="SAPBEXundefined 26 4" xfId="12155" xr:uid="{00000000-0005-0000-0000-0000CA7B0000}"/>
    <cellStyle name="SAPBEXundefined 26 5" xfId="14638" xr:uid="{00000000-0005-0000-0000-0000CB7B0000}"/>
    <cellStyle name="SAPBEXundefined 26 6" xfId="15655" xr:uid="{00000000-0005-0000-0000-0000CC7B0000}"/>
    <cellStyle name="SAPBEXundefined 26 7" xfId="19334" xr:uid="{00000000-0005-0000-0000-0000CD7B0000}"/>
    <cellStyle name="SAPBEXundefined 26 8" xfId="20351" xr:uid="{00000000-0005-0000-0000-0000CE7B0000}"/>
    <cellStyle name="SAPBEXundefined 26 9" xfId="23829" xr:uid="{00000000-0005-0000-0000-0000CF7B0000}"/>
    <cellStyle name="SAPBEXundefined 27" xfId="4286" xr:uid="{00000000-0005-0000-0000-0000D07B0000}"/>
    <cellStyle name="SAPBEXundefined 27 2" xfId="6824" xr:uid="{00000000-0005-0000-0000-0000D17B0000}"/>
    <cellStyle name="SAPBEXundefined 27 3" xfId="9826" xr:uid="{00000000-0005-0000-0000-0000D27B0000}"/>
    <cellStyle name="SAPBEXundefined 27 4" xfId="10367" xr:uid="{00000000-0005-0000-0000-0000D37B0000}"/>
    <cellStyle name="SAPBEXundefined 27 5" xfId="12689" xr:uid="{00000000-0005-0000-0000-0000D47B0000}"/>
    <cellStyle name="SAPBEXundefined 27 6" xfId="15574" xr:uid="{00000000-0005-0000-0000-0000D57B0000}"/>
    <cellStyle name="SAPBEXundefined 27 7" xfId="17385" xr:uid="{00000000-0005-0000-0000-0000D67B0000}"/>
    <cellStyle name="SAPBEXundefined 27 8" xfId="20270" xr:uid="{00000000-0005-0000-0000-0000D77B0000}"/>
    <cellStyle name="SAPBEXundefined 27 9" xfId="22038" xr:uid="{00000000-0005-0000-0000-0000D87B0000}"/>
    <cellStyle name="SAPBEXundefined 28" xfId="4329" xr:uid="{00000000-0005-0000-0000-0000D97B0000}"/>
    <cellStyle name="SAPBEXundefined 28 2" xfId="6867" xr:uid="{00000000-0005-0000-0000-0000DA7B0000}"/>
    <cellStyle name="SAPBEXundefined 28 3" xfId="8093" xr:uid="{00000000-0005-0000-0000-0000DB7B0000}"/>
    <cellStyle name="SAPBEXundefined 28 4" xfId="12285" xr:uid="{00000000-0005-0000-0000-0000DC7B0000}"/>
    <cellStyle name="SAPBEXundefined 28 5" xfId="13939" xr:uid="{00000000-0005-0000-0000-0000DD7B0000}"/>
    <cellStyle name="SAPBEXundefined 28 6" xfId="16041" xr:uid="{00000000-0005-0000-0000-0000DE7B0000}"/>
    <cellStyle name="SAPBEXundefined 28 7" xfId="18635" xr:uid="{00000000-0005-0000-0000-0000DF7B0000}"/>
    <cellStyle name="SAPBEXundefined 28 8" xfId="20737" xr:uid="{00000000-0005-0000-0000-0000E07B0000}"/>
    <cellStyle name="SAPBEXundefined 28 9" xfId="23186" xr:uid="{00000000-0005-0000-0000-0000E17B0000}"/>
    <cellStyle name="SAPBEXundefined 29" xfId="4372" xr:uid="{00000000-0005-0000-0000-0000E27B0000}"/>
    <cellStyle name="SAPBEXundefined 29 2" xfId="6910" xr:uid="{00000000-0005-0000-0000-0000E37B0000}"/>
    <cellStyle name="SAPBEXundefined 29 3" xfId="7801" xr:uid="{00000000-0005-0000-0000-0000E47B0000}"/>
    <cellStyle name="SAPBEXundefined 29 4" xfId="12221" xr:uid="{00000000-0005-0000-0000-0000E57B0000}"/>
    <cellStyle name="SAPBEXundefined 29 5" xfId="14833" xr:uid="{00000000-0005-0000-0000-0000E67B0000}"/>
    <cellStyle name="SAPBEXundefined 29 6" xfId="15081" xr:uid="{00000000-0005-0000-0000-0000E77B0000}"/>
    <cellStyle name="SAPBEXundefined 29 7" xfId="19529" xr:uid="{00000000-0005-0000-0000-0000E87B0000}"/>
    <cellStyle name="SAPBEXundefined 29 8" xfId="19777" xr:uid="{00000000-0005-0000-0000-0000E97B0000}"/>
    <cellStyle name="SAPBEXundefined 29 9" xfId="24014" xr:uid="{00000000-0005-0000-0000-0000EA7B0000}"/>
    <cellStyle name="SAPBEXundefined 3" xfId="3146" xr:uid="{00000000-0005-0000-0000-0000EB7B0000}"/>
    <cellStyle name="SAPBEXundefined 3 2" xfId="5684" xr:uid="{00000000-0005-0000-0000-0000EC7B0000}"/>
    <cellStyle name="SAPBEXundefined 3 3" xfId="8314" xr:uid="{00000000-0005-0000-0000-0000ED7B0000}"/>
    <cellStyle name="SAPBEXundefined 3 4" xfId="11021" xr:uid="{00000000-0005-0000-0000-0000EE7B0000}"/>
    <cellStyle name="SAPBEXundefined 3 5" xfId="13402" xr:uid="{00000000-0005-0000-0000-0000EF7B0000}"/>
    <cellStyle name="SAPBEXundefined 3 6" xfId="15293" xr:uid="{00000000-0005-0000-0000-0000F07B0000}"/>
    <cellStyle name="SAPBEXundefined 3 7" xfId="18098" xr:uid="{00000000-0005-0000-0000-0000F17B0000}"/>
    <cellStyle name="SAPBEXundefined 3 8" xfId="19989" xr:uid="{00000000-0005-0000-0000-0000F27B0000}"/>
    <cellStyle name="SAPBEXundefined 3 9" xfId="22694" xr:uid="{00000000-0005-0000-0000-0000F37B0000}"/>
    <cellStyle name="SAPBEXundefined 30" xfId="4415" xr:uid="{00000000-0005-0000-0000-0000F47B0000}"/>
    <cellStyle name="SAPBEXundefined 30 2" xfId="6953" xr:uid="{00000000-0005-0000-0000-0000F57B0000}"/>
    <cellStyle name="SAPBEXundefined 30 3" xfId="9673" xr:uid="{00000000-0005-0000-0000-0000F67B0000}"/>
    <cellStyle name="SAPBEXundefined 30 4" xfId="11004" xr:uid="{00000000-0005-0000-0000-0000F77B0000}"/>
    <cellStyle name="SAPBEXundefined 30 5" xfId="13379" xr:uid="{00000000-0005-0000-0000-0000F87B0000}"/>
    <cellStyle name="SAPBEXundefined 30 6" xfId="15397" xr:uid="{00000000-0005-0000-0000-0000F97B0000}"/>
    <cellStyle name="SAPBEXundefined 30 7" xfId="18075" xr:uid="{00000000-0005-0000-0000-0000FA7B0000}"/>
    <cellStyle name="SAPBEXundefined 30 8" xfId="20093" xr:uid="{00000000-0005-0000-0000-0000FB7B0000}"/>
    <cellStyle name="SAPBEXundefined 30 9" xfId="22677" xr:uid="{00000000-0005-0000-0000-0000FC7B0000}"/>
    <cellStyle name="SAPBEXundefined 31" xfId="4458" xr:uid="{00000000-0005-0000-0000-0000FD7B0000}"/>
    <cellStyle name="SAPBEXundefined 31 2" xfId="6996" xr:uid="{00000000-0005-0000-0000-0000FE7B0000}"/>
    <cellStyle name="SAPBEXundefined 31 3" xfId="9360" xr:uid="{00000000-0005-0000-0000-0000FF7B0000}"/>
    <cellStyle name="SAPBEXundefined 31 4" xfId="10445" xr:uid="{00000000-0005-0000-0000-0000007C0000}"/>
    <cellStyle name="SAPBEXundefined 31 5" xfId="12772" xr:uid="{00000000-0005-0000-0000-0000017C0000}"/>
    <cellStyle name="SAPBEXundefined 31 6" xfId="16459" xr:uid="{00000000-0005-0000-0000-0000027C0000}"/>
    <cellStyle name="SAPBEXundefined 31 7" xfId="17468" xr:uid="{00000000-0005-0000-0000-0000037C0000}"/>
    <cellStyle name="SAPBEXundefined 31 8" xfId="21155" xr:uid="{00000000-0005-0000-0000-0000047C0000}"/>
    <cellStyle name="SAPBEXundefined 31 9" xfId="22116" xr:uid="{00000000-0005-0000-0000-0000057C0000}"/>
    <cellStyle name="SAPBEXundefined 32" xfId="4509" xr:uid="{00000000-0005-0000-0000-0000067C0000}"/>
    <cellStyle name="SAPBEXundefined 32 2" xfId="7047" xr:uid="{00000000-0005-0000-0000-0000077C0000}"/>
    <cellStyle name="SAPBEXundefined 32 3" xfId="8216" xr:uid="{00000000-0005-0000-0000-0000087C0000}"/>
    <cellStyle name="SAPBEXundefined 32 4" xfId="7717" xr:uid="{00000000-0005-0000-0000-0000097C0000}"/>
    <cellStyle name="SAPBEXundefined 32 5" xfId="12375" xr:uid="{00000000-0005-0000-0000-00000A7C0000}"/>
    <cellStyle name="SAPBEXundefined 32 6" xfId="15431" xr:uid="{00000000-0005-0000-0000-00000B7C0000}"/>
    <cellStyle name="SAPBEXundefined 32 7" xfId="17071" xr:uid="{00000000-0005-0000-0000-00000C7C0000}"/>
    <cellStyle name="SAPBEXundefined 32 8" xfId="20127" xr:uid="{00000000-0005-0000-0000-00000D7C0000}"/>
    <cellStyle name="SAPBEXundefined 32 9" xfId="21760" xr:uid="{00000000-0005-0000-0000-00000E7C0000}"/>
    <cellStyle name="SAPBEXundefined 33" xfId="4544" xr:uid="{00000000-0005-0000-0000-00000F7C0000}"/>
    <cellStyle name="SAPBEXundefined 33 2" xfId="7082" xr:uid="{00000000-0005-0000-0000-0000107C0000}"/>
    <cellStyle name="SAPBEXundefined 33 3" xfId="8973" xr:uid="{00000000-0005-0000-0000-0000117C0000}"/>
    <cellStyle name="SAPBEXundefined 33 4" xfId="11984" xr:uid="{00000000-0005-0000-0000-0000127C0000}"/>
    <cellStyle name="SAPBEXundefined 33 5" xfId="14462" xr:uid="{00000000-0005-0000-0000-0000137C0000}"/>
    <cellStyle name="SAPBEXundefined 33 6" xfId="15937" xr:uid="{00000000-0005-0000-0000-0000147C0000}"/>
    <cellStyle name="SAPBEXundefined 33 7" xfId="19158" xr:uid="{00000000-0005-0000-0000-0000157C0000}"/>
    <cellStyle name="SAPBEXundefined 33 8" xfId="20633" xr:uid="{00000000-0005-0000-0000-0000167C0000}"/>
    <cellStyle name="SAPBEXundefined 33 9" xfId="23659" xr:uid="{00000000-0005-0000-0000-0000177C0000}"/>
    <cellStyle name="SAPBEXundefined 34" xfId="4587" xr:uid="{00000000-0005-0000-0000-0000187C0000}"/>
    <cellStyle name="SAPBEXundefined 34 2" xfId="7125" xr:uid="{00000000-0005-0000-0000-0000197C0000}"/>
    <cellStyle name="SAPBEXundefined 34 3" xfId="10004" xr:uid="{00000000-0005-0000-0000-00001A7C0000}"/>
    <cellStyle name="SAPBEXundefined 34 4" xfId="10256" xr:uid="{00000000-0005-0000-0000-00001B7C0000}"/>
    <cellStyle name="SAPBEXundefined 34 5" xfId="12564" xr:uid="{00000000-0005-0000-0000-00001C7C0000}"/>
    <cellStyle name="SAPBEXundefined 34 6" xfId="15629" xr:uid="{00000000-0005-0000-0000-00001D7C0000}"/>
    <cellStyle name="SAPBEXundefined 34 7" xfId="17260" xr:uid="{00000000-0005-0000-0000-00001E7C0000}"/>
    <cellStyle name="SAPBEXundefined 34 8" xfId="20325" xr:uid="{00000000-0005-0000-0000-00001F7C0000}"/>
    <cellStyle name="SAPBEXundefined 34 9" xfId="21925" xr:uid="{00000000-0005-0000-0000-0000207C0000}"/>
    <cellStyle name="SAPBEXundefined 35" xfId="4630" xr:uid="{00000000-0005-0000-0000-0000217C0000}"/>
    <cellStyle name="SAPBEXundefined 35 2" xfId="7168" xr:uid="{00000000-0005-0000-0000-0000227C0000}"/>
    <cellStyle name="SAPBEXundefined 35 3" xfId="9260" xr:uid="{00000000-0005-0000-0000-0000237C0000}"/>
    <cellStyle name="SAPBEXundefined 35 4" xfId="12093" xr:uid="{00000000-0005-0000-0000-0000247C0000}"/>
    <cellStyle name="SAPBEXundefined 35 5" xfId="14573" xr:uid="{00000000-0005-0000-0000-0000257C0000}"/>
    <cellStyle name="SAPBEXundefined 35 6" xfId="16049" xr:uid="{00000000-0005-0000-0000-0000267C0000}"/>
    <cellStyle name="SAPBEXundefined 35 7" xfId="19269" xr:uid="{00000000-0005-0000-0000-0000277C0000}"/>
    <cellStyle name="SAPBEXundefined 35 8" xfId="20745" xr:uid="{00000000-0005-0000-0000-0000287C0000}"/>
    <cellStyle name="SAPBEXundefined 35 9" xfId="23765" xr:uid="{00000000-0005-0000-0000-0000297C0000}"/>
    <cellStyle name="SAPBEXundefined 36" xfId="4673" xr:uid="{00000000-0005-0000-0000-00002A7C0000}"/>
    <cellStyle name="SAPBEXundefined 36 2" xfId="7211" xr:uid="{00000000-0005-0000-0000-00002B7C0000}"/>
    <cellStyle name="SAPBEXundefined 36 3" xfId="9923" xr:uid="{00000000-0005-0000-0000-00002C7C0000}"/>
    <cellStyle name="SAPBEXundefined 36 4" xfId="10766" xr:uid="{00000000-0005-0000-0000-00002D7C0000}"/>
    <cellStyle name="SAPBEXundefined 36 5" xfId="13121" xr:uid="{00000000-0005-0000-0000-00002E7C0000}"/>
    <cellStyle name="SAPBEXundefined 36 6" xfId="16679" xr:uid="{00000000-0005-0000-0000-00002F7C0000}"/>
    <cellStyle name="SAPBEXundefined 36 7" xfId="17817" xr:uid="{00000000-0005-0000-0000-0000307C0000}"/>
    <cellStyle name="SAPBEXundefined 36 8" xfId="21375" xr:uid="{00000000-0005-0000-0000-0000317C0000}"/>
    <cellStyle name="SAPBEXundefined 36 9" xfId="22438" xr:uid="{00000000-0005-0000-0000-0000327C0000}"/>
    <cellStyle name="SAPBEXundefined 37" xfId="4715" xr:uid="{00000000-0005-0000-0000-0000337C0000}"/>
    <cellStyle name="SAPBEXundefined 37 2" xfId="7253" xr:uid="{00000000-0005-0000-0000-0000347C0000}"/>
    <cellStyle name="SAPBEXundefined 37 3" xfId="9466" xr:uid="{00000000-0005-0000-0000-0000357C0000}"/>
    <cellStyle name="SAPBEXundefined 37 4" xfId="11203" xr:uid="{00000000-0005-0000-0000-0000367C0000}"/>
    <cellStyle name="SAPBEXundefined 37 5" xfId="13604" xr:uid="{00000000-0005-0000-0000-0000377C0000}"/>
    <cellStyle name="SAPBEXundefined 37 6" xfId="16511" xr:uid="{00000000-0005-0000-0000-0000387C0000}"/>
    <cellStyle name="SAPBEXundefined 37 7" xfId="18300" xr:uid="{00000000-0005-0000-0000-0000397C0000}"/>
    <cellStyle name="SAPBEXundefined 37 8" xfId="21207" xr:uid="{00000000-0005-0000-0000-00003A7C0000}"/>
    <cellStyle name="SAPBEXundefined 37 9" xfId="22878" xr:uid="{00000000-0005-0000-0000-00003B7C0000}"/>
    <cellStyle name="SAPBEXundefined 38" xfId="4687" xr:uid="{00000000-0005-0000-0000-00003C7C0000}"/>
    <cellStyle name="SAPBEXundefined 38 2" xfId="7225" xr:uid="{00000000-0005-0000-0000-00003D7C0000}"/>
    <cellStyle name="SAPBEXundefined 38 3" xfId="9410" xr:uid="{00000000-0005-0000-0000-00003E7C0000}"/>
    <cellStyle name="SAPBEXundefined 38 4" xfId="11705" xr:uid="{00000000-0005-0000-0000-00003F7C0000}"/>
    <cellStyle name="SAPBEXundefined 38 5" xfId="14154" xr:uid="{00000000-0005-0000-0000-0000407C0000}"/>
    <cellStyle name="SAPBEXundefined 38 6" xfId="16234" xr:uid="{00000000-0005-0000-0000-0000417C0000}"/>
    <cellStyle name="SAPBEXundefined 38 7" xfId="18850" xr:uid="{00000000-0005-0000-0000-0000427C0000}"/>
    <cellStyle name="SAPBEXundefined 38 8" xfId="20930" xr:uid="{00000000-0005-0000-0000-0000437C0000}"/>
    <cellStyle name="SAPBEXundefined 38 9" xfId="23379" xr:uid="{00000000-0005-0000-0000-0000447C0000}"/>
    <cellStyle name="SAPBEXundefined 39" xfId="4820" xr:uid="{00000000-0005-0000-0000-0000457C0000}"/>
    <cellStyle name="SAPBEXundefined 39 2" xfId="7358" xr:uid="{00000000-0005-0000-0000-0000467C0000}"/>
    <cellStyle name="SAPBEXundefined 39 3" xfId="8526" xr:uid="{00000000-0005-0000-0000-0000477C0000}"/>
    <cellStyle name="SAPBEXundefined 39 4" xfId="10570" xr:uid="{00000000-0005-0000-0000-0000487C0000}"/>
    <cellStyle name="SAPBEXundefined 39 5" xfId="14905" xr:uid="{00000000-0005-0000-0000-0000497C0000}"/>
    <cellStyle name="SAPBEXundefined 39 6" xfId="16852" xr:uid="{00000000-0005-0000-0000-00004A7C0000}"/>
    <cellStyle name="SAPBEXundefined 39 7" xfId="19601" xr:uid="{00000000-0005-0000-0000-00004B7C0000}"/>
    <cellStyle name="SAPBEXundefined 39 8" xfId="21548" xr:uid="{00000000-0005-0000-0000-00004C7C0000}"/>
    <cellStyle name="SAPBEXundefined 39 9" xfId="24070" xr:uid="{00000000-0005-0000-0000-00004D7C0000}"/>
    <cellStyle name="SAPBEXundefined 4" xfId="3189" xr:uid="{00000000-0005-0000-0000-00004E7C0000}"/>
    <cellStyle name="SAPBEXundefined 4 2" xfId="5727" xr:uid="{00000000-0005-0000-0000-00004F7C0000}"/>
    <cellStyle name="SAPBEXundefined 4 3" xfId="8900" xr:uid="{00000000-0005-0000-0000-0000507C0000}"/>
    <cellStyle name="SAPBEXundefined 4 4" xfId="11816" xr:uid="{00000000-0005-0000-0000-0000517C0000}"/>
    <cellStyle name="SAPBEXundefined 4 5" xfId="14273" xr:uid="{00000000-0005-0000-0000-0000527C0000}"/>
    <cellStyle name="SAPBEXundefined 4 6" xfId="12660" xr:uid="{00000000-0005-0000-0000-0000537C0000}"/>
    <cellStyle name="SAPBEXundefined 4 7" xfId="18969" xr:uid="{00000000-0005-0000-0000-0000547C0000}"/>
    <cellStyle name="SAPBEXundefined 4 8" xfId="17356" xr:uid="{00000000-0005-0000-0000-0000557C0000}"/>
    <cellStyle name="SAPBEXundefined 4 9" xfId="23491" xr:uid="{00000000-0005-0000-0000-0000567C0000}"/>
    <cellStyle name="SAPBEXundefined 40" xfId="4863" xr:uid="{00000000-0005-0000-0000-0000577C0000}"/>
    <cellStyle name="SAPBEXundefined 40 2" xfId="7401" xr:uid="{00000000-0005-0000-0000-0000587C0000}"/>
    <cellStyle name="SAPBEXundefined 40 3" xfId="9034" xr:uid="{00000000-0005-0000-0000-0000597C0000}"/>
    <cellStyle name="SAPBEXundefined 40 4" xfId="11403" xr:uid="{00000000-0005-0000-0000-00005A7C0000}"/>
    <cellStyle name="SAPBEXundefined 40 5" xfId="13818" xr:uid="{00000000-0005-0000-0000-00005B7C0000}"/>
    <cellStyle name="SAPBEXundefined 40 6" xfId="16737" xr:uid="{00000000-0005-0000-0000-00005C7C0000}"/>
    <cellStyle name="SAPBEXundefined 40 7" xfId="18514" xr:uid="{00000000-0005-0000-0000-00005D7C0000}"/>
    <cellStyle name="SAPBEXundefined 40 8" xfId="21433" xr:uid="{00000000-0005-0000-0000-00005E7C0000}"/>
    <cellStyle name="SAPBEXundefined 40 9" xfId="23077" xr:uid="{00000000-0005-0000-0000-00005F7C0000}"/>
    <cellStyle name="SAPBEXundefined 41" xfId="4910" xr:uid="{00000000-0005-0000-0000-0000607C0000}"/>
    <cellStyle name="SAPBEXundefined 41 2" xfId="7448" xr:uid="{00000000-0005-0000-0000-0000617C0000}"/>
    <cellStyle name="SAPBEXundefined 41 3" xfId="8757" xr:uid="{00000000-0005-0000-0000-0000627C0000}"/>
    <cellStyle name="SAPBEXundefined 41 4" xfId="11950" xr:uid="{00000000-0005-0000-0000-0000637C0000}"/>
    <cellStyle name="SAPBEXundefined 41 5" xfId="14424" xr:uid="{00000000-0005-0000-0000-0000647C0000}"/>
    <cellStyle name="SAPBEXundefined 41 6" xfId="15849" xr:uid="{00000000-0005-0000-0000-0000657C0000}"/>
    <cellStyle name="SAPBEXundefined 41 7" xfId="19120" xr:uid="{00000000-0005-0000-0000-0000667C0000}"/>
    <cellStyle name="SAPBEXundefined 41 8" xfId="20545" xr:uid="{00000000-0005-0000-0000-0000677C0000}"/>
    <cellStyle name="SAPBEXundefined 41 9" xfId="23625" xr:uid="{00000000-0005-0000-0000-0000687C0000}"/>
    <cellStyle name="SAPBEXundefined 42" xfId="4942" xr:uid="{00000000-0005-0000-0000-0000697C0000}"/>
    <cellStyle name="SAPBEXundefined 42 2" xfId="7480" xr:uid="{00000000-0005-0000-0000-00006A7C0000}"/>
    <cellStyle name="SAPBEXundefined 42 3" xfId="9210" xr:uid="{00000000-0005-0000-0000-00006B7C0000}"/>
    <cellStyle name="SAPBEXundefined 42 4" xfId="12186" xr:uid="{00000000-0005-0000-0000-00006C7C0000}"/>
    <cellStyle name="SAPBEXundefined 42 5" xfId="14671" xr:uid="{00000000-0005-0000-0000-00006D7C0000}"/>
    <cellStyle name="SAPBEXundefined 42 6" xfId="16985" xr:uid="{00000000-0005-0000-0000-00006E7C0000}"/>
    <cellStyle name="SAPBEXundefined 42 7" xfId="19367" xr:uid="{00000000-0005-0000-0000-00006F7C0000}"/>
    <cellStyle name="SAPBEXundefined 42 8" xfId="21681" xr:uid="{00000000-0005-0000-0000-0000707C0000}"/>
    <cellStyle name="SAPBEXundefined 42 9" xfId="23860" xr:uid="{00000000-0005-0000-0000-0000717C0000}"/>
    <cellStyle name="SAPBEXundefined 43" xfId="4981" xr:uid="{00000000-0005-0000-0000-0000727C0000}"/>
    <cellStyle name="SAPBEXundefined 43 2" xfId="7519" xr:uid="{00000000-0005-0000-0000-0000737C0000}"/>
    <cellStyle name="SAPBEXundefined 43 3" xfId="7798" xr:uid="{00000000-0005-0000-0000-0000747C0000}"/>
    <cellStyle name="SAPBEXundefined 43 4" xfId="10530" xr:uid="{00000000-0005-0000-0000-0000757C0000}"/>
    <cellStyle name="SAPBEXundefined 43 5" xfId="12872" xr:uid="{00000000-0005-0000-0000-0000767C0000}"/>
    <cellStyle name="SAPBEXundefined 43 6" xfId="16761" xr:uid="{00000000-0005-0000-0000-0000777C0000}"/>
    <cellStyle name="SAPBEXundefined 43 7" xfId="17568" xr:uid="{00000000-0005-0000-0000-0000787C0000}"/>
    <cellStyle name="SAPBEXundefined 43 8" xfId="21457" xr:uid="{00000000-0005-0000-0000-0000797C0000}"/>
    <cellStyle name="SAPBEXundefined 43 9" xfId="22201" xr:uid="{00000000-0005-0000-0000-00007A7C0000}"/>
    <cellStyle name="SAPBEXundefined 44" xfId="5019" xr:uid="{00000000-0005-0000-0000-00007B7C0000}"/>
    <cellStyle name="SAPBEXundefined 44 2" xfId="7557" xr:uid="{00000000-0005-0000-0000-00007C7C0000}"/>
    <cellStyle name="SAPBEXundefined 44 3" xfId="8454" xr:uid="{00000000-0005-0000-0000-00007D7C0000}"/>
    <cellStyle name="SAPBEXundefined 44 4" xfId="11588" xr:uid="{00000000-0005-0000-0000-00007E7C0000}"/>
    <cellStyle name="SAPBEXundefined 44 5" xfId="14025" xr:uid="{00000000-0005-0000-0000-00007F7C0000}"/>
    <cellStyle name="SAPBEXundefined 44 6" xfId="16815" xr:uid="{00000000-0005-0000-0000-0000807C0000}"/>
    <cellStyle name="SAPBEXundefined 44 7" xfId="18721" xr:uid="{00000000-0005-0000-0000-0000817C0000}"/>
    <cellStyle name="SAPBEXundefined 44 8" xfId="21511" xr:uid="{00000000-0005-0000-0000-0000827C0000}"/>
    <cellStyle name="SAPBEXundefined 44 9" xfId="23262" xr:uid="{00000000-0005-0000-0000-0000837C0000}"/>
    <cellStyle name="SAPBEXundefined 45" xfId="5055" xr:uid="{00000000-0005-0000-0000-0000847C0000}"/>
    <cellStyle name="SAPBEXundefined 45 2" xfId="7593" xr:uid="{00000000-0005-0000-0000-0000857C0000}"/>
    <cellStyle name="SAPBEXundefined 45 3" xfId="10022" xr:uid="{00000000-0005-0000-0000-0000867C0000}"/>
    <cellStyle name="SAPBEXundefined 45 4" xfId="11071" xr:uid="{00000000-0005-0000-0000-0000877C0000}"/>
    <cellStyle name="SAPBEXundefined 45 5" xfId="13459" xr:uid="{00000000-0005-0000-0000-0000887C0000}"/>
    <cellStyle name="SAPBEXundefined 45 6" xfId="15399" xr:uid="{00000000-0005-0000-0000-0000897C0000}"/>
    <cellStyle name="SAPBEXundefined 45 7" xfId="18155" xr:uid="{00000000-0005-0000-0000-00008A7C0000}"/>
    <cellStyle name="SAPBEXundefined 45 8" xfId="20095" xr:uid="{00000000-0005-0000-0000-00008B7C0000}"/>
    <cellStyle name="SAPBEXundefined 45 9" xfId="22744" xr:uid="{00000000-0005-0000-0000-00008C7C0000}"/>
    <cellStyle name="SAPBEXundefined 46" xfId="5085" xr:uid="{00000000-0005-0000-0000-00008D7C0000}"/>
    <cellStyle name="SAPBEXundefined 46 2" xfId="7623" xr:uid="{00000000-0005-0000-0000-00008E7C0000}"/>
    <cellStyle name="SAPBEXundefined 46 3" xfId="10151" xr:uid="{00000000-0005-0000-0000-00008F7C0000}"/>
    <cellStyle name="SAPBEXundefined 46 4" xfId="10469" xr:uid="{00000000-0005-0000-0000-0000907C0000}"/>
    <cellStyle name="SAPBEXundefined 46 5" xfId="12801" xr:uid="{00000000-0005-0000-0000-0000917C0000}"/>
    <cellStyle name="SAPBEXundefined 46 6" xfId="15681" xr:uid="{00000000-0005-0000-0000-0000927C0000}"/>
    <cellStyle name="SAPBEXundefined 46 7" xfId="17497" xr:uid="{00000000-0005-0000-0000-0000937C0000}"/>
    <cellStyle name="SAPBEXundefined 46 8" xfId="20377" xr:uid="{00000000-0005-0000-0000-0000947C0000}"/>
    <cellStyle name="SAPBEXundefined 46 9" xfId="22139" xr:uid="{00000000-0005-0000-0000-0000957C0000}"/>
    <cellStyle name="SAPBEXundefined 47" xfId="5111" xr:uid="{00000000-0005-0000-0000-0000967C0000}"/>
    <cellStyle name="SAPBEXundefined 47 2" xfId="7649" xr:uid="{00000000-0005-0000-0000-0000977C0000}"/>
    <cellStyle name="SAPBEXundefined 47 3" xfId="8426" xr:uid="{00000000-0005-0000-0000-0000987C0000}"/>
    <cellStyle name="SAPBEXundefined 47 4" xfId="12098" xr:uid="{00000000-0005-0000-0000-0000997C0000}"/>
    <cellStyle name="SAPBEXundefined 47 5" xfId="12676" xr:uid="{00000000-0005-0000-0000-00009A7C0000}"/>
    <cellStyle name="SAPBEXundefined 47 6" xfId="16791" xr:uid="{00000000-0005-0000-0000-00009B7C0000}"/>
    <cellStyle name="SAPBEXundefined 47 7" xfId="17372" xr:uid="{00000000-0005-0000-0000-00009C7C0000}"/>
    <cellStyle name="SAPBEXundefined 47 8" xfId="21487" xr:uid="{00000000-0005-0000-0000-00009D7C0000}"/>
    <cellStyle name="SAPBEXundefined 47 9" xfId="22025" xr:uid="{00000000-0005-0000-0000-00009E7C0000}"/>
    <cellStyle name="SAPBEXundefined 48" xfId="5159" xr:uid="{00000000-0005-0000-0000-00009F7C0000}"/>
    <cellStyle name="SAPBEXundefined 48 2" xfId="7697" xr:uid="{00000000-0005-0000-0000-0000A07C0000}"/>
    <cellStyle name="SAPBEXundefined 48 3" xfId="8807" xr:uid="{00000000-0005-0000-0000-0000A17C0000}"/>
    <cellStyle name="SAPBEXundefined 48 4" xfId="11406" xr:uid="{00000000-0005-0000-0000-0000A27C0000}"/>
    <cellStyle name="SAPBEXundefined 48 5" xfId="13822" xr:uid="{00000000-0005-0000-0000-0000A37C0000}"/>
    <cellStyle name="SAPBEXundefined 48 6" xfId="15249" xr:uid="{00000000-0005-0000-0000-0000A47C0000}"/>
    <cellStyle name="SAPBEXundefined 48 7" xfId="18518" xr:uid="{00000000-0005-0000-0000-0000A57C0000}"/>
    <cellStyle name="SAPBEXundefined 48 8" xfId="19945" xr:uid="{00000000-0005-0000-0000-0000A67C0000}"/>
    <cellStyle name="SAPBEXundefined 48 9" xfId="23080" xr:uid="{00000000-0005-0000-0000-0000A77C0000}"/>
    <cellStyle name="SAPBEXundefined 49" xfId="5228" xr:uid="{00000000-0005-0000-0000-0000A87C0000}"/>
    <cellStyle name="SAPBEXundefined 49 2" xfId="7767" xr:uid="{00000000-0005-0000-0000-0000A97C0000}"/>
    <cellStyle name="SAPBEXundefined 49 3" xfId="8670" xr:uid="{00000000-0005-0000-0000-0000AA7C0000}"/>
    <cellStyle name="SAPBEXundefined 49 4" xfId="8206" xr:uid="{00000000-0005-0000-0000-0000AB7C0000}"/>
    <cellStyle name="SAPBEXundefined 49 5" xfId="13544" xr:uid="{00000000-0005-0000-0000-0000AC7C0000}"/>
    <cellStyle name="SAPBEXundefined 49 6" xfId="15189" xr:uid="{00000000-0005-0000-0000-0000AD7C0000}"/>
    <cellStyle name="SAPBEXundefined 49 7" xfId="18240" xr:uid="{00000000-0005-0000-0000-0000AE7C0000}"/>
    <cellStyle name="SAPBEXundefined 49 8" xfId="19885" xr:uid="{00000000-0005-0000-0000-0000AF7C0000}"/>
    <cellStyle name="SAPBEXundefined 49 9" xfId="22821" xr:uid="{00000000-0005-0000-0000-0000B07C0000}"/>
    <cellStyle name="SAPBEXundefined 5" xfId="3232" xr:uid="{00000000-0005-0000-0000-0000B17C0000}"/>
    <cellStyle name="SAPBEXundefined 5 2" xfId="5770" xr:uid="{00000000-0005-0000-0000-0000B27C0000}"/>
    <cellStyle name="SAPBEXundefined 5 3" xfId="8168" xr:uid="{00000000-0005-0000-0000-0000B37C0000}"/>
    <cellStyle name="SAPBEXundefined 5 4" xfId="11706" xr:uid="{00000000-0005-0000-0000-0000B47C0000}"/>
    <cellStyle name="SAPBEXundefined 5 5" xfId="14155" xr:uid="{00000000-0005-0000-0000-0000B57C0000}"/>
    <cellStyle name="SAPBEXundefined 5 6" xfId="16130" xr:uid="{00000000-0005-0000-0000-0000B67C0000}"/>
    <cellStyle name="SAPBEXundefined 5 7" xfId="18851" xr:uid="{00000000-0005-0000-0000-0000B77C0000}"/>
    <cellStyle name="SAPBEXundefined 5 8" xfId="20826" xr:uid="{00000000-0005-0000-0000-0000B87C0000}"/>
    <cellStyle name="SAPBEXundefined 5 9" xfId="23380" xr:uid="{00000000-0005-0000-0000-0000B97C0000}"/>
    <cellStyle name="SAPBEXundefined 50" xfId="5266" xr:uid="{00000000-0005-0000-0000-0000BA7C0000}"/>
    <cellStyle name="SAPBEXundefined 50 2" xfId="9197" xr:uid="{00000000-0005-0000-0000-0000BB7C0000}"/>
    <cellStyle name="SAPBEXundefined 50 3" xfId="12017" xr:uid="{00000000-0005-0000-0000-0000BC7C0000}"/>
    <cellStyle name="SAPBEXundefined 50 4" xfId="14497" xr:uid="{00000000-0005-0000-0000-0000BD7C0000}"/>
    <cellStyle name="SAPBEXundefined 50 5" xfId="16917" xr:uid="{00000000-0005-0000-0000-0000BE7C0000}"/>
    <cellStyle name="SAPBEXundefined 50 6" xfId="19193" xr:uid="{00000000-0005-0000-0000-0000BF7C0000}"/>
    <cellStyle name="SAPBEXundefined 50 7" xfId="21613" xr:uid="{00000000-0005-0000-0000-0000C07C0000}"/>
    <cellStyle name="SAPBEXundefined 50 8" xfId="23692" xr:uid="{00000000-0005-0000-0000-0000C17C0000}"/>
    <cellStyle name="SAPBEXundefined 51" xfId="9778" xr:uid="{00000000-0005-0000-0000-0000C27C0000}"/>
    <cellStyle name="SAPBEXundefined 52" xfId="11918" xr:uid="{00000000-0005-0000-0000-0000C37C0000}"/>
    <cellStyle name="SAPBEXundefined 53" xfId="14390" xr:uid="{00000000-0005-0000-0000-0000C47C0000}"/>
    <cellStyle name="SAPBEXundefined 54" xfId="13835" xr:uid="{00000000-0005-0000-0000-0000C57C0000}"/>
    <cellStyle name="SAPBEXundefined 55" xfId="19086" xr:uid="{00000000-0005-0000-0000-0000C67C0000}"/>
    <cellStyle name="SAPBEXundefined 56" xfId="18531" xr:uid="{00000000-0005-0000-0000-0000C77C0000}"/>
    <cellStyle name="SAPBEXundefined 57" xfId="23593" xr:uid="{00000000-0005-0000-0000-0000C87C0000}"/>
    <cellStyle name="SAPBEXundefined 58" xfId="32832" xr:uid="{B8726F2F-67C3-4BAB-9A5C-2118842C8311}"/>
    <cellStyle name="SAPBEXundefined 6" xfId="3275" xr:uid="{00000000-0005-0000-0000-0000C97C0000}"/>
    <cellStyle name="SAPBEXundefined 6 2" xfId="5813" xr:uid="{00000000-0005-0000-0000-0000CA7C0000}"/>
    <cellStyle name="SAPBEXundefined 6 3" xfId="9959" xr:uid="{00000000-0005-0000-0000-0000CB7C0000}"/>
    <cellStyle name="SAPBEXundefined 6 4" xfId="12187" xr:uid="{00000000-0005-0000-0000-0000CC7C0000}"/>
    <cellStyle name="SAPBEXundefined 6 5" xfId="14672" xr:uid="{00000000-0005-0000-0000-0000CD7C0000}"/>
    <cellStyle name="SAPBEXundefined 6 6" xfId="12709" xr:uid="{00000000-0005-0000-0000-0000CE7C0000}"/>
    <cellStyle name="SAPBEXundefined 6 7" xfId="19368" xr:uid="{00000000-0005-0000-0000-0000CF7C0000}"/>
    <cellStyle name="SAPBEXundefined 6 8" xfId="17405" xr:uid="{00000000-0005-0000-0000-0000D07C0000}"/>
    <cellStyle name="SAPBEXundefined 6 9" xfId="23861" xr:uid="{00000000-0005-0000-0000-0000D17C0000}"/>
    <cellStyle name="SAPBEXundefined 7" xfId="3318" xr:uid="{00000000-0005-0000-0000-0000D27C0000}"/>
    <cellStyle name="SAPBEXundefined 7 2" xfId="5856" xr:uid="{00000000-0005-0000-0000-0000D37C0000}"/>
    <cellStyle name="SAPBEXundefined 7 3" xfId="9433" xr:uid="{00000000-0005-0000-0000-0000D47C0000}"/>
    <cellStyle name="SAPBEXundefined 7 4" xfId="11001" xr:uid="{00000000-0005-0000-0000-0000D57C0000}"/>
    <cellStyle name="SAPBEXundefined 7 5" xfId="13376" xr:uid="{00000000-0005-0000-0000-0000D67C0000}"/>
    <cellStyle name="SAPBEXundefined 7 6" xfId="16651" xr:uid="{00000000-0005-0000-0000-0000D77C0000}"/>
    <cellStyle name="SAPBEXundefined 7 7" xfId="18072" xr:uid="{00000000-0005-0000-0000-0000D87C0000}"/>
    <cellStyle name="SAPBEXundefined 7 8" xfId="21347" xr:uid="{00000000-0005-0000-0000-0000D97C0000}"/>
    <cellStyle name="SAPBEXundefined 7 9" xfId="22674" xr:uid="{00000000-0005-0000-0000-0000DA7C0000}"/>
    <cellStyle name="SAPBEXundefined 8" xfId="3361" xr:uid="{00000000-0005-0000-0000-0000DB7C0000}"/>
    <cellStyle name="SAPBEXundefined 8 2" xfId="5899" xr:uid="{00000000-0005-0000-0000-0000DC7C0000}"/>
    <cellStyle name="SAPBEXundefined 8 3" xfId="8321" xr:uid="{00000000-0005-0000-0000-0000DD7C0000}"/>
    <cellStyle name="SAPBEXundefined 8 4" xfId="11335" xr:uid="{00000000-0005-0000-0000-0000DE7C0000}"/>
    <cellStyle name="SAPBEXundefined 8 5" xfId="13745" xr:uid="{00000000-0005-0000-0000-0000DF7C0000}"/>
    <cellStyle name="SAPBEXundefined 8 6" xfId="15531" xr:uid="{00000000-0005-0000-0000-0000E07C0000}"/>
    <cellStyle name="SAPBEXundefined 8 7" xfId="18441" xr:uid="{00000000-0005-0000-0000-0000E17C0000}"/>
    <cellStyle name="SAPBEXundefined 8 8" xfId="20227" xr:uid="{00000000-0005-0000-0000-0000E27C0000}"/>
    <cellStyle name="SAPBEXundefined 8 9" xfId="23009" xr:uid="{00000000-0005-0000-0000-0000E37C0000}"/>
    <cellStyle name="SAPBEXundefined 9" xfId="3404" xr:uid="{00000000-0005-0000-0000-0000E47C0000}"/>
    <cellStyle name="SAPBEXundefined 9 2" xfId="5942" xr:uid="{00000000-0005-0000-0000-0000E57C0000}"/>
    <cellStyle name="SAPBEXundefined 9 3" xfId="9815" xr:uid="{00000000-0005-0000-0000-0000E67C0000}"/>
    <cellStyle name="SAPBEXundefined 9 4" xfId="10475" xr:uid="{00000000-0005-0000-0000-0000E77C0000}"/>
    <cellStyle name="SAPBEXundefined 9 5" xfId="12809" xr:uid="{00000000-0005-0000-0000-0000E87C0000}"/>
    <cellStyle name="SAPBEXundefined 9 6" xfId="15175" xr:uid="{00000000-0005-0000-0000-0000E97C0000}"/>
    <cellStyle name="SAPBEXundefined 9 7" xfId="17505" xr:uid="{00000000-0005-0000-0000-0000EA7C0000}"/>
    <cellStyle name="SAPBEXundefined 9 8" xfId="19871" xr:uid="{00000000-0005-0000-0000-0000EB7C0000}"/>
    <cellStyle name="SAPBEXundefined 9 9" xfId="22145" xr:uid="{00000000-0005-0000-0000-0000EC7C0000}"/>
    <cellStyle name="scenario" xfId="1706" xr:uid="{00000000-0005-0000-0000-0000ED7C0000}"/>
    <cellStyle name="scenario 2" xfId="41557" xr:uid="{3F4F332A-1B09-457C-B937-1527597F8FE0}"/>
    <cellStyle name="scenario 2 2" xfId="42275" xr:uid="{E0A0090C-6D43-4D91-9942-C1EBF213C3BE}"/>
    <cellStyle name="SECTION" xfId="1707" xr:uid="{00000000-0005-0000-0000-0000EE7C0000}"/>
    <cellStyle name="SECTION 2" xfId="32710" xr:uid="{B2B4DD73-1D01-4862-9E1C-A44F069D4B07}"/>
    <cellStyle name="Sheet Title" xfId="2982" xr:uid="{00000000-0005-0000-0000-0000EF7C0000}"/>
    <cellStyle name="Sheetmult" xfId="1708" xr:uid="{00000000-0005-0000-0000-0000F07C0000}"/>
    <cellStyle name="Shtmultx" xfId="1709" xr:uid="{00000000-0005-0000-0000-0000F17C0000}"/>
    <cellStyle name="Style 1" xfId="1710" xr:uid="{00000000-0005-0000-0000-0000F27C0000}"/>
    <cellStyle name="Style 1 2" xfId="26142" xr:uid="{00000000-0005-0000-0000-0000F37C0000}"/>
    <cellStyle name="Style 1 3" xfId="25946" xr:uid="{00000000-0005-0000-0000-0000F47C0000}"/>
    <cellStyle name="STYLE1" xfId="1711" xr:uid="{00000000-0005-0000-0000-0000F57C0000}"/>
    <cellStyle name="STYLE2" xfId="1712" xr:uid="{00000000-0005-0000-0000-0000F67C0000}"/>
    <cellStyle name="System Defined" xfId="1713" xr:uid="{00000000-0005-0000-0000-0000F77C0000}"/>
    <cellStyle name="System Defined 2" xfId="32711" xr:uid="{F07415D4-DCD6-479B-8B9C-452056A437A7}"/>
    <cellStyle name="TableHeading" xfId="1714" xr:uid="{00000000-0005-0000-0000-0000F87C0000}"/>
    <cellStyle name="tb" xfId="1715" xr:uid="{00000000-0005-0000-0000-0000F97C0000}"/>
    <cellStyle name="tb 2" xfId="32712" xr:uid="{4A7B76D6-4F80-491B-8FBD-2435B739349F}"/>
    <cellStyle name="TemplateStyle" xfId="25947" xr:uid="{00000000-0005-0000-0000-0000FA7C0000}"/>
    <cellStyle name="Tickmark" xfId="1716" xr:uid="{00000000-0005-0000-0000-0000FB7C0000}"/>
    <cellStyle name="Title 2" xfId="1717" xr:uid="{00000000-0005-0000-0000-0000FC7C0000}"/>
    <cellStyle name="Title 2 2" xfId="1718" xr:uid="{00000000-0005-0000-0000-0000FD7C0000}"/>
    <cellStyle name="Title 2 3" xfId="34273" xr:uid="{17FDF802-A1D8-4A9E-AB99-FEC48BD37684}"/>
    <cellStyle name="Title 3" xfId="2895" xr:uid="{00000000-0005-0000-0000-0000FE7C0000}"/>
    <cellStyle name="Title 3 2" xfId="41519" xr:uid="{709C2046-97A0-4157-AE01-9B0609DD1366}"/>
    <cellStyle name="Title 4" xfId="41520" xr:uid="{A245672B-4E27-4C51-9D9C-1F95A47045E1}"/>
    <cellStyle name="Title 5" xfId="41521" xr:uid="{04844883-2C3D-49EC-829C-41C968AFC485}"/>
    <cellStyle name="Title 6" xfId="41522" xr:uid="{DB1CE8E9-9330-46F8-8565-2BA6528FDBD3}"/>
    <cellStyle name="Title 7" xfId="41523" xr:uid="{4C5DDD93-466E-4F3F-98AD-FC928391D84C}"/>
    <cellStyle name="Title 8" xfId="41524" xr:uid="{416232E6-007B-43EE-92A2-527A90F4CECD}"/>
    <cellStyle name="Title1" xfId="1719" xr:uid="{00000000-0005-0000-0000-0000FF7C0000}"/>
    <cellStyle name="Title1 2" xfId="32713" xr:uid="{27BC8AA4-2A55-4623-836C-287FE6C10E8A}"/>
    <cellStyle name="top" xfId="1720" xr:uid="{00000000-0005-0000-0000-0000007D0000}"/>
    <cellStyle name="top 2" xfId="32714" xr:uid="{E1A89813-7BFB-42E5-BAF7-E54C3E748663}"/>
    <cellStyle name="Total 2" xfId="1721" xr:uid="{00000000-0005-0000-0000-0000017D0000}"/>
    <cellStyle name="Total 2 10" xfId="3449" xr:uid="{00000000-0005-0000-0000-0000027D0000}"/>
    <cellStyle name="Total 2 10 2" xfId="5987" xr:uid="{00000000-0005-0000-0000-0000037D0000}"/>
    <cellStyle name="Total 2 10 3" xfId="9881" xr:uid="{00000000-0005-0000-0000-0000047D0000}"/>
    <cellStyle name="Total 2 10 4" xfId="10351" xr:uid="{00000000-0005-0000-0000-0000057D0000}"/>
    <cellStyle name="Total 2 10 5" xfId="12673" xr:uid="{00000000-0005-0000-0000-0000067D0000}"/>
    <cellStyle name="Total 2 10 6" xfId="15385" xr:uid="{00000000-0005-0000-0000-0000077D0000}"/>
    <cellStyle name="Total 2 10 7" xfId="17369" xr:uid="{00000000-0005-0000-0000-0000087D0000}"/>
    <cellStyle name="Total 2 10 8" xfId="20081" xr:uid="{00000000-0005-0000-0000-0000097D0000}"/>
    <cellStyle name="Total 2 10 9" xfId="22022" xr:uid="{00000000-0005-0000-0000-00000A7D0000}"/>
    <cellStyle name="Total 2 11" xfId="3474" xr:uid="{00000000-0005-0000-0000-00000B7D0000}"/>
    <cellStyle name="Total 2 11 2" xfId="6012" xr:uid="{00000000-0005-0000-0000-00000C7D0000}"/>
    <cellStyle name="Total 2 11 3" xfId="8011" xr:uid="{00000000-0005-0000-0000-00000D7D0000}"/>
    <cellStyle name="Total 2 11 4" xfId="11049" xr:uid="{00000000-0005-0000-0000-00000E7D0000}"/>
    <cellStyle name="Total 2 11 5" xfId="13433" xr:uid="{00000000-0005-0000-0000-00000F7D0000}"/>
    <cellStyle name="Total 2 11 6" xfId="16408" xr:uid="{00000000-0005-0000-0000-0000107D0000}"/>
    <cellStyle name="Total 2 11 7" xfId="18129" xr:uid="{00000000-0005-0000-0000-0000117D0000}"/>
    <cellStyle name="Total 2 11 8" xfId="21104" xr:uid="{00000000-0005-0000-0000-0000127D0000}"/>
    <cellStyle name="Total 2 11 9" xfId="22722" xr:uid="{00000000-0005-0000-0000-0000137D0000}"/>
    <cellStyle name="Total 2 12" xfId="3535" xr:uid="{00000000-0005-0000-0000-0000147D0000}"/>
    <cellStyle name="Total 2 12 2" xfId="6073" xr:uid="{00000000-0005-0000-0000-0000157D0000}"/>
    <cellStyle name="Total 2 12 3" xfId="8466" xr:uid="{00000000-0005-0000-0000-0000167D0000}"/>
    <cellStyle name="Total 2 12 4" xfId="11881" xr:uid="{00000000-0005-0000-0000-0000177D0000}"/>
    <cellStyle name="Total 2 12 5" xfId="14347" xr:uid="{00000000-0005-0000-0000-0000187D0000}"/>
    <cellStyle name="Total 2 12 6" xfId="15426" xr:uid="{00000000-0005-0000-0000-0000197D0000}"/>
    <cellStyle name="Total 2 12 7" xfId="19043" xr:uid="{00000000-0005-0000-0000-00001A7D0000}"/>
    <cellStyle name="Total 2 12 8" xfId="20122" xr:uid="{00000000-0005-0000-0000-00001B7D0000}"/>
    <cellStyle name="Total 2 12 9" xfId="23557" xr:uid="{00000000-0005-0000-0000-00001C7D0000}"/>
    <cellStyle name="Total 2 13" xfId="3578" xr:uid="{00000000-0005-0000-0000-00001D7D0000}"/>
    <cellStyle name="Total 2 13 2" xfId="6116" xr:uid="{00000000-0005-0000-0000-00001E7D0000}"/>
    <cellStyle name="Total 2 13 3" xfId="9696" xr:uid="{00000000-0005-0000-0000-00001F7D0000}"/>
    <cellStyle name="Total 2 13 4" xfId="11858" xr:uid="{00000000-0005-0000-0000-0000207D0000}"/>
    <cellStyle name="Total 2 13 5" xfId="14060" xr:uid="{00000000-0005-0000-0000-0000217D0000}"/>
    <cellStyle name="Total 2 13 6" xfId="15701" xr:uid="{00000000-0005-0000-0000-0000227D0000}"/>
    <cellStyle name="Total 2 13 7" xfId="18756" xr:uid="{00000000-0005-0000-0000-0000237D0000}"/>
    <cellStyle name="Total 2 13 8" xfId="20397" xr:uid="{00000000-0005-0000-0000-0000247D0000}"/>
    <cellStyle name="Total 2 13 9" xfId="23294" xr:uid="{00000000-0005-0000-0000-0000257D0000}"/>
    <cellStyle name="Total 2 14" xfId="3213" xr:uid="{00000000-0005-0000-0000-0000267D0000}"/>
    <cellStyle name="Total 2 14 2" xfId="5751" xr:uid="{00000000-0005-0000-0000-0000277D0000}"/>
    <cellStyle name="Total 2 14 3" xfId="8913" xr:uid="{00000000-0005-0000-0000-0000287D0000}"/>
    <cellStyle name="Total 2 14 4" xfId="10798" xr:uid="{00000000-0005-0000-0000-0000297D0000}"/>
    <cellStyle name="Total 2 14 5" xfId="13157" xr:uid="{00000000-0005-0000-0000-00002A7D0000}"/>
    <cellStyle name="Total 2 14 6" xfId="16550" xr:uid="{00000000-0005-0000-0000-00002B7D0000}"/>
    <cellStyle name="Total 2 14 7" xfId="17853" xr:uid="{00000000-0005-0000-0000-00002C7D0000}"/>
    <cellStyle name="Total 2 14 8" xfId="21246" xr:uid="{00000000-0005-0000-0000-00002D7D0000}"/>
    <cellStyle name="Total 2 14 9" xfId="22469" xr:uid="{00000000-0005-0000-0000-00002E7D0000}"/>
    <cellStyle name="Total 2 15" xfId="3647" xr:uid="{00000000-0005-0000-0000-00002F7D0000}"/>
    <cellStyle name="Total 2 15 2" xfId="6185" xr:uid="{00000000-0005-0000-0000-0000307D0000}"/>
    <cellStyle name="Total 2 15 3" xfId="7978" xr:uid="{00000000-0005-0000-0000-0000317D0000}"/>
    <cellStyle name="Total 2 15 4" xfId="10251" xr:uid="{00000000-0005-0000-0000-0000327D0000}"/>
    <cellStyle name="Total 2 15 5" xfId="12559" xr:uid="{00000000-0005-0000-0000-0000337D0000}"/>
    <cellStyle name="Total 2 15 6" xfId="15682" xr:uid="{00000000-0005-0000-0000-0000347D0000}"/>
    <cellStyle name="Total 2 15 7" xfId="17255" xr:uid="{00000000-0005-0000-0000-0000357D0000}"/>
    <cellStyle name="Total 2 15 8" xfId="20378" xr:uid="{00000000-0005-0000-0000-0000367D0000}"/>
    <cellStyle name="Total 2 15 9" xfId="21920" xr:uid="{00000000-0005-0000-0000-0000377D0000}"/>
    <cellStyle name="Total 2 16" xfId="3690" xr:uid="{00000000-0005-0000-0000-0000387D0000}"/>
    <cellStyle name="Total 2 16 2" xfId="6228" xr:uid="{00000000-0005-0000-0000-0000397D0000}"/>
    <cellStyle name="Total 2 16 3" xfId="8484" xr:uid="{00000000-0005-0000-0000-00003A7D0000}"/>
    <cellStyle name="Total 2 16 4" xfId="12061" xr:uid="{00000000-0005-0000-0000-00003B7D0000}"/>
    <cellStyle name="Total 2 16 5" xfId="14541" xr:uid="{00000000-0005-0000-0000-00003C7D0000}"/>
    <cellStyle name="Total 2 16 6" xfId="14442" xr:uid="{00000000-0005-0000-0000-00003D7D0000}"/>
    <cellStyle name="Total 2 16 7" xfId="19237" xr:uid="{00000000-0005-0000-0000-00003E7D0000}"/>
    <cellStyle name="Total 2 16 8" xfId="19138" xr:uid="{00000000-0005-0000-0000-00003F7D0000}"/>
    <cellStyle name="Total 2 16 9" xfId="23733" xr:uid="{00000000-0005-0000-0000-0000407D0000}"/>
    <cellStyle name="Total 2 17" xfId="3709" xr:uid="{00000000-0005-0000-0000-0000417D0000}"/>
    <cellStyle name="Total 2 17 2" xfId="6247" xr:uid="{00000000-0005-0000-0000-0000427D0000}"/>
    <cellStyle name="Total 2 17 3" xfId="10121" xr:uid="{00000000-0005-0000-0000-0000437D0000}"/>
    <cellStyle name="Total 2 17 4" xfId="10426" xr:uid="{00000000-0005-0000-0000-0000447D0000}"/>
    <cellStyle name="Total 2 17 5" xfId="14863" xr:uid="{00000000-0005-0000-0000-0000457D0000}"/>
    <cellStyle name="Total 2 17 6" xfId="16457" xr:uid="{00000000-0005-0000-0000-0000467D0000}"/>
    <cellStyle name="Total 2 17 7" xfId="19559" xr:uid="{00000000-0005-0000-0000-0000477D0000}"/>
    <cellStyle name="Total 2 17 8" xfId="21153" xr:uid="{00000000-0005-0000-0000-0000487D0000}"/>
    <cellStyle name="Total 2 17 9" xfId="24035" xr:uid="{00000000-0005-0000-0000-0000497D0000}"/>
    <cellStyle name="Total 2 18" xfId="3752" xr:uid="{00000000-0005-0000-0000-00004A7D0000}"/>
    <cellStyle name="Total 2 18 2" xfId="6290" xr:uid="{00000000-0005-0000-0000-00004B7D0000}"/>
    <cellStyle name="Total 2 18 3" xfId="8719" xr:uid="{00000000-0005-0000-0000-00004C7D0000}"/>
    <cellStyle name="Total 2 18 4" xfId="11941" xr:uid="{00000000-0005-0000-0000-00004D7D0000}"/>
    <cellStyle name="Total 2 18 5" xfId="13353" xr:uid="{00000000-0005-0000-0000-00004E7D0000}"/>
    <cellStyle name="Total 2 18 6" xfId="15211" xr:uid="{00000000-0005-0000-0000-00004F7D0000}"/>
    <cellStyle name="Total 2 18 7" xfId="18049" xr:uid="{00000000-0005-0000-0000-0000507D0000}"/>
    <cellStyle name="Total 2 18 8" xfId="19907" xr:uid="{00000000-0005-0000-0000-0000517D0000}"/>
    <cellStyle name="Total 2 18 9" xfId="22652" xr:uid="{00000000-0005-0000-0000-0000527D0000}"/>
    <cellStyle name="Total 2 19" xfId="3771" xr:uid="{00000000-0005-0000-0000-0000537D0000}"/>
    <cellStyle name="Total 2 19 2" xfId="6309" xr:uid="{00000000-0005-0000-0000-0000547D0000}"/>
    <cellStyle name="Total 2 19 3" xfId="8543" xr:uid="{00000000-0005-0000-0000-0000557D0000}"/>
    <cellStyle name="Total 2 19 4" xfId="11768" xr:uid="{00000000-0005-0000-0000-0000567D0000}"/>
    <cellStyle name="Total 2 19 5" xfId="14220" xr:uid="{00000000-0005-0000-0000-0000577D0000}"/>
    <cellStyle name="Total 2 19 6" xfId="16589" xr:uid="{00000000-0005-0000-0000-0000587D0000}"/>
    <cellStyle name="Total 2 19 7" xfId="18916" xr:uid="{00000000-0005-0000-0000-0000597D0000}"/>
    <cellStyle name="Total 2 19 8" xfId="21285" xr:uid="{00000000-0005-0000-0000-00005A7D0000}"/>
    <cellStyle name="Total 2 19 9" xfId="23442" xr:uid="{00000000-0005-0000-0000-00005B7D0000}"/>
    <cellStyle name="Total 2 2" xfId="3102" xr:uid="{00000000-0005-0000-0000-00005C7D0000}"/>
    <cellStyle name="Total 2 2 10" xfId="25949" xr:uid="{00000000-0005-0000-0000-00005D7D0000}"/>
    <cellStyle name="Total 2 2 11" xfId="41525" xr:uid="{B40F5811-C74E-4BFE-936F-FC8AF56B3138}"/>
    <cellStyle name="Total 2 2 2" xfId="5640" xr:uid="{00000000-0005-0000-0000-00005E7D0000}"/>
    <cellStyle name="Total 2 2 3" xfId="9757" xr:uid="{00000000-0005-0000-0000-00005F7D0000}"/>
    <cellStyle name="Total 2 2 4" xfId="11947" xr:uid="{00000000-0005-0000-0000-0000607D0000}"/>
    <cellStyle name="Total 2 2 5" xfId="14420" xr:uid="{00000000-0005-0000-0000-0000617D0000}"/>
    <cellStyle name="Total 2 2 6" xfId="14243" xr:uid="{00000000-0005-0000-0000-0000627D0000}"/>
    <cellStyle name="Total 2 2 7" xfId="19116" xr:uid="{00000000-0005-0000-0000-0000637D0000}"/>
    <cellStyle name="Total 2 2 8" xfId="18939" xr:uid="{00000000-0005-0000-0000-0000647D0000}"/>
    <cellStyle name="Total 2 2 9" xfId="23622" xr:uid="{00000000-0005-0000-0000-0000657D0000}"/>
    <cellStyle name="Total 2 20" xfId="3819" xr:uid="{00000000-0005-0000-0000-0000667D0000}"/>
    <cellStyle name="Total 2 20 2" xfId="6357" xr:uid="{00000000-0005-0000-0000-0000677D0000}"/>
    <cellStyle name="Total 2 20 3" xfId="9819" xr:uid="{00000000-0005-0000-0000-0000687D0000}"/>
    <cellStyle name="Total 2 20 4" xfId="12095" xr:uid="{00000000-0005-0000-0000-0000697D0000}"/>
    <cellStyle name="Total 2 20 5" xfId="14821" xr:uid="{00000000-0005-0000-0000-00006A7D0000}"/>
    <cellStyle name="Total 2 20 6" xfId="16090" xr:uid="{00000000-0005-0000-0000-00006B7D0000}"/>
    <cellStyle name="Total 2 20 7" xfId="19517" xr:uid="{00000000-0005-0000-0000-00006C7D0000}"/>
    <cellStyle name="Total 2 20 8" xfId="20786" xr:uid="{00000000-0005-0000-0000-00006D7D0000}"/>
    <cellStyle name="Total 2 20 9" xfId="24005" xr:uid="{00000000-0005-0000-0000-00006E7D0000}"/>
    <cellStyle name="Total 2 21" xfId="3864" xr:uid="{00000000-0005-0000-0000-00006F7D0000}"/>
    <cellStyle name="Total 2 21 2" xfId="6402" xr:uid="{00000000-0005-0000-0000-0000707D0000}"/>
    <cellStyle name="Total 2 21 3" xfId="8148" xr:uid="{00000000-0005-0000-0000-0000717D0000}"/>
    <cellStyle name="Total 2 21 4" xfId="11254" xr:uid="{00000000-0005-0000-0000-0000727D0000}"/>
    <cellStyle name="Total 2 21 5" xfId="13659" xr:uid="{00000000-0005-0000-0000-0000737D0000}"/>
    <cellStyle name="Total 2 21 6" xfId="15766" xr:uid="{00000000-0005-0000-0000-0000747D0000}"/>
    <cellStyle name="Total 2 21 7" xfId="18355" xr:uid="{00000000-0005-0000-0000-0000757D0000}"/>
    <cellStyle name="Total 2 21 8" xfId="20462" xr:uid="{00000000-0005-0000-0000-0000767D0000}"/>
    <cellStyle name="Total 2 21 9" xfId="22928" xr:uid="{00000000-0005-0000-0000-0000777D0000}"/>
    <cellStyle name="Total 2 22" xfId="3883" xr:uid="{00000000-0005-0000-0000-0000787D0000}"/>
    <cellStyle name="Total 2 22 2" xfId="6421" xr:uid="{00000000-0005-0000-0000-0000797D0000}"/>
    <cellStyle name="Total 2 22 3" xfId="9956" xr:uid="{00000000-0005-0000-0000-00007A7D0000}"/>
    <cellStyle name="Total 2 22 4" xfId="11677" xr:uid="{00000000-0005-0000-0000-00007B7D0000}"/>
    <cellStyle name="Total 2 22 5" xfId="14124" xr:uid="{00000000-0005-0000-0000-00007C7D0000}"/>
    <cellStyle name="Total 2 22 6" xfId="16853" xr:uid="{00000000-0005-0000-0000-00007D7D0000}"/>
    <cellStyle name="Total 2 22 7" xfId="18820" xr:uid="{00000000-0005-0000-0000-00007E7D0000}"/>
    <cellStyle name="Total 2 22 8" xfId="21549" xr:uid="{00000000-0005-0000-0000-00007F7D0000}"/>
    <cellStyle name="Total 2 22 9" xfId="23351" xr:uid="{00000000-0005-0000-0000-0000807D0000}"/>
    <cellStyle name="Total 2 23" xfId="3926" xr:uid="{00000000-0005-0000-0000-0000817D0000}"/>
    <cellStyle name="Total 2 23 2" xfId="6464" xr:uid="{00000000-0005-0000-0000-0000827D0000}"/>
    <cellStyle name="Total 2 23 3" xfId="9781" xr:uid="{00000000-0005-0000-0000-0000837D0000}"/>
    <cellStyle name="Total 2 23 4" xfId="11225" xr:uid="{00000000-0005-0000-0000-0000847D0000}"/>
    <cellStyle name="Total 2 23 5" xfId="13629" xr:uid="{00000000-0005-0000-0000-0000857D0000}"/>
    <cellStyle name="Total 2 23 6" xfId="15865" xr:uid="{00000000-0005-0000-0000-0000867D0000}"/>
    <cellStyle name="Total 2 23 7" xfId="18325" xr:uid="{00000000-0005-0000-0000-0000877D0000}"/>
    <cellStyle name="Total 2 23 8" xfId="20561" xr:uid="{00000000-0005-0000-0000-0000887D0000}"/>
    <cellStyle name="Total 2 23 9" xfId="22900" xr:uid="{00000000-0005-0000-0000-0000897D0000}"/>
    <cellStyle name="Total 2 24" xfId="3969" xr:uid="{00000000-0005-0000-0000-00008A7D0000}"/>
    <cellStyle name="Total 2 24 2" xfId="6507" xr:uid="{00000000-0005-0000-0000-00008B7D0000}"/>
    <cellStyle name="Total 2 24 3" xfId="8012" xr:uid="{00000000-0005-0000-0000-00008C7D0000}"/>
    <cellStyle name="Total 2 24 4" xfId="12216" xr:uid="{00000000-0005-0000-0000-00008D7D0000}"/>
    <cellStyle name="Total 2 24 5" xfId="14838" xr:uid="{00000000-0005-0000-0000-00008E7D0000}"/>
    <cellStyle name="Total 2 24 6" xfId="16629" xr:uid="{00000000-0005-0000-0000-00008F7D0000}"/>
    <cellStyle name="Total 2 24 7" xfId="19534" xr:uid="{00000000-0005-0000-0000-0000907D0000}"/>
    <cellStyle name="Total 2 24 8" xfId="21325" xr:uid="{00000000-0005-0000-0000-0000917D0000}"/>
    <cellStyle name="Total 2 24 9" xfId="24019" xr:uid="{00000000-0005-0000-0000-0000927D0000}"/>
    <cellStyle name="Total 2 25" xfId="4012" xr:uid="{00000000-0005-0000-0000-0000937D0000}"/>
    <cellStyle name="Total 2 25 2" xfId="6550" xr:uid="{00000000-0005-0000-0000-0000947D0000}"/>
    <cellStyle name="Total 2 25 3" xfId="9571" xr:uid="{00000000-0005-0000-0000-0000957D0000}"/>
    <cellStyle name="Total 2 25 4" xfId="10468" xr:uid="{00000000-0005-0000-0000-0000967D0000}"/>
    <cellStyle name="Total 2 25 5" xfId="12800" xr:uid="{00000000-0005-0000-0000-0000977D0000}"/>
    <cellStyle name="Total 2 25 6" xfId="12573" xr:uid="{00000000-0005-0000-0000-0000987D0000}"/>
    <cellStyle name="Total 2 25 7" xfId="17496" xr:uid="{00000000-0005-0000-0000-0000997D0000}"/>
    <cellStyle name="Total 2 25 8" xfId="17269" xr:uid="{00000000-0005-0000-0000-00009A7D0000}"/>
    <cellStyle name="Total 2 25 9" xfId="22138" xr:uid="{00000000-0005-0000-0000-00009B7D0000}"/>
    <cellStyle name="Total 2 26" xfId="4031" xr:uid="{00000000-0005-0000-0000-00009C7D0000}"/>
    <cellStyle name="Total 2 26 2" xfId="6569" xr:uid="{00000000-0005-0000-0000-00009D7D0000}"/>
    <cellStyle name="Total 2 26 3" xfId="9976" xr:uid="{00000000-0005-0000-0000-00009E7D0000}"/>
    <cellStyle name="Total 2 26 4" xfId="10760" xr:uid="{00000000-0005-0000-0000-00009F7D0000}"/>
    <cellStyle name="Total 2 26 5" xfId="13115" xr:uid="{00000000-0005-0000-0000-0000A07D0000}"/>
    <cellStyle name="Total 2 26 6" xfId="16151" xr:uid="{00000000-0005-0000-0000-0000A17D0000}"/>
    <cellStyle name="Total 2 26 7" xfId="17811" xr:uid="{00000000-0005-0000-0000-0000A27D0000}"/>
    <cellStyle name="Total 2 26 8" xfId="20847" xr:uid="{00000000-0005-0000-0000-0000A37D0000}"/>
    <cellStyle name="Total 2 26 9" xfId="22432" xr:uid="{00000000-0005-0000-0000-0000A47D0000}"/>
    <cellStyle name="Total 2 27" xfId="4081" xr:uid="{00000000-0005-0000-0000-0000A57D0000}"/>
    <cellStyle name="Total 2 27 2" xfId="6619" xr:uid="{00000000-0005-0000-0000-0000A67D0000}"/>
    <cellStyle name="Total 2 27 3" xfId="5459" xr:uid="{00000000-0005-0000-0000-0000A77D0000}"/>
    <cellStyle name="Total 2 27 4" xfId="11988" xr:uid="{00000000-0005-0000-0000-0000A87D0000}"/>
    <cellStyle name="Total 2 27 5" xfId="14466" xr:uid="{00000000-0005-0000-0000-0000A97D0000}"/>
    <cellStyle name="Total 2 27 6" xfId="15514" xr:uid="{00000000-0005-0000-0000-0000AA7D0000}"/>
    <cellStyle name="Total 2 27 7" xfId="19162" xr:uid="{00000000-0005-0000-0000-0000AB7D0000}"/>
    <cellStyle name="Total 2 27 8" xfId="20210" xr:uid="{00000000-0005-0000-0000-0000AC7D0000}"/>
    <cellStyle name="Total 2 27 9" xfId="23663" xr:uid="{00000000-0005-0000-0000-0000AD7D0000}"/>
    <cellStyle name="Total 2 28" xfId="4117" xr:uid="{00000000-0005-0000-0000-0000AE7D0000}"/>
    <cellStyle name="Total 2 28 2" xfId="6655" xr:uid="{00000000-0005-0000-0000-0000AF7D0000}"/>
    <cellStyle name="Total 2 28 3" xfId="7872" xr:uid="{00000000-0005-0000-0000-0000B07D0000}"/>
    <cellStyle name="Total 2 28 4" xfId="11527" xr:uid="{00000000-0005-0000-0000-0000B17D0000}"/>
    <cellStyle name="Total 2 28 5" xfId="13956" xr:uid="{00000000-0005-0000-0000-0000B27D0000}"/>
    <cellStyle name="Total 2 28 6" xfId="16506" xr:uid="{00000000-0005-0000-0000-0000B37D0000}"/>
    <cellStyle name="Total 2 28 7" xfId="18652" xr:uid="{00000000-0005-0000-0000-0000B47D0000}"/>
    <cellStyle name="Total 2 28 8" xfId="21202" xr:uid="{00000000-0005-0000-0000-0000B57D0000}"/>
    <cellStyle name="Total 2 28 9" xfId="23201" xr:uid="{00000000-0005-0000-0000-0000B67D0000}"/>
    <cellStyle name="Total 2 29" xfId="4160" xr:uid="{00000000-0005-0000-0000-0000B77D0000}"/>
    <cellStyle name="Total 2 29 2" xfId="6698" xr:uid="{00000000-0005-0000-0000-0000B87D0000}"/>
    <cellStyle name="Total 2 29 3" xfId="9221" xr:uid="{00000000-0005-0000-0000-0000B97D0000}"/>
    <cellStyle name="Total 2 29 4" xfId="11457" xr:uid="{00000000-0005-0000-0000-0000BA7D0000}"/>
    <cellStyle name="Total 2 29 5" xfId="13878" xr:uid="{00000000-0005-0000-0000-0000BB7D0000}"/>
    <cellStyle name="Total 2 29 6" xfId="15887" xr:uid="{00000000-0005-0000-0000-0000BC7D0000}"/>
    <cellStyle name="Total 2 29 7" xfId="18574" xr:uid="{00000000-0005-0000-0000-0000BD7D0000}"/>
    <cellStyle name="Total 2 29 8" xfId="20583" xr:uid="{00000000-0005-0000-0000-0000BE7D0000}"/>
    <cellStyle name="Total 2 29 9" xfId="23132" xr:uid="{00000000-0005-0000-0000-0000BF7D0000}"/>
    <cellStyle name="Total 2 3" xfId="3148" xr:uid="{00000000-0005-0000-0000-0000C07D0000}"/>
    <cellStyle name="Total 2 3 10" xfId="25950" xr:uid="{00000000-0005-0000-0000-0000C17D0000}"/>
    <cellStyle name="Total 2 3 2" xfId="5686" xr:uid="{00000000-0005-0000-0000-0000C27D0000}"/>
    <cellStyle name="Total 2 3 3" xfId="9295" xr:uid="{00000000-0005-0000-0000-0000C37D0000}"/>
    <cellStyle name="Total 2 3 4" xfId="11514" xr:uid="{00000000-0005-0000-0000-0000C47D0000}"/>
    <cellStyle name="Total 2 3 5" xfId="13942" xr:uid="{00000000-0005-0000-0000-0000C57D0000}"/>
    <cellStyle name="Total 2 3 6" xfId="16472" xr:uid="{00000000-0005-0000-0000-0000C67D0000}"/>
    <cellStyle name="Total 2 3 7" xfId="18638" xr:uid="{00000000-0005-0000-0000-0000C77D0000}"/>
    <cellStyle name="Total 2 3 8" xfId="21168" xr:uid="{00000000-0005-0000-0000-0000C87D0000}"/>
    <cellStyle name="Total 2 3 9" xfId="23188" xr:uid="{00000000-0005-0000-0000-0000C97D0000}"/>
    <cellStyle name="Total 2 30" xfId="4203" xr:uid="{00000000-0005-0000-0000-0000CA7D0000}"/>
    <cellStyle name="Total 2 30 2" xfId="6741" xr:uid="{00000000-0005-0000-0000-0000CB7D0000}"/>
    <cellStyle name="Total 2 30 3" xfId="8988" xr:uid="{00000000-0005-0000-0000-0000CC7D0000}"/>
    <cellStyle name="Total 2 30 4" xfId="9442" xr:uid="{00000000-0005-0000-0000-0000CD7D0000}"/>
    <cellStyle name="Total 2 30 5" xfId="12374" xr:uid="{00000000-0005-0000-0000-0000CE7D0000}"/>
    <cellStyle name="Total 2 30 6" xfId="16053" xr:uid="{00000000-0005-0000-0000-0000CF7D0000}"/>
    <cellStyle name="Total 2 30 7" xfId="17070" xr:uid="{00000000-0005-0000-0000-0000D07D0000}"/>
    <cellStyle name="Total 2 30 8" xfId="20749" xr:uid="{00000000-0005-0000-0000-0000D17D0000}"/>
    <cellStyle name="Total 2 30 9" xfId="21759" xr:uid="{00000000-0005-0000-0000-0000D27D0000}"/>
    <cellStyle name="Total 2 31" xfId="4245" xr:uid="{00000000-0005-0000-0000-0000D37D0000}"/>
    <cellStyle name="Total 2 31 2" xfId="6783" xr:uid="{00000000-0005-0000-0000-0000D47D0000}"/>
    <cellStyle name="Total 2 31 3" xfId="9429" xr:uid="{00000000-0005-0000-0000-0000D57D0000}"/>
    <cellStyle name="Total 2 31 4" xfId="11797" xr:uid="{00000000-0005-0000-0000-0000D67D0000}"/>
    <cellStyle name="Total 2 31 5" xfId="14254" xr:uid="{00000000-0005-0000-0000-0000D77D0000}"/>
    <cellStyle name="Total 2 31 6" xfId="15642" xr:uid="{00000000-0005-0000-0000-0000D87D0000}"/>
    <cellStyle name="Total 2 31 7" xfId="18950" xr:uid="{00000000-0005-0000-0000-0000D97D0000}"/>
    <cellStyle name="Total 2 31 8" xfId="20338" xr:uid="{00000000-0005-0000-0000-0000DA7D0000}"/>
    <cellStyle name="Total 2 31 9" xfId="23472" xr:uid="{00000000-0005-0000-0000-0000DB7D0000}"/>
    <cellStyle name="Total 2 32" xfId="4288" xr:uid="{00000000-0005-0000-0000-0000DC7D0000}"/>
    <cellStyle name="Total 2 32 2" xfId="6826" xr:uid="{00000000-0005-0000-0000-0000DD7D0000}"/>
    <cellStyle name="Total 2 32 3" xfId="8003" xr:uid="{00000000-0005-0000-0000-0000DE7D0000}"/>
    <cellStyle name="Total 2 32 4" xfId="11813" xr:uid="{00000000-0005-0000-0000-0000DF7D0000}"/>
    <cellStyle name="Total 2 32 5" xfId="14270" xr:uid="{00000000-0005-0000-0000-0000E07D0000}"/>
    <cellStyle name="Total 2 32 6" xfId="16144" xr:uid="{00000000-0005-0000-0000-0000E17D0000}"/>
    <cellStyle name="Total 2 32 7" xfId="18966" xr:uid="{00000000-0005-0000-0000-0000E27D0000}"/>
    <cellStyle name="Total 2 32 8" xfId="20840" xr:uid="{00000000-0005-0000-0000-0000E37D0000}"/>
    <cellStyle name="Total 2 32 9" xfId="23488" xr:uid="{00000000-0005-0000-0000-0000E47D0000}"/>
    <cellStyle name="Total 2 33" xfId="4331" xr:uid="{00000000-0005-0000-0000-0000E57D0000}"/>
    <cellStyle name="Total 2 33 2" xfId="6869" xr:uid="{00000000-0005-0000-0000-0000E67D0000}"/>
    <cellStyle name="Total 2 33 3" xfId="10153" xr:uid="{00000000-0005-0000-0000-0000E77D0000}"/>
    <cellStyle name="Total 2 33 4" xfId="12143" xr:uid="{00000000-0005-0000-0000-0000E87D0000}"/>
    <cellStyle name="Total 2 33 5" xfId="14626" xr:uid="{00000000-0005-0000-0000-0000E97D0000}"/>
    <cellStyle name="Total 2 33 6" xfId="13303" xr:uid="{00000000-0005-0000-0000-0000EA7D0000}"/>
    <cellStyle name="Total 2 33 7" xfId="19322" xr:uid="{00000000-0005-0000-0000-0000EB7D0000}"/>
    <cellStyle name="Total 2 33 8" xfId="17999" xr:uid="{00000000-0005-0000-0000-0000EC7D0000}"/>
    <cellStyle name="Total 2 33 9" xfId="23817" xr:uid="{00000000-0005-0000-0000-0000ED7D0000}"/>
    <cellStyle name="Total 2 34" xfId="4374" xr:uid="{00000000-0005-0000-0000-0000EE7D0000}"/>
    <cellStyle name="Total 2 34 2" xfId="6912" xr:uid="{00000000-0005-0000-0000-0000EF7D0000}"/>
    <cellStyle name="Total 2 34 3" xfId="9510" xr:uid="{00000000-0005-0000-0000-0000F07D0000}"/>
    <cellStyle name="Total 2 34 4" xfId="11390" xr:uid="{00000000-0005-0000-0000-0000F17D0000}"/>
    <cellStyle name="Total 2 34 5" xfId="13805" xr:uid="{00000000-0005-0000-0000-0000F27D0000}"/>
    <cellStyle name="Total 2 34 6" xfId="16080" xr:uid="{00000000-0005-0000-0000-0000F37D0000}"/>
    <cellStyle name="Total 2 34 7" xfId="18501" xr:uid="{00000000-0005-0000-0000-0000F47D0000}"/>
    <cellStyle name="Total 2 34 8" xfId="20776" xr:uid="{00000000-0005-0000-0000-0000F57D0000}"/>
    <cellStyle name="Total 2 34 9" xfId="23064" xr:uid="{00000000-0005-0000-0000-0000F67D0000}"/>
    <cellStyle name="Total 2 35" xfId="4417" xr:uid="{00000000-0005-0000-0000-0000F77D0000}"/>
    <cellStyle name="Total 2 35 2" xfId="6955" xr:uid="{00000000-0005-0000-0000-0000F87D0000}"/>
    <cellStyle name="Total 2 35 3" xfId="5507" xr:uid="{00000000-0005-0000-0000-0000F97D0000}"/>
    <cellStyle name="Total 2 35 4" xfId="10601" xr:uid="{00000000-0005-0000-0000-0000FA7D0000}"/>
    <cellStyle name="Total 2 35 5" xfId="12949" xr:uid="{00000000-0005-0000-0000-0000FB7D0000}"/>
    <cellStyle name="Total 2 35 6" xfId="15889" xr:uid="{00000000-0005-0000-0000-0000FC7D0000}"/>
    <cellStyle name="Total 2 35 7" xfId="17645" xr:uid="{00000000-0005-0000-0000-0000FD7D0000}"/>
    <cellStyle name="Total 2 35 8" xfId="20585" xr:uid="{00000000-0005-0000-0000-0000FE7D0000}"/>
    <cellStyle name="Total 2 35 9" xfId="22274" xr:uid="{00000000-0005-0000-0000-0000FF7D0000}"/>
    <cellStyle name="Total 2 36" xfId="4460" xr:uid="{00000000-0005-0000-0000-0000007E0000}"/>
    <cellStyle name="Total 2 36 2" xfId="6998" xr:uid="{00000000-0005-0000-0000-0000017E0000}"/>
    <cellStyle name="Total 2 36 3" xfId="8536" xr:uid="{00000000-0005-0000-0000-0000027E0000}"/>
    <cellStyle name="Total 2 36 4" xfId="10555" xr:uid="{00000000-0005-0000-0000-0000037E0000}"/>
    <cellStyle name="Total 2 36 5" xfId="12898" xr:uid="{00000000-0005-0000-0000-0000047E0000}"/>
    <cellStyle name="Total 2 36 6" xfId="16652" xr:uid="{00000000-0005-0000-0000-0000057E0000}"/>
    <cellStyle name="Total 2 36 7" xfId="17594" xr:uid="{00000000-0005-0000-0000-0000067E0000}"/>
    <cellStyle name="Total 2 36 8" xfId="21348" xr:uid="{00000000-0005-0000-0000-0000077E0000}"/>
    <cellStyle name="Total 2 36 9" xfId="22226" xr:uid="{00000000-0005-0000-0000-0000087E0000}"/>
    <cellStyle name="Total 2 37" xfId="4510" xr:uid="{00000000-0005-0000-0000-0000097E0000}"/>
    <cellStyle name="Total 2 37 2" xfId="7048" xr:uid="{00000000-0005-0000-0000-00000A7E0000}"/>
    <cellStyle name="Total 2 37 3" xfId="9143" xr:uid="{00000000-0005-0000-0000-00000B7E0000}"/>
    <cellStyle name="Total 2 37 4" xfId="11129" xr:uid="{00000000-0005-0000-0000-00000C7E0000}"/>
    <cellStyle name="Total 2 37 5" xfId="13524" xr:uid="{00000000-0005-0000-0000-00000D7E0000}"/>
    <cellStyle name="Total 2 37 6" xfId="15929" xr:uid="{00000000-0005-0000-0000-00000E7E0000}"/>
    <cellStyle name="Total 2 37 7" xfId="18220" xr:uid="{00000000-0005-0000-0000-00000F7E0000}"/>
    <cellStyle name="Total 2 37 8" xfId="20625" xr:uid="{00000000-0005-0000-0000-0000107E0000}"/>
    <cellStyle name="Total 2 37 9" xfId="22802" xr:uid="{00000000-0005-0000-0000-0000117E0000}"/>
    <cellStyle name="Total 2 38" xfId="4545" xr:uid="{00000000-0005-0000-0000-0000127E0000}"/>
    <cellStyle name="Total 2 38 2" xfId="7083" xr:uid="{00000000-0005-0000-0000-0000137E0000}"/>
    <cellStyle name="Total 2 38 3" xfId="8509" xr:uid="{00000000-0005-0000-0000-0000147E0000}"/>
    <cellStyle name="Total 2 38 4" xfId="9631" xr:uid="{00000000-0005-0000-0000-0000157E0000}"/>
    <cellStyle name="Total 2 38 5" xfId="12533" xr:uid="{00000000-0005-0000-0000-0000167E0000}"/>
    <cellStyle name="Total 2 38 6" xfId="16860" xr:uid="{00000000-0005-0000-0000-0000177E0000}"/>
    <cellStyle name="Total 2 38 7" xfId="17229" xr:uid="{00000000-0005-0000-0000-0000187E0000}"/>
    <cellStyle name="Total 2 38 8" xfId="21556" xr:uid="{00000000-0005-0000-0000-0000197E0000}"/>
    <cellStyle name="Total 2 38 9" xfId="21897" xr:uid="{00000000-0005-0000-0000-00001A7E0000}"/>
    <cellStyle name="Total 2 39" xfId="4589" xr:uid="{00000000-0005-0000-0000-00001B7E0000}"/>
    <cellStyle name="Total 2 39 2" xfId="7127" xr:uid="{00000000-0005-0000-0000-00001C7E0000}"/>
    <cellStyle name="Total 2 39 3" xfId="9206" xr:uid="{00000000-0005-0000-0000-00001D7E0000}"/>
    <cellStyle name="Total 2 39 4" xfId="12243" xr:uid="{00000000-0005-0000-0000-00001E7E0000}"/>
    <cellStyle name="Total 2 39 5" xfId="12795" xr:uid="{00000000-0005-0000-0000-00001F7E0000}"/>
    <cellStyle name="Total 2 39 6" xfId="15294" xr:uid="{00000000-0005-0000-0000-0000207E0000}"/>
    <cellStyle name="Total 2 39 7" xfId="17491" xr:uid="{00000000-0005-0000-0000-0000217E0000}"/>
    <cellStyle name="Total 2 39 8" xfId="19990" xr:uid="{00000000-0005-0000-0000-0000227E0000}"/>
    <cellStyle name="Total 2 39 9" xfId="22134" xr:uid="{00000000-0005-0000-0000-0000237E0000}"/>
    <cellStyle name="Total 2 4" xfId="3191" xr:uid="{00000000-0005-0000-0000-0000247E0000}"/>
    <cellStyle name="Total 2 4 10" xfId="25951" xr:uid="{00000000-0005-0000-0000-0000257E0000}"/>
    <cellStyle name="Total 2 4 2" xfId="5729" xr:uid="{00000000-0005-0000-0000-0000267E0000}"/>
    <cellStyle name="Total 2 4 3" xfId="8013" xr:uid="{00000000-0005-0000-0000-0000277E0000}"/>
    <cellStyle name="Total 2 4 4" xfId="10527" xr:uid="{00000000-0005-0000-0000-0000287E0000}"/>
    <cellStyle name="Total 2 4 5" xfId="12868" xr:uid="{00000000-0005-0000-0000-0000297E0000}"/>
    <cellStyle name="Total 2 4 6" xfId="16302" xr:uid="{00000000-0005-0000-0000-00002A7E0000}"/>
    <cellStyle name="Total 2 4 7" xfId="17564" xr:uid="{00000000-0005-0000-0000-00002B7E0000}"/>
    <cellStyle name="Total 2 4 8" xfId="20998" xr:uid="{00000000-0005-0000-0000-00002C7E0000}"/>
    <cellStyle name="Total 2 4 9" xfId="22198" xr:uid="{00000000-0005-0000-0000-00002D7E0000}"/>
    <cellStyle name="Total 2 40" xfId="4632" xr:uid="{00000000-0005-0000-0000-00002E7E0000}"/>
    <cellStyle name="Total 2 40 2" xfId="7170" xr:uid="{00000000-0005-0000-0000-00002F7E0000}"/>
    <cellStyle name="Total 2 40 3" xfId="8245" xr:uid="{00000000-0005-0000-0000-0000307E0000}"/>
    <cellStyle name="Total 2 40 4" xfId="10461" xr:uid="{00000000-0005-0000-0000-0000317E0000}"/>
    <cellStyle name="Total 2 40 5" xfId="12793" xr:uid="{00000000-0005-0000-0000-0000327E0000}"/>
    <cellStyle name="Total 2 40 6" xfId="15744" xr:uid="{00000000-0005-0000-0000-0000337E0000}"/>
    <cellStyle name="Total 2 40 7" xfId="17489" xr:uid="{00000000-0005-0000-0000-0000347E0000}"/>
    <cellStyle name="Total 2 40 8" xfId="20440" xr:uid="{00000000-0005-0000-0000-0000357E0000}"/>
    <cellStyle name="Total 2 40 9" xfId="22132" xr:uid="{00000000-0005-0000-0000-0000367E0000}"/>
    <cellStyle name="Total 2 41" xfId="4675" xr:uid="{00000000-0005-0000-0000-0000377E0000}"/>
    <cellStyle name="Total 2 41 2" xfId="7213" xr:uid="{00000000-0005-0000-0000-0000387E0000}"/>
    <cellStyle name="Total 2 41 3" xfId="9255" xr:uid="{00000000-0005-0000-0000-0000397E0000}"/>
    <cellStyle name="Total 2 41 4" xfId="11934" xr:uid="{00000000-0005-0000-0000-00003A7E0000}"/>
    <cellStyle name="Total 2 41 5" xfId="14407" xr:uid="{00000000-0005-0000-0000-00003B7E0000}"/>
    <cellStyle name="Total 2 41 6" xfId="15354" xr:uid="{00000000-0005-0000-0000-00003C7E0000}"/>
    <cellStyle name="Total 2 41 7" xfId="19103" xr:uid="{00000000-0005-0000-0000-00003D7E0000}"/>
    <cellStyle name="Total 2 41 8" xfId="20050" xr:uid="{00000000-0005-0000-0000-00003E7E0000}"/>
    <cellStyle name="Total 2 41 9" xfId="23609" xr:uid="{00000000-0005-0000-0000-00003F7E0000}"/>
    <cellStyle name="Total 2 42" xfId="4717" xr:uid="{00000000-0005-0000-0000-0000407E0000}"/>
    <cellStyle name="Total 2 42 2" xfId="7255" xr:uid="{00000000-0005-0000-0000-0000417E0000}"/>
    <cellStyle name="Total 2 42 3" xfId="8110" xr:uid="{00000000-0005-0000-0000-0000427E0000}"/>
    <cellStyle name="Total 2 42 4" xfId="11478" xr:uid="{00000000-0005-0000-0000-0000437E0000}"/>
    <cellStyle name="Total 2 42 5" xfId="13902" xr:uid="{00000000-0005-0000-0000-0000447E0000}"/>
    <cellStyle name="Total 2 42 6" xfId="12309" xr:uid="{00000000-0005-0000-0000-0000457E0000}"/>
    <cellStyle name="Total 2 42 7" xfId="18598" xr:uid="{00000000-0005-0000-0000-0000467E0000}"/>
    <cellStyle name="Total 2 42 8" xfId="17005" xr:uid="{00000000-0005-0000-0000-0000477E0000}"/>
    <cellStyle name="Total 2 42 9" xfId="23153" xr:uid="{00000000-0005-0000-0000-0000487E0000}"/>
    <cellStyle name="Total 2 43" xfId="4760" xr:uid="{00000000-0005-0000-0000-0000497E0000}"/>
    <cellStyle name="Total 2 43 2" xfId="7298" xr:uid="{00000000-0005-0000-0000-00004A7E0000}"/>
    <cellStyle name="Total 2 43 3" xfId="9265" xr:uid="{00000000-0005-0000-0000-00004B7E0000}"/>
    <cellStyle name="Total 2 43 4" xfId="12132" xr:uid="{00000000-0005-0000-0000-00004C7E0000}"/>
    <cellStyle name="Total 2 43 5" xfId="14614" xr:uid="{00000000-0005-0000-0000-00004D7E0000}"/>
    <cellStyle name="Total 2 43 6" xfId="16317" xr:uid="{00000000-0005-0000-0000-00004E7E0000}"/>
    <cellStyle name="Total 2 43 7" xfId="19310" xr:uid="{00000000-0005-0000-0000-00004F7E0000}"/>
    <cellStyle name="Total 2 43 8" xfId="21013" xr:uid="{00000000-0005-0000-0000-0000507E0000}"/>
    <cellStyle name="Total 2 43 9" xfId="23806" xr:uid="{00000000-0005-0000-0000-0000517E0000}"/>
    <cellStyle name="Total 2 44" xfId="4779" xr:uid="{00000000-0005-0000-0000-0000527E0000}"/>
    <cellStyle name="Total 2 44 2" xfId="7317" xr:uid="{00000000-0005-0000-0000-0000537E0000}"/>
    <cellStyle name="Total 2 44 3" xfId="9081" xr:uid="{00000000-0005-0000-0000-0000547E0000}"/>
    <cellStyle name="Total 2 44 4" xfId="11863" xr:uid="{00000000-0005-0000-0000-0000557E0000}"/>
    <cellStyle name="Total 2 44 5" xfId="14326" xr:uid="{00000000-0005-0000-0000-0000567E0000}"/>
    <cellStyle name="Total 2 44 6" xfId="15124" xr:uid="{00000000-0005-0000-0000-0000577E0000}"/>
    <cellStyle name="Total 2 44 7" xfId="19022" xr:uid="{00000000-0005-0000-0000-0000587E0000}"/>
    <cellStyle name="Total 2 44 8" xfId="19820" xr:uid="{00000000-0005-0000-0000-0000597E0000}"/>
    <cellStyle name="Total 2 44 9" xfId="23539" xr:uid="{00000000-0005-0000-0000-00005A7E0000}"/>
    <cellStyle name="Total 2 45" xfId="4822" xr:uid="{00000000-0005-0000-0000-00005B7E0000}"/>
    <cellStyle name="Total 2 45 2" xfId="7360" xr:uid="{00000000-0005-0000-0000-00005C7E0000}"/>
    <cellStyle name="Total 2 45 3" xfId="9131" xr:uid="{00000000-0005-0000-0000-00005D7E0000}"/>
    <cellStyle name="Total 2 45 4" xfId="11250" xr:uid="{00000000-0005-0000-0000-00005E7E0000}"/>
    <cellStyle name="Total 2 45 5" xfId="13655" xr:uid="{00000000-0005-0000-0000-00005F7E0000}"/>
    <cellStyle name="Total 2 45 6" xfId="15605" xr:uid="{00000000-0005-0000-0000-0000607E0000}"/>
    <cellStyle name="Total 2 45 7" xfId="18351" xr:uid="{00000000-0005-0000-0000-0000617E0000}"/>
    <cellStyle name="Total 2 45 8" xfId="20301" xr:uid="{00000000-0005-0000-0000-0000627E0000}"/>
    <cellStyle name="Total 2 45 9" xfId="22924" xr:uid="{00000000-0005-0000-0000-0000637E0000}"/>
    <cellStyle name="Total 2 46" xfId="4865" xr:uid="{00000000-0005-0000-0000-0000647E0000}"/>
    <cellStyle name="Total 2 46 2" xfId="7403" xr:uid="{00000000-0005-0000-0000-0000657E0000}"/>
    <cellStyle name="Total 2 46 3" xfId="8925" xr:uid="{00000000-0005-0000-0000-0000667E0000}"/>
    <cellStyle name="Total 2 46 4" xfId="10960" xr:uid="{00000000-0005-0000-0000-0000677E0000}"/>
    <cellStyle name="Total 2 46 5" xfId="13331" xr:uid="{00000000-0005-0000-0000-0000687E0000}"/>
    <cellStyle name="Total 2 46 6" xfId="16866" xr:uid="{00000000-0005-0000-0000-0000697E0000}"/>
    <cellStyle name="Total 2 46 7" xfId="18027" xr:uid="{00000000-0005-0000-0000-00006A7E0000}"/>
    <cellStyle name="Total 2 46 8" xfId="21562" xr:uid="{00000000-0005-0000-0000-00006B7E0000}"/>
    <cellStyle name="Total 2 46 9" xfId="22631" xr:uid="{00000000-0005-0000-0000-00006C7E0000}"/>
    <cellStyle name="Total 2 47" xfId="4911" xr:uid="{00000000-0005-0000-0000-00006D7E0000}"/>
    <cellStyle name="Total 2 47 2" xfId="7449" xr:uid="{00000000-0005-0000-0000-00006E7E0000}"/>
    <cellStyle name="Total 2 47 3" xfId="9258" xr:uid="{00000000-0005-0000-0000-00006F7E0000}"/>
    <cellStyle name="Total 2 47 4" xfId="9307" xr:uid="{00000000-0005-0000-0000-0000707E0000}"/>
    <cellStyle name="Total 2 47 5" xfId="12514" xr:uid="{00000000-0005-0000-0000-0000717E0000}"/>
    <cellStyle name="Total 2 47 6" xfId="16664" xr:uid="{00000000-0005-0000-0000-0000727E0000}"/>
    <cellStyle name="Total 2 47 7" xfId="17210" xr:uid="{00000000-0005-0000-0000-0000737E0000}"/>
    <cellStyle name="Total 2 47 8" xfId="21360" xr:uid="{00000000-0005-0000-0000-0000747E0000}"/>
    <cellStyle name="Total 2 47 9" xfId="21881" xr:uid="{00000000-0005-0000-0000-0000757E0000}"/>
    <cellStyle name="Total 2 48" xfId="4944" xr:uid="{00000000-0005-0000-0000-0000767E0000}"/>
    <cellStyle name="Total 2 48 2" xfId="7482" xr:uid="{00000000-0005-0000-0000-0000777E0000}"/>
    <cellStyle name="Total 2 48 3" xfId="8239" xr:uid="{00000000-0005-0000-0000-0000787E0000}"/>
    <cellStyle name="Total 2 48 4" xfId="5632" xr:uid="{00000000-0005-0000-0000-0000797E0000}"/>
    <cellStyle name="Total 2 48 5" xfId="14938" xr:uid="{00000000-0005-0000-0000-00007A7E0000}"/>
    <cellStyle name="Total 2 48 6" xfId="16451" xr:uid="{00000000-0005-0000-0000-00007B7E0000}"/>
    <cellStyle name="Total 2 48 7" xfId="19634" xr:uid="{00000000-0005-0000-0000-00007C7E0000}"/>
    <cellStyle name="Total 2 48 8" xfId="21147" xr:uid="{00000000-0005-0000-0000-00007D7E0000}"/>
    <cellStyle name="Total 2 48 9" xfId="24101" xr:uid="{00000000-0005-0000-0000-00007E7E0000}"/>
    <cellStyle name="Total 2 49" xfId="4982" xr:uid="{00000000-0005-0000-0000-00007F7E0000}"/>
    <cellStyle name="Total 2 49 2" xfId="7520" xr:uid="{00000000-0005-0000-0000-0000807E0000}"/>
    <cellStyle name="Total 2 49 3" xfId="9998" xr:uid="{00000000-0005-0000-0000-0000817E0000}"/>
    <cellStyle name="Total 2 49 4" xfId="12300" xr:uid="{00000000-0005-0000-0000-0000827E0000}"/>
    <cellStyle name="Total 2 49 5" xfId="12357" xr:uid="{00000000-0005-0000-0000-0000837E0000}"/>
    <cellStyle name="Total 2 49 6" xfId="16847" xr:uid="{00000000-0005-0000-0000-0000847E0000}"/>
    <cellStyle name="Total 2 49 7" xfId="17053" xr:uid="{00000000-0005-0000-0000-0000857E0000}"/>
    <cellStyle name="Total 2 49 8" xfId="21543" xr:uid="{00000000-0005-0000-0000-0000867E0000}"/>
    <cellStyle name="Total 2 49 9" xfId="21744" xr:uid="{00000000-0005-0000-0000-0000877E0000}"/>
    <cellStyle name="Total 2 5" xfId="3234" xr:uid="{00000000-0005-0000-0000-0000887E0000}"/>
    <cellStyle name="Total 2 5 2" xfId="5772" xr:uid="{00000000-0005-0000-0000-0000897E0000}"/>
    <cellStyle name="Total 2 5 3" xfId="8162" xr:uid="{00000000-0005-0000-0000-00008A7E0000}"/>
    <cellStyle name="Total 2 5 4" xfId="11233" xr:uid="{00000000-0005-0000-0000-00008B7E0000}"/>
    <cellStyle name="Total 2 5 5" xfId="13638" xr:uid="{00000000-0005-0000-0000-00008C7E0000}"/>
    <cellStyle name="Total 2 5 6" xfId="16212" xr:uid="{00000000-0005-0000-0000-00008D7E0000}"/>
    <cellStyle name="Total 2 5 7" xfId="18334" xr:uid="{00000000-0005-0000-0000-00008E7E0000}"/>
    <cellStyle name="Total 2 5 8" xfId="20908" xr:uid="{00000000-0005-0000-0000-00008F7E0000}"/>
    <cellStyle name="Total 2 5 9" xfId="22907" xr:uid="{00000000-0005-0000-0000-0000907E0000}"/>
    <cellStyle name="Total 2 50" xfId="5020" xr:uid="{00000000-0005-0000-0000-0000917E0000}"/>
    <cellStyle name="Total 2 50 2" xfId="7558" xr:uid="{00000000-0005-0000-0000-0000927E0000}"/>
    <cellStyle name="Total 2 50 3" xfId="9566" xr:uid="{00000000-0005-0000-0000-0000937E0000}"/>
    <cellStyle name="Total 2 50 4" xfId="10344" xr:uid="{00000000-0005-0000-0000-0000947E0000}"/>
    <cellStyle name="Total 2 50 5" xfId="12665" xr:uid="{00000000-0005-0000-0000-0000957E0000}"/>
    <cellStyle name="Total 2 50 6" xfId="14664" xr:uid="{00000000-0005-0000-0000-0000967E0000}"/>
    <cellStyle name="Total 2 50 7" xfId="17361" xr:uid="{00000000-0005-0000-0000-0000977E0000}"/>
    <cellStyle name="Total 2 50 8" xfId="19360" xr:uid="{00000000-0005-0000-0000-0000987E0000}"/>
    <cellStyle name="Total 2 50 9" xfId="22015" xr:uid="{00000000-0005-0000-0000-0000997E0000}"/>
    <cellStyle name="Total 2 51" xfId="5056" xr:uid="{00000000-0005-0000-0000-00009A7E0000}"/>
    <cellStyle name="Total 2 51 2" xfId="7594" xr:uid="{00000000-0005-0000-0000-00009B7E0000}"/>
    <cellStyle name="Total 2 51 3" xfId="9688" xr:uid="{00000000-0005-0000-0000-00009C7E0000}"/>
    <cellStyle name="Total 2 51 4" xfId="11356" xr:uid="{00000000-0005-0000-0000-00009D7E0000}"/>
    <cellStyle name="Total 2 51 5" xfId="13768" xr:uid="{00000000-0005-0000-0000-00009E7E0000}"/>
    <cellStyle name="Total 2 51 6" xfId="15125" xr:uid="{00000000-0005-0000-0000-00009F7E0000}"/>
    <cellStyle name="Total 2 51 7" xfId="18464" xr:uid="{00000000-0005-0000-0000-0000A07E0000}"/>
    <cellStyle name="Total 2 51 8" xfId="19821" xr:uid="{00000000-0005-0000-0000-0000A17E0000}"/>
    <cellStyle name="Total 2 51 9" xfId="23030" xr:uid="{00000000-0005-0000-0000-0000A27E0000}"/>
    <cellStyle name="Total 2 52" xfId="5086" xr:uid="{00000000-0005-0000-0000-0000A37E0000}"/>
    <cellStyle name="Total 2 52 2" xfId="7624" xr:uid="{00000000-0005-0000-0000-0000A47E0000}"/>
    <cellStyle name="Total 2 52 3" xfId="8891" xr:uid="{00000000-0005-0000-0000-0000A57E0000}"/>
    <cellStyle name="Total 2 52 4" xfId="10346" xr:uid="{00000000-0005-0000-0000-0000A67E0000}"/>
    <cellStyle name="Total 2 52 5" xfId="12668" xr:uid="{00000000-0005-0000-0000-0000A77E0000}"/>
    <cellStyle name="Total 2 52 6" xfId="16597" xr:uid="{00000000-0005-0000-0000-0000A87E0000}"/>
    <cellStyle name="Total 2 52 7" xfId="17364" xr:uid="{00000000-0005-0000-0000-0000A97E0000}"/>
    <cellStyle name="Total 2 52 8" xfId="21293" xr:uid="{00000000-0005-0000-0000-0000AA7E0000}"/>
    <cellStyle name="Total 2 52 9" xfId="22017" xr:uid="{00000000-0005-0000-0000-0000AB7E0000}"/>
    <cellStyle name="Total 2 53" xfId="5112" xr:uid="{00000000-0005-0000-0000-0000AC7E0000}"/>
    <cellStyle name="Total 2 53 2" xfId="7650" xr:uid="{00000000-0005-0000-0000-0000AD7E0000}"/>
    <cellStyle name="Total 2 53 3" xfId="10106" xr:uid="{00000000-0005-0000-0000-0000AE7E0000}"/>
    <cellStyle name="Total 2 53 4" xfId="10929" xr:uid="{00000000-0005-0000-0000-0000AF7E0000}"/>
    <cellStyle name="Total 2 53 5" xfId="13299" xr:uid="{00000000-0005-0000-0000-0000B07E0000}"/>
    <cellStyle name="Total 2 53 6" xfId="16242" xr:uid="{00000000-0005-0000-0000-0000B17E0000}"/>
    <cellStyle name="Total 2 53 7" xfId="17995" xr:uid="{00000000-0005-0000-0000-0000B27E0000}"/>
    <cellStyle name="Total 2 53 8" xfId="20938" xr:uid="{00000000-0005-0000-0000-0000B37E0000}"/>
    <cellStyle name="Total 2 53 9" xfId="22600" xr:uid="{00000000-0005-0000-0000-0000B47E0000}"/>
    <cellStyle name="Total 2 54" xfId="5160" xr:uid="{00000000-0005-0000-0000-0000B57E0000}"/>
    <cellStyle name="Total 2 54 2" xfId="7698" xr:uid="{00000000-0005-0000-0000-0000B67E0000}"/>
    <cellStyle name="Total 2 54 3" xfId="9228" xr:uid="{00000000-0005-0000-0000-0000B77E0000}"/>
    <cellStyle name="Total 2 54 4" xfId="11124" xr:uid="{00000000-0005-0000-0000-0000B87E0000}"/>
    <cellStyle name="Total 2 54 5" xfId="13519" xr:uid="{00000000-0005-0000-0000-0000B97E0000}"/>
    <cellStyle name="Total 2 54 6" xfId="16030" xr:uid="{00000000-0005-0000-0000-0000BA7E0000}"/>
    <cellStyle name="Total 2 54 7" xfId="18215" xr:uid="{00000000-0005-0000-0000-0000BB7E0000}"/>
    <cellStyle name="Total 2 54 8" xfId="20726" xr:uid="{00000000-0005-0000-0000-0000BC7E0000}"/>
    <cellStyle name="Total 2 54 9" xfId="22797" xr:uid="{00000000-0005-0000-0000-0000BD7E0000}"/>
    <cellStyle name="Total 2 55" xfId="5229" xr:uid="{00000000-0005-0000-0000-0000BE7E0000}"/>
    <cellStyle name="Total 2 55 2" xfId="7768" xr:uid="{00000000-0005-0000-0000-0000BF7E0000}"/>
    <cellStyle name="Total 2 55 3" xfId="9235" xr:uid="{00000000-0005-0000-0000-0000C07E0000}"/>
    <cellStyle name="Total 2 55 4" xfId="12030" xr:uid="{00000000-0005-0000-0000-0000C17E0000}"/>
    <cellStyle name="Total 2 55 5" xfId="14511" xr:uid="{00000000-0005-0000-0000-0000C27E0000}"/>
    <cellStyle name="Total 2 55 6" xfId="12788" xr:uid="{00000000-0005-0000-0000-0000C37E0000}"/>
    <cellStyle name="Total 2 55 7" xfId="19207" xr:uid="{00000000-0005-0000-0000-0000C47E0000}"/>
    <cellStyle name="Total 2 55 8" xfId="17484" xr:uid="{00000000-0005-0000-0000-0000C57E0000}"/>
    <cellStyle name="Total 2 55 9" xfId="23705" xr:uid="{00000000-0005-0000-0000-0000C67E0000}"/>
    <cellStyle name="Total 2 56" xfId="5267" xr:uid="{00000000-0005-0000-0000-0000C77E0000}"/>
    <cellStyle name="Total 2 56 2" xfId="9934" xr:uid="{00000000-0005-0000-0000-0000C87E0000}"/>
    <cellStyle name="Total 2 56 3" xfId="11063" xr:uid="{00000000-0005-0000-0000-0000C97E0000}"/>
    <cellStyle name="Total 2 56 4" xfId="13451" xr:uid="{00000000-0005-0000-0000-0000CA7E0000}"/>
    <cellStyle name="Total 2 56 5" xfId="16706" xr:uid="{00000000-0005-0000-0000-0000CB7E0000}"/>
    <cellStyle name="Total 2 56 6" xfId="18147" xr:uid="{00000000-0005-0000-0000-0000CC7E0000}"/>
    <cellStyle name="Total 2 56 7" xfId="21402" xr:uid="{00000000-0005-0000-0000-0000CD7E0000}"/>
    <cellStyle name="Total 2 56 8" xfId="22736" xr:uid="{00000000-0005-0000-0000-0000CE7E0000}"/>
    <cellStyle name="Total 2 57" xfId="9129" xr:uid="{00000000-0005-0000-0000-0000CF7E0000}"/>
    <cellStyle name="Total 2 58" xfId="11140" xr:uid="{00000000-0005-0000-0000-0000D07E0000}"/>
    <cellStyle name="Total 2 59" xfId="13536" xr:uid="{00000000-0005-0000-0000-0000D17E0000}"/>
    <cellStyle name="Total 2 6" xfId="3277" xr:uid="{00000000-0005-0000-0000-0000D27E0000}"/>
    <cellStyle name="Total 2 6 2" xfId="5815" xr:uid="{00000000-0005-0000-0000-0000D37E0000}"/>
    <cellStyle name="Total 2 6 3" xfId="10019" xr:uid="{00000000-0005-0000-0000-0000D47E0000}"/>
    <cellStyle name="Total 2 6 4" xfId="9404" xr:uid="{00000000-0005-0000-0000-0000D57E0000}"/>
    <cellStyle name="Total 2 6 5" xfId="12510" xr:uid="{00000000-0005-0000-0000-0000D67E0000}"/>
    <cellStyle name="Total 2 6 6" xfId="15402" xr:uid="{00000000-0005-0000-0000-0000D77E0000}"/>
    <cellStyle name="Total 2 6 7" xfId="17206" xr:uid="{00000000-0005-0000-0000-0000D87E0000}"/>
    <cellStyle name="Total 2 6 8" xfId="20098" xr:uid="{00000000-0005-0000-0000-0000D97E0000}"/>
    <cellStyle name="Total 2 6 9" xfId="21877" xr:uid="{00000000-0005-0000-0000-0000DA7E0000}"/>
    <cellStyle name="Total 2 60" xfId="15954" xr:uid="{00000000-0005-0000-0000-0000DB7E0000}"/>
    <cellStyle name="Total 2 61" xfId="18232" xr:uid="{00000000-0005-0000-0000-0000DC7E0000}"/>
    <cellStyle name="Total 2 62" xfId="20650" xr:uid="{00000000-0005-0000-0000-0000DD7E0000}"/>
    <cellStyle name="Total 2 63" xfId="22813" xr:uid="{00000000-0005-0000-0000-0000DE7E0000}"/>
    <cellStyle name="Total 2 64" xfId="2983" xr:uid="{00000000-0005-0000-0000-0000DF7E0000}"/>
    <cellStyle name="Total 2 65" xfId="25948" xr:uid="{00000000-0005-0000-0000-0000E07E0000}"/>
    <cellStyle name="Total 2 7" xfId="3320" xr:uid="{00000000-0005-0000-0000-0000E17E0000}"/>
    <cellStyle name="Total 2 7 2" xfId="5858" xr:uid="{00000000-0005-0000-0000-0000E27E0000}"/>
    <cellStyle name="Total 2 7 3" xfId="5531" xr:uid="{00000000-0005-0000-0000-0000E37E0000}"/>
    <cellStyle name="Total 2 7 4" xfId="11982" xr:uid="{00000000-0005-0000-0000-0000E47E0000}"/>
    <cellStyle name="Total 2 7 5" xfId="14460" xr:uid="{00000000-0005-0000-0000-0000E57E0000}"/>
    <cellStyle name="Total 2 7 6" xfId="15432" xr:uid="{00000000-0005-0000-0000-0000E67E0000}"/>
    <cellStyle name="Total 2 7 7" xfId="19156" xr:uid="{00000000-0005-0000-0000-0000E77E0000}"/>
    <cellStyle name="Total 2 7 8" xfId="20128" xr:uid="{00000000-0005-0000-0000-0000E87E0000}"/>
    <cellStyle name="Total 2 7 9" xfId="23657" xr:uid="{00000000-0005-0000-0000-0000E97E0000}"/>
    <cellStyle name="Total 2 8" xfId="3363" xr:uid="{00000000-0005-0000-0000-0000EA7E0000}"/>
    <cellStyle name="Total 2 8 2" xfId="5901" xr:uid="{00000000-0005-0000-0000-0000EB7E0000}"/>
    <cellStyle name="Total 2 8 3" xfId="8985" xr:uid="{00000000-0005-0000-0000-0000EC7E0000}"/>
    <cellStyle name="Total 2 8 4" xfId="10838" xr:uid="{00000000-0005-0000-0000-0000ED7E0000}"/>
    <cellStyle name="Total 2 8 5" xfId="13203" xr:uid="{00000000-0005-0000-0000-0000EE7E0000}"/>
    <cellStyle name="Total 2 8 6" xfId="16056" xr:uid="{00000000-0005-0000-0000-0000EF7E0000}"/>
    <cellStyle name="Total 2 8 7" xfId="17899" xr:uid="{00000000-0005-0000-0000-0000F07E0000}"/>
    <cellStyle name="Total 2 8 8" xfId="20752" xr:uid="{00000000-0005-0000-0000-0000F17E0000}"/>
    <cellStyle name="Total 2 8 9" xfId="22509" xr:uid="{00000000-0005-0000-0000-0000F27E0000}"/>
    <cellStyle name="Total 2 9" xfId="3406" xr:uid="{00000000-0005-0000-0000-0000F37E0000}"/>
    <cellStyle name="Total 2 9 2" xfId="5944" xr:uid="{00000000-0005-0000-0000-0000F47E0000}"/>
    <cellStyle name="Total 2 9 3" xfId="8343" xr:uid="{00000000-0005-0000-0000-0000F57E0000}"/>
    <cellStyle name="Total 2 9 4" xfId="10554" xr:uid="{00000000-0005-0000-0000-0000F67E0000}"/>
    <cellStyle name="Total 2 9 5" xfId="12897" xr:uid="{00000000-0005-0000-0000-0000F77E0000}"/>
    <cellStyle name="Total 2 9 6" xfId="15876" xr:uid="{00000000-0005-0000-0000-0000F87E0000}"/>
    <cellStyle name="Total 2 9 7" xfId="17593" xr:uid="{00000000-0005-0000-0000-0000F97E0000}"/>
    <cellStyle name="Total 2 9 8" xfId="20572" xr:uid="{00000000-0005-0000-0000-0000FA7E0000}"/>
    <cellStyle name="Total 2 9 9" xfId="22225" xr:uid="{00000000-0005-0000-0000-0000FB7E0000}"/>
    <cellStyle name="Total 3" xfId="41526" xr:uid="{4B6F087C-8830-44A4-B47E-F9B07D3280E9}"/>
    <cellStyle name="Total 3 2" xfId="41989" xr:uid="{B10A872C-75FA-40FC-8EFE-35B6476504A0}"/>
    <cellStyle name="Total 4" xfId="41527" xr:uid="{5B0EA956-86F1-417F-8F55-B74934D91D0F}"/>
    <cellStyle name="Total 5" xfId="41528" xr:uid="{3F32E44B-05E4-4CB5-B6D2-8109DE81233D}"/>
    <cellStyle name="Total 6" xfId="41529" xr:uid="{E969CA43-FA18-404E-8154-4648A19C3B97}"/>
    <cellStyle name="Total 7" xfId="41530" xr:uid="{62D4BAC1-5AC8-4D70-8784-9899DD8F4A4B}"/>
    <cellStyle name="Total 8" xfId="41531" xr:uid="{897CD87B-0860-4A5E-A98C-A456E4E459C8}"/>
    <cellStyle name="Total 9" xfId="26143" xr:uid="{00000000-0005-0000-0000-0000FC7E0000}"/>
    <cellStyle name="w" xfId="1722" xr:uid="{00000000-0005-0000-0000-0000FD7E0000}"/>
    <cellStyle name="Warning Text 2" xfId="1723" xr:uid="{00000000-0005-0000-0000-0000FE7E0000}"/>
    <cellStyle name="Warning Text 2 2" xfId="1724" xr:uid="{00000000-0005-0000-0000-0000FF7E0000}"/>
    <cellStyle name="Warning Text 2 2 2" xfId="41532" xr:uid="{7C08DAA7-FB4E-49D9-BA83-21FD6C710B63}"/>
    <cellStyle name="Warning Text 2 2 3" xfId="25952" xr:uid="{00000000-0005-0000-0000-0000007F0000}"/>
    <cellStyle name="Warning Text 2 3" xfId="2984" xr:uid="{00000000-0005-0000-0000-0000017F0000}"/>
    <cellStyle name="Warning Text 2 3 2" xfId="25953" xr:uid="{00000000-0005-0000-0000-0000027F0000}"/>
    <cellStyle name="Warning Text 2 4" xfId="26237" xr:uid="{00000000-0005-0000-0000-0000037F0000}"/>
    <cellStyle name="Warning Text 3" xfId="41533" xr:uid="{6270F840-7772-4FD6-A7D9-4E9BD480D6C1}"/>
    <cellStyle name="Warning Text 4" xfId="41534" xr:uid="{A81927C7-A6CD-4BAF-9369-FF559195112F}"/>
    <cellStyle name="Warning Text 5" xfId="41535" xr:uid="{C5D02756-6878-4D2B-AF59-210107D6F082}"/>
    <cellStyle name="Warning Text 6" xfId="41536" xr:uid="{3693CF26-0326-4EF9-B7AC-901F9EA0C97F}"/>
    <cellStyle name="Warning Text 7" xfId="41537" xr:uid="{360BB467-B231-4800-9132-02104AF454E4}"/>
    <cellStyle name="Warning Text 8" xfId="41538" xr:uid="{485C5354-83F3-4CF2-BF01-D3AF9AB5C215}"/>
    <cellStyle name="Warning Text 9" xfId="41539" xr:uid="{C700C582-7B01-48D9-95EA-33C6F1E28F3F}"/>
    <cellStyle name="XComma" xfId="1725" xr:uid="{00000000-0005-0000-0000-0000047F0000}"/>
    <cellStyle name="XComma 0.0" xfId="1726" xr:uid="{00000000-0005-0000-0000-0000057F0000}"/>
    <cellStyle name="XComma 0.00" xfId="1727" xr:uid="{00000000-0005-0000-0000-0000067F0000}"/>
    <cellStyle name="XComma 0.000" xfId="1728" xr:uid="{00000000-0005-0000-0000-0000077F0000}"/>
    <cellStyle name="XCurrency" xfId="1729" xr:uid="{00000000-0005-0000-0000-0000087F0000}"/>
    <cellStyle name="XCurrency 0.0" xfId="1730" xr:uid="{00000000-0005-0000-0000-0000097F0000}"/>
    <cellStyle name="XCurrency 0.00" xfId="1731" xr:uid="{00000000-0005-0000-0000-00000A7F0000}"/>
    <cellStyle name="XCurrency 0.000" xfId="1732" xr:uid="{00000000-0005-0000-0000-00000B7F0000}"/>
    <cellStyle name="yra" xfId="1733" xr:uid="{00000000-0005-0000-0000-00000C7F0000}"/>
    <cellStyle name="yrActual" xfId="1734" xr:uid="{00000000-0005-0000-0000-00000D7F0000}"/>
    <cellStyle name="yre" xfId="1735" xr:uid="{00000000-0005-0000-0000-00000E7F0000}"/>
    <cellStyle name="yrExpect" xfId="1736" xr:uid="{00000000-0005-0000-0000-00000F7F0000}"/>
    <cellStyle name="yrExpect 2" xfId="32716" xr:uid="{7000597A-7073-4108-85EA-E83872F073BE}"/>
  </cellStyles>
  <dxfs count="39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fill>
        <patternFill>
          <bgColor theme="7" tint="0.79998168889431442"/>
        </patternFill>
      </fill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fill>
        <patternFill patternType="none">
          <bgColor auto="1"/>
        </patternFill>
      </fill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i/>
        <color theme="0" tint="-4.9989318521683403E-2"/>
      </font>
      <fill>
        <patternFill>
          <bgColor theme="0" tint="-0.49998474074526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/>
        <color theme="1"/>
      </font>
      <fill>
        <patternFill patternType="solid">
          <fgColor theme="4" tint="0.79995117038483843"/>
          <bgColor theme="3" tint="0.39994506668294322"/>
        </patternFill>
      </fill>
      <border>
        <bottom style="thin">
          <color theme="4" tint="0.39997558519241921"/>
        </bottom>
      </border>
    </dxf>
    <dxf>
      <border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border>
        <left style="medium">
          <color theme="1" tint="0.499984740745262"/>
        </left>
        <top style="medium">
          <color theme="1" tint="0.499984740745262"/>
        </top>
        <bottom style="medium">
          <color theme="1" tint="0.499984740745262"/>
        </bottom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59999389629810485"/>
          <bgColor theme="4" tint="0.59999389629810485"/>
        </patternFill>
      </fill>
      <border>
        <bottom style="medium">
          <color theme="4" tint="0.79998168889431442"/>
        </bottom>
      </border>
    </dxf>
    <dxf>
      <border>
        <top style="medium">
          <color theme="4" tint="0.79998168889431442"/>
        </top>
      </border>
    </dxf>
    <dxf>
      <border>
        <top style="medium">
          <color theme="4" tint="0.79998168889431442"/>
        </top>
      </border>
    </dxf>
    <dxf>
      <font>
        <b/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ill>
        <patternFill>
          <bgColor theme="0" tint="-0.14996795556505021"/>
        </patternFill>
      </fill>
      <border>
        <left style="thin">
          <color theme="4" tint="0.39997558519241921"/>
        </left>
        <right style="thin">
          <color theme="4" tint="0.39997558519241921"/>
        </right>
      </border>
    </dxf>
    <dxf>
      <border>
        <left style="thick">
          <color theme="4" tint="0.59996337778862885"/>
        </left>
        <right style="thin">
          <color theme="4" tint="0.39997558519241921"/>
        </right>
      </border>
    </dxf>
    <dxf>
      <border>
        <top style="thin">
          <color theme="4" tint="0.59999389629810485"/>
        </top>
        <bottom style="thin">
          <color theme="4" tint="0.59999389629810485"/>
        </bottom>
      </border>
    </dxf>
    <dxf>
      <font>
        <color theme="0"/>
      </font>
      <fill>
        <patternFill>
          <bgColor theme="4" tint="0.59996337778862885"/>
        </patternFill>
      </fill>
    </dxf>
    <dxf>
      <font>
        <b/>
        <color theme="0"/>
      </font>
      <fill>
        <patternFill patternType="solid">
          <fgColor theme="1" tint="0.249977111117893"/>
          <bgColor theme="1" tint="0.249977111117893"/>
        </patternFill>
      </fill>
    </dxf>
    <dxf>
      <font>
        <b/>
        <color theme="0"/>
      </font>
      <fill>
        <patternFill patternType="solid">
          <fgColor theme="1" tint="0.249977111117893"/>
          <bgColor theme="1" tint="0.249977111117893"/>
        </patternFill>
      </fill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left style="medium">
          <color theme="1" tint="0.499984740745262"/>
        </left>
        <right style="medium">
          <color theme="1" tint="0.499984740745262"/>
        </right>
        <top style="medium">
          <color theme="1" tint="0.499984740745262"/>
        </top>
        <bottom style="medium">
          <color theme="1" tint="0.499984740745262"/>
        </bottom>
      </border>
    </dxf>
    <dxf>
      <font>
        <color theme="0"/>
      </font>
      <fill>
        <patternFill patternType="solid">
          <fgColor theme="4" tint="-0.499984740745262"/>
          <bgColor theme="4" tint="-0.499984740745262"/>
        </patternFill>
      </fill>
      <border>
        <horizontal style="thin">
          <color theme="4" tint="-0.499984740745262"/>
        </horizontal>
      </border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  <border>
        <horizontal style="thin">
          <color theme="4" tint="-0.499984740745262"/>
        </horizontal>
      </border>
    </dxf>
    <dxf>
      <font>
        <b/>
        <color theme="1"/>
      </font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border>
        <bottom style="thin">
          <color theme="4" tint="0.79998168889431442"/>
        </bottom>
      </border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border>
        <left style="thin">
          <color theme="4" tint="0.79998168889431442"/>
        </left>
        <right style="thin">
          <color theme="4" tint="0.79998168889431442"/>
        </right>
      </border>
    </dxf>
    <dxf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</dxf>
    <dxf>
      <font>
        <b/>
        <color theme="0"/>
      </font>
      <fill>
        <patternFill patternType="solid">
          <fgColor theme="4" tint="-0.499984740745262"/>
          <bgColor theme="4" tint="-0.499984740745262"/>
        </patternFill>
      </fill>
      <border>
        <bottom style="thin">
          <color theme="4"/>
        </bottom>
        <horizontal style="thin">
          <color theme="4" tint="-0.499984740745262"/>
        </horizontal>
      </border>
    </dxf>
    <dxf>
      <font>
        <color theme="1"/>
      </font>
      <fill>
        <patternFill patternType="solid">
          <fgColor theme="4" tint="0.59999389629810485"/>
          <bgColor theme="4" tint="0.59999389629810485"/>
        </patternFill>
      </fill>
      <border>
        <horizontal style="thin">
          <color theme="4" tint="0.79998168889431442"/>
        </horizontal>
      </border>
    </dxf>
  </dxfs>
  <tableStyles count="4" defaultTableStyle="TableStyleMedium9" defaultPivotStyle="PivotStyleLight16">
    <tableStyle name="Invisible" pivot="0" table="0" count="0" xr9:uid="{00000000-0011-0000-FFFF-FFFF00000000}"/>
    <tableStyle name="PivotStyleDark2 2" table="0" count="13" xr9:uid="{00000000-0011-0000-FFFF-FFFF01000000}">
      <tableStyleElement type="wholeTable" dxfId="38"/>
      <tableStyleElement type="headerRow" dxfId="37"/>
      <tableStyleElement type="totalRow" dxfId="36"/>
      <tableStyleElement type="secondRowStripe" dxfId="35"/>
      <tableStyleElement type="secondColumnStripe" dxfId="34"/>
      <tableStyleElement type="firstSubtotalColumn" dxfId="33"/>
      <tableStyleElement type="secondSubtotalColumn" dxfId="32"/>
      <tableStyleElement type="thirdSubtotalColumn" dxfId="31"/>
      <tableStyleElement type="firstSubtotalRow" dxfId="30"/>
      <tableStyleElement type="firstRowSubheading" dxfId="29"/>
      <tableStyleElement type="secondRowSubheading" dxfId="28"/>
      <tableStyleElement type="pageFieldLabels" dxfId="27"/>
      <tableStyleElement type="pageFieldValues" dxfId="26"/>
    </tableStyle>
    <tableStyle name="PivotStyleDark9 2" table="0" count="14" xr9:uid="{00000000-0011-0000-FFFF-FFFF02000000}">
      <tableStyleElement type="wholeTable" dxfId="25"/>
      <tableStyleElement type="headerRow" dxfId="24"/>
      <tableStyleElement type="totalRow" dxfId="23"/>
      <tableStyleElement type="firstColumn" dxfId="22"/>
      <tableStyleElement type="secondRowStripe" dxfId="21"/>
      <tableStyleElement type="firstColumnStripe" dxfId="20"/>
      <tableStyleElement type="secondColumnStripe" dxfId="19"/>
      <tableStyleElement type="firstSubtotalRow" dxfId="18"/>
      <tableStyleElement type="secondColumnSubheading" dxfId="17"/>
      <tableStyleElement type="thirdColumnSubheading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  <tableStyle name="PivotStyleLight16 2" table="0" count="12" xr9:uid="{00000000-0011-0000-FFFF-FFFF03000000}">
      <tableStyleElement type="headerRow" dxfId="11"/>
      <tableStyleElement type="totalRow" dxfId="10"/>
      <tableStyleElement type="firstColumn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73"/>
  <sheetViews>
    <sheetView tabSelected="1" zoomScale="99" zoomScaleNormal="99" workbookViewId="0">
      <selection sqref="A1:Y1"/>
    </sheetView>
  </sheetViews>
  <sheetFormatPr defaultColWidth="9.109375" defaultRowHeight="13.2"/>
  <cols>
    <col min="1" max="1" width="17" style="77" customWidth="1"/>
    <col min="2" max="2" width="18.6640625" style="14" customWidth="1"/>
    <col min="3" max="3" width="19.5546875" style="160" customWidth="1"/>
    <col min="4" max="4" width="13.5546875" style="14" customWidth="1"/>
    <col min="5" max="7" width="15.109375" style="14" bestFit="1" customWidth="1"/>
    <col min="8" max="9" width="14" style="14" bestFit="1" customWidth="1"/>
    <col min="10" max="10" width="11.44140625" style="14" bestFit="1" customWidth="1"/>
    <col min="11" max="11" width="19.6640625" style="14" customWidth="1"/>
    <col min="12" max="12" width="13.5546875" style="14" customWidth="1"/>
    <col min="13" max="13" width="14.44140625" style="14" customWidth="1"/>
    <col min="14" max="14" width="13.44140625" style="14" customWidth="1"/>
    <col min="15" max="15" width="12.44140625" style="14" bestFit="1" customWidth="1"/>
    <col min="16" max="16" width="12" style="14" bestFit="1" customWidth="1"/>
    <col min="17" max="17" width="12.44140625" style="14" bestFit="1" customWidth="1"/>
    <col min="18" max="18" width="11.44140625" style="14" bestFit="1" customWidth="1"/>
    <col min="19" max="19" width="12" style="14" customWidth="1"/>
    <col min="20" max="20" width="15.44140625" style="14" customWidth="1"/>
    <col min="21" max="21" width="14.109375" style="14" bestFit="1" customWidth="1"/>
    <col min="22" max="22" width="13.44140625" style="14" customWidth="1"/>
    <col min="23" max="23" width="12" style="14" bestFit="1" customWidth="1"/>
    <col min="24" max="24" width="15.44140625" style="14" customWidth="1"/>
    <col min="25" max="25" width="12.88671875" style="14" customWidth="1"/>
    <col min="26" max="26" width="12" style="14" bestFit="1" customWidth="1"/>
    <col min="27" max="28" width="15.5546875" style="14" bestFit="1" customWidth="1"/>
    <col min="29" max="29" width="15.44140625" style="32" bestFit="1" customWidth="1"/>
    <col min="30" max="30" width="12.44140625" style="32" bestFit="1" customWidth="1"/>
    <col min="31" max="16384" width="9.109375" style="32"/>
  </cols>
  <sheetData>
    <row r="1" spans="1:30" s="14" customFormat="1" ht="13.5" customHeight="1">
      <c r="A1" s="214" t="s">
        <v>693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18"/>
    </row>
    <row r="2" spans="1:30" s="14" customFormat="1" ht="25.95" customHeight="1">
      <c r="A2" s="13"/>
      <c r="B2" s="1"/>
      <c r="C2" s="151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30" s="14" customFormat="1" ht="13.8" thickBot="1">
      <c r="A3" s="64" t="s">
        <v>0</v>
      </c>
      <c r="B3" s="65"/>
      <c r="C3" s="152"/>
      <c r="D3" s="65"/>
      <c r="E3" s="65"/>
      <c r="F3" s="6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30" s="14" customFormat="1" ht="13.8" thickBot="1">
      <c r="A4" s="93" t="s">
        <v>1</v>
      </c>
      <c r="B4" s="94" t="s">
        <v>2</v>
      </c>
      <c r="C4" s="125" t="s">
        <v>3</v>
      </c>
      <c r="D4" s="211" t="s">
        <v>4</v>
      </c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103"/>
      <c r="AA4" s="103"/>
      <c r="AB4" s="103"/>
    </row>
    <row r="5" spans="1:30" s="14" customFormat="1">
      <c r="A5" s="95" t="s">
        <v>5</v>
      </c>
      <c r="B5" s="96" t="s">
        <v>6</v>
      </c>
      <c r="C5" s="126" t="s">
        <v>6</v>
      </c>
      <c r="D5" s="97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9"/>
      <c r="Z5" s="96" t="s">
        <v>7</v>
      </c>
      <c r="AA5" s="99"/>
      <c r="AB5" s="99"/>
    </row>
    <row r="6" spans="1:30" s="14" customFormat="1">
      <c r="A6" s="95" t="s">
        <v>8</v>
      </c>
      <c r="B6" s="96" t="s">
        <v>9</v>
      </c>
      <c r="C6" s="126" t="s">
        <v>9</v>
      </c>
      <c r="D6" s="100" t="s">
        <v>10</v>
      </c>
      <c r="E6" s="96" t="s">
        <v>11</v>
      </c>
      <c r="F6" s="96" t="s">
        <v>12</v>
      </c>
      <c r="G6" s="96" t="s">
        <v>13</v>
      </c>
      <c r="H6" s="96" t="s">
        <v>14</v>
      </c>
      <c r="I6" s="96" t="s">
        <v>15</v>
      </c>
      <c r="J6" s="96" t="s">
        <v>16</v>
      </c>
      <c r="K6" s="96" t="s">
        <v>17</v>
      </c>
      <c r="L6" s="96" t="s">
        <v>18</v>
      </c>
      <c r="M6" s="96" t="s">
        <v>19</v>
      </c>
      <c r="N6" s="96" t="s">
        <v>20</v>
      </c>
      <c r="O6" s="96" t="s">
        <v>169</v>
      </c>
      <c r="P6" s="96" t="s">
        <v>21</v>
      </c>
      <c r="Q6" s="96" t="s">
        <v>22</v>
      </c>
      <c r="R6" s="96" t="s">
        <v>23</v>
      </c>
      <c r="S6" s="96" t="s">
        <v>24</v>
      </c>
      <c r="T6" s="96" t="s">
        <v>25</v>
      </c>
      <c r="U6" s="96" t="s">
        <v>26</v>
      </c>
      <c r="V6" s="96" t="s">
        <v>27</v>
      </c>
      <c r="W6" s="96" t="s">
        <v>28</v>
      </c>
      <c r="X6" s="96" t="s">
        <v>29</v>
      </c>
      <c r="Y6" s="96" t="s">
        <v>30</v>
      </c>
      <c r="Z6" s="96" t="s">
        <v>31</v>
      </c>
      <c r="AA6" s="104" t="s">
        <v>484</v>
      </c>
      <c r="AB6" s="104" t="s">
        <v>467</v>
      </c>
    </row>
    <row r="7" spans="1:30" s="14" customFormat="1">
      <c r="A7" s="95"/>
      <c r="B7" s="96"/>
      <c r="C7" s="126" t="s">
        <v>746</v>
      </c>
      <c r="D7" s="97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9"/>
      <c r="AB7" s="99"/>
    </row>
    <row r="8" spans="1:30" s="14" customFormat="1">
      <c r="A8" s="78" t="s">
        <v>32</v>
      </c>
      <c r="B8" s="15">
        <f>4864357.88/2</f>
        <v>2432178.94</v>
      </c>
      <c r="C8" s="127">
        <f>ROUND(B8/12,2)</f>
        <v>202681.58</v>
      </c>
      <c r="D8" s="35">
        <v>1.6299999999999999E-2</v>
      </c>
      <c r="E8" s="35">
        <v>0.14269999999999999</v>
      </c>
      <c r="F8" s="35">
        <v>5.8900000000000001E-2</v>
      </c>
      <c r="G8" s="35">
        <v>7.6200000000000004E-2</v>
      </c>
      <c r="H8" s="35">
        <v>3.9600000000000003E-2</v>
      </c>
      <c r="I8" s="35">
        <v>0.12470000000000001</v>
      </c>
      <c r="J8" s="35">
        <v>2.0400000000000001E-2</v>
      </c>
      <c r="K8" s="35">
        <v>3.1199999999999999E-2</v>
      </c>
      <c r="L8" s="35">
        <v>1.6199999999999999E-2</v>
      </c>
      <c r="M8" s="35">
        <v>2.53E-2</v>
      </c>
      <c r="N8" s="35">
        <v>0.14849999999999999</v>
      </c>
      <c r="O8" s="35">
        <v>2.2599999999999999E-2</v>
      </c>
      <c r="P8" s="35">
        <v>0</v>
      </c>
      <c r="Q8" s="35">
        <v>3.78E-2</v>
      </c>
      <c r="R8" s="35">
        <v>1.8100000000000002E-2</v>
      </c>
      <c r="S8" s="35">
        <v>4.1000000000000003E-3</v>
      </c>
      <c r="T8" s="35">
        <v>5.04E-2</v>
      </c>
      <c r="U8" s="35">
        <v>1.7500000000000002E-2</v>
      </c>
      <c r="V8" s="35">
        <v>3.6200000000000003E-2</v>
      </c>
      <c r="W8" s="35">
        <v>4.8500000000000001E-2</v>
      </c>
      <c r="X8" s="35">
        <v>6.1600000000000002E-2</v>
      </c>
      <c r="Y8" s="35">
        <v>2.5000000000000001E-3</v>
      </c>
      <c r="Z8" s="4">
        <v>0</v>
      </c>
      <c r="AA8" s="4">
        <v>6.9999999999999999E-4</v>
      </c>
      <c r="AB8" s="4">
        <v>0</v>
      </c>
      <c r="AC8" s="56"/>
      <c r="AD8" s="23"/>
    </row>
    <row r="9" spans="1:30" s="14" customFormat="1">
      <c r="A9" s="79"/>
      <c r="B9" s="9"/>
      <c r="C9" s="127"/>
      <c r="D9" s="5">
        <f>$C8*D8</f>
        <v>3303.7097539999995</v>
      </c>
      <c r="E9" s="5">
        <f>$C8*E8</f>
        <v>28922.661465999998</v>
      </c>
      <c r="F9" s="5">
        <f>$C8*F8</f>
        <v>11937.945061999999</v>
      </c>
      <c r="G9" s="5">
        <f t="shared" ref="G9" si="0">$C8*G8</f>
        <v>15444.336396000001</v>
      </c>
      <c r="H9" s="5">
        <f t="shared" ref="H9" si="1">$C8*H8</f>
        <v>8026.190568</v>
      </c>
      <c r="I9" s="5">
        <f t="shared" ref="I9:AB9" si="2">$C8*I8</f>
        <v>25274.393025999998</v>
      </c>
      <c r="J9" s="5">
        <f t="shared" si="2"/>
        <v>4134.704232</v>
      </c>
      <c r="K9" s="5">
        <f t="shared" si="2"/>
        <v>6323.6652959999992</v>
      </c>
      <c r="L9" s="5">
        <f t="shared" si="2"/>
        <v>3283.4415959999997</v>
      </c>
      <c r="M9" s="5">
        <f t="shared" si="2"/>
        <v>5127.8439739999994</v>
      </c>
      <c r="N9" s="5">
        <f t="shared" si="2"/>
        <v>30098.214629999995</v>
      </c>
      <c r="O9" s="5">
        <f t="shared" si="2"/>
        <v>4580.6037079999996</v>
      </c>
      <c r="P9" s="5">
        <f t="shared" si="2"/>
        <v>0</v>
      </c>
      <c r="Q9" s="5">
        <f t="shared" si="2"/>
        <v>7661.3637239999998</v>
      </c>
      <c r="R9" s="5">
        <f t="shared" si="2"/>
        <v>3668.5365980000001</v>
      </c>
      <c r="S9" s="5">
        <f t="shared" si="2"/>
        <v>830.99447800000007</v>
      </c>
      <c r="T9" s="5">
        <f t="shared" si="2"/>
        <v>10215.151631999999</v>
      </c>
      <c r="U9" s="5">
        <f t="shared" si="2"/>
        <v>3546.9276500000001</v>
      </c>
      <c r="V9" s="5">
        <f t="shared" si="2"/>
        <v>7337.0731960000003</v>
      </c>
      <c r="W9" s="5">
        <f t="shared" si="2"/>
        <v>9830.0566299999991</v>
      </c>
      <c r="X9" s="5">
        <f t="shared" si="2"/>
        <v>12485.185328</v>
      </c>
      <c r="Y9" s="5">
        <f t="shared" si="2"/>
        <v>506.70394999999996</v>
      </c>
      <c r="Z9" s="5">
        <f t="shared" si="2"/>
        <v>0</v>
      </c>
      <c r="AA9" s="5">
        <f t="shared" si="2"/>
        <v>141.877106</v>
      </c>
      <c r="AB9" s="5">
        <f t="shared" si="2"/>
        <v>0</v>
      </c>
      <c r="AC9" s="56"/>
      <c r="AD9" s="23"/>
    </row>
    <row r="10" spans="1:30" s="14" customFormat="1">
      <c r="A10" s="80" t="s">
        <v>391</v>
      </c>
      <c r="B10" s="15">
        <f>4864357.88/2</f>
        <v>2432178.94</v>
      </c>
      <c r="C10" s="127">
        <f t="shared" ref="C10:C72" si="3">ROUND(B10/12,2)</f>
        <v>202681.58</v>
      </c>
      <c r="D10" s="39"/>
      <c r="E10" s="39"/>
      <c r="F10" s="39">
        <v>0.1623</v>
      </c>
      <c r="G10" s="39"/>
      <c r="H10" s="39">
        <v>0.1171</v>
      </c>
      <c r="I10" s="39"/>
      <c r="J10" s="39"/>
      <c r="K10" s="39"/>
      <c r="L10" s="39"/>
      <c r="M10" s="39"/>
      <c r="N10" s="39">
        <v>0.57899999999999996</v>
      </c>
      <c r="O10" s="39"/>
      <c r="P10" s="39"/>
      <c r="Q10" s="39"/>
      <c r="R10" s="39"/>
      <c r="S10" s="39"/>
      <c r="T10" s="39"/>
      <c r="U10" s="39"/>
      <c r="V10" s="39">
        <v>0.1416</v>
      </c>
      <c r="X10" s="39"/>
      <c r="Y10" s="39"/>
      <c r="Z10" s="39"/>
      <c r="AA10" s="39"/>
      <c r="AB10" s="39"/>
      <c r="AC10" s="56"/>
      <c r="AD10" s="23"/>
    </row>
    <row r="11" spans="1:30" s="14" customFormat="1">
      <c r="A11" s="80"/>
      <c r="B11" s="9"/>
      <c r="C11" s="127"/>
      <c r="D11" s="6">
        <f t="shared" ref="D11" si="4">$C10*D10</f>
        <v>0</v>
      </c>
      <c r="E11" s="6">
        <f t="shared" ref="E11" si="5">$C10*E10</f>
        <v>0</v>
      </c>
      <c r="F11" s="6">
        <f t="shared" ref="F11:V11" si="6">$C10*F10</f>
        <v>32895.220433999995</v>
      </c>
      <c r="G11" s="6">
        <f t="shared" si="6"/>
        <v>0</v>
      </c>
      <c r="H11" s="6">
        <f t="shared" si="6"/>
        <v>23734.013017999998</v>
      </c>
      <c r="I11" s="6">
        <f t="shared" si="6"/>
        <v>0</v>
      </c>
      <c r="J11" s="6">
        <f t="shared" si="6"/>
        <v>0</v>
      </c>
      <c r="K11" s="6">
        <f t="shared" si="6"/>
        <v>0</v>
      </c>
      <c r="L11" s="6">
        <f t="shared" si="6"/>
        <v>0</v>
      </c>
      <c r="M11" s="6">
        <f t="shared" si="6"/>
        <v>0</v>
      </c>
      <c r="N11" s="6">
        <f t="shared" si="6"/>
        <v>117352.63481999998</v>
      </c>
      <c r="O11" s="6">
        <f t="shared" si="6"/>
        <v>0</v>
      </c>
      <c r="P11" s="6">
        <f t="shared" si="6"/>
        <v>0</v>
      </c>
      <c r="Q11" s="6">
        <f t="shared" si="6"/>
        <v>0</v>
      </c>
      <c r="R11" s="6">
        <f t="shared" si="6"/>
        <v>0</v>
      </c>
      <c r="S11" s="6">
        <f t="shared" si="6"/>
        <v>0</v>
      </c>
      <c r="T11" s="6">
        <f t="shared" si="6"/>
        <v>0</v>
      </c>
      <c r="U11" s="6">
        <f t="shared" si="6"/>
        <v>0</v>
      </c>
      <c r="V11" s="6">
        <f t="shared" si="6"/>
        <v>28699.711727999998</v>
      </c>
      <c r="W11" s="6">
        <f>$C10*O10</f>
        <v>0</v>
      </c>
      <c r="X11" s="6">
        <f>$C10*X10</f>
        <v>0</v>
      </c>
      <c r="Y11" s="6">
        <f>$C10*Y10</f>
        <v>0</v>
      </c>
      <c r="Z11" s="6">
        <f>$C10*Z10</f>
        <v>0</v>
      </c>
      <c r="AA11" s="6">
        <f>$C10*AA10</f>
        <v>0</v>
      </c>
      <c r="AB11" s="6">
        <f>$C10*AB10</f>
        <v>0</v>
      </c>
      <c r="AC11" s="56"/>
      <c r="AD11" s="23"/>
    </row>
    <row r="12" spans="1:30" s="14" customFormat="1">
      <c r="A12" s="78" t="s">
        <v>33</v>
      </c>
      <c r="B12" s="15">
        <v>2388704.2400000002</v>
      </c>
      <c r="C12" s="127">
        <f t="shared" si="3"/>
        <v>199058.69</v>
      </c>
      <c r="D12" s="4">
        <v>0.1183</v>
      </c>
      <c r="E12" s="4"/>
      <c r="F12" s="4"/>
      <c r="G12" s="4"/>
      <c r="H12" s="4"/>
      <c r="I12" s="4"/>
      <c r="J12" s="4"/>
      <c r="K12" s="4"/>
      <c r="L12" s="4"/>
      <c r="M12" s="4">
        <v>0.19400000000000001</v>
      </c>
      <c r="N12" s="4">
        <v>0.1381</v>
      </c>
      <c r="O12" s="4"/>
      <c r="P12" s="4"/>
      <c r="Q12" s="4">
        <v>0.15559999999999999</v>
      </c>
      <c r="R12" s="4"/>
      <c r="S12" s="4"/>
      <c r="T12" s="4">
        <v>0.39400000000000002</v>
      </c>
      <c r="U12" s="4"/>
      <c r="V12" s="4"/>
      <c r="W12" s="4"/>
      <c r="X12" s="4"/>
      <c r="Y12" s="4"/>
      <c r="Z12" s="4"/>
      <c r="AA12" s="4"/>
      <c r="AB12" s="4"/>
      <c r="AC12" s="56"/>
      <c r="AD12" s="23"/>
    </row>
    <row r="13" spans="1:30" s="14" customFormat="1">
      <c r="A13" s="79"/>
      <c r="B13" s="8"/>
      <c r="C13" s="127"/>
      <c r="D13" s="5">
        <f t="shared" ref="D13" si="7">$C12*D12</f>
        <v>23548.643027000002</v>
      </c>
      <c r="E13" s="5">
        <f t="shared" ref="E13" si="8">$C12*E12</f>
        <v>0</v>
      </c>
      <c r="F13" s="5">
        <f t="shared" ref="F13:AB13" si="9">$C12*F12</f>
        <v>0</v>
      </c>
      <c r="G13" s="5">
        <f t="shared" si="9"/>
        <v>0</v>
      </c>
      <c r="H13" s="5">
        <f t="shared" si="9"/>
        <v>0</v>
      </c>
      <c r="I13" s="5">
        <f t="shared" si="9"/>
        <v>0</v>
      </c>
      <c r="J13" s="5">
        <f t="shared" si="9"/>
        <v>0</v>
      </c>
      <c r="K13" s="5">
        <f t="shared" si="9"/>
        <v>0</v>
      </c>
      <c r="L13" s="5">
        <f t="shared" si="9"/>
        <v>0</v>
      </c>
      <c r="M13" s="5">
        <f t="shared" si="9"/>
        <v>38617.385860000002</v>
      </c>
      <c r="N13" s="5">
        <f t="shared" si="9"/>
        <v>27490.005089000002</v>
      </c>
      <c r="O13" s="5">
        <f t="shared" si="9"/>
        <v>0</v>
      </c>
      <c r="P13" s="5">
        <f t="shared" si="9"/>
        <v>0</v>
      </c>
      <c r="Q13" s="5">
        <f t="shared" si="9"/>
        <v>30973.532163999997</v>
      </c>
      <c r="R13" s="5">
        <f t="shared" si="9"/>
        <v>0</v>
      </c>
      <c r="S13" s="5">
        <f t="shared" si="9"/>
        <v>0</v>
      </c>
      <c r="T13" s="5">
        <f t="shared" si="9"/>
        <v>78429.123860000007</v>
      </c>
      <c r="U13" s="5">
        <f t="shared" si="9"/>
        <v>0</v>
      </c>
      <c r="V13" s="5">
        <f t="shared" si="9"/>
        <v>0</v>
      </c>
      <c r="W13" s="5">
        <f t="shared" si="9"/>
        <v>0</v>
      </c>
      <c r="X13" s="5">
        <f t="shared" si="9"/>
        <v>0</v>
      </c>
      <c r="Y13" s="5">
        <f t="shared" si="9"/>
        <v>0</v>
      </c>
      <c r="Z13" s="5">
        <f t="shared" si="9"/>
        <v>0</v>
      </c>
      <c r="AA13" s="5">
        <f t="shared" si="9"/>
        <v>0</v>
      </c>
      <c r="AB13" s="5">
        <f t="shared" si="9"/>
        <v>0</v>
      </c>
      <c r="AC13" s="56"/>
      <c r="AD13" s="23"/>
    </row>
    <row r="14" spans="1:30" s="14" customFormat="1">
      <c r="A14" s="78" t="s">
        <v>34</v>
      </c>
      <c r="B14" s="15">
        <f>122829329.89/2</f>
        <v>61414664.945</v>
      </c>
      <c r="C14" s="127">
        <f t="shared" si="3"/>
        <v>5117888.75</v>
      </c>
      <c r="D14" s="35">
        <v>1.6299999999999999E-2</v>
      </c>
      <c r="E14" s="35">
        <v>0.14269999999999999</v>
      </c>
      <c r="F14" s="35">
        <v>5.8900000000000001E-2</v>
      </c>
      <c r="G14" s="35">
        <v>7.6200000000000004E-2</v>
      </c>
      <c r="H14" s="35">
        <v>3.9600000000000003E-2</v>
      </c>
      <c r="I14" s="35">
        <v>0.12470000000000001</v>
      </c>
      <c r="J14" s="35">
        <v>2.0400000000000001E-2</v>
      </c>
      <c r="K14" s="35">
        <v>3.1199999999999999E-2</v>
      </c>
      <c r="L14" s="35">
        <v>1.6199999999999999E-2</v>
      </c>
      <c r="M14" s="35">
        <v>2.53E-2</v>
      </c>
      <c r="N14" s="35">
        <v>0.14849999999999999</v>
      </c>
      <c r="O14" s="35">
        <v>2.2599999999999999E-2</v>
      </c>
      <c r="P14" s="35">
        <v>0</v>
      </c>
      <c r="Q14" s="35">
        <v>3.78E-2</v>
      </c>
      <c r="R14" s="35">
        <v>1.8100000000000002E-2</v>
      </c>
      <c r="S14" s="35">
        <v>4.1000000000000003E-3</v>
      </c>
      <c r="T14" s="35">
        <v>5.04E-2</v>
      </c>
      <c r="U14" s="35">
        <v>1.7500000000000002E-2</v>
      </c>
      <c r="V14" s="35">
        <v>3.6200000000000003E-2</v>
      </c>
      <c r="W14" s="35">
        <v>4.8500000000000001E-2</v>
      </c>
      <c r="X14" s="35">
        <v>6.1600000000000002E-2</v>
      </c>
      <c r="Y14" s="35">
        <v>2.5000000000000001E-3</v>
      </c>
      <c r="Z14" s="4">
        <v>0</v>
      </c>
      <c r="AA14" s="4">
        <v>6.9999999999999999E-4</v>
      </c>
      <c r="AB14" s="4">
        <v>0</v>
      </c>
      <c r="AC14" s="56"/>
      <c r="AD14" s="23"/>
    </row>
    <row r="15" spans="1:30" s="14" customFormat="1">
      <c r="A15" s="80" t="s">
        <v>35</v>
      </c>
      <c r="B15" s="204"/>
      <c r="C15" s="127"/>
      <c r="D15" s="112">
        <f>$C14*D14</f>
        <v>83421.586624999996</v>
      </c>
      <c r="E15" s="6">
        <f>$C14*E14</f>
        <v>730322.72462499992</v>
      </c>
      <c r="F15" s="6">
        <f t="shared" ref="F15" si="10">$C14*F14</f>
        <v>301443.647375</v>
      </c>
      <c r="G15" s="6">
        <f t="shared" ref="G15" si="11">$C14*G14</f>
        <v>389983.12275000004</v>
      </c>
      <c r="H15" s="6">
        <f t="shared" ref="H15:O15" si="12">$C14*H14</f>
        <v>202668.39450000002</v>
      </c>
      <c r="I15" s="6">
        <f t="shared" si="12"/>
        <v>638200.72712499998</v>
      </c>
      <c r="J15" s="6">
        <f t="shared" si="12"/>
        <v>104404.9305</v>
      </c>
      <c r="K15" s="6">
        <f t="shared" si="12"/>
        <v>159678.12899999999</v>
      </c>
      <c r="L15" s="6">
        <f t="shared" si="12"/>
        <v>82909.797749999998</v>
      </c>
      <c r="M15" s="6">
        <f t="shared" si="12"/>
        <v>129482.585375</v>
      </c>
      <c r="N15" s="6">
        <f t="shared" si="12"/>
        <v>760006.479375</v>
      </c>
      <c r="O15" s="6">
        <f t="shared" si="12"/>
        <v>115664.28575</v>
      </c>
      <c r="P15" s="6">
        <f t="shared" ref="P15" si="13">$C14*P14</f>
        <v>0</v>
      </c>
      <c r="Q15" s="6">
        <f t="shared" ref="Q15" si="14">$C14*Q14</f>
        <v>193456.19475</v>
      </c>
      <c r="R15" s="6">
        <f t="shared" ref="R15:AB15" si="15">$C14*R14</f>
        <v>92633.786375000011</v>
      </c>
      <c r="S15" s="6">
        <f t="shared" si="15"/>
        <v>20983.343875000002</v>
      </c>
      <c r="T15" s="6">
        <f t="shared" si="15"/>
        <v>257941.59299999999</v>
      </c>
      <c r="U15" s="6">
        <f t="shared" si="15"/>
        <v>89563.053125000006</v>
      </c>
      <c r="V15" s="6">
        <f t="shared" si="15"/>
        <v>185267.57275000002</v>
      </c>
      <c r="W15" s="6">
        <f t="shared" si="15"/>
        <v>248217.604375</v>
      </c>
      <c r="X15" s="6">
        <f t="shared" si="15"/>
        <v>315261.94699999999</v>
      </c>
      <c r="Y15" s="6">
        <f t="shared" si="15"/>
        <v>12794.721875000001</v>
      </c>
      <c r="Z15" s="6">
        <f t="shared" si="15"/>
        <v>0</v>
      </c>
      <c r="AA15" s="6">
        <f t="shared" si="15"/>
        <v>3582.522125</v>
      </c>
      <c r="AB15" s="6">
        <f t="shared" si="15"/>
        <v>0</v>
      </c>
      <c r="AC15" s="56"/>
      <c r="AD15" s="23"/>
    </row>
    <row r="16" spans="1:30" s="14" customFormat="1">
      <c r="A16" s="80" t="s">
        <v>36</v>
      </c>
      <c r="B16" s="205"/>
      <c r="C16" s="127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56"/>
      <c r="AD16" s="23"/>
    </row>
    <row r="17" spans="1:30" s="14" customFormat="1">
      <c r="A17" s="80" t="s">
        <v>37</v>
      </c>
      <c r="B17" s="205"/>
      <c r="C17" s="12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56"/>
      <c r="AD17" s="23"/>
    </row>
    <row r="18" spans="1:30" s="14" customFormat="1">
      <c r="A18" s="80" t="s">
        <v>38</v>
      </c>
      <c r="B18" s="205"/>
      <c r="C18" s="12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56"/>
      <c r="AD18" s="23"/>
    </row>
    <row r="19" spans="1:30" s="14" customFormat="1">
      <c r="A19" s="79" t="s">
        <v>39</v>
      </c>
      <c r="B19" s="206"/>
      <c r="C19" s="12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56"/>
      <c r="AD19" s="23"/>
    </row>
    <row r="20" spans="1:30" s="14" customFormat="1">
      <c r="A20" s="80" t="s">
        <v>392</v>
      </c>
      <c r="B20" s="15">
        <f>122829329.89/2*0.00013</f>
        <v>7983.9064428499996</v>
      </c>
      <c r="C20" s="127">
        <f t="shared" si="3"/>
        <v>665.33</v>
      </c>
      <c r="D20" s="39"/>
      <c r="E20" s="39"/>
      <c r="F20" s="39">
        <v>7.9299999999999995E-2</v>
      </c>
      <c r="G20" s="39"/>
      <c r="H20" s="39">
        <v>4.6199999999999998E-2</v>
      </c>
      <c r="I20" s="39"/>
      <c r="J20" s="39"/>
      <c r="K20" s="39"/>
      <c r="L20" s="39"/>
      <c r="M20" s="39"/>
      <c r="N20" s="39">
        <v>0.8</v>
      </c>
      <c r="O20" s="39"/>
      <c r="P20" s="39"/>
      <c r="Q20" s="39"/>
      <c r="R20" s="39"/>
      <c r="S20" s="39"/>
      <c r="T20" s="39"/>
      <c r="U20" s="39"/>
      <c r="V20" s="39">
        <v>7.4499999999999997E-2</v>
      </c>
      <c r="W20" s="39"/>
      <c r="X20" s="39"/>
      <c r="Y20" s="39"/>
      <c r="Z20" s="39"/>
      <c r="AA20" s="39"/>
      <c r="AB20" s="39"/>
      <c r="AC20" s="56"/>
      <c r="AD20" s="23"/>
    </row>
    <row r="21" spans="1:30" s="14" customFormat="1">
      <c r="A21" s="80"/>
      <c r="B21" s="9"/>
      <c r="C21" s="127"/>
      <c r="D21" s="6">
        <f t="shared" ref="D21" si="16">$C20*D20</f>
        <v>0</v>
      </c>
      <c r="E21" s="6">
        <f t="shared" ref="E21" si="17">$C20*E20</f>
        <v>0</v>
      </c>
      <c r="F21" s="6">
        <f t="shared" ref="F21:AB21" si="18">$C20*F20</f>
        <v>52.760669</v>
      </c>
      <c r="G21" s="6">
        <f t="shared" si="18"/>
        <v>0</v>
      </c>
      <c r="H21" s="6">
        <f t="shared" si="18"/>
        <v>30.738246</v>
      </c>
      <c r="I21" s="6">
        <f t="shared" si="18"/>
        <v>0</v>
      </c>
      <c r="J21" s="6">
        <f t="shared" si="18"/>
        <v>0</v>
      </c>
      <c r="K21" s="6">
        <f t="shared" si="18"/>
        <v>0</v>
      </c>
      <c r="L21" s="6">
        <f t="shared" si="18"/>
        <v>0</v>
      </c>
      <c r="M21" s="6">
        <f t="shared" si="18"/>
        <v>0</v>
      </c>
      <c r="N21" s="6">
        <f t="shared" si="18"/>
        <v>532.26400000000001</v>
      </c>
      <c r="O21" s="6">
        <f t="shared" si="18"/>
        <v>0</v>
      </c>
      <c r="P21" s="6">
        <f t="shared" si="18"/>
        <v>0</v>
      </c>
      <c r="Q21" s="6">
        <f t="shared" si="18"/>
        <v>0</v>
      </c>
      <c r="R21" s="6">
        <f t="shared" si="18"/>
        <v>0</v>
      </c>
      <c r="S21" s="6">
        <f t="shared" si="18"/>
        <v>0</v>
      </c>
      <c r="T21" s="6">
        <f t="shared" si="18"/>
        <v>0</v>
      </c>
      <c r="U21" s="6">
        <f t="shared" si="18"/>
        <v>0</v>
      </c>
      <c r="V21" s="6">
        <f t="shared" si="18"/>
        <v>49.567084999999999</v>
      </c>
      <c r="W21" s="6">
        <f t="shared" si="18"/>
        <v>0</v>
      </c>
      <c r="X21" s="6">
        <f t="shared" si="18"/>
        <v>0</v>
      </c>
      <c r="Y21" s="6">
        <f t="shared" si="18"/>
        <v>0</v>
      </c>
      <c r="Z21" s="6">
        <f t="shared" si="18"/>
        <v>0</v>
      </c>
      <c r="AA21" s="6">
        <f t="shared" si="18"/>
        <v>0</v>
      </c>
      <c r="AB21" s="6">
        <f t="shared" si="18"/>
        <v>0</v>
      </c>
      <c r="AC21" s="56"/>
      <c r="AD21" s="23"/>
    </row>
    <row r="22" spans="1:30" s="14" customFormat="1">
      <c r="A22" s="80" t="s">
        <v>393</v>
      </c>
      <c r="B22" s="15">
        <f>122829329.89/2*0.05002</f>
        <v>3071961.5405489001</v>
      </c>
      <c r="C22" s="127">
        <f t="shared" si="3"/>
        <v>255996.79999999999</v>
      </c>
      <c r="D22" s="39"/>
      <c r="E22" s="39"/>
      <c r="F22" s="39">
        <v>7.9299999999999995E-2</v>
      </c>
      <c r="G22" s="39"/>
      <c r="H22" s="39">
        <v>4.6199999999999998E-2</v>
      </c>
      <c r="I22" s="39"/>
      <c r="J22" s="39"/>
      <c r="K22" s="39"/>
      <c r="L22" s="39"/>
      <c r="M22" s="39"/>
      <c r="N22" s="39">
        <v>0.8</v>
      </c>
      <c r="O22" s="6"/>
      <c r="P22" s="6"/>
      <c r="Q22" s="6"/>
      <c r="R22" s="6"/>
      <c r="S22" s="6"/>
      <c r="T22" s="6"/>
      <c r="U22" s="6"/>
      <c r="V22" s="39">
        <v>7.4499999999999997E-2</v>
      </c>
      <c r="W22" s="39"/>
      <c r="X22" s="39"/>
      <c r="Y22" s="39"/>
      <c r="Z22" s="39"/>
      <c r="AA22" s="39"/>
      <c r="AB22" s="39"/>
      <c r="AC22" s="56"/>
      <c r="AD22" s="23"/>
    </row>
    <row r="23" spans="1:30" s="14" customFormat="1">
      <c r="A23" s="80"/>
      <c r="B23" s="9"/>
      <c r="C23" s="127"/>
      <c r="D23" s="6">
        <f t="shared" ref="D23" si="19">$C22*D22</f>
        <v>0</v>
      </c>
      <c r="E23" s="6">
        <f t="shared" ref="E23:AB23" si="20">$C22*E22</f>
        <v>0</v>
      </c>
      <c r="F23" s="6">
        <f t="shared" si="20"/>
        <v>20300.54624</v>
      </c>
      <c r="G23" s="6">
        <f t="shared" si="20"/>
        <v>0</v>
      </c>
      <c r="H23" s="6">
        <f t="shared" si="20"/>
        <v>11827.052159999999</v>
      </c>
      <c r="I23" s="6">
        <f t="shared" si="20"/>
        <v>0</v>
      </c>
      <c r="J23" s="6">
        <f t="shared" si="20"/>
        <v>0</v>
      </c>
      <c r="K23" s="6">
        <f t="shared" si="20"/>
        <v>0</v>
      </c>
      <c r="L23" s="6">
        <f t="shared" si="20"/>
        <v>0</v>
      </c>
      <c r="M23" s="6">
        <f t="shared" si="20"/>
        <v>0</v>
      </c>
      <c r="N23" s="6">
        <f t="shared" si="20"/>
        <v>204797.44</v>
      </c>
      <c r="O23" s="6">
        <f t="shared" si="20"/>
        <v>0</v>
      </c>
      <c r="P23" s="6">
        <f t="shared" si="20"/>
        <v>0</v>
      </c>
      <c r="Q23" s="6">
        <f t="shared" si="20"/>
        <v>0</v>
      </c>
      <c r="R23" s="6">
        <f t="shared" si="20"/>
        <v>0</v>
      </c>
      <c r="S23" s="6">
        <f t="shared" si="20"/>
        <v>0</v>
      </c>
      <c r="T23" s="6">
        <f t="shared" si="20"/>
        <v>0</v>
      </c>
      <c r="U23" s="6">
        <f t="shared" si="20"/>
        <v>0</v>
      </c>
      <c r="V23" s="6">
        <f t="shared" si="20"/>
        <v>19071.761599999998</v>
      </c>
      <c r="W23" s="6">
        <f t="shared" si="20"/>
        <v>0</v>
      </c>
      <c r="X23" s="6">
        <f t="shared" si="20"/>
        <v>0</v>
      </c>
      <c r="Y23" s="6">
        <f t="shared" si="20"/>
        <v>0</v>
      </c>
      <c r="Z23" s="6">
        <f t="shared" si="20"/>
        <v>0</v>
      </c>
      <c r="AA23" s="6">
        <f t="shared" si="20"/>
        <v>0</v>
      </c>
      <c r="AB23" s="6">
        <f t="shared" si="20"/>
        <v>0</v>
      </c>
      <c r="AC23" s="56"/>
      <c r="AD23" s="23"/>
    </row>
    <row r="24" spans="1:30" s="14" customFormat="1">
      <c r="A24" s="80" t="s">
        <v>394</v>
      </c>
      <c r="B24" s="15">
        <f>122829329.89/2*0.23382</f>
        <v>14359976.957439899</v>
      </c>
      <c r="C24" s="127">
        <f t="shared" si="3"/>
        <v>1196664.75</v>
      </c>
      <c r="D24" s="39"/>
      <c r="E24" s="39"/>
      <c r="F24" s="39">
        <v>0.38140000000000002</v>
      </c>
      <c r="G24" s="39"/>
      <c r="H24" s="39">
        <v>0.25590000000000002</v>
      </c>
      <c r="I24" s="39"/>
      <c r="J24" s="39"/>
      <c r="K24" s="39"/>
      <c r="L24" s="39"/>
      <c r="M24" s="39"/>
      <c r="N24" s="39">
        <v>0</v>
      </c>
      <c r="O24" s="39"/>
      <c r="P24" s="39"/>
      <c r="Q24" s="39"/>
      <c r="R24" s="39"/>
      <c r="S24" s="39"/>
      <c r="T24" s="39"/>
      <c r="U24" s="39"/>
      <c r="V24" s="39">
        <v>0.36270000000000002</v>
      </c>
      <c r="W24" s="39"/>
      <c r="X24" s="39"/>
      <c r="Y24" s="39"/>
      <c r="Z24" s="39"/>
      <c r="AA24" s="39"/>
      <c r="AB24" s="39"/>
      <c r="AC24" s="56"/>
      <c r="AD24" s="23"/>
    </row>
    <row r="25" spans="1:30" s="14" customFormat="1">
      <c r="A25" s="80"/>
      <c r="B25" s="9"/>
      <c r="C25" s="127"/>
      <c r="D25" s="6">
        <f t="shared" ref="D25" si="21">$C24*D24</f>
        <v>0</v>
      </c>
      <c r="E25" s="6">
        <f t="shared" ref="E25:AB25" si="22">$C24*E24</f>
        <v>0</v>
      </c>
      <c r="F25" s="6">
        <f t="shared" si="22"/>
        <v>456407.93565</v>
      </c>
      <c r="G25" s="6">
        <f t="shared" si="22"/>
        <v>0</v>
      </c>
      <c r="H25" s="6">
        <f t="shared" si="22"/>
        <v>306226.509525</v>
      </c>
      <c r="I25" s="6">
        <f t="shared" si="22"/>
        <v>0</v>
      </c>
      <c r="J25" s="6">
        <f t="shared" si="22"/>
        <v>0</v>
      </c>
      <c r="K25" s="6">
        <f t="shared" si="22"/>
        <v>0</v>
      </c>
      <c r="L25" s="6">
        <f t="shared" si="22"/>
        <v>0</v>
      </c>
      <c r="M25" s="6">
        <f t="shared" si="22"/>
        <v>0</v>
      </c>
      <c r="N25" s="6">
        <f t="shared" si="22"/>
        <v>0</v>
      </c>
      <c r="O25" s="6">
        <f t="shared" si="22"/>
        <v>0</v>
      </c>
      <c r="P25" s="6">
        <f t="shared" si="22"/>
        <v>0</v>
      </c>
      <c r="Q25" s="6">
        <f t="shared" si="22"/>
        <v>0</v>
      </c>
      <c r="R25" s="6">
        <f t="shared" si="22"/>
        <v>0</v>
      </c>
      <c r="S25" s="6">
        <f t="shared" si="22"/>
        <v>0</v>
      </c>
      <c r="T25" s="6">
        <f t="shared" si="22"/>
        <v>0</v>
      </c>
      <c r="U25" s="6">
        <f t="shared" si="22"/>
        <v>0</v>
      </c>
      <c r="V25" s="6">
        <f t="shared" si="22"/>
        <v>434030.304825</v>
      </c>
      <c r="W25" s="6">
        <f t="shared" si="22"/>
        <v>0</v>
      </c>
      <c r="X25" s="6">
        <f t="shared" si="22"/>
        <v>0</v>
      </c>
      <c r="Y25" s="6">
        <f t="shared" si="22"/>
        <v>0</v>
      </c>
      <c r="Z25" s="6">
        <f t="shared" si="22"/>
        <v>0</v>
      </c>
      <c r="AA25" s="6">
        <f t="shared" si="22"/>
        <v>0</v>
      </c>
      <c r="AB25" s="6">
        <f t="shared" si="22"/>
        <v>0</v>
      </c>
      <c r="AC25" s="56"/>
      <c r="AD25" s="23"/>
    </row>
    <row r="26" spans="1:30" s="14" customFormat="1">
      <c r="A26" s="80" t="s">
        <v>395</v>
      </c>
      <c r="B26" s="15">
        <f>122829329.89/2*0.62836</f>
        <v>38590518.864840202</v>
      </c>
      <c r="C26" s="127">
        <f t="shared" si="3"/>
        <v>3215876.57</v>
      </c>
      <c r="D26" s="39"/>
      <c r="E26" s="39"/>
      <c r="F26" s="39">
        <v>0.13020000000000001</v>
      </c>
      <c r="G26" s="39"/>
      <c r="H26" s="39">
        <v>6.7400000000000002E-2</v>
      </c>
      <c r="I26" s="39"/>
      <c r="J26" s="39"/>
      <c r="K26" s="39"/>
      <c r="L26" s="39"/>
      <c r="M26" s="39"/>
      <c r="N26" s="39">
        <v>0.70189999999999997</v>
      </c>
      <c r="O26" s="39"/>
      <c r="P26" s="39"/>
      <c r="Q26" s="39"/>
      <c r="R26" s="39"/>
      <c r="S26" s="39"/>
      <c r="T26" s="39"/>
      <c r="U26" s="39"/>
      <c r="V26" s="39">
        <v>0.10050000000000001</v>
      </c>
      <c r="W26" s="39"/>
      <c r="X26" s="39"/>
      <c r="Y26" s="39"/>
      <c r="Z26" s="39"/>
      <c r="AA26" s="39"/>
      <c r="AB26" s="39"/>
      <c r="AC26" s="56"/>
      <c r="AD26" s="23"/>
    </row>
    <row r="27" spans="1:30" s="14" customFormat="1">
      <c r="A27" s="80"/>
      <c r="B27" s="9"/>
      <c r="C27" s="127"/>
      <c r="D27" s="6">
        <f t="shared" ref="D27" si="23">$C26*D26</f>
        <v>0</v>
      </c>
      <c r="E27" s="6">
        <f t="shared" ref="E27:AB27" si="24">$C26*E26</f>
        <v>0</v>
      </c>
      <c r="F27" s="6">
        <f t="shared" si="24"/>
        <v>418707.12941400002</v>
      </c>
      <c r="G27" s="6">
        <f t="shared" si="24"/>
        <v>0</v>
      </c>
      <c r="H27" s="6">
        <f t="shared" si="24"/>
        <v>216750.08081799999</v>
      </c>
      <c r="I27" s="6">
        <f t="shared" si="24"/>
        <v>0</v>
      </c>
      <c r="J27" s="6">
        <f t="shared" si="24"/>
        <v>0</v>
      </c>
      <c r="K27" s="6">
        <f t="shared" si="24"/>
        <v>0</v>
      </c>
      <c r="L27" s="6">
        <f t="shared" si="24"/>
        <v>0</v>
      </c>
      <c r="M27" s="6">
        <f t="shared" si="24"/>
        <v>0</v>
      </c>
      <c r="N27" s="6">
        <f t="shared" si="24"/>
        <v>2257223.7644829997</v>
      </c>
      <c r="O27" s="6">
        <f t="shared" si="24"/>
        <v>0</v>
      </c>
      <c r="P27" s="6">
        <f t="shared" si="24"/>
        <v>0</v>
      </c>
      <c r="Q27" s="6">
        <f t="shared" si="24"/>
        <v>0</v>
      </c>
      <c r="R27" s="6">
        <f t="shared" si="24"/>
        <v>0</v>
      </c>
      <c r="S27" s="6">
        <f t="shared" si="24"/>
        <v>0</v>
      </c>
      <c r="T27" s="6">
        <f t="shared" si="24"/>
        <v>0</v>
      </c>
      <c r="U27" s="6">
        <f t="shared" si="24"/>
        <v>0</v>
      </c>
      <c r="V27" s="6">
        <f t="shared" si="24"/>
        <v>323195.59528499999</v>
      </c>
      <c r="W27" s="6">
        <f t="shared" si="24"/>
        <v>0</v>
      </c>
      <c r="X27" s="6">
        <f t="shared" si="24"/>
        <v>0</v>
      </c>
      <c r="Y27" s="6">
        <f t="shared" si="24"/>
        <v>0</v>
      </c>
      <c r="Z27" s="6">
        <f t="shared" si="24"/>
        <v>0</v>
      </c>
      <c r="AA27" s="6">
        <f t="shared" si="24"/>
        <v>0</v>
      </c>
      <c r="AB27" s="6">
        <f t="shared" si="24"/>
        <v>0</v>
      </c>
      <c r="AC27" s="56"/>
      <c r="AD27" s="23"/>
    </row>
    <row r="28" spans="1:30" s="14" customFormat="1">
      <c r="A28" s="80" t="s">
        <v>396</v>
      </c>
      <c r="B28" s="15">
        <f>122829329.89/2*0.06443</f>
        <v>3956946.8624063502</v>
      </c>
      <c r="C28" s="127">
        <f t="shared" si="3"/>
        <v>329745.57</v>
      </c>
      <c r="D28" s="39"/>
      <c r="E28" s="39"/>
      <c r="F28" s="39">
        <v>0.38140000000000002</v>
      </c>
      <c r="G28" s="39"/>
      <c r="H28" s="39">
        <v>0.25590000000000002</v>
      </c>
      <c r="I28" s="39"/>
      <c r="J28" s="39"/>
      <c r="K28" s="39"/>
      <c r="L28" s="39"/>
      <c r="M28" s="39"/>
      <c r="N28" s="39">
        <v>0</v>
      </c>
      <c r="O28" s="39"/>
      <c r="P28" s="39"/>
      <c r="Q28" s="39"/>
      <c r="R28" s="39"/>
      <c r="S28" s="39"/>
      <c r="T28" s="39"/>
      <c r="U28" s="39"/>
      <c r="V28" s="39">
        <v>0.36270000000000002</v>
      </c>
      <c r="W28" s="39"/>
      <c r="X28" s="39"/>
      <c r="Y28" s="39"/>
      <c r="Z28" s="39"/>
      <c r="AA28" s="39"/>
      <c r="AB28" s="39"/>
      <c r="AC28" s="56"/>
      <c r="AD28" s="23"/>
    </row>
    <row r="29" spans="1:30" s="14" customFormat="1">
      <c r="A29" s="80"/>
      <c r="B29" s="9"/>
      <c r="C29" s="127"/>
      <c r="D29" s="6">
        <f t="shared" ref="D29" si="25">$C28*D28</f>
        <v>0</v>
      </c>
      <c r="E29" s="6">
        <f t="shared" ref="E29:AB29" si="26">$C28*E28</f>
        <v>0</v>
      </c>
      <c r="F29" s="6">
        <f t="shared" si="26"/>
        <v>125764.96039800001</v>
      </c>
      <c r="G29" s="6">
        <f t="shared" si="26"/>
        <v>0</v>
      </c>
      <c r="H29" s="6">
        <f t="shared" si="26"/>
        <v>84381.891363000002</v>
      </c>
      <c r="I29" s="6">
        <f t="shared" si="26"/>
        <v>0</v>
      </c>
      <c r="J29" s="6">
        <f t="shared" si="26"/>
        <v>0</v>
      </c>
      <c r="K29" s="6">
        <f t="shared" si="26"/>
        <v>0</v>
      </c>
      <c r="L29" s="6">
        <f t="shared" si="26"/>
        <v>0</v>
      </c>
      <c r="M29" s="6">
        <f t="shared" si="26"/>
        <v>0</v>
      </c>
      <c r="N29" s="6">
        <f t="shared" si="26"/>
        <v>0</v>
      </c>
      <c r="O29" s="6">
        <f t="shared" si="26"/>
        <v>0</v>
      </c>
      <c r="P29" s="6">
        <f t="shared" si="26"/>
        <v>0</v>
      </c>
      <c r="Q29" s="6">
        <f t="shared" si="26"/>
        <v>0</v>
      </c>
      <c r="R29" s="6">
        <f t="shared" si="26"/>
        <v>0</v>
      </c>
      <c r="S29" s="6">
        <f t="shared" si="26"/>
        <v>0</v>
      </c>
      <c r="T29" s="6">
        <f t="shared" si="26"/>
        <v>0</v>
      </c>
      <c r="U29" s="6">
        <f t="shared" si="26"/>
        <v>0</v>
      </c>
      <c r="V29" s="6">
        <f t="shared" si="26"/>
        <v>119598.71823900001</v>
      </c>
      <c r="W29" s="6">
        <f t="shared" si="26"/>
        <v>0</v>
      </c>
      <c r="X29" s="6">
        <f t="shared" si="26"/>
        <v>0</v>
      </c>
      <c r="Y29" s="6">
        <f t="shared" si="26"/>
        <v>0</v>
      </c>
      <c r="Z29" s="6">
        <f t="shared" si="26"/>
        <v>0</v>
      </c>
      <c r="AA29" s="6">
        <f t="shared" si="26"/>
        <v>0</v>
      </c>
      <c r="AB29" s="6">
        <f t="shared" si="26"/>
        <v>0</v>
      </c>
      <c r="AC29" s="56"/>
      <c r="AD29" s="23"/>
    </row>
    <row r="30" spans="1:30" s="14" customFormat="1">
      <c r="A30" s="80" t="s">
        <v>397</v>
      </c>
      <c r="B30" s="15">
        <f>122829329.89/2*0.02324</f>
        <v>1427276.8133218</v>
      </c>
      <c r="C30" s="127">
        <f t="shared" si="3"/>
        <v>118939.73</v>
      </c>
      <c r="D30" s="39"/>
      <c r="E30" s="39"/>
      <c r="F30" s="39">
        <v>0.13020000000000001</v>
      </c>
      <c r="G30" s="39"/>
      <c r="H30" s="39">
        <v>6.7400000000000002E-2</v>
      </c>
      <c r="I30" s="39"/>
      <c r="J30" s="39"/>
      <c r="K30" s="39"/>
      <c r="L30" s="39"/>
      <c r="M30" s="39"/>
      <c r="N30" s="39">
        <v>0.70189999999999997</v>
      </c>
      <c r="O30" s="39"/>
      <c r="P30" s="39"/>
      <c r="Q30" s="39"/>
      <c r="R30" s="39"/>
      <c r="S30" s="39"/>
      <c r="T30" s="39"/>
      <c r="U30" s="39"/>
      <c r="V30" s="39">
        <v>0.10050000000000001</v>
      </c>
      <c r="W30" s="39"/>
      <c r="X30" s="39"/>
      <c r="Y30" s="39"/>
      <c r="Z30" s="39"/>
      <c r="AA30" s="39"/>
      <c r="AB30" s="39"/>
      <c r="AC30" s="56"/>
      <c r="AD30" s="23"/>
    </row>
    <row r="31" spans="1:30" s="14" customFormat="1">
      <c r="A31" s="80"/>
      <c r="B31" s="9"/>
      <c r="C31" s="127"/>
      <c r="D31" s="6">
        <f t="shared" ref="D31" si="27">$C30*D30</f>
        <v>0</v>
      </c>
      <c r="E31" s="6">
        <f t="shared" ref="E31:AB31" si="28">$C30*E30</f>
        <v>0</v>
      </c>
      <c r="F31" s="6">
        <f t="shared" si="28"/>
        <v>15485.952846</v>
      </c>
      <c r="G31" s="6">
        <f t="shared" si="28"/>
        <v>0</v>
      </c>
      <c r="H31" s="6">
        <f t="shared" si="28"/>
        <v>8016.5378019999998</v>
      </c>
      <c r="I31" s="6">
        <f t="shared" si="28"/>
        <v>0</v>
      </c>
      <c r="J31" s="6">
        <f t="shared" si="28"/>
        <v>0</v>
      </c>
      <c r="K31" s="6">
        <f t="shared" si="28"/>
        <v>0</v>
      </c>
      <c r="L31" s="6">
        <f t="shared" si="28"/>
        <v>0</v>
      </c>
      <c r="M31" s="6">
        <f t="shared" si="28"/>
        <v>0</v>
      </c>
      <c r="N31" s="6">
        <f t="shared" si="28"/>
        <v>83483.796487</v>
      </c>
      <c r="O31" s="6">
        <f t="shared" si="28"/>
        <v>0</v>
      </c>
      <c r="P31" s="6">
        <f t="shared" si="28"/>
        <v>0</v>
      </c>
      <c r="Q31" s="6">
        <f t="shared" si="28"/>
        <v>0</v>
      </c>
      <c r="R31" s="6">
        <f t="shared" si="28"/>
        <v>0</v>
      </c>
      <c r="S31" s="6">
        <f t="shared" si="28"/>
        <v>0</v>
      </c>
      <c r="T31" s="6">
        <f t="shared" si="28"/>
        <v>0</v>
      </c>
      <c r="U31" s="6">
        <f t="shared" si="28"/>
        <v>0</v>
      </c>
      <c r="V31" s="6">
        <f t="shared" si="28"/>
        <v>11953.442865000001</v>
      </c>
      <c r="W31" s="6">
        <f t="shared" si="28"/>
        <v>0</v>
      </c>
      <c r="X31" s="6">
        <f t="shared" si="28"/>
        <v>0</v>
      </c>
      <c r="Y31" s="6">
        <f t="shared" si="28"/>
        <v>0</v>
      </c>
      <c r="Z31" s="6">
        <f>$C30*Z30</f>
        <v>0</v>
      </c>
      <c r="AA31" s="6">
        <f t="shared" si="28"/>
        <v>0</v>
      </c>
      <c r="AB31" s="6">
        <f t="shared" si="28"/>
        <v>0</v>
      </c>
      <c r="AC31" s="56"/>
      <c r="AD31" s="23"/>
    </row>
    <row r="32" spans="1:30" s="14" customFormat="1">
      <c r="A32" s="78" t="s">
        <v>40</v>
      </c>
      <c r="B32" s="15">
        <v>229421.17</v>
      </c>
      <c r="C32" s="127">
        <f t="shared" si="3"/>
        <v>19118.43</v>
      </c>
      <c r="D32" s="4"/>
      <c r="E32" s="4"/>
      <c r="F32" s="4">
        <v>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56"/>
      <c r="AD32" s="23"/>
    </row>
    <row r="33" spans="1:30" s="14" customFormat="1">
      <c r="A33" s="79"/>
      <c r="B33" s="9"/>
      <c r="C33" s="127"/>
      <c r="D33" s="5">
        <f t="shared" ref="D33" si="29">$C32*D32</f>
        <v>0</v>
      </c>
      <c r="E33" s="5">
        <f t="shared" ref="E33" si="30">$C32*E32</f>
        <v>0</v>
      </c>
      <c r="F33" s="5">
        <f t="shared" ref="F33:AB33" si="31">$C32*F32</f>
        <v>19118.43</v>
      </c>
      <c r="G33" s="5">
        <f t="shared" si="31"/>
        <v>0</v>
      </c>
      <c r="H33" s="5">
        <f t="shared" si="31"/>
        <v>0</v>
      </c>
      <c r="I33" s="5">
        <f t="shared" si="31"/>
        <v>0</v>
      </c>
      <c r="J33" s="5">
        <f t="shared" si="31"/>
        <v>0</v>
      </c>
      <c r="K33" s="5">
        <f t="shared" si="31"/>
        <v>0</v>
      </c>
      <c r="L33" s="5">
        <f t="shared" si="31"/>
        <v>0</v>
      </c>
      <c r="M33" s="5">
        <f t="shared" si="31"/>
        <v>0</v>
      </c>
      <c r="N33" s="5">
        <f t="shared" si="31"/>
        <v>0</v>
      </c>
      <c r="O33" s="5">
        <f t="shared" si="31"/>
        <v>0</v>
      </c>
      <c r="P33" s="5">
        <f t="shared" si="31"/>
        <v>0</v>
      </c>
      <c r="Q33" s="5">
        <f t="shared" si="31"/>
        <v>0</v>
      </c>
      <c r="R33" s="5">
        <f t="shared" si="31"/>
        <v>0</v>
      </c>
      <c r="S33" s="5">
        <f t="shared" si="31"/>
        <v>0</v>
      </c>
      <c r="T33" s="5">
        <f t="shared" si="31"/>
        <v>0</v>
      </c>
      <c r="U33" s="5">
        <f t="shared" si="31"/>
        <v>0</v>
      </c>
      <c r="V33" s="5">
        <f t="shared" si="31"/>
        <v>0</v>
      </c>
      <c r="W33" s="5">
        <f t="shared" si="31"/>
        <v>0</v>
      </c>
      <c r="X33" s="5">
        <f t="shared" si="31"/>
        <v>0</v>
      </c>
      <c r="Y33" s="5">
        <f t="shared" si="31"/>
        <v>0</v>
      </c>
      <c r="Z33" s="5">
        <f t="shared" si="31"/>
        <v>0</v>
      </c>
      <c r="AA33" s="5">
        <f t="shared" si="31"/>
        <v>0</v>
      </c>
      <c r="AB33" s="5">
        <f t="shared" si="31"/>
        <v>0</v>
      </c>
      <c r="AC33" s="56"/>
      <c r="AD33" s="23"/>
    </row>
    <row r="34" spans="1:30" s="14" customFormat="1">
      <c r="A34" s="78" t="s">
        <v>41</v>
      </c>
      <c r="B34" s="15">
        <v>768597.81</v>
      </c>
      <c r="C34" s="127">
        <f t="shared" si="3"/>
        <v>64049.82</v>
      </c>
      <c r="D34" s="4"/>
      <c r="E34" s="4"/>
      <c r="F34" s="4">
        <v>0.79159999999999997</v>
      </c>
      <c r="G34" s="4"/>
      <c r="H34" s="4">
        <v>3.61E-2</v>
      </c>
      <c r="I34" s="4"/>
      <c r="J34" s="4"/>
      <c r="K34" s="4"/>
      <c r="L34" s="4"/>
      <c r="M34" s="4">
        <v>8.6E-3</v>
      </c>
      <c r="N34" s="4">
        <v>0.11749999999999999</v>
      </c>
      <c r="O34" s="4"/>
      <c r="P34" s="4"/>
      <c r="Q34" s="4"/>
      <c r="R34" s="4">
        <v>6.7000000000000002E-3</v>
      </c>
      <c r="S34" s="4"/>
      <c r="T34" s="4"/>
      <c r="U34" s="4"/>
      <c r="V34" s="4">
        <v>3.95E-2</v>
      </c>
      <c r="W34" s="4"/>
      <c r="X34" s="4"/>
      <c r="Y34" s="4"/>
      <c r="Z34" s="4"/>
      <c r="AA34" s="4"/>
      <c r="AB34" s="4"/>
      <c r="AC34" s="56"/>
      <c r="AD34" s="23"/>
    </row>
    <row r="35" spans="1:30" s="14" customFormat="1">
      <c r="A35" s="79"/>
      <c r="B35" s="9"/>
      <c r="C35" s="127"/>
      <c r="D35" s="5">
        <f t="shared" ref="D35" si="32">$C34*D34</f>
        <v>0</v>
      </c>
      <c r="E35" s="5">
        <f t="shared" ref="E35" si="33">$C34*E34</f>
        <v>0</v>
      </c>
      <c r="F35" s="5">
        <f t="shared" ref="F35:AB35" si="34">$C34*F34</f>
        <v>50701.837511999998</v>
      </c>
      <c r="G35" s="5">
        <f t="shared" si="34"/>
        <v>0</v>
      </c>
      <c r="H35" s="5">
        <f t="shared" si="34"/>
        <v>2312.1985020000002</v>
      </c>
      <c r="I35" s="5">
        <f t="shared" si="34"/>
        <v>0</v>
      </c>
      <c r="J35" s="5">
        <f t="shared" si="34"/>
        <v>0</v>
      </c>
      <c r="K35" s="5">
        <f t="shared" si="34"/>
        <v>0</v>
      </c>
      <c r="L35" s="5">
        <f t="shared" si="34"/>
        <v>0</v>
      </c>
      <c r="M35" s="5">
        <f t="shared" si="34"/>
        <v>550.82845199999997</v>
      </c>
      <c r="N35" s="5">
        <f t="shared" si="34"/>
        <v>7525.8538499999995</v>
      </c>
      <c r="O35" s="5">
        <f t="shared" si="34"/>
        <v>0</v>
      </c>
      <c r="P35" s="5">
        <f t="shared" si="34"/>
        <v>0</v>
      </c>
      <c r="Q35" s="5">
        <f t="shared" si="34"/>
        <v>0</v>
      </c>
      <c r="R35" s="5">
        <f t="shared" si="34"/>
        <v>429.13379400000002</v>
      </c>
      <c r="S35" s="5">
        <f t="shared" si="34"/>
        <v>0</v>
      </c>
      <c r="T35" s="5">
        <f t="shared" si="34"/>
        <v>0</v>
      </c>
      <c r="U35" s="5">
        <f t="shared" si="34"/>
        <v>0</v>
      </c>
      <c r="V35" s="5">
        <f t="shared" si="34"/>
        <v>2529.9678899999999</v>
      </c>
      <c r="W35" s="5">
        <f t="shared" si="34"/>
        <v>0</v>
      </c>
      <c r="X35" s="5">
        <f t="shared" si="34"/>
        <v>0</v>
      </c>
      <c r="Y35" s="5">
        <f t="shared" si="34"/>
        <v>0</v>
      </c>
      <c r="Z35" s="5">
        <f t="shared" si="34"/>
        <v>0</v>
      </c>
      <c r="AA35" s="5">
        <f t="shared" si="34"/>
        <v>0</v>
      </c>
      <c r="AB35" s="5">
        <f t="shared" si="34"/>
        <v>0</v>
      </c>
      <c r="AC35" s="56"/>
      <c r="AD35" s="23"/>
    </row>
    <row r="36" spans="1:30" s="14" customFormat="1">
      <c r="A36" s="78" t="s">
        <v>42</v>
      </c>
      <c r="B36" s="15">
        <f>290503.25/2</f>
        <v>145251.625</v>
      </c>
      <c r="C36" s="127">
        <f t="shared" si="3"/>
        <v>12104.3</v>
      </c>
      <c r="D36" s="35">
        <v>1.6299999999999999E-2</v>
      </c>
      <c r="E36" s="35">
        <v>0.14269999999999999</v>
      </c>
      <c r="F36" s="35">
        <v>5.8900000000000001E-2</v>
      </c>
      <c r="G36" s="35">
        <v>7.6200000000000004E-2</v>
      </c>
      <c r="H36" s="35">
        <v>3.9600000000000003E-2</v>
      </c>
      <c r="I36" s="35">
        <v>0.12470000000000001</v>
      </c>
      <c r="J36" s="35">
        <v>2.0400000000000001E-2</v>
      </c>
      <c r="K36" s="35">
        <v>3.1199999999999999E-2</v>
      </c>
      <c r="L36" s="35">
        <v>1.6199999999999999E-2</v>
      </c>
      <c r="M36" s="35">
        <v>2.53E-2</v>
      </c>
      <c r="N36" s="35">
        <v>0.14849999999999999</v>
      </c>
      <c r="O36" s="35">
        <v>2.2599999999999999E-2</v>
      </c>
      <c r="P36" s="35">
        <v>0</v>
      </c>
      <c r="Q36" s="35">
        <v>3.78E-2</v>
      </c>
      <c r="R36" s="35">
        <v>1.8100000000000002E-2</v>
      </c>
      <c r="S36" s="35">
        <v>4.1000000000000003E-3</v>
      </c>
      <c r="T36" s="35">
        <v>5.04E-2</v>
      </c>
      <c r="U36" s="35">
        <v>1.7500000000000002E-2</v>
      </c>
      <c r="V36" s="35">
        <v>3.6200000000000003E-2</v>
      </c>
      <c r="W36" s="35">
        <v>4.8500000000000001E-2</v>
      </c>
      <c r="X36" s="35">
        <v>6.1600000000000002E-2</v>
      </c>
      <c r="Y36" s="35">
        <v>2.5000000000000001E-3</v>
      </c>
      <c r="Z36" s="4">
        <v>0</v>
      </c>
      <c r="AA36" s="4">
        <v>6.9999999999999999E-4</v>
      </c>
      <c r="AB36" s="4">
        <v>0</v>
      </c>
      <c r="AC36" s="56"/>
      <c r="AD36" s="23"/>
    </row>
    <row r="37" spans="1:30" s="14" customFormat="1">
      <c r="A37" s="79"/>
      <c r="B37" s="9"/>
      <c r="C37" s="127"/>
      <c r="D37" s="5">
        <f t="shared" ref="D37" si="35">$C36*D36</f>
        <v>197.30008999999998</v>
      </c>
      <c r="E37" s="5">
        <f t="shared" ref="E37" si="36">$C36*E36</f>
        <v>1727.2836099999997</v>
      </c>
      <c r="F37" s="5">
        <f t="shared" ref="F37:O37" si="37">$C36*F36</f>
        <v>712.94326999999998</v>
      </c>
      <c r="G37" s="5">
        <f t="shared" si="37"/>
        <v>922.34766000000002</v>
      </c>
      <c r="H37" s="5">
        <f t="shared" si="37"/>
        <v>479.33028000000002</v>
      </c>
      <c r="I37" s="5">
        <f t="shared" si="37"/>
        <v>1509.4062099999999</v>
      </c>
      <c r="J37" s="5">
        <f t="shared" si="37"/>
        <v>246.92771999999999</v>
      </c>
      <c r="K37" s="5">
        <f t="shared" si="37"/>
        <v>377.65415999999993</v>
      </c>
      <c r="L37" s="5">
        <f t="shared" si="37"/>
        <v>196.08965999999998</v>
      </c>
      <c r="M37" s="5">
        <f t="shared" si="37"/>
        <v>306.23878999999999</v>
      </c>
      <c r="N37" s="5">
        <f t="shared" si="37"/>
        <v>1797.4885499999998</v>
      </c>
      <c r="O37" s="5">
        <f t="shared" si="37"/>
        <v>273.55717999999996</v>
      </c>
      <c r="P37" s="5">
        <f t="shared" ref="P37" si="38">$C36*P36</f>
        <v>0</v>
      </c>
      <c r="Q37" s="5">
        <f t="shared" ref="Q37" si="39">$C36*Q36</f>
        <v>457.54253999999997</v>
      </c>
      <c r="R37" s="5">
        <f t="shared" ref="R37:AB37" si="40">$C36*R36</f>
        <v>219.08783</v>
      </c>
      <c r="S37" s="5">
        <f t="shared" si="40"/>
        <v>49.627630000000003</v>
      </c>
      <c r="T37" s="5">
        <f t="shared" si="40"/>
        <v>610.05671999999993</v>
      </c>
      <c r="U37" s="5">
        <f t="shared" si="40"/>
        <v>211.82525000000001</v>
      </c>
      <c r="V37" s="5">
        <f t="shared" si="40"/>
        <v>438.17565999999999</v>
      </c>
      <c r="W37" s="5">
        <f t="shared" si="40"/>
        <v>587.05854999999997</v>
      </c>
      <c r="X37" s="5">
        <f t="shared" si="40"/>
        <v>745.62487999999996</v>
      </c>
      <c r="Y37" s="5">
        <f t="shared" si="40"/>
        <v>30.260749999999998</v>
      </c>
      <c r="Z37" s="5">
        <f t="shared" si="40"/>
        <v>0</v>
      </c>
      <c r="AA37" s="5">
        <f t="shared" si="40"/>
        <v>8.4730099999999986</v>
      </c>
      <c r="AB37" s="5">
        <f t="shared" si="40"/>
        <v>0</v>
      </c>
      <c r="AC37" s="56"/>
      <c r="AD37" s="23"/>
    </row>
    <row r="38" spans="1:30" s="14" customFormat="1">
      <c r="A38" s="80" t="s">
        <v>398</v>
      </c>
      <c r="B38" s="15">
        <f>290503.25/2</f>
        <v>145251.625</v>
      </c>
      <c r="C38" s="127">
        <f t="shared" si="3"/>
        <v>12104.3</v>
      </c>
      <c r="D38" s="39"/>
      <c r="E38" s="39"/>
      <c r="F38" s="39">
        <v>0.13020000000000001</v>
      </c>
      <c r="G38" s="39"/>
      <c r="H38" s="39">
        <v>6.7400000000000002E-2</v>
      </c>
      <c r="I38" s="39"/>
      <c r="J38" s="39"/>
      <c r="K38" s="39"/>
      <c r="L38" s="39"/>
      <c r="M38" s="39"/>
      <c r="N38" s="39">
        <v>0.70189999999999997</v>
      </c>
      <c r="O38" s="39"/>
      <c r="P38" s="39"/>
      <c r="Q38" s="39"/>
      <c r="R38" s="39"/>
      <c r="S38" s="39"/>
      <c r="T38" s="39"/>
      <c r="U38" s="39"/>
      <c r="V38" s="39">
        <v>0.10050000000000001</v>
      </c>
      <c r="W38" s="39"/>
      <c r="X38" s="39"/>
      <c r="Y38" s="39"/>
      <c r="Z38" s="39"/>
      <c r="AA38" s="39"/>
      <c r="AB38" s="39"/>
      <c r="AC38" s="56"/>
      <c r="AD38" s="23"/>
    </row>
    <row r="39" spans="1:30" s="14" customFormat="1">
      <c r="A39" s="80"/>
      <c r="B39" s="9"/>
      <c r="C39" s="127"/>
      <c r="D39" s="6">
        <f t="shared" ref="D39" si="41">$C38*D38</f>
        <v>0</v>
      </c>
      <c r="E39" s="6">
        <f t="shared" ref="E39" si="42">$C38*E38</f>
        <v>0</v>
      </c>
      <c r="F39" s="6">
        <f t="shared" ref="F39:AB39" si="43">$C38*F38</f>
        <v>1575.9798599999999</v>
      </c>
      <c r="G39" s="6">
        <f t="shared" si="43"/>
        <v>0</v>
      </c>
      <c r="H39" s="6">
        <f t="shared" si="43"/>
        <v>815.82981999999993</v>
      </c>
      <c r="I39" s="6">
        <f t="shared" si="43"/>
        <v>0</v>
      </c>
      <c r="J39" s="6">
        <f t="shared" si="43"/>
        <v>0</v>
      </c>
      <c r="K39" s="6">
        <f t="shared" si="43"/>
        <v>0</v>
      </c>
      <c r="L39" s="6">
        <f t="shared" si="43"/>
        <v>0</v>
      </c>
      <c r="M39" s="6">
        <f t="shared" si="43"/>
        <v>0</v>
      </c>
      <c r="N39" s="6">
        <f t="shared" si="43"/>
        <v>8496.0081699999992</v>
      </c>
      <c r="O39" s="6">
        <f t="shared" si="43"/>
        <v>0</v>
      </c>
      <c r="P39" s="6">
        <f t="shared" si="43"/>
        <v>0</v>
      </c>
      <c r="Q39" s="6">
        <f t="shared" si="43"/>
        <v>0</v>
      </c>
      <c r="R39" s="6">
        <f t="shared" si="43"/>
        <v>0</v>
      </c>
      <c r="S39" s="6">
        <f t="shared" si="43"/>
        <v>0</v>
      </c>
      <c r="T39" s="6">
        <f t="shared" si="43"/>
        <v>0</v>
      </c>
      <c r="U39" s="6">
        <f t="shared" si="43"/>
        <v>0</v>
      </c>
      <c r="V39" s="6">
        <f t="shared" si="43"/>
        <v>1216.48215</v>
      </c>
      <c r="W39" s="6">
        <f t="shared" si="43"/>
        <v>0</v>
      </c>
      <c r="X39" s="6">
        <f t="shared" si="43"/>
        <v>0</v>
      </c>
      <c r="Y39" s="6">
        <f t="shared" si="43"/>
        <v>0</v>
      </c>
      <c r="Z39" s="6">
        <f t="shared" si="43"/>
        <v>0</v>
      </c>
      <c r="AA39" s="6">
        <f t="shared" si="43"/>
        <v>0</v>
      </c>
      <c r="AB39" s="6">
        <f t="shared" si="43"/>
        <v>0</v>
      </c>
      <c r="AC39" s="56"/>
      <c r="AD39" s="23"/>
    </row>
    <row r="40" spans="1:30" s="14" customFormat="1">
      <c r="A40" s="78" t="s">
        <v>43</v>
      </c>
      <c r="B40" s="15">
        <v>1013906.61</v>
      </c>
      <c r="C40" s="127">
        <f>ROUND(B40/12,2)</f>
        <v>84492.22</v>
      </c>
      <c r="D40" s="4"/>
      <c r="E40" s="4"/>
      <c r="F40" s="4">
        <v>0.50980000000000003</v>
      </c>
      <c r="G40" s="4"/>
      <c r="H40" s="4">
        <v>0.13420000000000001</v>
      </c>
      <c r="I40" s="4"/>
      <c r="J40" s="4"/>
      <c r="K40" s="4"/>
      <c r="L40" s="4"/>
      <c r="M40" s="4">
        <v>2.0299999999999999E-2</v>
      </c>
      <c r="N40" s="4">
        <v>0.14499999999999999</v>
      </c>
      <c r="O40" s="4"/>
      <c r="P40" s="4"/>
      <c r="Q40" s="4"/>
      <c r="R40" s="4">
        <v>1.43E-2</v>
      </c>
      <c r="S40" s="4"/>
      <c r="T40" s="4"/>
      <c r="U40" s="4"/>
      <c r="V40" s="4">
        <v>0.1764</v>
      </c>
      <c r="W40" s="4"/>
      <c r="X40" s="4"/>
      <c r="Y40" s="4"/>
      <c r="Z40" s="4"/>
      <c r="AA40" s="4"/>
      <c r="AB40" s="4"/>
      <c r="AC40" s="56"/>
      <c r="AD40" s="23"/>
    </row>
    <row r="41" spans="1:30" s="14" customFormat="1">
      <c r="A41" s="79"/>
      <c r="B41" s="9"/>
      <c r="C41" s="127"/>
      <c r="D41" s="5"/>
      <c r="E41" s="5"/>
      <c r="F41" s="5">
        <f t="shared" ref="F41" si="44">$C40*F40</f>
        <v>43074.133756000003</v>
      </c>
      <c r="G41" s="5">
        <f t="shared" ref="G41" si="45">$C40*G40</f>
        <v>0</v>
      </c>
      <c r="H41" s="5">
        <f t="shared" ref="H41:AB41" si="46">$C40*H40</f>
        <v>11338.855924000001</v>
      </c>
      <c r="I41" s="5">
        <f t="shared" si="46"/>
        <v>0</v>
      </c>
      <c r="J41" s="5">
        <f t="shared" si="46"/>
        <v>0</v>
      </c>
      <c r="K41" s="5">
        <f t="shared" si="46"/>
        <v>0</v>
      </c>
      <c r="L41" s="5">
        <f t="shared" si="46"/>
        <v>0</v>
      </c>
      <c r="M41" s="5">
        <f t="shared" si="46"/>
        <v>1715.1920659999998</v>
      </c>
      <c r="N41" s="5">
        <f t="shared" si="46"/>
        <v>12251.3719</v>
      </c>
      <c r="O41" s="5">
        <f t="shared" si="46"/>
        <v>0</v>
      </c>
      <c r="P41" s="5">
        <f t="shared" si="46"/>
        <v>0</v>
      </c>
      <c r="Q41" s="5">
        <f t="shared" si="46"/>
        <v>0</v>
      </c>
      <c r="R41" s="5">
        <f t="shared" si="46"/>
        <v>1208.238746</v>
      </c>
      <c r="S41" s="5">
        <f t="shared" si="46"/>
        <v>0</v>
      </c>
      <c r="T41" s="5">
        <f t="shared" si="46"/>
        <v>0</v>
      </c>
      <c r="U41" s="5">
        <f t="shared" si="46"/>
        <v>0</v>
      </c>
      <c r="V41" s="5">
        <f t="shared" si="46"/>
        <v>14904.427608</v>
      </c>
      <c r="W41" s="5">
        <f t="shared" si="46"/>
        <v>0</v>
      </c>
      <c r="X41" s="5">
        <f t="shared" si="46"/>
        <v>0</v>
      </c>
      <c r="Y41" s="5">
        <f t="shared" si="46"/>
        <v>0</v>
      </c>
      <c r="Z41" s="5">
        <f t="shared" si="46"/>
        <v>0</v>
      </c>
      <c r="AA41" s="5">
        <f t="shared" si="46"/>
        <v>0</v>
      </c>
      <c r="AB41" s="5">
        <f t="shared" si="46"/>
        <v>0</v>
      </c>
      <c r="AC41" s="56"/>
      <c r="AD41" s="23"/>
    </row>
    <row r="42" spans="1:30" s="14" customFormat="1">
      <c r="A42" s="78" t="s">
        <v>44</v>
      </c>
      <c r="B42" s="15">
        <f>3913401.39/2</f>
        <v>1956700.6950000001</v>
      </c>
      <c r="C42" s="127">
        <f t="shared" si="3"/>
        <v>163058.39000000001</v>
      </c>
      <c r="D42" s="35">
        <v>1.6299999999999999E-2</v>
      </c>
      <c r="E42" s="35">
        <v>0.14269999999999999</v>
      </c>
      <c r="F42" s="35">
        <v>5.8900000000000001E-2</v>
      </c>
      <c r="G42" s="35">
        <v>7.6200000000000004E-2</v>
      </c>
      <c r="H42" s="35">
        <v>3.9600000000000003E-2</v>
      </c>
      <c r="I42" s="35">
        <v>0.12470000000000001</v>
      </c>
      <c r="J42" s="35">
        <v>2.0400000000000001E-2</v>
      </c>
      <c r="K42" s="35">
        <v>3.1199999999999999E-2</v>
      </c>
      <c r="L42" s="35">
        <v>1.6199999999999999E-2</v>
      </c>
      <c r="M42" s="35">
        <v>2.53E-2</v>
      </c>
      <c r="N42" s="35">
        <v>0.14849999999999999</v>
      </c>
      <c r="O42" s="35">
        <v>2.2599999999999999E-2</v>
      </c>
      <c r="P42" s="35">
        <v>0</v>
      </c>
      <c r="Q42" s="35">
        <v>3.78E-2</v>
      </c>
      <c r="R42" s="35">
        <v>1.8100000000000002E-2</v>
      </c>
      <c r="S42" s="35">
        <v>4.1000000000000003E-3</v>
      </c>
      <c r="T42" s="35">
        <v>5.04E-2</v>
      </c>
      <c r="U42" s="35">
        <v>1.7500000000000002E-2</v>
      </c>
      <c r="V42" s="35">
        <v>3.6200000000000003E-2</v>
      </c>
      <c r="W42" s="35">
        <v>4.8500000000000001E-2</v>
      </c>
      <c r="X42" s="35">
        <v>6.1600000000000002E-2</v>
      </c>
      <c r="Y42" s="35">
        <v>2.5000000000000001E-3</v>
      </c>
      <c r="Z42" s="4">
        <v>0</v>
      </c>
      <c r="AA42" s="4">
        <v>6.9999999999999999E-4</v>
      </c>
      <c r="AB42" s="4">
        <v>0</v>
      </c>
      <c r="AC42" s="56"/>
      <c r="AD42" s="23"/>
    </row>
    <row r="43" spans="1:30" s="14" customFormat="1">
      <c r="A43" s="79"/>
      <c r="B43" s="9"/>
      <c r="C43" s="127"/>
      <c r="D43" s="5">
        <f t="shared" ref="D43" si="47">$C42*D42</f>
        <v>2657.8517569999999</v>
      </c>
      <c r="E43" s="5">
        <f t="shared" ref="E43" si="48">$C42*E42</f>
        <v>23268.432253000003</v>
      </c>
      <c r="F43" s="5">
        <f t="shared" ref="F43:O43" si="49">$C42*F42</f>
        <v>9604.1391710000007</v>
      </c>
      <c r="G43" s="5">
        <f t="shared" si="49"/>
        <v>12425.049318000001</v>
      </c>
      <c r="H43" s="5">
        <f t="shared" si="49"/>
        <v>6457.1122440000008</v>
      </c>
      <c r="I43" s="5">
        <f t="shared" si="49"/>
        <v>20333.381233000004</v>
      </c>
      <c r="J43" s="5">
        <f t="shared" si="49"/>
        <v>3326.3911560000006</v>
      </c>
      <c r="K43" s="5">
        <f t="shared" si="49"/>
        <v>5087.4217680000002</v>
      </c>
      <c r="L43" s="5">
        <f t="shared" si="49"/>
        <v>2641.5459180000003</v>
      </c>
      <c r="M43" s="5">
        <f t="shared" si="49"/>
        <v>4125.3772669999998</v>
      </c>
      <c r="N43" s="5">
        <f t="shared" si="49"/>
        <v>24214.170915000002</v>
      </c>
      <c r="O43" s="5">
        <f t="shared" si="49"/>
        <v>3685.1196140000002</v>
      </c>
      <c r="P43" s="5">
        <f t="shared" ref="P43" si="50">$C42*P42</f>
        <v>0</v>
      </c>
      <c r="Q43" s="5">
        <f t="shared" ref="Q43" si="51">$C42*Q42</f>
        <v>6163.6071420000007</v>
      </c>
      <c r="R43" s="5">
        <f t="shared" ref="R43:AB43" si="52">$C42*R42</f>
        <v>2951.3568590000004</v>
      </c>
      <c r="S43" s="5">
        <f t="shared" si="52"/>
        <v>668.53939900000012</v>
      </c>
      <c r="T43" s="5">
        <f t="shared" si="52"/>
        <v>8218.1428560000004</v>
      </c>
      <c r="U43" s="5">
        <f t="shared" si="52"/>
        <v>2853.5218250000007</v>
      </c>
      <c r="V43" s="5">
        <f t="shared" si="52"/>
        <v>5902.7137180000009</v>
      </c>
      <c r="W43" s="5">
        <f t="shared" si="52"/>
        <v>7908.3319150000007</v>
      </c>
      <c r="X43" s="5">
        <f t="shared" si="52"/>
        <v>10044.396824000001</v>
      </c>
      <c r="Y43" s="5">
        <f t="shared" si="52"/>
        <v>407.64597500000002</v>
      </c>
      <c r="Z43" s="5">
        <f t="shared" si="52"/>
        <v>0</v>
      </c>
      <c r="AA43" s="5">
        <f t="shared" si="52"/>
        <v>114.14087300000001</v>
      </c>
      <c r="AB43" s="5">
        <f t="shared" si="52"/>
        <v>0</v>
      </c>
      <c r="AC43" s="56"/>
      <c r="AD43" s="23"/>
    </row>
    <row r="44" spans="1:30" s="14" customFormat="1">
      <c r="A44" s="80" t="s">
        <v>399</v>
      </c>
      <c r="B44" s="15">
        <f>3913401.39/2</f>
        <v>1956700.6950000001</v>
      </c>
      <c r="C44" s="127">
        <f t="shared" si="3"/>
        <v>163058.39000000001</v>
      </c>
      <c r="D44" s="39"/>
      <c r="E44" s="39">
        <v>2.1899999999999999E-2</v>
      </c>
      <c r="F44" s="39">
        <v>2.29E-2</v>
      </c>
      <c r="G44" s="39">
        <v>1.06E-2</v>
      </c>
      <c r="H44" s="39">
        <v>0.10879999999999999</v>
      </c>
      <c r="I44" s="39"/>
      <c r="J44" s="39">
        <v>7.7000000000000002E-3</v>
      </c>
      <c r="K44" s="39">
        <v>9.1999999999999998E-3</v>
      </c>
      <c r="L44" s="39"/>
      <c r="M44" s="39"/>
      <c r="N44" s="39">
        <v>0.70499999999999996</v>
      </c>
      <c r="O44" s="39">
        <v>1.4E-3</v>
      </c>
      <c r="P44" s="39"/>
      <c r="Q44" s="39"/>
      <c r="R44" s="39"/>
      <c r="S44" s="39"/>
      <c r="T44" s="39"/>
      <c r="U44" s="39"/>
      <c r="V44" s="39">
        <v>0.1125</v>
      </c>
      <c r="W44" s="39"/>
      <c r="X44" s="39"/>
      <c r="Y44" s="39"/>
      <c r="Z44" s="39"/>
      <c r="AA44" s="39"/>
      <c r="AB44" s="39"/>
      <c r="AC44" s="56"/>
      <c r="AD44" s="23"/>
    </row>
    <row r="45" spans="1:30" s="14" customFormat="1">
      <c r="A45" s="80"/>
      <c r="B45" s="9"/>
      <c r="C45" s="127"/>
      <c r="D45" s="6">
        <f t="shared" ref="D45" si="53">$C44*D44</f>
        <v>0</v>
      </c>
      <c r="E45" s="6">
        <f t="shared" ref="E45" si="54">$C44*E44</f>
        <v>3570.9787410000004</v>
      </c>
      <c r="F45" s="6">
        <f t="shared" ref="F45:AB45" si="55">$C44*F44</f>
        <v>3734.0371310000005</v>
      </c>
      <c r="G45" s="6">
        <f t="shared" si="55"/>
        <v>1728.4189340000003</v>
      </c>
      <c r="H45" s="6">
        <f t="shared" si="55"/>
        <v>17740.752832000002</v>
      </c>
      <c r="I45" s="6">
        <f t="shared" si="55"/>
        <v>0</v>
      </c>
      <c r="J45" s="6">
        <f t="shared" si="55"/>
        <v>1255.5496030000002</v>
      </c>
      <c r="K45" s="6">
        <f t="shared" si="55"/>
        <v>1500.1371880000002</v>
      </c>
      <c r="L45" s="6">
        <f t="shared" si="55"/>
        <v>0</v>
      </c>
      <c r="M45" s="6">
        <f t="shared" si="55"/>
        <v>0</v>
      </c>
      <c r="N45" s="6">
        <f t="shared" si="55"/>
        <v>114956.16495000001</v>
      </c>
      <c r="O45" s="6">
        <f t="shared" si="55"/>
        <v>228.28174600000003</v>
      </c>
      <c r="P45" s="6">
        <f t="shared" si="55"/>
        <v>0</v>
      </c>
      <c r="Q45" s="6">
        <f t="shared" si="55"/>
        <v>0</v>
      </c>
      <c r="R45" s="6">
        <f t="shared" si="55"/>
        <v>0</v>
      </c>
      <c r="S45" s="6">
        <f t="shared" si="55"/>
        <v>0</v>
      </c>
      <c r="T45" s="6">
        <f t="shared" si="55"/>
        <v>0</v>
      </c>
      <c r="U45" s="6">
        <f t="shared" si="55"/>
        <v>0</v>
      </c>
      <c r="V45" s="6">
        <f t="shared" si="55"/>
        <v>18344.068875000001</v>
      </c>
      <c r="W45" s="6">
        <f t="shared" si="55"/>
        <v>0</v>
      </c>
      <c r="X45" s="6">
        <f t="shared" si="55"/>
        <v>0</v>
      </c>
      <c r="Y45" s="6">
        <f t="shared" si="55"/>
        <v>0</v>
      </c>
      <c r="Z45" s="6">
        <f t="shared" si="55"/>
        <v>0</v>
      </c>
      <c r="AA45" s="6">
        <f t="shared" si="55"/>
        <v>0</v>
      </c>
      <c r="AB45" s="6">
        <f t="shared" si="55"/>
        <v>0</v>
      </c>
      <c r="AC45" s="56"/>
      <c r="AD45" s="23"/>
    </row>
    <row r="46" spans="1:30" s="14" customFormat="1">
      <c r="A46" s="78" t="s">
        <v>45</v>
      </c>
      <c r="B46" s="15">
        <v>1121355.44</v>
      </c>
      <c r="C46" s="127">
        <f t="shared" si="3"/>
        <v>93446.29</v>
      </c>
      <c r="D46" s="4">
        <v>1.8499999999999999E-2</v>
      </c>
      <c r="E46" s="4"/>
      <c r="F46" s="4"/>
      <c r="G46" s="4"/>
      <c r="H46" s="4">
        <v>0.21490000000000001</v>
      </c>
      <c r="I46" s="4"/>
      <c r="J46" s="4"/>
      <c r="K46" s="4"/>
      <c r="L46" s="4"/>
      <c r="M46" s="4">
        <v>3.9100000000000003E-2</v>
      </c>
      <c r="N46" s="4">
        <v>0.28860000000000002</v>
      </c>
      <c r="O46" s="4"/>
      <c r="P46" s="4"/>
      <c r="Q46" s="4"/>
      <c r="R46" s="4">
        <v>2.9700000000000001E-2</v>
      </c>
      <c r="S46" s="4"/>
      <c r="T46" s="4">
        <v>5.7299999999999997E-2</v>
      </c>
      <c r="U46" s="4"/>
      <c r="V46" s="4">
        <v>0.35189999999999999</v>
      </c>
      <c r="W46" s="4"/>
      <c r="X46" s="4"/>
      <c r="Y46" s="4"/>
      <c r="Z46" s="4"/>
      <c r="AA46" s="4"/>
      <c r="AB46" s="4"/>
      <c r="AC46" s="56"/>
      <c r="AD46" s="23"/>
    </row>
    <row r="47" spans="1:30" s="14" customFormat="1">
      <c r="A47" s="79"/>
      <c r="B47" s="9"/>
      <c r="C47" s="127"/>
      <c r="D47" s="5">
        <f t="shared" ref="D47" si="56">$C46*D46</f>
        <v>1728.7563649999997</v>
      </c>
      <c r="E47" s="5">
        <f t="shared" ref="E47" si="57">$C46*E46</f>
        <v>0</v>
      </c>
      <c r="F47" s="5">
        <f t="shared" ref="F47:AB47" si="58">$C46*F46</f>
        <v>0</v>
      </c>
      <c r="G47" s="5">
        <f t="shared" si="58"/>
        <v>0</v>
      </c>
      <c r="H47" s="5">
        <f t="shared" si="58"/>
        <v>20081.607721</v>
      </c>
      <c r="I47" s="5">
        <f t="shared" si="58"/>
        <v>0</v>
      </c>
      <c r="J47" s="5">
        <f t="shared" si="58"/>
        <v>0</v>
      </c>
      <c r="K47" s="5">
        <f t="shared" si="58"/>
        <v>0</v>
      </c>
      <c r="L47" s="5">
        <f t="shared" si="58"/>
        <v>0</v>
      </c>
      <c r="M47" s="5">
        <f t="shared" si="58"/>
        <v>3653.7499389999998</v>
      </c>
      <c r="N47" s="5">
        <f t="shared" si="58"/>
        <v>26968.599294</v>
      </c>
      <c r="O47" s="5">
        <f t="shared" si="58"/>
        <v>0</v>
      </c>
      <c r="P47" s="5">
        <f t="shared" si="58"/>
        <v>0</v>
      </c>
      <c r="Q47" s="5">
        <f t="shared" si="58"/>
        <v>0</v>
      </c>
      <c r="R47" s="5">
        <f t="shared" si="58"/>
        <v>2775.3548129999999</v>
      </c>
      <c r="S47" s="5">
        <f t="shared" si="58"/>
        <v>0</v>
      </c>
      <c r="T47" s="5">
        <f t="shared" si="58"/>
        <v>5354.472416999999</v>
      </c>
      <c r="U47" s="5">
        <f t="shared" si="58"/>
        <v>0</v>
      </c>
      <c r="V47" s="5">
        <f t="shared" si="58"/>
        <v>32883.749450999996</v>
      </c>
      <c r="W47" s="5">
        <f t="shared" si="58"/>
        <v>0</v>
      </c>
      <c r="X47" s="5">
        <f t="shared" si="58"/>
        <v>0</v>
      </c>
      <c r="Y47" s="5">
        <f t="shared" si="58"/>
        <v>0</v>
      </c>
      <c r="Z47" s="5">
        <f t="shared" si="58"/>
        <v>0</v>
      </c>
      <c r="AA47" s="5">
        <f t="shared" si="58"/>
        <v>0</v>
      </c>
      <c r="AB47" s="5">
        <f t="shared" si="58"/>
        <v>0</v>
      </c>
      <c r="AC47" s="56"/>
      <c r="AD47" s="23"/>
    </row>
    <row r="48" spans="1:30" s="14" customFormat="1">
      <c r="A48" s="78" t="s">
        <v>46</v>
      </c>
      <c r="B48" s="15">
        <v>519261.5</v>
      </c>
      <c r="C48" s="127">
        <f>ROUND(B48/12,2)</f>
        <v>43271.79</v>
      </c>
      <c r="D48" s="4">
        <v>1.8599999999999998E-2</v>
      </c>
      <c r="E48" s="4"/>
      <c r="F48" s="4"/>
      <c r="G48" s="4"/>
      <c r="H48" s="4">
        <v>0.215</v>
      </c>
      <c r="I48" s="4"/>
      <c r="J48" s="4"/>
      <c r="K48" s="4"/>
      <c r="L48" s="4"/>
      <c r="M48" s="4">
        <v>3.9100000000000003E-2</v>
      </c>
      <c r="N48" s="4">
        <v>0.28820000000000001</v>
      </c>
      <c r="O48" s="4"/>
      <c r="P48" s="4"/>
      <c r="Q48" s="4"/>
      <c r="R48" s="4">
        <v>2.9700000000000001E-2</v>
      </c>
      <c r="S48" s="4"/>
      <c r="T48" s="4">
        <v>5.74E-2</v>
      </c>
      <c r="U48" s="4"/>
      <c r="V48" s="4">
        <v>0.35199999999999998</v>
      </c>
      <c r="W48" s="4"/>
      <c r="X48" s="4"/>
      <c r="Y48" s="4"/>
      <c r="Z48" s="4"/>
      <c r="AA48" s="4"/>
      <c r="AB48" s="4"/>
      <c r="AC48" s="56"/>
      <c r="AD48" s="23"/>
    </row>
    <row r="49" spans="1:30" s="14" customFormat="1">
      <c r="A49" s="79"/>
      <c r="B49" s="9"/>
      <c r="C49" s="127"/>
      <c r="D49" s="5">
        <f t="shared" ref="D49" si="59">$C48*D48</f>
        <v>804.85529399999996</v>
      </c>
      <c r="E49" s="5">
        <f t="shared" ref="E49" si="60">$C48*E48</f>
        <v>0</v>
      </c>
      <c r="F49" s="5">
        <f t="shared" ref="F49:AB49" si="61">$C48*F48</f>
        <v>0</v>
      </c>
      <c r="G49" s="5">
        <f t="shared" si="61"/>
        <v>0</v>
      </c>
      <c r="H49" s="5">
        <f t="shared" si="61"/>
        <v>9303.4348499999996</v>
      </c>
      <c r="I49" s="5">
        <f t="shared" si="61"/>
        <v>0</v>
      </c>
      <c r="J49" s="5">
        <f t="shared" si="61"/>
        <v>0</v>
      </c>
      <c r="K49" s="5">
        <f t="shared" si="61"/>
        <v>0</v>
      </c>
      <c r="L49" s="5">
        <f t="shared" si="61"/>
        <v>0</v>
      </c>
      <c r="M49" s="5">
        <f t="shared" si="61"/>
        <v>1691.926989</v>
      </c>
      <c r="N49" s="5">
        <f t="shared" si="61"/>
        <v>12470.929878000001</v>
      </c>
      <c r="O49" s="5">
        <f t="shared" si="61"/>
        <v>0</v>
      </c>
      <c r="P49" s="5">
        <f t="shared" si="61"/>
        <v>0</v>
      </c>
      <c r="Q49" s="5">
        <f t="shared" si="61"/>
        <v>0</v>
      </c>
      <c r="R49" s="5">
        <f t="shared" si="61"/>
        <v>1285.172163</v>
      </c>
      <c r="S49" s="5">
        <f t="shared" si="61"/>
        <v>0</v>
      </c>
      <c r="T49" s="5">
        <f t="shared" si="61"/>
        <v>2483.8007459999999</v>
      </c>
      <c r="U49" s="5">
        <f t="shared" si="61"/>
        <v>0</v>
      </c>
      <c r="V49" s="5">
        <f t="shared" si="61"/>
        <v>15231.67008</v>
      </c>
      <c r="W49" s="5">
        <f t="shared" si="61"/>
        <v>0</v>
      </c>
      <c r="X49" s="5">
        <f t="shared" si="61"/>
        <v>0</v>
      </c>
      <c r="Y49" s="5">
        <f t="shared" si="61"/>
        <v>0</v>
      </c>
      <c r="Z49" s="5">
        <f t="shared" si="61"/>
        <v>0</v>
      </c>
      <c r="AA49" s="5">
        <f t="shared" si="61"/>
        <v>0</v>
      </c>
      <c r="AB49" s="5">
        <f t="shared" si="61"/>
        <v>0</v>
      </c>
      <c r="AC49" s="56"/>
      <c r="AD49" s="23"/>
    </row>
    <row r="50" spans="1:30" s="14" customFormat="1">
      <c r="A50" s="78" t="s">
        <v>47</v>
      </c>
      <c r="B50" s="15">
        <v>620374.56000000006</v>
      </c>
      <c r="C50" s="127">
        <f t="shared" si="3"/>
        <v>51697.88</v>
      </c>
      <c r="D50" s="4">
        <v>1.8499999999999999E-2</v>
      </c>
      <c r="E50" s="4"/>
      <c r="F50" s="4"/>
      <c r="G50" s="4"/>
      <c r="H50" s="4">
        <v>0.21490000000000001</v>
      </c>
      <c r="I50" s="4"/>
      <c r="J50" s="4"/>
      <c r="K50" s="4"/>
      <c r="L50" s="4"/>
      <c r="M50" s="4">
        <v>3.9E-2</v>
      </c>
      <c r="N50" s="4">
        <v>0.2883</v>
      </c>
      <c r="O50" s="4"/>
      <c r="P50" s="4"/>
      <c r="Q50" s="4"/>
      <c r="R50" s="4">
        <v>2.98E-2</v>
      </c>
      <c r="S50" s="4"/>
      <c r="T50" s="4">
        <v>5.7500000000000002E-2</v>
      </c>
      <c r="U50" s="4"/>
      <c r="V50" s="4">
        <v>0.35199999999999998</v>
      </c>
      <c r="W50" s="4"/>
      <c r="X50" s="4"/>
      <c r="Y50" s="4"/>
      <c r="Z50" s="4"/>
      <c r="AA50" s="4"/>
      <c r="AB50" s="4"/>
      <c r="AC50" s="56"/>
      <c r="AD50" s="23"/>
    </row>
    <row r="51" spans="1:30" s="14" customFormat="1">
      <c r="A51" s="79"/>
      <c r="B51" s="9"/>
      <c r="C51" s="127"/>
      <c r="D51" s="5">
        <f t="shared" ref="D51" si="62">$C50*D50</f>
        <v>956.41077999999993</v>
      </c>
      <c r="E51" s="5">
        <f t="shared" ref="E51" si="63">$C50*E50</f>
        <v>0</v>
      </c>
      <c r="F51" s="5">
        <f t="shared" ref="F51:AB51" si="64">$C50*F50</f>
        <v>0</v>
      </c>
      <c r="G51" s="5">
        <f t="shared" si="64"/>
        <v>0</v>
      </c>
      <c r="H51" s="5">
        <f t="shared" si="64"/>
        <v>11109.874411999999</v>
      </c>
      <c r="I51" s="5">
        <f t="shared" si="64"/>
        <v>0</v>
      </c>
      <c r="J51" s="5">
        <f t="shared" si="64"/>
        <v>0</v>
      </c>
      <c r="K51" s="5">
        <f t="shared" si="64"/>
        <v>0</v>
      </c>
      <c r="L51" s="5">
        <f t="shared" si="64"/>
        <v>0</v>
      </c>
      <c r="M51" s="5">
        <f t="shared" si="64"/>
        <v>2016.21732</v>
      </c>
      <c r="N51" s="5">
        <f t="shared" si="64"/>
        <v>14904.498803999999</v>
      </c>
      <c r="O51" s="5">
        <f t="shared" si="64"/>
        <v>0</v>
      </c>
      <c r="P51" s="5">
        <f t="shared" si="64"/>
        <v>0</v>
      </c>
      <c r="Q51" s="5">
        <f t="shared" si="64"/>
        <v>0</v>
      </c>
      <c r="R51" s="5">
        <f t="shared" si="64"/>
        <v>1540.596824</v>
      </c>
      <c r="S51" s="5">
        <f t="shared" si="64"/>
        <v>0</v>
      </c>
      <c r="T51" s="5">
        <f t="shared" si="64"/>
        <v>2972.6280999999999</v>
      </c>
      <c r="U51" s="5">
        <f t="shared" si="64"/>
        <v>0</v>
      </c>
      <c r="V51" s="5">
        <f t="shared" si="64"/>
        <v>18197.653759999997</v>
      </c>
      <c r="W51" s="5">
        <f t="shared" si="64"/>
        <v>0</v>
      </c>
      <c r="X51" s="5">
        <f t="shared" si="64"/>
        <v>0</v>
      </c>
      <c r="Y51" s="5">
        <f t="shared" si="64"/>
        <v>0</v>
      </c>
      <c r="Z51" s="5">
        <f t="shared" si="64"/>
        <v>0</v>
      </c>
      <c r="AA51" s="5">
        <f t="shared" si="64"/>
        <v>0</v>
      </c>
      <c r="AB51" s="5">
        <f t="shared" si="64"/>
        <v>0</v>
      </c>
      <c r="AC51" s="56"/>
      <c r="AD51" s="23"/>
    </row>
    <row r="52" spans="1:30" s="14" customFormat="1">
      <c r="A52" s="78" t="s">
        <v>48</v>
      </c>
      <c r="B52" s="15">
        <v>1291763.28</v>
      </c>
      <c r="C52" s="127">
        <f t="shared" si="3"/>
        <v>107646.94</v>
      </c>
      <c r="D52" s="4"/>
      <c r="E52" s="4"/>
      <c r="F52" s="4">
        <v>0.74360000000000004</v>
      </c>
      <c r="G52" s="4"/>
      <c r="H52" s="4"/>
      <c r="I52" s="4"/>
      <c r="J52" s="4"/>
      <c r="K52" s="4"/>
      <c r="L52" s="4">
        <v>2.7300000000000001E-2</v>
      </c>
      <c r="M52" s="4"/>
      <c r="N52" s="4"/>
      <c r="O52" s="4"/>
      <c r="P52" s="4"/>
      <c r="Q52" s="4"/>
      <c r="R52" s="4"/>
      <c r="S52" s="4"/>
      <c r="T52" s="4"/>
      <c r="U52" s="4">
        <v>0.2291</v>
      </c>
      <c r="V52" s="4"/>
      <c r="W52" s="4"/>
      <c r="X52" s="4"/>
      <c r="Y52" s="4"/>
      <c r="Z52" s="4"/>
      <c r="AA52" s="4"/>
      <c r="AB52" s="4"/>
      <c r="AC52" s="56"/>
      <c r="AD52" s="23"/>
    </row>
    <row r="53" spans="1:30" s="14" customFormat="1">
      <c r="A53" s="79"/>
      <c r="B53" s="9"/>
      <c r="C53" s="127"/>
      <c r="D53" s="5">
        <f t="shared" ref="D53" si="65">$C52*D52</f>
        <v>0</v>
      </c>
      <c r="E53" s="5">
        <f t="shared" ref="E53" si="66">$C52*E52</f>
        <v>0</v>
      </c>
      <c r="F53" s="5">
        <f t="shared" ref="F53:AB53" si="67">$C52*F52</f>
        <v>80046.264584000004</v>
      </c>
      <c r="G53" s="5">
        <f t="shared" si="67"/>
        <v>0</v>
      </c>
      <c r="H53" s="5">
        <f t="shared" si="67"/>
        <v>0</v>
      </c>
      <c r="I53" s="5">
        <f t="shared" si="67"/>
        <v>0</v>
      </c>
      <c r="J53" s="5">
        <f t="shared" si="67"/>
        <v>0</v>
      </c>
      <c r="K53" s="5">
        <f t="shared" si="67"/>
        <v>0</v>
      </c>
      <c r="L53" s="5">
        <f t="shared" si="67"/>
        <v>2938.7614620000004</v>
      </c>
      <c r="M53" s="5">
        <f t="shared" si="67"/>
        <v>0</v>
      </c>
      <c r="N53" s="5">
        <f t="shared" si="67"/>
        <v>0</v>
      </c>
      <c r="O53" s="5">
        <f t="shared" si="67"/>
        <v>0</v>
      </c>
      <c r="P53" s="5">
        <f t="shared" si="67"/>
        <v>0</v>
      </c>
      <c r="Q53" s="5">
        <f t="shared" si="67"/>
        <v>0</v>
      </c>
      <c r="R53" s="5">
        <f t="shared" si="67"/>
        <v>0</v>
      </c>
      <c r="S53" s="5">
        <f t="shared" si="67"/>
        <v>0</v>
      </c>
      <c r="T53" s="5">
        <f t="shared" si="67"/>
        <v>0</v>
      </c>
      <c r="U53" s="5">
        <f t="shared" si="67"/>
        <v>24661.913954</v>
      </c>
      <c r="V53" s="5">
        <f t="shared" si="67"/>
        <v>0</v>
      </c>
      <c r="W53" s="5">
        <f t="shared" si="67"/>
        <v>0</v>
      </c>
      <c r="X53" s="5">
        <f t="shared" si="67"/>
        <v>0</v>
      </c>
      <c r="Y53" s="5">
        <f t="shared" si="67"/>
        <v>0</v>
      </c>
      <c r="Z53" s="5">
        <f t="shared" si="67"/>
        <v>0</v>
      </c>
      <c r="AA53" s="5">
        <f t="shared" si="67"/>
        <v>0</v>
      </c>
      <c r="AB53" s="5">
        <f t="shared" si="67"/>
        <v>0</v>
      </c>
      <c r="AC53" s="56"/>
      <c r="AD53" s="23"/>
    </row>
    <row r="54" spans="1:30" s="14" customFormat="1">
      <c r="A54" s="78" t="s">
        <v>49</v>
      </c>
      <c r="B54" s="15">
        <v>224521.25</v>
      </c>
      <c r="C54" s="127">
        <f t="shared" si="3"/>
        <v>18710.099999999999</v>
      </c>
      <c r="D54" s="4"/>
      <c r="E54" s="4"/>
      <c r="F54" s="4">
        <v>1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56"/>
      <c r="AD54" s="23"/>
    </row>
    <row r="55" spans="1:30" s="14" customFormat="1">
      <c r="A55" s="79"/>
      <c r="B55" s="9"/>
      <c r="C55" s="127"/>
      <c r="D55" s="5">
        <f t="shared" ref="D55" si="68">$C54*D54</f>
        <v>0</v>
      </c>
      <c r="E55" s="5">
        <f t="shared" ref="E55" si="69">$C54*E54</f>
        <v>0</v>
      </c>
      <c r="F55" s="5">
        <f t="shared" ref="F55:AB55" si="70">$C54*F54</f>
        <v>18710.099999999999</v>
      </c>
      <c r="G55" s="5">
        <f t="shared" si="70"/>
        <v>0</v>
      </c>
      <c r="H55" s="5">
        <f t="shared" si="70"/>
        <v>0</v>
      </c>
      <c r="I55" s="5">
        <f t="shared" si="70"/>
        <v>0</v>
      </c>
      <c r="J55" s="5">
        <f t="shared" si="70"/>
        <v>0</v>
      </c>
      <c r="K55" s="5">
        <f t="shared" si="70"/>
        <v>0</v>
      </c>
      <c r="L55" s="5">
        <f t="shared" si="70"/>
        <v>0</v>
      </c>
      <c r="M55" s="5">
        <f t="shared" si="70"/>
        <v>0</v>
      </c>
      <c r="N55" s="5">
        <f t="shared" si="70"/>
        <v>0</v>
      </c>
      <c r="O55" s="5">
        <f t="shared" si="70"/>
        <v>0</v>
      </c>
      <c r="P55" s="5">
        <f t="shared" si="70"/>
        <v>0</v>
      </c>
      <c r="Q55" s="5">
        <f t="shared" si="70"/>
        <v>0</v>
      </c>
      <c r="R55" s="5">
        <f t="shared" si="70"/>
        <v>0</v>
      </c>
      <c r="S55" s="5">
        <f t="shared" si="70"/>
        <v>0</v>
      </c>
      <c r="T55" s="5">
        <f t="shared" si="70"/>
        <v>0</v>
      </c>
      <c r="U55" s="5">
        <f t="shared" si="70"/>
        <v>0</v>
      </c>
      <c r="V55" s="5">
        <f t="shared" si="70"/>
        <v>0</v>
      </c>
      <c r="W55" s="5">
        <f t="shared" si="70"/>
        <v>0</v>
      </c>
      <c r="X55" s="5">
        <f t="shared" si="70"/>
        <v>0</v>
      </c>
      <c r="Y55" s="5">
        <f t="shared" si="70"/>
        <v>0</v>
      </c>
      <c r="Z55" s="5">
        <f t="shared" si="70"/>
        <v>0</v>
      </c>
      <c r="AA55" s="5">
        <f t="shared" si="70"/>
        <v>0</v>
      </c>
      <c r="AB55" s="5">
        <f t="shared" si="70"/>
        <v>0</v>
      </c>
      <c r="AC55" s="56"/>
      <c r="AD55" s="23"/>
    </row>
    <row r="56" spans="1:30" s="14" customFormat="1">
      <c r="A56" s="78" t="s">
        <v>149</v>
      </c>
      <c r="B56" s="15">
        <v>347481.26</v>
      </c>
      <c r="C56" s="127">
        <f t="shared" si="3"/>
        <v>28956.77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>
        <v>1</v>
      </c>
      <c r="V56" s="4"/>
      <c r="W56" s="4"/>
      <c r="X56" s="4"/>
      <c r="Y56" s="4"/>
      <c r="Z56" s="4"/>
      <c r="AA56" s="4"/>
      <c r="AB56" s="4"/>
      <c r="AC56" s="56"/>
      <c r="AD56" s="23"/>
    </row>
    <row r="57" spans="1:30" s="14" customFormat="1">
      <c r="A57" s="79"/>
      <c r="B57" s="9"/>
      <c r="C57" s="127"/>
      <c r="D57" s="5">
        <f t="shared" ref="D57" si="71">$C56*D56</f>
        <v>0</v>
      </c>
      <c r="E57" s="5">
        <f t="shared" ref="E57" si="72">$C56*E56</f>
        <v>0</v>
      </c>
      <c r="F57" s="5">
        <f t="shared" ref="F57:AB57" si="73">$C56*F56</f>
        <v>0</v>
      </c>
      <c r="G57" s="5">
        <f t="shared" si="73"/>
        <v>0</v>
      </c>
      <c r="H57" s="5">
        <f t="shared" si="73"/>
        <v>0</v>
      </c>
      <c r="I57" s="5">
        <f t="shared" si="73"/>
        <v>0</v>
      </c>
      <c r="J57" s="5">
        <f t="shared" si="73"/>
        <v>0</v>
      </c>
      <c r="K57" s="5">
        <f t="shared" si="73"/>
        <v>0</v>
      </c>
      <c r="L57" s="5">
        <f t="shared" si="73"/>
        <v>0</v>
      </c>
      <c r="M57" s="5">
        <f t="shared" si="73"/>
        <v>0</v>
      </c>
      <c r="N57" s="5">
        <f t="shared" si="73"/>
        <v>0</v>
      </c>
      <c r="O57" s="5">
        <f t="shared" si="73"/>
        <v>0</v>
      </c>
      <c r="P57" s="5">
        <f t="shared" si="73"/>
        <v>0</v>
      </c>
      <c r="Q57" s="5">
        <f t="shared" si="73"/>
        <v>0</v>
      </c>
      <c r="R57" s="5">
        <f t="shared" si="73"/>
        <v>0</v>
      </c>
      <c r="S57" s="5">
        <f t="shared" si="73"/>
        <v>0</v>
      </c>
      <c r="T57" s="5">
        <f t="shared" si="73"/>
        <v>0</v>
      </c>
      <c r="U57" s="5">
        <f t="shared" si="73"/>
        <v>28956.77</v>
      </c>
      <c r="V57" s="5">
        <f t="shared" si="73"/>
        <v>0</v>
      </c>
      <c r="W57" s="5">
        <f t="shared" si="73"/>
        <v>0</v>
      </c>
      <c r="X57" s="5">
        <f t="shared" si="73"/>
        <v>0</v>
      </c>
      <c r="Y57" s="5">
        <f t="shared" si="73"/>
        <v>0</v>
      </c>
      <c r="Z57" s="5">
        <f t="shared" si="73"/>
        <v>0</v>
      </c>
      <c r="AA57" s="5">
        <f t="shared" si="73"/>
        <v>0</v>
      </c>
      <c r="AB57" s="5">
        <f t="shared" si="73"/>
        <v>0</v>
      </c>
      <c r="AC57" s="56"/>
      <c r="AD57" s="23"/>
    </row>
    <row r="58" spans="1:30" s="14" customFormat="1">
      <c r="A58" s="78" t="s">
        <v>150</v>
      </c>
      <c r="B58" s="15">
        <v>88164.22</v>
      </c>
      <c r="C58" s="127">
        <f t="shared" si="3"/>
        <v>7347.02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>
        <v>1</v>
      </c>
      <c r="V58" s="4"/>
      <c r="W58" s="4"/>
      <c r="X58" s="4"/>
      <c r="Y58" s="4"/>
      <c r="Z58" s="4"/>
      <c r="AA58" s="4"/>
      <c r="AB58" s="4"/>
      <c r="AC58" s="56"/>
      <c r="AD58" s="23"/>
    </row>
    <row r="59" spans="1:30" s="14" customFormat="1">
      <c r="A59" s="79"/>
      <c r="B59" s="9"/>
      <c r="C59" s="127"/>
      <c r="D59" s="5">
        <f t="shared" ref="D59" si="74">$C58*D58</f>
        <v>0</v>
      </c>
      <c r="E59" s="5">
        <f t="shared" ref="E59" si="75">$C58*E58</f>
        <v>0</v>
      </c>
      <c r="F59" s="5">
        <f t="shared" ref="F59:AB59" si="76">$C58*F58</f>
        <v>0</v>
      </c>
      <c r="G59" s="5">
        <f t="shared" si="76"/>
        <v>0</v>
      </c>
      <c r="H59" s="5">
        <f t="shared" si="76"/>
        <v>0</v>
      </c>
      <c r="I59" s="5">
        <f t="shared" si="76"/>
        <v>0</v>
      </c>
      <c r="J59" s="5">
        <f t="shared" si="76"/>
        <v>0</v>
      </c>
      <c r="K59" s="5">
        <f t="shared" si="76"/>
        <v>0</v>
      </c>
      <c r="L59" s="5">
        <f t="shared" si="76"/>
        <v>0</v>
      </c>
      <c r="M59" s="5">
        <f t="shared" si="76"/>
        <v>0</v>
      </c>
      <c r="N59" s="5">
        <f t="shared" si="76"/>
        <v>0</v>
      </c>
      <c r="O59" s="5">
        <f t="shared" si="76"/>
        <v>0</v>
      </c>
      <c r="P59" s="5">
        <f t="shared" si="76"/>
        <v>0</v>
      </c>
      <c r="Q59" s="5">
        <f t="shared" si="76"/>
        <v>0</v>
      </c>
      <c r="R59" s="5">
        <f t="shared" si="76"/>
        <v>0</v>
      </c>
      <c r="S59" s="5">
        <f t="shared" si="76"/>
        <v>0</v>
      </c>
      <c r="T59" s="5">
        <f t="shared" si="76"/>
        <v>0</v>
      </c>
      <c r="U59" s="5">
        <f t="shared" si="76"/>
        <v>7347.02</v>
      </c>
      <c r="V59" s="5">
        <f t="shared" si="76"/>
        <v>0</v>
      </c>
      <c r="W59" s="5">
        <f t="shared" si="76"/>
        <v>0</v>
      </c>
      <c r="X59" s="5">
        <f t="shared" si="76"/>
        <v>0</v>
      </c>
      <c r="Y59" s="5">
        <f t="shared" si="76"/>
        <v>0</v>
      </c>
      <c r="Z59" s="5">
        <f t="shared" si="76"/>
        <v>0</v>
      </c>
      <c r="AA59" s="5">
        <f t="shared" si="76"/>
        <v>0</v>
      </c>
      <c r="AB59" s="5">
        <f t="shared" si="76"/>
        <v>0</v>
      </c>
      <c r="AC59" s="56"/>
      <c r="AD59" s="23"/>
    </row>
    <row r="60" spans="1:30" s="14" customFormat="1">
      <c r="A60" s="78" t="s">
        <v>322</v>
      </c>
      <c r="B60" s="15">
        <f>2584905.1*0.95488</f>
        <v>2468274.1818880001</v>
      </c>
      <c r="C60" s="127">
        <f t="shared" si="3"/>
        <v>205689.52</v>
      </c>
      <c r="D60" s="37"/>
      <c r="E60" s="37"/>
      <c r="F60" s="37">
        <v>0.9768</v>
      </c>
      <c r="G60" s="37"/>
      <c r="H60" s="37"/>
      <c r="I60" s="37"/>
      <c r="J60" s="37"/>
      <c r="K60" s="37"/>
      <c r="L60" s="37">
        <v>9.5999999999999992E-3</v>
      </c>
      <c r="M60" s="37"/>
      <c r="N60" s="37"/>
      <c r="O60" s="37"/>
      <c r="P60" s="37"/>
      <c r="Q60" s="37"/>
      <c r="R60" s="37"/>
      <c r="S60" s="37"/>
      <c r="T60" s="37"/>
      <c r="U60" s="37">
        <v>1.09E-2</v>
      </c>
      <c r="V60" s="37"/>
      <c r="W60" s="37"/>
      <c r="X60" s="37">
        <v>2.5000000000000001E-3</v>
      </c>
      <c r="Y60" s="37">
        <v>1E-4</v>
      </c>
      <c r="Z60" s="37">
        <v>1E-4</v>
      </c>
      <c r="AA60" s="37">
        <v>0</v>
      </c>
      <c r="AB60" s="37">
        <v>0</v>
      </c>
      <c r="AC60" s="56"/>
      <c r="AD60" s="23"/>
    </row>
    <row r="61" spans="1:30" s="14" customFormat="1">
      <c r="A61" s="80"/>
      <c r="B61" s="9"/>
      <c r="C61" s="127"/>
      <c r="D61" s="36">
        <f t="shared" ref="D61" si="77">$C60*D60</f>
        <v>0</v>
      </c>
      <c r="E61" s="36">
        <f t="shared" ref="E61" si="78">$C60*E60</f>
        <v>0</v>
      </c>
      <c r="F61" s="36">
        <f t="shared" ref="F61:AB61" si="79">$C60*F60</f>
        <v>200917.523136</v>
      </c>
      <c r="G61" s="36">
        <f t="shared" si="79"/>
        <v>0</v>
      </c>
      <c r="H61" s="36">
        <f t="shared" si="79"/>
        <v>0</v>
      </c>
      <c r="I61" s="36">
        <f t="shared" si="79"/>
        <v>0</v>
      </c>
      <c r="J61" s="36">
        <f t="shared" si="79"/>
        <v>0</v>
      </c>
      <c r="K61" s="36">
        <f t="shared" si="79"/>
        <v>0</v>
      </c>
      <c r="L61" s="36">
        <f t="shared" si="79"/>
        <v>1974.6193919999998</v>
      </c>
      <c r="M61" s="36">
        <f t="shared" si="79"/>
        <v>0</v>
      </c>
      <c r="N61" s="36">
        <f t="shared" si="79"/>
        <v>0</v>
      </c>
      <c r="O61" s="36">
        <f t="shared" si="79"/>
        <v>0</v>
      </c>
      <c r="P61" s="36">
        <f t="shared" si="79"/>
        <v>0</v>
      </c>
      <c r="Q61" s="36">
        <f t="shared" si="79"/>
        <v>0</v>
      </c>
      <c r="R61" s="36">
        <f t="shared" si="79"/>
        <v>0</v>
      </c>
      <c r="S61" s="36">
        <f t="shared" si="79"/>
        <v>0</v>
      </c>
      <c r="T61" s="36">
        <f t="shared" si="79"/>
        <v>0</v>
      </c>
      <c r="U61" s="36">
        <f t="shared" si="79"/>
        <v>2242.0157679999998</v>
      </c>
      <c r="V61" s="36">
        <f t="shared" si="79"/>
        <v>0</v>
      </c>
      <c r="W61" s="36">
        <f t="shared" si="79"/>
        <v>0</v>
      </c>
      <c r="X61" s="36">
        <f t="shared" si="79"/>
        <v>514.22379999999998</v>
      </c>
      <c r="Y61" s="36">
        <f t="shared" si="79"/>
        <v>20.568951999999999</v>
      </c>
      <c r="Z61" s="36">
        <f t="shared" si="79"/>
        <v>20.568951999999999</v>
      </c>
      <c r="AA61" s="36">
        <f t="shared" si="79"/>
        <v>0</v>
      </c>
      <c r="AB61" s="36">
        <f t="shared" si="79"/>
        <v>0</v>
      </c>
      <c r="AC61" s="56"/>
      <c r="AD61" s="23"/>
    </row>
    <row r="62" spans="1:30" s="14" customFormat="1">
      <c r="A62" s="78" t="s">
        <v>323</v>
      </c>
      <c r="B62" s="15">
        <f>2584905.1*0</f>
        <v>0</v>
      </c>
      <c r="C62" s="127">
        <f t="shared" si="3"/>
        <v>0</v>
      </c>
      <c r="D62" s="4"/>
      <c r="E62" s="4"/>
      <c r="F62" s="4">
        <v>1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56"/>
      <c r="AD62" s="23"/>
    </row>
    <row r="63" spans="1:30" s="14" customFormat="1">
      <c r="A63" s="80"/>
      <c r="B63" s="9"/>
      <c r="C63" s="127"/>
      <c r="D63" s="5">
        <f t="shared" ref="D63" si="80">$C62*D62</f>
        <v>0</v>
      </c>
      <c r="E63" s="5">
        <f t="shared" ref="E63" si="81">$C62*E62</f>
        <v>0</v>
      </c>
      <c r="F63" s="5">
        <f t="shared" ref="F63:AB63" si="82">$C62*F62</f>
        <v>0</v>
      </c>
      <c r="G63" s="5">
        <f t="shared" si="82"/>
        <v>0</v>
      </c>
      <c r="H63" s="5">
        <f t="shared" si="82"/>
        <v>0</v>
      </c>
      <c r="I63" s="5">
        <f t="shared" si="82"/>
        <v>0</v>
      </c>
      <c r="J63" s="5">
        <f t="shared" si="82"/>
        <v>0</v>
      </c>
      <c r="K63" s="5">
        <f t="shared" si="82"/>
        <v>0</v>
      </c>
      <c r="L63" s="5">
        <f t="shared" si="82"/>
        <v>0</v>
      </c>
      <c r="M63" s="5">
        <f t="shared" si="82"/>
        <v>0</v>
      </c>
      <c r="N63" s="5">
        <f t="shared" si="82"/>
        <v>0</v>
      </c>
      <c r="O63" s="5">
        <f t="shared" si="82"/>
        <v>0</v>
      </c>
      <c r="P63" s="5">
        <f t="shared" si="82"/>
        <v>0</v>
      </c>
      <c r="Q63" s="5">
        <f t="shared" si="82"/>
        <v>0</v>
      </c>
      <c r="R63" s="5">
        <f t="shared" si="82"/>
        <v>0</v>
      </c>
      <c r="S63" s="5">
        <f t="shared" si="82"/>
        <v>0</v>
      </c>
      <c r="T63" s="5">
        <f t="shared" si="82"/>
        <v>0</v>
      </c>
      <c r="U63" s="5">
        <f t="shared" si="82"/>
        <v>0</v>
      </c>
      <c r="V63" s="5">
        <f t="shared" si="82"/>
        <v>0</v>
      </c>
      <c r="W63" s="5">
        <f t="shared" si="82"/>
        <v>0</v>
      </c>
      <c r="X63" s="5">
        <f t="shared" si="82"/>
        <v>0</v>
      </c>
      <c r="Y63" s="5">
        <f t="shared" si="82"/>
        <v>0</v>
      </c>
      <c r="Z63" s="5">
        <f t="shared" si="82"/>
        <v>0</v>
      </c>
      <c r="AA63" s="5">
        <f t="shared" si="82"/>
        <v>0</v>
      </c>
      <c r="AB63" s="5">
        <f t="shared" si="82"/>
        <v>0</v>
      </c>
      <c r="AC63" s="56"/>
      <c r="AD63" s="23"/>
    </row>
    <row r="64" spans="1:30" s="14" customFormat="1">
      <c r="A64" s="81" t="s">
        <v>298</v>
      </c>
      <c r="B64" s="15">
        <f>2584905.1*0.04512</f>
        <v>116630.918112</v>
      </c>
      <c r="C64" s="127">
        <f t="shared" si="3"/>
        <v>9719.24</v>
      </c>
      <c r="D64" s="37"/>
      <c r="E64" s="37"/>
      <c r="F64" s="37">
        <v>1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56"/>
      <c r="AD64" s="23"/>
    </row>
    <row r="65" spans="1:30" s="14" customFormat="1">
      <c r="A65" s="82"/>
      <c r="B65" s="29"/>
      <c r="C65" s="127"/>
      <c r="D65" s="36">
        <f>$C64*D64</f>
        <v>0</v>
      </c>
      <c r="E65" s="36">
        <f>$C64*E64</f>
        <v>0</v>
      </c>
      <c r="F65" s="36">
        <f>$C64*F64</f>
        <v>9719.24</v>
      </c>
      <c r="G65" s="36">
        <f t="shared" ref="G65" si="83">$C64*G64</f>
        <v>0</v>
      </c>
      <c r="H65" s="36">
        <f t="shared" ref="H65" si="84">$C64*H64</f>
        <v>0</v>
      </c>
      <c r="I65" s="36">
        <f t="shared" ref="I65:AB65" si="85">$C64*I64</f>
        <v>0</v>
      </c>
      <c r="J65" s="36">
        <f t="shared" si="85"/>
        <v>0</v>
      </c>
      <c r="K65" s="36">
        <f t="shared" si="85"/>
        <v>0</v>
      </c>
      <c r="L65" s="36">
        <f t="shared" si="85"/>
        <v>0</v>
      </c>
      <c r="M65" s="36">
        <f t="shared" si="85"/>
        <v>0</v>
      </c>
      <c r="N65" s="36">
        <f t="shared" si="85"/>
        <v>0</v>
      </c>
      <c r="O65" s="36">
        <f t="shared" si="85"/>
        <v>0</v>
      </c>
      <c r="P65" s="36">
        <f t="shared" si="85"/>
        <v>0</v>
      </c>
      <c r="Q65" s="36">
        <f t="shared" si="85"/>
        <v>0</v>
      </c>
      <c r="R65" s="36">
        <f t="shared" si="85"/>
        <v>0</v>
      </c>
      <c r="S65" s="36">
        <f t="shared" si="85"/>
        <v>0</v>
      </c>
      <c r="T65" s="36">
        <f t="shared" si="85"/>
        <v>0</v>
      </c>
      <c r="U65" s="36">
        <f t="shared" si="85"/>
        <v>0</v>
      </c>
      <c r="V65" s="36">
        <f t="shared" si="85"/>
        <v>0</v>
      </c>
      <c r="W65" s="36">
        <f t="shared" si="85"/>
        <v>0</v>
      </c>
      <c r="X65" s="36">
        <f t="shared" si="85"/>
        <v>0</v>
      </c>
      <c r="Y65" s="36">
        <f t="shared" si="85"/>
        <v>0</v>
      </c>
      <c r="Z65" s="36">
        <f t="shared" si="85"/>
        <v>0</v>
      </c>
      <c r="AA65" s="36">
        <f t="shared" si="85"/>
        <v>0</v>
      </c>
      <c r="AB65" s="36">
        <f t="shared" si="85"/>
        <v>0</v>
      </c>
      <c r="AC65" s="56"/>
      <c r="AD65" s="23"/>
    </row>
    <row r="66" spans="1:30" s="14" customFormat="1">
      <c r="A66" s="78" t="s">
        <v>151</v>
      </c>
      <c r="B66" s="15">
        <v>46905.37</v>
      </c>
      <c r="C66" s="127">
        <f t="shared" si="3"/>
        <v>3908.78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>
        <v>1</v>
      </c>
      <c r="V66" s="4"/>
      <c r="W66" s="4"/>
      <c r="X66" s="4"/>
      <c r="Y66" s="4"/>
      <c r="Z66" s="4"/>
      <c r="AA66" s="4"/>
      <c r="AB66" s="4"/>
      <c r="AC66" s="56"/>
      <c r="AD66" s="23"/>
    </row>
    <row r="67" spans="1:30" s="14" customFormat="1">
      <c r="A67" s="79"/>
      <c r="B67" s="9"/>
      <c r="C67" s="127"/>
      <c r="D67" s="5">
        <f t="shared" ref="D67" si="86">$C66*D66</f>
        <v>0</v>
      </c>
      <c r="E67" s="5">
        <f t="shared" ref="E67" si="87">$C66*E66</f>
        <v>0</v>
      </c>
      <c r="F67" s="5">
        <f t="shared" ref="F67:AB67" si="88">$C66*F66</f>
        <v>0</v>
      </c>
      <c r="G67" s="5">
        <f t="shared" si="88"/>
        <v>0</v>
      </c>
      <c r="H67" s="5">
        <f t="shared" si="88"/>
        <v>0</v>
      </c>
      <c r="I67" s="5">
        <f t="shared" si="88"/>
        <v>0</v>
      </c>
      <c r="J67" s="5">
        <f t="shared" si="88"/>
        <v>0</v>
      </c>
      <c r="K67" s="5">
        <f t="shared" si="88"/>
        <v>0</v>
      </c>
      <c r="L67" s="5">
        <f t="shared" si="88"/>
        <v>0</v>
      </c>
      <c r="M67" s="5">
        <f t="shared" si="88"/>
        <v>0</v>
      </c>
      <c r="N67" s="5">
        <f t="shared" si="88"/>
        <v>0</v>
      </c>
      <c r="O67" s="5">
        <f t="shared" si="88"/>
        <v>0</v>
      </c>
      <c r="P67" s="5">
        <f t="shared" si="88"/>
        <v>0</v>
      </c>
      <c r="Q67" s="5">
        <f t="shared" si="88"/>
        <v>0</v>
      </c>
      <c r="R67" s="5">
        <f t="shared" si="88"/>
        <v>0</v>
      </c>
      <c r="S67" s="5">
        <f t="shared" si="88"/>
        <v>0</v>
      </c>
      <c r="T67" s="5">
        <f t="shared" si="88"/>
        <v>0</v>
      </c>
      <c r="U67" s="5">
        <f t="shared" si="88"/>
        <v>3908.78</v>
      </c>
      <c r="V67" s="5">
        <f t="shared" si="88"/>
        <v>0</v>
      </c>
      <c r="W67" s="5">
        <f t="shared" si="88"/>
        <v>0</v>
      </c>
      <c r="X67" s="5">
        <f t="shared" si="88"/>
        <v>0</v>
      </c>
      <c r="Y67" s="5">
        <f t="shared" si="88"/>
        <v>0</v>
      </c>
      <c r="Z67" s="5">
        <f t="shared" si="88"/>
        <v>0</v>
      </c>
      <c r="AA67" s="5">
        <f t="shared" si="88"/>
        <v>0</v>
      </c>
      <c r="AB67" s="5">
        <f t="shared" si="88"/>
        <v>0</v>
      </c>
      <c r="AC67" s="56"/>
      <c r="AD67" s="23"/>
    </row>
    <row r="68" spans="1:30" s="14" customFormat="1">
      <c r="A68" s="78" t="s">
        <v>152</v>
      </c>
      <c r="B68" s="15">
        <v>68885.740000000005</v>
      </c>
      <c r="C68" s="127">
        <f t="shared" si="3"/>
        <v>5740.48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>
        <v>1</v>
      </c>
      <c r="V68" s="4"/>
      <c r="W68" s="4"/>
      <c r="X68" s="4"/>
      <c r="Y68" s="4"/>
      <c r="Z68" s="4"/>
      <c r="AA68" s="4"/>
      <c r="AB68" s="4"/>
      <c r="AC68" s="56"/>
      <c r="AD68" s="23"/>
    </row>
    <row r="69" spans="1:30" s="14" customFormat="1">
      <c r="A69" s="79"/>
      <c r="B69" s="9"/>
      <c r="C69" s="127"/>
      <c r="D69" s="5">
        <f t="shared" ref="D69" si="89">$C68*D68</f>
        <v>0</v>
      </c>
      <c r="E69" s="5">
        <f t="shared" ref="E69" si="90">$C68*E68</f>
        <v>0</v>
      </c>
      <c r="F69" s="5">
        <f t="shared" ref="F69:AB69" si="91">$C68*F68</f>
        <v>0</v>
      </c>
      <c r="G69" s="5">
        <f t="shared" si="91"/>
        <v>0</v>
      </c>
      <c r="H69" s="5">
        <f t="shared" si="91"/>
        <v>0</v>
      </c>
      <c r="I69" s="5">
        <f t="shared" si="91"/>
        <v>0</v>
      </c>
      <c r="J69" s="5">
        <f t="shared" si="91"/>
        <v>0</v>
      </c>
      <c r="K69" s="5">
        <f t="shared" si="91"/>
        <v>0</v>
      </c>
      <c r="L69" s="5">
        <f t="shared" si="91"/>
        <v>0</v>
      </c>
      <c r="M69" s="5">
        <f t="shared" si="91"/>
        <v>0</v>
      </c>
      <c r="N69" s="5">
        <f t="shared" si="91"/>
        <v>0</v>
      </c>
      <c r="O69" s="5">
        <f t="shared" si="91"/>
        <v>0</v>
      </c>
      <c r="P69" s="5">
        <f t="shared" si="91"/>
        <v>0</v>
      </c>
      <c r="Q69" s="5">
        <f t="shared" si="91"/>
        <v>0</v>
      </c>
      <c r="R69" s="5">
        <f t="shared" si="91"/>
        <v>0</v>
      </c>
      <c r="S69" s="5">
        <f t="shared" si="91"/>
        <v>0</v>
      </c>
      <c r="T69" s="5">
        <f t="shared" si="91"/>
        <v>0</v>
      </c>
      <c r="U69" s="5">
        <f t="shared" si="91"/>
        <v>5740.48</v>
      </c>
      <c r="V69" s="5">
        <f t="shared" si="91"/>
        <v>0</v>
      </c>
      <c r="W69" s="5">
        <f t="shared" si="91"/>
        <v>0</v>
      </c>
      <c r="X69" s="5">
        <f t="shared" si="91"/>
        <v>0</v>
      </c>
      <c r="Y69" s="5">
        <f t="shared" si="91"/>
        <v>0</v>
      </c>
      <c r="Z69" s="5">
        <f t="shared" si="91"/>
        <v>0</v>
      </c>
      <c r="AA69" s="5">
        <f t="shared" si="91"/>
        <v>0</v>
      </c>
      <c r="AB69" s="5">
        <f t="shared" si="91"/>
        <v>0</v>
      </c>
      <c r="AC69" s="56"/>
      <c r="AD69" s="23"/>
    </row>
    <row r="70" spans="1:30" s="14" customFormat="1">
      <c r="A70" s="78" t="s">
        <v>153</v>
      </c>
      <c r="B70" s="15">
        <v>124097.28</v>
      </c>
      <c r="C70" s="127">
        <f t="shared" si="3"/>
        <v>10341.44</v>
      </c>
      <c r="D70" s="4"/>
      <c r="E70" s="4"/>
      <c r="F70" s="4">
        <v>1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56"/>
      <c r="AD70" s="23"/>
    </row>
    <row r="71" spans="1:30" s="14" customFormat="1">
      <c r="A71" s="79"/>
      <c r="B71" s="9"/>
      <c r="C71" s="127"/>
      <c r="D71" s="5">
        <f t="shared" ref="D71" si="92">$C70*D70</f>
        <v>0</v>
      </c>
      <c r="E71" s="5">
        <f t="shared" ref="E71" si="93">$C70*E70</f>
        <v>0</v>
      </c>
      <c r="F71" s="5">
        <f t="shared" ref="F71:AB71" si="94">$C70*F70</f>
        <v>10341.44</v>
      </c>
      <c r="G71" s="5">
        <f t="shared" si="94"/>
        <v>0</v>
      </c>
      <c r="H71" s="5">
        <f t="shared" si="94"/>
        <v>0</v>
      </c>
      <c r="I71" s="5">
        <f t="shared" si="94"/>
        <v>0</v>
      </c>
      <c r="J71" s="5">
        <f t="shared" si="94"/>
        <v>0</v>
      </c>
      <c r="K71" s="5">
        <f t="shared" si="94"/>
        <v>0</v>
      </c>
      <c r="L71" s="5">
        <f t="shared" si="94"/>
        <v>0</v>
      </c>
      <c r="M71" s="5">
        <f t="shared" si="94"/>
        <v>0</v>
      </c>
      <c r="N71" s="5">
        <f t="shared" si="94"/>
        <v>0</v>
      </c>
      <c r="O71" s="5">
        <f t="shared" si="94"/>
        <v>0</v>
      </c>
      <c r="P71" s="5">
        <f t="shared" si="94"/>
        <v>0</v>
      </c>
      <c r="Q71" s="5">
        <f t="shared" si="94"/>
        <v>0</v>
      </c>
      <c r="R71" s="5">
        <f t="shared" si="94"/>
        <v>0</v>
      </c>
      <c r="S71" s="5">
        <f t="shared" si="94"/>
        <v>0</v>
      </c>
      <c r="T71" s="5">
        <f t="shared" si="94"/>
        <v>0</v>
      </c>
      <c r="U71" s="5">
        <f t="shared" si="94"/>
        <v>0</v>
      </c>
      <c r="V71" s="5">
        <f t="shared" si="94"/>
        <v>0</v>
      </c>
      <c r="W71" s="5">
        <f t="shared" si="94"/>
        <v>0</v>
      </c>
      <c r="X71" s="5">
        <f t="shared" si="94"/>
        <v>0</v>
      </c>
      <c r="Y71" s="5">
        <f t="shared" si="94"/>
        <v>0</v>
      </c>
      <c r="Z71" s="5">
        <f t="shared" si="94"/>
        <v>0</v>
      </c>
      <c r="AA71" s="5">
        <f t="shared" si="94"/>
        <v>0</v>
      </c>
      <c r="AB71" s="5">
        <f t="shared" si="94"/>
        <v>0</v>
      </c>
      <c r="AC71" s="56"/>
      <c r="AD71" s="23"/>
    </row>
    <row r="72" spans="1:30" s="14" customFormat="1">
      <c r="A72" s="78" t="s">
        <v>154</v>
      </c>
      <c r="B72" s="15">
        <v>189740.57</v>
      </c>
      <c r="C72" s="127">
        <f t="shared" si="3"/>
        <v>15811.71</v>
      </c>
      <c r="D72" s="4"/>
      <c r="E72" s="4"/>
      <c r="F72" s="4">
        <v>1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56"/>
      <c r="AD72" s="23"/>
    </row>
    <row r="73" spans="1:30" s="14" customFormat="1">
      <c r="A73" s="79"/>
      <c r="B73" s="9"/>
      <c r="C73" s="127"/>
      <c r="D73" s="5">
        <f t="shared" ref="D73" si="95">$C72*D72</f>
        <v>0</v>
      </c>
      <c r="E73" s="5">
        <f t="shared" ref="E73" si="96">$C72*E72</f>
        <v>0</v>
      </c>
      <c r="F73" s="5">
        <f t="shared" ref="F73:AB73" si="97">$C72*F72</f>
        <v>15811.71</v>
      </c>
      <c r="G73" s="5">
        <f t="shared" si="97"/>
        <v>0</v>
      </c>
      <c r="H73" s="5">
        <f t="shared" si="97"/>
        <v>0</v>
      </c>
      <c r="I73" s="5">
        <f t="shared" si="97"/>
        <v>0</v>
      </c>
      <c r="J73" s="5">
        <f t="shared" si="97"/>
        <v>0</v>
      </c>
      <c r="K73" s="5">
        <f t="shared" si="97"/>
        <v>0</v>
      </c>
      <c r="L73" s="5">
        <f t="shared" si="97"/>
        <v>0</v>
      </c>
      <c r="M73" s="5">
        <f t="shared" si="97"/>
        <v>0</v>
      </c>
      <c r="N73" s="5">
        <f t="shared" si="97"/>
        <v>0</v>
      </c>
      <c r="O73" s="5">
        <f t="shared" si="97"/>
        <v>0</v>
      </c>
      <c r="P73" s="5">
        <f t="shared" si="97"/>
        <v>0</v>
      </c>
      <c r="Q73" s="5">
        <f t="shared" si="97"/>
        <v>0</v>
      </c>
      <c r="R73" s="5">
        <f t="shared" si="97"/>
        <v>0</v>
      </c>
      <c r="S73" s="5">
        <f t="shared" si="97"/>
        <v>0</v>
      </c>
      <c r="T73" s="5">
        <f t="shared" si="97"/>
        <v>0</v>
      </c>
      <c r="U73" s="5">
        <f t="shared" si="97"/>
        <v>0</v>
      </c>
      <c r="V73" s="5">
        <f t="shared" si="97"/>
        <v>0</v>
      </c>
      <c r="W73" s="5">
        <f t="shared" si="97"/>
        <v>0</v>
      </c>
      <c r="X73" s="5">
        <f t="shared" si="97"/>
        <v>0</v>
      </c>
      <c r="Y73" s="5">
        <f t="shared" si="97"/>
        <v>0</v>
      </c>
      <c r="Z73" s="5">
        <f t="shared" si="97"/>
        <v>0</v>
      </c>
      <c r="AA73" s="5">
        <f t="shared" si="97"/>
        <v>0</v>
      </c>
      <c r="AB73" s="5">
        <f t="shared" si="97"/>
        <v>0</v>
      </c>
      <c r="AC73" s="56"/>
      <c r="AD73" s="23"/>
    </row>
    <row r="74" spans="1:30" s="14" customFormat="1">
      <c r="A74" s="78" t="s">
        <v>155</v>
      </c>
      <c r="B74" s="15">
        <v>364021.76000000001</v>
      </c>
      <c r="C74" s="127">
        <f>ROUND(B74/12,2)</f>
        <v>30335.15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>
        <v>1</v>
      </c>
      <c r="V74" s="4"/>
      <c r="W74" s="4"/>
      <c r="X74" s="4"/>
      <c r="Y74" s="4"/>
      <c r="Z74" s="4"/>
      <c r="AA74" s="4"/>
      <c r="AB74" s="4"/>
      <c r="AC74" s="56"/>
      <c r="AD74" s="23"/>
    </row>
    <row r="75" spans="1:30" s="14" customFormat="1">
      <c r="A75" s="79"/>
      <c r="B75" s="9"/>
      <c r="C75" s="127"/>
      <c r="D75" s="5">
        <f t="shared" ref="D75" si="98">$C74*D74</f>
        <v>0</v>
      </c>
      <c r="E75" s="5">
        <f t="shared" ref="E75" si="99">$C74*E74</f>
        <v>0</v>
      </c>
      <c r="F75" s="5">
        <f t="shared" ref="F75:AB75" si="100">$C74*F74</f>
        <v>0</v>
      </c>
      <c r="G75" s="5">
        <f t="shared" si="100"/>
        <v>0</v>
      </c>
      <c r="H75" s="5">
        <f t="shared" si="100"/>
        <v>0</v>
      </c>
      <c r="I75" s="5">
        <f t="shared" si="100"/>
        <v>0</v>
      </c>
      <c r="J75" s="5">
        <f t="shared" si="100"/>
        <v>0</v>
      </c>
      <c r="K75" s="5">
        <f t="shared" si="100"/>
        <v>0</v>
      </c>
      <c r="L75" s="5">
        <f t="shared" si="100"/>
        <v>0</v>
      </c>
      <c r="M75" s="5">
        <f t="shared" si="100"/>
        <v>0</v>
      </c>
      <c r="N75" s="5">
        <f t="shared" si="100"/>
        <v>0</v>
      </c>
      <c r="O75" s="5">
        <f t="shared" si="100"/>
        <v>0</v>
      </c>
      <c r="P75" s="5">
        <f t="shared" si="100"/>
        <v>0</v>
      </c>
      <c r="Q75" s="5">
        <f t="shared" si="100"/>
        <v>0</v>
      </c>
      <c r="R75" s="5">
        <f t="shared" si="100"/>
        <v>0</v>
      </c>
      <c r="S75" s="5">
        <f t="shared" si="100"/>
        <v>0</v>
      </c>
      <c r="T75" s="5">
        <f t="shared" si="100"/>
        <v>0</v>
      </c>
      <c r="U75" s="5">
        <f t="shared" si="100"/>
        <v>30335.15</v>
      </c>
      <c r="V75" s="5">
        <f t="shared" si="100"/>
        <v>0</v>
      </c>
      <c r="W75" s="5">
        <f t="shared" si="100"/>
        <v>0</v>
      </c>
      <c r="X75" s="5">
        <f t="shared" si="100"/>
        <v>0</v>
      </c>
      <c r="Y75" s="5">
        <f t="shared" si="100"/>
        <v>0</v>
      </c>
      <c r="Z75" s="5">
        <f t="shared" si="100"/>
        <v>0</v>
      </c>
      <c r="AA75" s="5">
        <f t="shared" si="100"/>
        <v>0</v>
      </c>
      <c r="AB75" s="5">
        <f t="shared" si="100"/>
        <v>0</v>
      </c>
      <c r="AC75" s="56"/>
      <c r="AD75" s="23"/>
    </row>
    <row r="76" spans="1:30" s="14" customFormat="1">
      <c r="A76" s="78" t="s">
        <v>156</v>
      </c>
      <c r="B76" s="15">
        <v>97917.51</v>
      </c>
      <c r="C76" s="127">
        <f t="shared" ref="C76:C136" si="101">ROUND(B76/12,2)</f>
        <v>8159.79</v>
      </c>
      <c r="D76" s="35">
        <v>8.5800000000000001E-2</v>
      </c>
      <c r="E76" s="35"/>
      <c r="F76" s="35">
        <v>1.6899999999999998E-2</v>
      </c>
      <c r="G76" s="35"/>
      <c r="H76" s="35"/>
      <c r="I76" s="35"/>
      <c r="J76" s="35"/>
      <c r="K76" s="35"/>
      <c r="L76" s="35"/>
      <c r="M76" s="35">
        <v>0.12239999999999999</v>
      </c>
      <c r="N76" s="35"/>
      <c r="O76" s="35"/>
      <c r="P76" s="35"/>
      <c r="Q76" s="35">
        <v>0.18160000000000001</v>
      </c>
      <c r="R76" s="35">
        <v>1.55E-2</v>
      </c>
      <c r="S76" s="35">
        <v>1.77E-2</v>
      </c>
      <c r="T76" s="35">
        <v>0.21779999999999999</v>
      </c>
      <c r="U76" s="35"/>
      <c r="V76" s="35"/>
      <c r="W76" s="35">
        <v>6.4000000000000001E-2</v>
      </c>
      <c r="X76" s="35">
        <v>0.26129999999999998</v>
      </c>
      <c r="Y76" s="35">
        <v>9.7000000000000003E-3</v>
      </c>
      <c r="Z76" s="37">
        <v>7.3000000000000001E-3</v>
      </c>
      <c r="AA76" s="37">
        <v>0</v>
      </c>
      <c r="AB76" s="37">
        <v>0</v>
      </c>
      <c r="AC76" s="56"/>
      <c r="AD76" s="23"/>
    </row>
    <row r="77" spans="1:30" s="14" customFormat="1">
      <c r="A77" s="79"/>
      <c r="B77" s="9"/>
      <c r="C77" s="127"/>
      <c r="D77" s="36">
        <f t="shared" ref="D77" si="102">$C76*D76</f>
        <v>700.10998200000006</v>
      </c>
      <c r="E77" s="36">
        <f t="shared" ref="E77" si="103">$C76*E76</f>
        <v>0</v>
      </c>
      <c r="F77" s="36">
        <f t="shared" ref="F77:AB77" si="104">$C76*F76</f>
        <v>137.90045099999998</v>
      </c>
      <c r="G77" s="36">
        <f t="shared" si="104"/>
        <v>0</v>
      </c>
      <c r="H77" s="36">
        <f t="shared" si="104"/>
        <v>0</v>
      </c>
      <c r="I77" s="36">
        <f t="shared" si="104"/>
        <v>0</v>
      </c>
      <c r="J77" s="36">
        <f t="shared" si="104"/>
        <v>0</v>
      </c>
      <c r="K77" s="36">
        <f t="shared" si="104"/>
        <v>0</v>
      </c>
      <c r="L77" s="36">
        <f t="shared" si="104"/>
        <v>0</v>
      </c>
      <c r="M77" s="36">
        <f t="shared" si="104"/>
        <v>998.75829599999997</v>
      </c>
      <c r="N77" s="36">
        <f t="shared" si="104"/>
        <v>0</v>
      </c>
      <c r="O77" s="36">
        <f t="shared" si="104"/>
        <v>0</v>
      </c>
      <c r="P77" s="36">
        <f t="shared" si="104"/>
        <v>0</v>
      </c>
      <c r="Q77" s="36">
        <f t="shared" si="104"/>
        <v>1481.8178640000001</v>
      </c>
      <c r="R77" s="36">
        <f t="shared" si="104"/>
        <v>126.47674499999999</v>
      </c>
      <c r="S77" s="36">
        <f t="shared" si="104"/>
        <v>144.42828299999999</v>
      </c>
      <c r="T77" s="36">
        <f t="shared" si="104"/>
        <v>1777.202262</v>
      </c>
      <c r="U77" s="36">
        <f t="shared" si="104"/>
        <v>0</v>
      </c>
      <c r="V77" s="36">
        <f t="shared" si="104"/>
        <v>0</v>
      </c>
      <c r="W77" s="36">
        <f t="shared" si="104"/>
        <v>522.22656000000006</v>
      </c>
      <c r="X77" s="36">
        <f t="shared" si="104"/>
        <v>2132.1531269999996</v>
      </c>
      <c r="Y77" s="36">
        <f t="shared" si="104"/>
        <v>79.149963</v>
      </c>
      <c r="Z77" s="36">
        <f t="shared" si="104"/>
        <v>59.566467000000003</v>
      </c>
      <c r="AA77" s="36">
        <f t="shared" si="104"/>
        <v>0</v>
      </c>
      <c r="AB77" s="36">
        <f t="shared" si="104"/>
        <v>0</v>
      </c>
      <c r="AC77" s="56"/>
      <c r="AD77" s="23"/>
    </row>
    <row r="78" spans="1:30" s="14" customFormat="1">
      <c r="A78" s="78" t="s">
        <v>157</v>
      </c>
      <c r="B78" s="15">
        <v>3076190.11</v>
      </c>
      <c r="C78" s="127">
        <f t="shared" si="101"/>
        <v>256349.18</v>
      </c>
      <c r="D78" s="37">
        <v>3.7400000000000003E-2</v>
      </c>
      <c r="E78" s="37"/>
      <c r="F78" s="37">
        <v>6.2600000000000003E-2</v>
      </c>
      <c r="G78" s="37"/>
      <c r="H78" s="37">
        <v>0.16819999999999999</v>
      </c>
      <c r="I78" s="37"/>
      <c r="J78" s="37"/>
      <c r="K78" s="37"/>
      <c r="L78" s="37">
        <v>3.2000000000000002E-3</v>
      </c>
      <c r="M78" s="37"/>
      <c r="N78" s="37"/>
      <c r="O78" s="37"/>
      <c r="P78" s="37"/>
      <c r="Q78" s="37">
        <v>0.12570000000000001</v>
      </c>
      <c r="R78" s="37">
        <v>6.8900000000000003E-2</v>
      </c>
      <c r="S78" s="37">
        <v>1.7000000000000001E-2</v>
      </c>
      <c r="T78" s="37">
        <v>0.1153</v>
      </c>
      <c r="U78" s="37"/>
      <c r="V78" s="37">
        <v>5.4999999999999997E-3</v>
      </c>
      <c r="W78" s="37">
        <v>0.1542</v>
      </c>
      <c r="X78" s="37">
        <v>0.20519999999999999</v>
      </c>
      <c r="Y78" s="37">
        <v>7.1999999999999998E-3</v>
      </c>
      <c r="Z78" s="37">
        <v>2.9600000000000001E-2</v>
      </c>
      <c r="AA78" s="37">
        <v>0</v>
      </c>
      <c r="AB78" s="37">
        <v>0</v>
      </c>
      <c r="AC78" s="56"/>
      <c r="AD78" s="23"/>
    </row>
    <row r="79" spans="1:30" s="14" customFormat="1">
      <c r="A79" s="79"/>
      <c r="B79" s="9"/>
      <c r="C79" s="127"/>
      <c r="D79" s="36">
        <f t="shared" ref="D79" si="105">$C78*D78</f>
        <v>9587.4593320000004</v>
      </c>
      <c r="E79" s="36">
        <f t="shared" ref="E79" si="106">$C78*E78</f>
        <v>0</v>
      </c>
      <c r="F79" s="36">
        <f t="shared" ref="F79:AB79" si="107">$C78*F78</f>
        <v>16047.458668000001</v>
      </c>
      <c r="G79" s="36">
        <f t="shared" si="107"/>
        <v>0</v>
      </c>
      <c r="H79" s="36">
        <f t="shared" si="107"/>
        <v>43117.932075999997</v>
      </c>
      <c r="I79" s="36">
        <f t="shared" si="107"/>
        <v>0</v>
      </c>
      <c r="J79" s="36">
        <f t="shared" si="107"/>
        <v>0</v>
      </c>
      <c r="K79" s="36">
        <f t="shared" si="107"/>
        <v>0</v>
      </c>
      <c r="L79" s="36">
        <f t="shared" si="107"/>
        <v>820.31737599999997</v>
      </c>
      <c r="M79" s="36">
        <f t="shared" si="107"/>
        <v>0</v>
      </c>
      <c r="N79" s="36">
        <f t="shared" si="107"/>
        <v>0</v>
      </c>
      <c r="O79" s="36">
        <f t="shared" si="107"/>
        <v>0</v>
      </c>
      <c r="P79" s="36">
        <f t="shared" si="107"/>
        <v>0</v>
      </c>
      <c r="Q79" s="36">
        <f t="shared" si="107"/>
        <v>32223.091926000001</v>
      </c>
      <c r="R79" s="36">
        <f t="shared" si="107"/>
        <v>17662.458502000001</v>
      </c>
      <c r="S79" s="36">
        <f t="shared" si="107"/>
        <v>4357.93606</v>
      </c>
      <c r="T79" s="36">
        <f t="shared" si="107"/>
        <v>29557.060453999999</v>
      </c>
      <c r="U79" s="36">
        <f t="shared" si="107"/>
        <v>0</v>
      </c>
      <c r="V79" s="36">
        <f t="shared" si="107"/>
        <v>1409.92049</v>
      </c>
      <c r="W79" s="36">
        <f t="shared" si="107"/>
        <v>39529.043555999997</v>
      </c>
      <c r="X79" s="36">
        <f t="shared" si="107"/>
        <v>52602.851735999997</v>
      </c>
      <c r="Y79" s="36">
        <f t="shared" si="107"/>
        <v>1845.7140959999999</v>
      </c>
      <c r="Z79" s="36">
        <f t="shared" si="107"/>
        <v>7587.9357280000004</v>
      </c>
      <c r="AA79" s="36">
        <f t="shared" si="107"/>
        <v>0</v>
      </c>
      <c r="AB79" s="36">
        <f t="shared" si="107"/>
        <v>0</v>
      </c>
      <c r="AC79" s="56"/>
      <c r="AD79" s="23"/>
    </row>
    <row r="80" spans="1:30" s="14" customFormat="1">
      <c r="A80" s="80" t="s">
        <v>158</v>
      </c>
      <c r="B80" s="15">
        <v>2848392.89</v>
      </c>
      <c r="C80" s="127">
        <f t="shared" si="101"/>
        <v>237366.07</v>
      </c>
      <c r="D80" s="4"/>
      <c r="E80" s="4"/>
      <c r="F80" s="4">
        <v>1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56"/>
      <c r="AD80" s="23"/>
    </row>
    <row r="81" spans="1:30" s="14" customFormat="1">
      <c r="A81" s="79"/>
      <c r="B81" s="9"/>
      <c r="C81" s="127"/>
      <c r="D81" s="5">
        <f>$C80*D80</f>
        <v>0</v>
      </c>
      <c r="E81" s="5">
        <f>$C80*E80</f>
        <v>0</v>
      </c>
      <c r="F81" s="5">
        <f>$C80*F80</f>
        <v>237366.07</v>
      </c>
      <c r="G81" s="5">
        <f t="shared" ref="G81" si="108">$C80*G80</f>
        <v>0</v>
      </c>
      <c r="H81" s="5">
        <f t="shared" ref="H81" si="109">$C80*H80</f>
        <v>0</v>
      </c>
      <c r="I81" s="5">
        <f t="shared" ref="I81:AB81" si="110">$C80*I80</f>
        <v>0</v>
      </c>
      <c r="J81" s="5">
        <f t="shared" si="110"/>
        <v>0</v>
      </c>
      <c r="K81" s="5">
        <f t="shared" si="110"/>
        <v>0</v>
      </c>
      <c r="L81" s="5">
        <f t="shared" si="110"/>
        <v>0</v>
      </c>
      <c r="M81" s="5">
        <f t="shared" si="110"/>
        <v>0</v>
      </c>
      <c r="N81" s="5">
        <f t="shared" si="110"/>
        <v>0</v>
      </c>
      <c r="O81" s="5">
        <f t="shared" si="110"/>
        <v>0</v>
      </c>
      <c r="P81" s="5">
        <f t="shared" si="110"/>
        <v>0</v>
      </c>
      <c r="Q81" s="5">
        <f t="shared" si="110"/>
        <v>0</v>
      </c>
      <c r="R81" s="5">
        <f t="shared" si="110"/>
        <v>0</v>
      </c>
      <c r="S81" s="5">
        <f t="shared" si="110"/>
        <v>0</v>
      </c>
      <c r="T81" s="5">
        <f t="shared" si="110"/>
        <v>0</v>
      </c>
      <c r="U81" s="5">
        <f t="shared" si="110"/>
        <v>0</v>
      </c>
      <c r="V81" s="5">
        <f t="shared" si="110"/>
        <v>0</v>
      </c>
      <c r="W81" s="5">
        <f t="shared" si="110"/>
        <v>0</v>
      </c>
      <c r="X81" s="5">
        <f t="shared" si="110"/>
        <v>0</v>
      </c>
      <c r="Y81" s="5">
        <f t="shared" si="110"/>
        <v>0</v>
      </c>
      <c r="Z81" s="5">
        <f t="shared" si="110"/>
        <v>0</v>
      </c>
      <c r="AA81" s="5">
        <f t="shared" si="110"/>
        <v>0</v>
      </c>
      <c r="AB81" s="5">
        <f t="shared" si="110"/>
        <v>0</v>
      </c>
      <c r="AC81" s="56"/>
      <c r="AD81" s="23"/>
    </row>
    <row r="82" spans="1:30" s="14" customFormat="1">
      <c r="A82" s="80" t="s">
        <v>183</v>
      </c>
      <c r="B82" s="15">
        <f>SUM(1709549.46+1401698.87)</f>
        <v>3111248.33</v>
      </c>
      <c r="C82" s="127">
        <f>ROUND(B82/12,2)</f>
        <v>259270.69</v>
      </c>
      <c r="D82" s="4"/>
      <c r="E82" s="4"/>
      <c r="F82" s="4">
        <v>0.67859999999999998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>
        <v>0.32140000000000002</v>
      </c>
      <c r="V82" s="4"/>
      <c r="W82" s="4"/>
      <c r="X82" s="4"/>
      <c r="Y82" s="4"/>
      <c r="Z82" s="4"/>
      <c r="AA82" s="4"/>
      <c r="AB82" s="4"/>
      <c r="AC82" s="56"/>
      <c r="AD82" s="23"/>
    </row>
    <row r="83" spans="1:30" s="14" customFormat="1">
      <c r="A83" s="79"/>
      <c r="B83" s="9"/>
      <c r="C83" s="127"/>
      <c r="D83" s="5">
        <f t="shared" ref="D83" si="111">$C82*D82</f>
        <v>0</v>
      </c>
      <c r="E83" s="5">
        <f t="shared" ref="E83" si="112">$C82*E82</f>
        <v>0</v>
      </c>
      <c r="F83" s="5">
        <f t="shared" ref="F83:AB83" si="113">$C82*F82</f>
        <v>175941.090234</v>
      </c>
      <c r="G83" s="5">
        <f t="shared" si="113"/>
        <v>0</v>
      </c>
      <c r="H83" s="5">
        <f t="shared" si="113"/>
        <v>0</v>
      </c>
      <c r="I83" s="5">
        <f t="shared" si="113"/>
        <v>0</v>
      </c>
      <c r="J83" s="5">
        <f t="shared" si="113"/>
        <v>0</v>
      </c>
      <c r="K83" s="5">
        <f t="shared" si="113"/>
        <v>0</v>
      </c>
      <c r="L83" s="5">
        <f t="shared" si="113"/>
        <v>0</v>
      </c>
      <c r="M83" s="5">
        <f t="shared" si="113"/>
        <v>0</v>
      </c>
      <c r="N83" s="5">
        <f t="shared" si="113"/>
        <v>0</v>
      </c>
      <c r="O83" s="5">
        <f t="shared" si="113"/>
        <v>0</v>
      </c>
      <c r="P83" s="5">
        <f t="shared" si="113"/>
        <v>0</v>
      </c>
      <c r="Q83" s="5">
        <f t="shared" si="113"/>
        <v>0</v>
      </c>
      <c r="R83" s="5">
        <f t="shared" si="113"/>
        <v>0</v>
      </c>
      <c r="S83" s="5">
        <f t="shared" si="113"/>
        <v>0</v>
      </c>
      <c r="T83" s="5">
        <f t="shared" si="113"/>
        <v>0</v>
      </c>
      <c r="U83" s="5">
        <f t="shared" si="113"/>
        <v>83329.599765999999</v>
      </c>
      <c r="V83" s="5">
        <f t="shared" si="113"/>
        <v>0</v>
      </c>
      <c r="W83" s="5">
        <f t="shared" si="113"/>
        <v>0</v>
      </c>
      <c r="X83" s="5">
        <f t="shared" si="113"/>
        <v>0</v>
      </c>
      <c r="Y83" s="5">
        <f t="shared" si="113"/>
        <v>0</v>
      </c>
      <c r="Z83" s="5">
        <f t="shared" si="113"/>
        <v>0</v>
      </c>
      <c r="AA83" s="5">
        <f t="shared" si="113"/>
        <v>0</v>
      </c>
      <c r="AB83" s="5">
        <f t="shared" si="113"/>
        <v>0</v>
      </c>
      <c r="AC83" s="56"/>
      <c r="AD83" s="23"/>
    </row>
    <row r="84" spans="1:30" s="14" customFormat="1">
      <c r="A84" s="80" t="s">
        <v>184</v>
      </c>
      <c r="B84" s="15">
        <f>651544.11/2</f>
        <v>325772.05499999999</v>
      </c>
      <c r="C84" s="127">
        <f t="shared" si="101"/>
        <v>27147.67</v>
      </c>
      <c r="D84" s="35">
        <v>1.6299999999999999E-2</v>
      </c>
      <c r="E84" s="35">
        <v>0.14269999999999999</v>
      </c>
      <c r="F84" s="35">
        <v>5.8900000000000001E-2</v>
      </c>
      <c r="G84" s="35">
        <v>7.6200000000000004E-2</v>
      </c>
      <c r="H84" s="35">
        <v>3.9600000000000003E-2</v>
      </c>
      <c r="I84" s="35">
        <v>0.12470000000000001</v>
      </c>
      <c r="J84" s="35">
        <v>2.0400000000000001E-2</v>
      </c>
      <c r="K84" s="35">
        <v>3.1199999999999999E-2</v>
      </c>
      <c r="L84" s="35">
        <v>1.6199999999999999E-2</v>
      </c>
      <c r="M84" s="35">
        <v>2.53E-2</v>
      </c>
      <c r="N84" s="35">
        <v>0.14849999999999999</v>
      </c>
      <c r="O84" s="35">
        <v>2.2599999999999999E-2</v>
      </c>
      <c r="P84" s="35">
        <v>0</v>
      </c>
      <c r="Q84" s="35">
        <v>3.78E-2</v>
      </c>
      <c r="R84" s="35">
        <v>1.8100000000000002E-2</v>
      </c>
      <c r="S84" s="35">
        <v>4.1000000000000003E-3</v>
      </c>
      <c r="T84" s="35">
        <v>5.04E-2</v>
      </c>
      <c r="U84" s="35">
        <v>1.7500000000000002E-2</v>
      </c>
      <c r="V84" s="35">
        <v>3.6200000000000003E-2</v>
      </c>
      <c r="W84" s="35">
        <v>4.8500000000000001E-2</v>
      </c>
      <c r="X84" s="35">
        <v>6.1600000000000002E-2</v>
      </c>
      <c r="Y84" s="35">
        <v>2.5000000000000001E-3</v>
      </c>
      <c r="Z84" s="4">
        <v>0</v>
      </c>
      <c r="AA84" s="4">
        <v>6.9999999999999999E-4</v>
      </c>
      <c r="AB84" s="4">
        <v>0</v>
      </c>
      <c r="AC84" s="56"/>
      <c r="AD84" s="23"/>
    </row>
    <row r="85" spans="1:30" s="14" customFormat="1">
      <c r="A85" s="79"/>
      <c r="B85" s="9"/>
      <c r="C85" s="127"/>
      <c r="D85" s="5">
        <f t="shared" ref="D85" si="114">$C84*D84</f>
        <v>442.50702099999995</v>
      </c>
      <c r="E85" s="5">
        <f t="shared" ref="E85" si="115">$C84*E84</f>
        <v>3873.9725089999997</v>
      </c>
      <c r="F85" s="5">
        <f t="shared" ref="F85:O85" si="116">$C84*F84</f>
        <v>1598.9977629999998</v>
      </c>
      <c r="G85" s="5">
        <f t="shared" si="116"/>
        <v>2068.652454</v>
      </c>
      <c r="H85" s="5">
        <f t="shared" si="116"/>
        <v>1075.047732</v>
      </c>
      <c r="I85" s="5">
        <f t="shared" si="116"/>
        <v>3385.314449</v>
      </c>
      <c r="J85" s="5">
        <f t="shared" si="116"/>
        <v>553.81246799999997</v>
      </c>
      <c r="K85" s="5">
        <f t="shared" si="116"/>
        <v>847.00730399999986</v>
      </c>
      <c r="L85" s="5">
        <f t="shared" si="116"/>
        <v>439.79225399999996</v>
      </c>
      <c r="M85" s="5">
        <f t="shared" si="116"/>
        <v>686.836051</v>
      </c>
      <c r="N85" s="5">
        <f t="shared" si="116"/>
        <v>4031.4289949999998</v>
      </c>
      <c r="O85" s="5">
        <f t="shared" si="116"/>
        <v>613.53734199999997</v>
      </c>
      <c r="P85" s="5">
        <f t="shared" ref="P85" si="117">$C84*P84</f>
        <v>0</v>
      </c>
      <c r="Q85" s="5">
        <f t="shared" ref="Q85" si="118">$C84*Q84</f>
        <v>1026.181926</v>
      </c>
      <c r="R85" s="5">
        <f t="shared" ref="R85:AB85" si="119">$C84*R84</f>
        <v>491.37282700000003</v>
      </c>
      <c r="S85" s="5">
        <f t="shared" si="119"/>
        <v>111.305447</v>
      </c>
      <c r="T85" s="5">
        <f t="shared" si="119"/>
        <v>1368.2425679999999</v>
      </c>
      <c r="U85" s="5">
        <f t="shared" si="119"/>
        <v>475.084225</v>
      </c>
      <c r="V85" s="5">
        <f t="shared" si="119"/>
        <v>982.74565400000006</v>
      </c>
      <c r="W85" s="5">
        <f t="shared" si="119"/>
        <v>1316.6619949999999</v>
      </c>
      <c r="X85" s="5">
        <f t="shared" si="119"/>
        <v>1672.296472</v>
      </c>
      <c r="Y85" s="5">
        <f t="shared" si="119"/>
        <v>67.869174999999998</v>
      </c>
      <c r="Z85" s="5">
        <f t="shared" si="119"/>
        <v>0</v>
      </c>
      <c r="AA85" s="5">
        <f t="shared" si="119"/>
        <v>19.003368999999999</v>
      </c>
      <c r="AB85" s="5">
        <f t="shared" si="119"/>
        <v>0</v>
      </c>
      <c r="AC85" s="56"/>
      <c r="AD85" s="23"/>
    </row>
    <row r="86" spans="1:30" s="14" customFormat="1">
      <c r="A86" s="80" t="s">
        <v>400</v>
      </c>
      <c r="B86" s="15">
        <f>651544.11/2</f>
        <v>325772.05499999999</v>
      </c>
      <c r="C86" s="127">
        <f t="shared" si="101"/>
        <v>27147.67</v>
      </c>
      <c r="D86" s="39"/>
      <c r="E86" s="39"/>
      <c r="F86" s="39">
        <v>0.159</v>
      </c>
      <c r="G86" s="39"/>
      <c r="H86" s="39">
        <v>8.5099999999999995E-2</v>
      </c>
      <c r="I86" s="39"/>
      <c r="J86" s="39"/>
      <c r="K86" s="39"/>
      <c r="L86" s="39"/>
      <c r="M86" s="39">
        <v>0</v>
      </c>
      <c r="N86" s="39">
        <v>0.67910000000000004</v>
      </c>
      <c r="O86" s="39"/>
      <c r="P86" s="39"/>
      <c r="Q86" s="39"/>
      <c r="R86" s="39"/>
      <c r="S86" s="39"/>
      <c r="T86" s="39"/>
      <c r="U86" s="39"/>
      <c r="V86" s="39">
        <v>7.6799999999999993E-2</v>
      </c>
      <c r="W86" s="39"/>
      <c r="X86" s="39"/>
      <c r="Y86" s="39"/>
      <c r="Z86" s="39"/>
      <c r="AA86" s="39"/>
      <c r="AB86" s="39"/>
      <c r="AC86" s="56"/>
      <c r="AD86" s="23"/>
    </row>
    <row r="87" spans="1:30" s="14" customFormat="1">
      <c r="A87" s="79"/>
      <c r="B87" s="9"/>
      <c r="C87" s="127"/>
      <c r="D87" s="6">
        <f t="shared" ref="D87" si="120">$C86*D86</f>
        <v>0</v>
      </c>
      <c r="E87" s="6">
        <f t="shared" ref="E87" si="121">$C86*E86</f>
        <v>0</v>
      </c>
      <c r="F87" s="6">
        <f t="shared" ref="F87:AB87" si="122">$C86*F86</f>
        <v>4316.4795299999996</v>
      </c>
      <c r="G87" s="6">
        <f t="shared" si="122"/>
        <v>0</v>
      </c>
      <c r="H87" s="6">
        <f t="shared" si="122"/>
        <v>2310.2667169999995</v>
      </c>
      <c r="I87" s="6">
        <f t="shared" si="122"/>
        <v>0</v>
      </c>
      <c r="J87" s="6">
        <f t="shared" si="122"/>
        <v>0</v>
      </c>
      <c r="K87" s="6">
        <f t="shared" si="122"/>
        <v>0</v>
      </c>
      <c r="L87" s="6">
        <f t="shared" si="122"/>
        <v>0</v>
      </c>
      <c r="M87" s="6">
        <f t="shared" si="122"/>
        <v>0</v>
      </c>
      <c r="N87" s="6">
        <f t="shared" si="122"/>
        <v>18435.982696999999</v>
      </c>
      <c r="O87" s="6">
        <f t="shared" si="122"/>
        <v>0</v>
      </c>
      <c r="P87" s="6">
        <f t="shared" si="122"/>
        <v>0</v>
      </c>
      <c r="Q87" s="6">
        <f t="shared" si="122"/>
        <v>0</v>
      </c>
      <c r="R87" s="6">
        <f t="shared" si="122"/>
        <v>0</v>
      </c>
      <c r="S87" s="6">
        <f t="shared" si="122"/>
        <v>0</v>
      </c>
      <c r="T87" s="6">
        <f t="shared" si="122"/>
        <v>0</v>
      </c>
      <c r="U87" s="6">
        <f t="shared" si="122"/>
        <v>0</v>
      </c>
      <c r="V87" s="6">
        <f t="shared" si="122"/>
        <v>2084.9410559999997</v>
      </c>
      <c r="W87" s="6">
        <f t="shared" si="122"/>
        <v>0</v>
      </c>
      <c r="X87" s="6">
        <f t="shared" si="122"/>
        <v>0</v>
      </c>
      <c r="Y87" s="6">
        <f t="shared" si="122"/>
        <v>0</v>
      </c>
      <c r="Z87" s="6">
        <f t="shared" si="122"/>
        <v>0</v>
      </c>
      <c r="AA87" s="6">
        <f t="shared" si="122"/>
        <v>0</v>
      </c>
      <c r="AB87" s="6">
        <f t="shared" si="122"/>
        <v>0</v>
      </c>
      <c r="AC87" s="56"/>
      <c r="AD87" s="23"/>
    </row>
    <row r="88" spans="1:30" s="14" customFormat="1">
      <c r="A88" s="80" t="s">
        <v>185</v>
      </c>
      <c r="B88" s="15">
        <f>5020946.87/2</f>
        <v>2510473.4350000001</v>
      </c>
      <c r="C88" s="127">
        <f t="shared" si="101"/>
        <v>209206.12</v>
      </c>
      <c r="D88" s="35">
        <v>1.6299999999999999E-2</v>
      </c>
      <c r="E88" s="35">
        <v>0.14269999999999999</v>
      </c>
      <c r="F88" s="35">
        <v>5.8900000000000001E-2</v>
      </c>
      <c r="G88" s="35">
        <v>7.6200000000000004E-2</v>
      </c>
      <c r="H88" s="35">
        <v>3.9600000000000003E-2</v>
      </c>
      <c r="I88" s="35">
        <v>0.12470000000000001</v>
      </c>
      <c r="J88" s="35">
        <v>2.0400000000000001E-2</v>
      </c>
      <c r="K88" s="35">
        <v>3.1199999999999999E-2</v>
      </c>
      <c r="L88" s="35">
        <v>1.6199999999999999E-2</v>
      </c>
      <c r="M88" s="35">
        <v>2.53E-2</v>
      </c>
      <c r="N88" s="35">
        <v>0.14849999999999999</v>
      </c>
      <c r="O88" s="35">
        <v>2.2599999999999999E-2</v>
      </c>
      <c r="P88" s="35">
        <v>0</v>
      </c>
      <c r="Q88" s="35">
        <v>3.78E-2</v>
      </c>
      <c r="R88" s="35">
        <v>1.8100000000000002E-2</v>
      </c>
      <c r="S88" s="35">
        <v>4.1000000000000003E-3</v>
      </c>
      <c r="T88" s="35">
        <v>5.04E-2</v>
      </c>
      <c r="U88" s="35">
        <v>1.7500000000000002E-2</v>
      </c>
      <c r="V88" s="35">
        <v>3.6200000000000003E-2</v>
      </c>
      <c r="W88" s="35">
        <v>4.8500000000000001E-2</v>
      </c>
      <c r="X88" s="35">
        <v>6.1600000000000002E-2</v>
      </c>
      <c r="Y88" s="35">
        <v>2.5000000000000001E-3</v>
      </c>
      <c r="Z88" s="4">
        <v>0</v>
      </c>
      <c r="AA88" s="4">
        <v>6.9999999999999999E-4</v>
      </c>
      <c r="AB88" s="4">
        <v>0</v>
      </c>
      <c r="AC88" s="56"/>
      <c r="AD88" s="23"/>
    </row>
    <row r="89" spans="1:30" s="14" customFormat="1">
      <c r="A89" s="79"/>
      <c r="B89" s="9"/>
      <c r="C89" s="127"/>
      <c r="D89" s="5">
        <f t="shared" ref="D89" si="123">$C88*D88</f>
        <v>3410.0597559999997</v>
      </c>
      <c r="E89" s="5">
        <f t="shared" ref="E89" si="124">$C88*E88</f>
        <v>29853.713323999997</v>
      </c>
      <c r="F89" s="5">
        <f t="shared" ref="F89:O89" si="125">$C88*F88</f>
        <v>12322.240468</v>
      </c>
      <c r="G89" s="5">
        <f t="shared" si="125"/>
        <v>15941.506344000001</v>
      </c>
      <c r="H89" s="5">
        <f t="shared" si="125"/>
        <v>8284.5623520000008</v>
      </c>
      <c r="I89" s="5">
        <f t="shared" si="125"/>
        <v>26088.003164000002</v>
      </c>
      <c r="J89" s="5">
        <f t="shared" si="125"/>
        <v>4267.8048479999998</v>
      </c>
      <c r="K89" s="5">
        <f t="shared" si="125"/>
        <v>6527.2309439999999</v>
      </c>
      <c r="L89" s="5">
        <f t="shared" si="125"/>
        <v>3389.1391439999998</v>
      </c>
      <c r="M89" s="5">
        <f t="shared" si="125"/>
        <v>5292.9148359999999</v>
      </c>
      <c r="N89" s="5">
        <f t="shared" si="125"/>
        <v>31067.108819999998</v>
      </c>
      <c r="O89" s="5">
        <f t="shared" si="125"/>
        <v>4728.0583119999992</v>
      </c>
      <c r="P89" s="5">
        <f t="shared" ref="P89" si="126">$C88*P88</f>
        <v>0</v>
      </c>
      <c r="Q89" s="5">
        <f t="shared" ref="Q89" si="127">$C88*Q88</f>
        <v>7907.991336</v>
      </c>
      <c r="R89" s="5">
        <f t="shared" ref="R89:AB89" si="128">$C88*R88</f>
        <v>3786.6307720000004</v>
      </c>
      <c r="S89" s="5">
        <f t="shared" si="128"/>
        <v>857.745092</v>
      </c>
      <c r="T89" s="5">
        <f t="shared" si="128"/>
        <v>10543.988448</v>
      </c>
      <c r="U89" s="5">
        <f t="shared" si="128"/>
        <v>3661.1071000000002</v>
      </c>
      <c r="V89" s="5">
        <f t="shared" si="128"/>
        <v>7573.2615440000009</v>
      </c>
      <c r="W89" s="5">
        <f t="shared" si="128"/>
        <v>10146.49682</v>
      </c>
      <c r="X89" s="5">
        <f t="shared" si="128"/>
        <v>12887.096992000001</v>
      </c>
      <c r="Y89" s="5">
        <f t="shared" si="128"/>
        <v>523.01530000000002</v>
      </c>
      <c r="Z89" s="5">
        <f t="shared" si="128"/>
        <v>0</v>
      </c>
      <c r="AA89" s="5">
        <f t="shared" si="128"/>
        <v>146.44428399999998</v>
      </c>
      <c r="AB89" s="5">
        <f t="shared" si="128"/>
        <v>0</v>
      </c>
      <c r="AC89" s="56"/>
      <c r="AD89" s="23"/>
    </row>
    <row r="90" spans="1:30" s="14" customFormat="1">
      <c r="A90" s="80" t="s">
        <v>459</v>
      </c>
      <c r="B90" s="15">
        <f>5020946.87/2</f>
        <v>2510473.4350000001</v>
      </c>
      <c r="C90" s="127">
        <f t="shared" si="101"/>
        <v>209206.12</v>
      </c>
      <c r="D90" s="39"/>
      <c r="E90" s="39"/>
      <c r="F90" s="39">
        <v>0</v>
      </c>
      <c r="G90" s="39"/>
      <c r="H90" s="39">
        <v>0.31080000000000002</v>
      </c>
      <c r="I90" s="39"/>
      <c r="J90" s="39"/>
      <c r="K90" s="39"/>
      <c r="L90" s="39"/>
      <c r="M90" s="39">
        <v>6.7199999999999996E-2</v>
      </c>
      <c r="N90" s="39">
        <v>0.37980000000000003</v>
      </c>
      <c r="O90" s="39"/>
      <c r="P90" s="39"/>
      <c r="Q90" s="39"/>
      <c r="R90" s="39">
        <v>6.9699999999999998E-2</v>
      </c>
      <c r="S90" s="39"/>
      <c r="T90" s="39"/>
      <c r="U90" s="39"/>
      <c r="V90" s="39">
        <v>0.17249999999999999</v>
      </c>
      <c r="W90" s="39"/>
      <c r="X90" s="39"/>
      <c r="Y90" s="39"/>
      <c r="Z90" s="39"/>
      <c r="AA90" s="39"/>
      <c r="AB90" s="39"/>
      <c r="AC90" s="56"/>
      <c r="AD90" s="23"/>
    </row>
    <row r="91" spans="1:30" s="14" customFormat="1">
      <c r="A91" s="79"/>
      <c r="B91" s="9"/>
      <c r="C91" s="127"/>
      <c r="D91" s="6">
        <f t="shared" ref="D91" si="129">$C90*D90</f>
        <v>0</v>
      </c>
      <c r="E91" s="6">
        <f t="shared" ref="E91" si="130">$C90*E90</f>
        <v>0</v>
      </c>
      <c r="F91" s="6">
        <f t="shared" ref="F91:AB91" si="131">$C90*F90</f>
        <v>0</v>
      </c>
      <c r="G91" s="6">
        <f t="shared" si="131"/>
        <v>0</v>
      </c>
      <c r="H91" s="6">
        <f t="shared" si="131"/>
        <v>65021.262096000006</v>
      </c>
      <c r="I91" s="6">
        <f t="shared" si="131"/>
        <v>0</v>
      </c>
      <c r="J91" s="6">
        <f t="shared" si="131"/>
        <v>0</v>
      </c>
      <c r="K91" s="6">
        <f t="shared" si="131"/>
        <v>0</v>
      </c>
      <c r="L91" s="6">
        <f t="shared" si="131"/>
        <v>0</v>
      </c>
      <c r="M91" s="6">
        <f t="shared" si="131"/>
        <v>14058.651263999998</v>
      </c>
      <c r="N91" s="6">
        <f t="shared" si="131"/>
        <v>79456.484376000008</v>
      </c>
      <c r="O91" s="6">
        <f t="shared" si="131"/>
        <v>0</v>
      </c>
      <c r="P91" s="6">
        <f t="shared" si="131"/>
        <v>0</v>
      </c>
      <c r="Q91" s="6">
        <f t="shared" si="131"/>
        <v>0</v>
      </c>
      <c r="R91" s="6">
        <f t="shared" si="131"/>
        <v>14581.666563999999</v>
      </c>
      <c r="S91" s="6">
        <f t="shared" si="131"/>
        <v>0</v>
      </c>
      <c r="T91" s="6">
        <f t="shared" si="131"/>
        <v>0</v>
      </c>
      <c r="U91" s="6">
        <f t="shared" si="131"/>
        <v>0</v>
      </c>
      <c r="V91" s="6">
        <f t="shared" si="131"/>
        <v>36088.055699999997</v>
      </c>
      <c r="W91" s="6">
        <f t="shared" si="131"/>
        <v>0</v>
      </c>
      <c r="X91" s="6">
        <f t="shared" si="131"/>
        <v>0</v>
      </c>
      <c r="Y91" s="6">
        <f t="shared" si="131"/>
        <v>0</v>
      </c>
      <c r="Z91" s="6">
        <f t="shared" si="131"/>
        <v>0</v>
      </c>
      <c r="AA91" s="6">
        <f t="shared" si="131"/>
        <v>0</v>
      </c>
      <c r="AB91" s="6">
        <f t="shared" si="131"/>
        <v>0</v>
      </c>
      <c r="AC91" s="56"/>
      <c r="AD91" s="23"/>
    </row>
    <row r="92" spans="1:30" s="14" customFormat="1">
      <c r="A92" s="80" t="s">
        <v>312</v>
      </c>
      <c r="B92" s="15">
        <f>7483622.57/2</f>
        <v>3741811.2850000001</v>
      </c>
      <c r="C92" s="127">
        <f t="shared" si="101"/>
        <v>311817.61</v>
      </c>
      <c r="D92" s="35">
        <v>1.6299999999999999E-2</v>
      </c>
      <c r="E92" s="35">
        <v>0.14269999999999999</v>
      </c>
      <c r="F92" s="35">
        <v>5.8900000000000001E-2</v>
      </c>
      <c r="G92" s="35">
        <v>7.6200000000000004E-2</v>
      </c>
      <c r="H92" s="35">
        <v>3.9600000000000003E-2</v>
      </c>
      <c r="I92" s="35">
        <v>0.12470000000000001</v>
      </c>
      <c r="J92" s="35">
        <v>2.0400000000000001E-2</v>
      </c>
      <c r="K92" s="35">
        <v>3.1199999999999999E-2</v>
      </c>
      <c r="L92" s="35">
        <v>1.6199999999999999E-2</v>
      </c>
      <c r="M92" s="35">
        <v>2.53E-2</v>
      </c>
      <c r="N92" s="35">
        <v>0.14849999999999999</v>
      </c>
      <c r="O92" s="35">
        <v>2.2599999999999999E-2</v>
      </c>
      <c r="P92" s="35">
        <v>0</v>
      </c>
      <c r="Q92" s="35">
        <v>3.78E-2</v>
      </c>
      <c r="R92" s="35">
        <v>1.8100000000000002E-2</v>
      </c>
      <c r="S92" s="35">
        <v>4.1000000000000003E-3</v>
      </c>
      <c r="T92" s="35">
        <v>5.04E-2</v>
      </c>
      <c r="U92" s="35">
        <v>1.7500000000000002E-2</v>
      </c>
      <c r="V92" s="35">
        <v>3.6200000000000003E-2</v>
      </c>
      <c r="W92" s="35">
        <v>4.8500000000000001E-2</v>
      </c>
      <c r="X92" s="35">
        <v>6.1600000000000002E-2</v>
      </c>
      <c r="Y92" s="35">
        <v>2.5000000000000001E-3</v>
      </c>
      <c r="Z92" s="4">
        <v>0</v>
      </c>
      <c r="AA92" s="4">
        <v>6.9999999999999999E-4</v>
      </c>
      <c r="AB92" s="4">
        <v>0</v>
      </c>
      <c r="AC92" s="56"/>
      <c r="AD92" s="23"/>
    </row>
    <row r="93" spans="1:30" s="14" customFormat="1">
      <c r="A93" s="79"/>
      <c r="B93" s="9"/>
      <c r="C93" s="127"/>
      <c r="D93" s="5">
        <f t="shared" ref="D93" si="132">$C92*D92</f>
        <v>5082.6270429999995</v>
      </c>
      <c r="E93" s="5">
        <f t="shared" ref="E93" si="133">$C92*E92</f>
        <v>44496.372946999996</v>
      </c>
      <c r="F93" s="5">
        <f t="shared" ref="F93:AB93" si="134">$C92*F92</f>
        <v>18366.057228999998</v>
      </c>
      <c r="G93" s="5">
        <f t="shared" si="134"/>
        <v>23760.501882</v>
      </c>
      <c r="H93" s="5">
        <f t="shared" si="134"/>
        <v>12347.977356000001</v>
      </c>
      <c r="I93" s="5">
        <f t="shared" si="134"/>
        <v>38883.655966999999</v>
      </c>
      <c r="J93" s="5">
        <f t="shared" si="134"/>
        <v>6361.0792440000005</v>
      </c>
      <c r="K93" s="5">
        <f t="shared" si="134"/>
        <v>9728.7094319999997</v>
      </c>
      <c r="L93" s="5">
        <f t="shared" si="134"/>
        <v>5051.4452819999997</v>
      </c>
      <c r="M93" s="5">
        <f t="shared" si="134"/>
        <v>7888.9855329999991</v>
      </c>
      <c r="N93" s="5">
        <f t="shared" si="134"/>
        <v>46304.915084999993</v>
      </c>
      <c r="O93" s="5">
        <f t="shared" si="134"/>
        <v>7047.0779859999993</v>
      </c>
      <c r="P93" s="5">
        <f t="shared" si="134"/>
        <v>0</v>
      </c>
      <c r="Q93" s="5">
        <f t="shared" si="134"/>
        <v>11786.705657999999</v>
      </c>
      <c r="R93" s="5">
        <f t="shared" si="134"/>
        <v>5643.898741</v>
      </c>
      <c r="S93" s="5">
        <f t="shared" si="134"/>
        <v>1278.4522010000001</v>
      </c>
      <c r="T93" s="5">
        <f t="shared" si="134"/>
        <v>15715.607543999999</v>
      </c>
      <c r="U93" s="5">
        <f t="shared" si="134"/>
        <v>5456.8081750000001</v>
      </c>
      <c r="V93" s="5">
        <f t="shared" si="134"/>
        <v>11287.797482</v>
      </c>
      <c r="W93" s="5">
        <f t="shared" si="134"/>
        <v>15123.154085</v>
      </c>
      <c r="X93" s="5">
        <f t="shared" si="134"/>
        <v>19207.964776000001</v>
      </c>
      <c r="Y93" s="5">
        <f t="shared" si="134"/>
        <v>779.54402500000003</v>
      </c>
      <c r="Z93" s="5">
        <f t="shared" si="134"/>
        <v>0</v>
      </c>
      <c r="AA93" s="5">
        <f t="shared" si="134"/>
        <v>218.27232699999999</v>
      </c>
      <c r="AB93" s="5">
        <f t="shared" si="134"/>
        <v>0</v>
      </c>
      <c r="AC93" s="56"/>
      <c r="AD93" s="23"/>
    </row>
    <row r="94" spans="1:30" s="14" customFormat="1">
      <c r="A94" s="80" t="s">
        <v>401</v>
      </c>
      <c r="B94" s="15">
        <f>7483622.57/2</f>
        <v>3741811.2850000001</v>
      </c>
      <c r="C94" s="127">
        <f t="shared" si="101"/>
        <v>311817.61</v>
      </c>
      <c r="D94" s="39"/>
      <c r="E94" s="39"/>
      <c r="F94" s="39">
        <v>0.13020000000000001</v>
      </c>
      <c r="G94" s="39"/>
      <c r="H94" s="39">
        <v>6.7400000000000002E-2</v>
      </c>
      <c r="I94" s="39"/>
      <c r="J94" s="39"/>
      <c r="K94" s="39"/>
      <c r="L94" s="39"/>
      <c r="M94" s="39"/>
      <c r="N94" s="39">
        <v>0.70189999999999997</v>
      </c>
      <c r="O94" s="39"/>
      <c r="P94" s="39"/>
      <c r="Q94" s="39"/>
      <c r="R94" s="39"/>
      <c r="S94" s="39"/>
      <c r="T94" s="39"/>
      <c r="U94" s="39"/>
      <c r="V94" s="39">
        <v>0.10050000000000001</v>
      </c>
      <c r="W94" s="39"/>
      <c r="X94" s="39"/>
      <c r="Y94" s="39"/>
      <c r="Z94" s="39"/>
      <c r="AA94" s="39"/>
      <c r="AB94" s="39"/>
      <c r="AC94" s="56"/>
      <c r="AD94" s="23"/>
    </row>
    <row r="95" spans="1:30" s="14" customFormat="1">
      <c r="A95" s="79"/>
      <c r="B95" s="9"/>
      <c r="C95" s="127"/>
      <c r="D95" s="6">
        <f t="shared" ref="D95" si="135">$C94*D94</f>
        <v>0</v>
      </c>
      <c r="E95" s="6">
        <f t="shared" ref="E95" si="136">$C94*E94</f>
        <v>0</v>
      </c>
      <c r="F95" s="6">
        <f t="shared" ref="F95:AB95" si="137">$C94*F94</f>
        <v>40598.652822000004</v>
      </c>
      <c r="G95" s="6">
        <f t="shared" si="137"/>
        <v>0</v>
      </c>
      <c r="H95" s="6">
        <f t="shared" si="137"/>
        <v>21016.506913999998</v>
      </c>
      <c r="I95" s="6">
        <f t="shared" si="137"/>
        <v>0</v>
      </c>
      <c r="J95" s="6">
        <f t="shared" si="137"/>
        <v>0</v>
      </c>
      <c r="K95" s="6">
        <f t="shared" si="137"/>
        <v>0</v>
      </c>
      <c r="L95" s="6">
        <f t="shared" si="137"/>
        <v>0</v>
      </c>
      <c r="M95" s="6">
        <f t="shared" si="137"/>
        <v>0</v>
      </c>
      <c r="N95" s="6">
        <f t="shared" si="137"/>
        <v>218864.78045899997</v>
      </c>
      <c r="O95" s="6">
        <f t="shared" si="137"/>
        <v>0</v>
      </c>
      <c r="P95" s="6">
        <f t="shared" si="137"/>
        <v>0</v>
      </c>
      <c r="Q95" s="6">
        <f t="shared" si="137"/>
        <v>0</v>
      </c>
      <c r="R95" s="6">
        <f t="shared" si="137"/>
        <v>0</v>
      </c>
      <c r="S95" s="6">
        <f t="shared" si="137"/>
        <v>0</v>
      </c>
      <c r="T95" s="6">
        <f t="shared" si="137"/>
        <v>0</v>
      </c>
      <c r="U95" s="6">
        <f t="shared" si="137"/>
        <v>0</v>
      </c>
      <c r="V95" s="6">
        <f t="shared" si="137"/>
        <v>31337.669805000001</v>
      </c>
      <c r="W95" s="6">
        <f t="shared" si="137"/>
        <v>0</v>
      </c>
      <c r="X95" s="6">
        <f t="shared" si="137"/>
        <v>0</v>
      </c>
      <c r="Y95" s="6">
        <f t="shared" si="137"/>
        <v>0</v>
      </c>
      <c r="Z95" s="6">
        <f t="shared" si="137"/>
        <v>0</v>
      </c>
      <c r="AA95" s="6">
        <f t="shared" si="137"/>
        <v>0</v>
      </c>
      <c r="AB95" s="6">
        <f t="shared" si="137"/>
        <v>0</v>
      </c>
      <c r="AC95" s="56"/>
      <c r="AD95" s="23"/>
    </row>
    <row r="96" spans="1:30" s="14" customFormat="1">
      <c r="A96" s="80" t="s">
        <v>186</v>
      </c>
      <c r="B96" s="15">
        <v>7208255.2699999996</v>
      </c>
      <c r="C96" s="127">
        <f t="shared" si="101"/>
        <v>600687.93999999994</v>
      </c>
      <c r="D96" s="4"/>
      <c r="E96" s="4"/>
      <c r="F96" s="4">
        <v>1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56"/>
      <c r="AD96" s="23"/>
    </row>
    <row r="97" spans="1:30" s="14" customFormat="1">
      <c r="A97" s="79"/>
      <c r="B97" s="9"/>
      <c r="C97" s="127"/>
      <c r="D97" s="5">
        <f t="shared" ref="D97" si="138">$C96*D96</f>
        <v>0</v>
      </c>
      <c r="E97" s="5">
        <f t="shared" ref="E97" si="139">$C96*E96</f>
        <v>0</v>
      </c>
      <c r="F97" s="5">
        <f t="shared" ref="F97:AB97" si="140">$C96*F96</f>
        <v>600687.93999999994</v>
      </c>
      <c r="G97" s="5">
        <f t="shared" si="140"/>
        <v>0</v>
      </c>
      <c r="H97" s="5">
        <f t="shared" si="140"/>
        <v>0</v>
      </c>
      <c r="I97" s="5">
        <f t="shared" si="140"/>
        <v>0</v>
      </c>
      <c r="J97" s="5">
        <f t="shared" si="140"/>
        <v>0</v>
      </c>
      <c r="K97" s="5">
        <f t="shared" si="140"/>
        <v>0</v>
      </c>
      <c r="L97" s="5">
        <f t="shared" si="140"/>
        <v>0</v>
      </c>
      <c r="M97" s="5">
        <f t="shared" si="140"/>
        <v>0</v>
      </c>
      <c r="N97" s="5">
        <f t="shared" si="140"/>
        <v>0</v>
      </c>
      <c r="O97" s="5">
        <f t="shared" si="140"/>
        <v>0</v>
      </c>
      <c r="P97" s="5">
        <f t="shared" si="140"/>
        <v>0</v>
      </c>
      <c r="Q97" s="5">
        <f t="shared" si="140"/>
        <v>0</v>
      </c>
      <c r="R97" s="5">
        <f t="shared" si="140"/>
        <v>0</v>
      </c>
      <c r="S97" s="5">
        <f t="shared" si="140"/>
        <v>0</v>
      </c>
      <c r="T97" s="5">
        <f t="shared" si="140"/>
        <v>0</v>
      </c>
      <c r="U97" s="5">
        <f t="shared" si="140"/>
        <v>0</v>
      </c>
      <c r="V97" s="5">
        <f t="shared" si="140"/>
        <v>0</v>
      </c>
      <c r="W97" s="5">
        <f t="shared" si="140"/>
        <v>0</v>
      </c>
      <c r="X97" s="5">
        <f t="shared" si="140"/>
        <v>0</v>
      </c>
      <c r="Y97" s="5">
        <f t="shared" si="140"/>
        <v>0</v>
      </c>
      <c r="Z97" s="5">
        <f t="shared" si="140"/>
        <v>0</v>
      </c>
      <c r="AA97" s="5">
        <f t="shared" si="140"/>
        <v>0</v>
      </c>
      <c r="AB97" s="5">
        <f t="shared" si="140"/>
        <v>0</v>
      </c>
      <c r="AC97" s="56"/>
      <c r="AD97" s="23"/>
    </row>
    <row r="98" spans="1:30" s="14" customFormat="1">
      <c r="A98" s="80" t="s">
        <v>187</v>
      </c>
      <c r="B98" s="15">
        <v>402127.14</v>
      </c>
      <c r="C98" s="127">
        <f t="shared" si="101"/>
        <v>33510.6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>
        <v>1</v>
      </c>
      <c r="V98" s="4"/>
      <c r="W98" s="4"/>
      <c r="X98" s="4"/>
      <c r="Y98" s="4"/>
      <c r="Z98" s="4"/>
      <c r="AA98" s="4"/>
      <c r="AB98" s="4"/>
      <c r="AC98" s="56"/>
      <c r="AD98" s="23"/>
    </row>
    <row r="99" spans="1:30" s="14" customFormat="1">
      <c r="A99" s="79"/>
      <c r="B99" s="9"/>
      <c r="C99" s="127"/>
      <c r="D99" s="5">
        <f t="shared" ref="D99" si="141">$C98*D98</f>
        <v>0</v>
      </c>
      <c r="E99" s="5">
        <f t="shared" ref="E99" si="142">$C98*E98</f>
        <v>0</v>
      </c>
      <c r="F99" s="5">
        <f t="shared" ref="F99:AB99" si="143">$C98*F98</f>
        <v>0</v>
      </c>
      <c r="G99" s="5">
        <f t="shared" si="143"/>
        <v>0</v>
      </c>
      <c r="H99" s="5">
        <f t="shared" si="143"/>
        <v>0</v>
      </c>
      <c r="I99" s="5">
        <f t="shared" si="143"/>
        <v>0</v>
      </c>
      <c r="J99" s="5">
        <f t="shared" si="143"/>
        <v>0</v>
      </c>
      <c r="K99" s="5">
        <f t="shared" si="143"/>
        <v>0</v>
      </c>
      <c r="L99" s="5">
        <f t="shared" si="143"/>
        <v>0</v>
      </c>
      <c r="M99" s="5">
        <f t="shared" si="143"/>
        <v>0</v>
      </c>
      <c r="N99" s="5">
        <f t="shared" si="143"/>
        <v>0</v>
      </c>
      <c r="O99" s="5">
        <f t="shared" si="143"/>
        <v>0</v>
      </c>
      <c r="P99" s="5">
        <f t="shared" si="143"/>
        <v>0</v>
      </c>
      <c r="Q99" s="5">
        <f t="shared" si="143"/>
        <v>0</v>
      </c>
      <c r="R99" s="5">
        <f t="shared" si="143"/>
        <v>0</v>
      </c>
      <c r="S99" s="5">
        <f t="shared" si="143"/>
        <v>0</v>
      </c>
      <c r="T99" s="5">
        <f t="shared" si="143"/>
        <v>0</v>
      </c>
      <c r="U99" s="5">
        <f t="shared" si="143"/>
        <v>33510.6</v>
      </c>
      <c r="V99" s="5">
        <f t="shared" si="143"/>
        <v>0</v>
      </c>
      <c r="W99" s="5">
        <f t="shared" si="143"/>
        <v>0</v>
      </c>
      <c r="X99" s="5">
        <f t="shared" si="143"/>
        <v>0</v>
      </c>
      <c r="Y99" s="5">
        <f t="shared" si="143"/>
        <v>0</v>
      </c>
      <c r="Z99" s="5">
        <f t="shared" si="143"/>
        <v>0</v>
      </c>
      <c r="AA99" s="5">
        <f t="shared" si="143"/>
        <v>0</v>
      </c>
      <c r="AB99" s="5">
        <f t="shared" si="143"/>
        <v>0</v>
      </c>
      <c r="AC99" s="56"/>
      <c r="AD99" s="23"/>
    </row>
    <row r="100" spans="1:30" s="14" customFormat="1">
      <c r="A100" s="80" t="s">
        <v>188</v>
      </c>
      <c r="B100" s="15">
        <v>1094616.52</v>
      </c>
      <c r="C100" s="127">
        <f t="shared" si="101"/>
        <v>91218.04</v>
      </c>
      <c r="D100" s="4"/>
      <c r="E100" s="4"/>
      <c r="F100" s="4">
        <v>4.8599999999999997E-2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>
        <v>0.95140000000000002</v>
      </c>
      <c r="V100" s="4"/>
      <c r="W100" s="4"/>
      <c r="X100" s="4"/>
      <c r="Y100" s="4"/>
      <c r="Z100" s="4"/>
      <c r="AA100" s="4"/>
      <c r="AB100" s="4"/>
      <c r="AC100" s="56"/>
      <c r="AD100" s="23"/>
    </row>
    <row r="101" spans="1:30" s="14" customFormat="1">
      <c r="A101" s="79" t="s">
        <v>189</v>
      </c>
      <c r="B101" s="9"/>
      <c r="C101" s="127"/>
      <c r="D101" s="5">
        <f t="shared" ref="D101" si="144">$C100*D100</f>
        <v>0</v>
      </c>
      <c r="E101" s="5">
        <f t="shared" ref="E101" si="145">$C100*E100</f>
        <v>0</v>
      </c>
      <c r="F101" s="5">
        <f t="shared" ref="F101:AB101" si="146">$C100*F100</f>
        <v>4433.1967439999999</v>
      </c>
      <c r="G101" s="5">
        <f t="shared" si="146"/>
        <v>0</v>
      </c>
      <c r="H101" s="5">
        <f t="shared" si="146"/>
        <v>0</v>
      </c>
      <c r="I101" s="5">
        <f t="shared" si="146"/>
        <v>0</v>
      </c>
      <c r="J101" s="5">
        <f t="shared" si="146"/>
        <v>0</v>
      </c>
      <c r="K101" s="5">
        <f t="shared" si="146"/>
        <v>0</v>
      </c>
      <c r="L101" s="5">
        <f t="shared" si="146"/>
        <v>0</v>
      </c>
      <c r="M101" s="5">
        <f t="shared" si="146"/>
        <v>0</v>
      </c>
      <c r="N101" s="5">
        <f t="shared" si="146"/>
        <v>0</v>
      </c>
      <c r="O101" s="5">
        <f t="shared" si="146"/>
        <v>0</v>
      </c>
      <c r="P101" s="5">
        <f t="shared" si="146"/>
        <v>0</v>
      </c>
      <c r="Q101" s="5">
        <f t="shared" si="146"/>
        <v>0</v>
      </c>
      <c r="R101" s="5">
        <f t="shared" si="146"/>
        <v>0</v>
      </c>
      <c r="S101" s="5">
        <f t="shared" si="146"/>
        <v>0</v>
      </c>
      <c r="T101" s="5">
        <f t="shared" si="146"/>
        <v>0</v>
      </c>
      <c r="U101" s="5">
        <f t="shared" si="146"/>
        <v>86784.843255999993</v>
      </c>
      <c r="V101" s="5">
        <f t="shared" si="146"/>
        <v>0</v>
      </c>
      <c r="W101" s="5">
        <f t="shared" si="146"/>
        <v>0</v>
      </c>
      <c r="X101" s="5">
        <f t="shared" si="146"/>
        <v>0</v>
      </c>
      <c r="Y101" s="5">
        <f t="shared" si="146"/>
        <v>0</v>
      </c>
      <c r="Z101" s="5">
        <f t="shared" si="146"/>
        <v>0</v>
      </c>
      <c r="AA101" s="5">
        <f t="shared" si="146"/>
        <v>0</v>
      </c>
      <c r="AB101" s="5">
        <f t="shared" si="146"/>
        <v>0</v>
      </c>
      <c r="AC101" s="56"/>
      <c r="AD101" s="23"/>
    </row>
    <row r="102" spans="1:30" s="14" customFormat="1">
      <c r="A102" s="80" t="s">
        <v>190</v>
      </c>
      <c r="B102" s="15">
        <v>670910.71999999997</v>
      </c>
      <c r="C102" s="127">
        <f t="shared" si="101"/>
        <v>55909.23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>
        <v>1</v>
      </c>
      <c r="V102" s="4"/>
      <c r="W102" s="4"/>
      <c r="X102" s="4"/>
      <c r="Y102" s="4"/>
      <c r="Z102" s="4"/>
      <c r="AA102" s="4"/>
      <c r="AB102" s="4"/>
      <c r="AC102" s="56"/>
      <c r="AD102" s="23"/>
    </row>
    <row r="103" spans="1:30" s="14" customFormat="1">
      <c r="A103" s="79"/>
      <c r="B103" s="9"/>
      <c r="C103" s="127"/>
      <c r="D103" s="5">
        <f t="shared" ref="D103" si="147">$C102*D102</f>
        <v>0</v>
      </c>
      <c r="E103" s="5">
        <f t="shared" ref="E103" si="148">$C102*E102</f>
        <v>0</v>
      </c>
      <c r="F103" s="5">
        <f t="shared" ref="F103:AB103" si="149">$C102*F102</f>
        <v>0</v>
      </c>
      <c r="G103" s="5">
        <f t="shared" si="149"/>
        <v>0</v>
      </c>
      <c r="H103" s="5">
        <f t="shared" si="149"/>
        <v>0</v>
      </c>
      <c r="I103" s="5">
        <f t="shared" si="149"/>
        <v>0</v>
      </c>
      <c r="J103" s="5">
        <f t="shared" si="149"/>
        <v>0</v>
      </c>
      <c r="K103" s="5">
        <f t="shared" si="149"/>
        <v>0</v>
      </c>
      <c r="L103" s="5">
        <f t="shared" si="149"/>
        <v>0</v>
      </c>
      <c r="M103" s="5">
        <f t="shared" si="149"/>
        <v>0</v>
      </c>
      <c r="N103" s="5">
        <f t="shared" si="149"/>
        <v>0</v>
      </c>
      <c r="O103" s="5">
        <f t="shared" si="149"/>
        <v>0</v>
      </c>
      <c r="P103" s="5">
        <f t="shared" si="149"/>
        <v>0</v>
      </c>
      <c r="Q103" s="5">
        <f t="shared" si="149"/>
        <v>0</v>
      </c>
      <c r="R103" s="5">
        <f t="shared" si="149"/>
        <v>0</v>
      </c>
      <c r="S103" s="5">
        <f t="shared" si="149"/>
        <v>0</v>
      </c>
      <c r="T103" s="5">
        <f t="shared" si="149"/>
        <v>0</v>
      </c>
      <c r="U103" s="5">
        <f t="shared" si="149"/>
        <v>55909.23</v>
      </c>
      <c r="V103" s="5">
        <f t="shared" si="149"/>
        <v>0</v>
      </c>
      <c r="W103" s="5">
        <f t="shared" si="149"/>
        <v>0</v>
      </c>
      <c r="X103" s="5">
        <f t="shared" si="149"/>
        <v>0</v>
      </c>
      <c r="Y103" s="5">
        <f t="shared" si="149"/>
        <v>0</v>
      </c>
      <c r="Z103" s="5">
        <f t="shared" si="149"/>
        <v>0</v>
      </c>
      <c r="AA103" s="5">
        <f t="shared" si="149"/>
        <v>0</v>
      </c>
      <c r="AB103" s="5">
        <f t="shared" si="149"/>
        <v>0</v>
      </c>
      <c r="AC103" s="56"/>
      <c r="AD103" s="23"/>
    </row>
    <row r="104" spans="1:30" s="14" customFormat="1">
      <c r="A104" s="80" t="s">
        <v>191</v>
      </c>
      <c r="B104" s="15">
        <v>118344.29</v>
      </c>
      <c r="C104" s="127">
        <f t="shared" si="101"/>
        <v>9862.02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>
        <v>1</v>
      </c>
      <c r="V104" s="4"/>
      <c r="W104" s="4"/>
      <c r="X104" s="4"/>
      <c r="Y104" s="4"/>
      <c r="Z104" s="4"/>
      <c r="AA104" s="4"/>
      <c r="AB104" s="4"/>
      <c r="AC104" s="56"/>
      <c r="AD104" s="23"/>
    </row>
    <row r="105" spans="1:30" s="14" customFormat="1">
      <c r="A105" s="79"/>
      <c r="B105" s="9"/>
      <c r="C105" s="127"/>
      <c r="D105" s="5">
        <f t="shared" ref="D105" si="150">$C104*D104</f>
        <v>0</v>
      </c>
      <c r="E105" s="5">
        <f t="shared" ref="E105" si="151">$C104*E104</f>
        <v>0</v>
      </c>
      <c r="F105" s="5">
        <f t="shared" ref="F105:AB105" si="152">$C104*F104</f>
        <v>0</v>
      </c>
      <c r="G105" s="5">
        <f t="shared" si="152"/>
        <v>0</v>
      </c>
      <c r="H105" s="5">
        <f t="shared" si="152"/>
        <v>0</v>
      </c>
      <c r="I105" s="5">
        <f t="shared" si="152"/>
        <v>0</v>
      </c>
      <c r="J105" s="5">
        <f t="shared" si="152"/>
        <v>0</v>
      </c>
      <c r="K105" s="5">
        <f t="shared" si="152"/>
        <v>0</v>
      </c>
      <c r="L105" s="5">
        <f t="shared" si="152"/>
        <v>0</v>
      </c>
      <c r="M105" s="5">
        <f t="shared" si="152"/>
        <v>0</v>
      </c>
      <c r="N105" s="5">
        <f t="shared" si="152"/>
        <v>0</v>
      </c>
      <c r="O105" s="5">
        <f t="shared" si="152"/>
        <v>0</v>
      </c>
      <c r="P105" s="5">
        <f t="shared" si="152"/>
        <v>0</v>
      </c>
      <c r="Q105" s="5">
        <f t="shared" si="152"/>
        <v>0</v>
      </c>
      <c r="R105" s="5">
        <f t="shared" si="152"/>
        <v>0</v>
      </c>
      <c r="S105" s="5">
        <f t="shared" si="152"/>
        <v>0</v>
      </c>
      <c r="T105" s="5">
        <f t="shared" si="152"/>
        <v>0</v>
      </c>
      <c r="U105" s="5">
        <f t="shared" si="152"/>
        <v>9862.02</v>
      </c>
      <c r="V105" s="5">
        <f t="shared" si="152"/>
        <v>0</v>
      </c>
      <c r="W105" s="5">
        <f t="shared" si="152"/>
        <v>0</v>
      </c>
      <c r="X105" s="5">
        <f t="shared" si="152"/>
        <v>0</v>
      </c>
      <c r="Y105" s="5">
        <f t="shared" si="152"/>
        <v>0</v>
      </c>
      <c r="Z105" s="5">
        <f t="shared" si="152"/>
        <v>0</v>
      </c>
      <c r="AA105" s="5">
        <f t="shared" si="152"/>
        <v>0</v>
      </c>
      <c r="AB105" s="5">
        <f t="shared" si="152"/>
        <v>0</v>
      </c>
      <c r="AC105" s="56"/>
      <c r="AD105" s="23"/>
    </row>
    <row r="106" spans="1:30" s="14" customFormat="1">
      <c r="A106" s="80" t="s">
        <v>192</v>
      </c>
      <c r="B106" s="15">
        <v>3925024.31</v>
      </c>
      <c r="C106" s="127">
        <f>ROUND(B106/12,2)</f>
        <v>327085.36</v>
      </c>
      <c r="D106" s="37">
        <v>6.4699999999999994E-2</v>
      </c>
      <c r="E106" s="37">
        <v>2.58E-2</v>
      </c>
      <c r="F106" s="37">
        <v>6.88E-2</v>
      </c>
      <c r="G106" s="37"/>
      <c r="H106" s="37">
        <v>6.5699999999999995E-2</v>
      </c>
      <c r="I106" s="37"/>
      <c r="J106" s="37"/>
      <c r="K106" s="37"/>
      <c r="L106" s="37"/>
      <c r="M106" s="37">
        <v>0.1239</v>
      </c>
      <c r="N106" s="37">
        <v>0.1489</v>
      </c>
      <c r="O106" s="37"/>
      <c r="P106" s="37"/>
      <c r="Q106" s="37">
        <v>8.14E-2</v>
      </c>
      <c r="R106" s="37">
        <v>6.2100000000000002E-2</v>
      </c>
      <c r="S106" s="37">
        <v>8.2000000000000007E-3</v>
      </c>
      <c r="T106" s="37">
        <v>0.21560000000000001</v>
      </c>
      <c r="U106" s="37"/>
      <c r="V106" s="37"/>
      <c r="W106" s="37">
        <v>4.8899999999999999E-2</v>
      </c>
      <c r="X106" s="37">
        <v>8.1799999999999998E-2</v>
      </c>
      <c r="Y106" s="37">
        <v>3.3E-3</v>
      </c>
      <c r="Z106" s="37">
        <v>8.9999999999999998E-4</v>
      </c>
      <c r="AA106" s="37">
        <v>0</v>
      </c>
      <c r="AB106" s="37">
        <v>0</v>
      </c>
      <c r="AC106" s="56"/>
      <c r="AD106" s="23"/>
    </row>
    <row r="107" spans="1:30" s="14" customFormat="1">
      <c r="A107" s="79"/>
      <c r="B107" s="9"/>
      <c r="C107" s="127"/>
      <c r="D107" s="36">
        <f t="shared" ref="D107" si="153">$C106*D106</f>
        <v>21162.422791999998</v>
      </c>
      <c r="E107" s="36">
        <f t="shared" ref="E107" si="154">$C106*E106</f>
        <v>8438.802287999999</v>
      </c>
      <c r="F107" s="36">
        <f t="shared" ref="F107:AB107" si="155">$C106*F106</f>
        <v>22503.472768</v>
      </c>
      <c r="G107" s="36">
        <f t="shared" si="155"/>
        <v>0</v>
      </c>
      <c r="H107" s="36">
        <f t="shared" si="155"/>
        <v>21489.508151999999</v>
      </c>
      <c r="I107" s="36">
        <f t="shared" si="155"/>
        <v>0</v>
      </c>
      <c r="J107" s="36">
        <f t="shared" si="155"/>
        <v>0</v>
      </c>
      <c r="K107" s="36">
        <f t="shared" si="155"/>
        <v>0</v>
      </c>
      <c r="L107" s="36">
        <f t="shared" si="155"/>
        <v>0</v>
      </c>
      <c r="M107" s="36">
        <f t="shared" si="155"/>
        <v>40525.876103999995</v>
      </c>
      <c r="N107" s="36">
        <f t="shared" si="155"/>
        <v>48703.010104000001</v>
      </c>
      <c r="O107" s="36">
        <f t="shared" si="155"/>
        <v>0</v>
      </c>
      <c r="P107" s="36">
        <f t="shared" si="155"/>
        <v>0</v>
      </c>
      <c r="Q107" s="36">
        <f t="shared" si="155"/>
        <v>26624.748304000001</v>
      </c>
      <c r="R107" s="36">
        <f t="shared" si="155"/>
        <v>20312.000855999999</v>
      </c>
      <c r="S107" s="36">
        <f t="shared" si="155"/>
        <v>2682.099952</v>
      </c>
      <c r="T107" s="36">
        <f t="shared" si="155"/>
        <v>70519.603616000008</v>
      </c>
      <c r="U107" s="36">
        <f t="shared" si="155"/>
        <v>0</v>
      </c>
      <c r="V107" s="36">
        <f t="shared" si="155"/>
        <v>0</v>
      </c>
      <c r="W107" s="36">
        <f t="shared" si="155"/>
        <v>15994.474103999999</v>
      </c>
      <c r="X107" s="36">
        <f t="shared" si="155"/>
        <v>26755.582447999997</v>
      </c>
      <c r="Y107" s="36">
        <f t="shared" si="155"/>
        <v>1079.3816879999999</v>
      </c>
      <c r="Z107" s="36">
        <f t="shared" si="155"/>
        <v>294.376824</v>
      </c>
      <c r="AA107" s="36">
        <f t="shared" si="155"/>
        <v>0</v>
      </c>
      <c r="AB107" s="36">
        <f t="shared" si="155"/>
        <v>0</v>
      </c>
      <c r="AC107" s="56"/>
      <c r="AD107" s="23"/>
    </row>
    <row r="108" spans="1:30" s="14" customFormat="1">
      <c r="A108" s="80" t="s">
        <v>193</v>
      </c>
      <c r="B108" s="15">
        <v>909529.93</v>
      </c>
      <c r="C108" s="127">
        <f t="shared" si="101"/>
        <v>75794.16</v>
      </c>
      <c r="D108" s="4"/>
      <c r="E108" s="4"/>
      <c r="F108" s="4">
        <v>0.41060000000000002</v>
      </c>
      <c r="G108" s="4"/>
      <c r="H108" s="4"/>
      <c r="I108" s="4"/>
      <c r="J108" s="4"/>
      <c r="K108" s="4"/>
      <c r="L108" s="4"/>
      <c r="M108" s="4">
        <v>6.6799999999999998E-2</v>
      </c>
      <c r="N108" s="4"/>
      <c r="O108" s="4"/>
      <c r="P108" s="4"/>
      <c r="Q108" s="4">
        <v>5.4800000000000001E-2</v>
      </c>
      <c r="R108" s="4">
        <v>0.107</v>
      </c>
      <c r="S108" s="4">
        <v>5.3E-3</v>
      </c>
      <c r="T108" s="4">
        <v>0.15529999999999999</v>
      </c>
      <c r="U108" s="4"/>
      <c r="V108" s="4"/>
      <c r="W108" s="4">
        <v>0.20019999999999999</v>
      </c>
      <c r="X108" s="4"/>
      <c r="Y108" s="4"/>
      <c r="Z108" s="4"/>
      <c r="AA108" s="4"/>
      <c r="AB108" s="4"/>
      <c r="AC108" s="56"/>
      <c r="AD108" s="23"/>
    </row>
    <row r="109" spans="1:30" s="14" customFormat="1">
      <c r="A109" s="79"/>
      <c r="B109" s="9"/>
      <c r="C109" s="127"/>
      <c r="D109" s="5">
        <f t="shared" ref="D109" si="156">$C108*D108</f>
        <v>0</v>
      </c>
      <c r="E109" s="5">
        <f t="shared" ref="E109" si="157">$C108*E108</f>
        <v>0</v>
      </c>
      <c r="F109" s="5">
        <f t="shared" ref="F109:AB109" si="158">$C108*F108</f>
        <v>31121.082096000002</v>
      </c>
      <c r="G109" s="5">
        <f t="shared" si="158"/>
        <v>0</v>
      </c>
      <c r="H109" s="5">
        <f t="shared" si="158"/>
        <v>0</v>
      </c>
      <c r="I109" s="5">
        <f t="shared" si="158"/>
        <v>0</v>
      </c>
      <c r="J109" s="5">
        <f t="shared" si="158"/>
        <v>0</v>
      </c>
      <c r="K109" s="5">
        <f t="shared" si="158"/>
        <v>0</v>
      </c>
      <c r="L109" s="5">
        <f t="shared" si="158"/>
        <v>0</v>
      </c>
      <c r="M109" s="5">
        <f t="shared" si="158"/>
        <v>5063.0498880000005</v>
      </c>
      <c r="N109" s="5">
        <f t="shared" si="158"/>
        <v>0</v>
      </c>
      <c r="O109" s="5">
        <f t="shared" si="158"/>
        <v>0</v>
      </c>
      <c r="P109" s="5">
        <f t="shared" si="158"/>
        <v>0</v>
      </c>
      <c r="Q109" s="5">
        <f t="shared" si="158"/>
        <v>4153.5199680000005</v>
      </c>
      <c r="R109" s="5">
        <f t="shared" si="158"/>
        <v>8109.9751200000001</v>
      </c>
      <c r="S109" s="5">
        <f t="shared" si="158"/>
        <v>401.709048</v>
      </c>
      <c r="T109" s="5">
        <f t="shared" si="158"/>
        <v>11770.833048</v>
      </c>
      <c r="U109" s="5">
        <f t="shared" si="158"/>
        <v>0</v>
      </c>
      <c r="V109" s="5">
        <f t="shared" si="158"/>
        <v>0</v>
      </c>
      <c r="W109" s="5">
        <f t="shared" si="158"/>
        <v>15173.990832</v>
      </c>
      <c r="X109" s="5">
        <f t="shared" si="158"/>
        <v>0</v>
      </c>
      <c r="Y109" s="5">
        <f t="shared" si="158"/>
        <v>0</v>
      </c>
      <c r="Z109" s="5">
        <f t="shared" si="158"/>
        <v>0</v>
      </c>
      <c r="AA109" s="5">
        <f t="shared" si="158"/>
        <v>0</v>
      </c>
      <c r="AB109" s="5">
        <f t="shared" si="158"/>
        <v>0</v>
      </c>
      <c r="AC109" s="56"/>
      <c r="AD109" s="23"/>
    </row>
    <row r="110" spans="1:30" s="14" customFormat="1">
      <c r="A110" s="80" t="s">
        <v>194</v>
      </c>
      <c r="B110" s="15">
        <v>196353.74</v>
      </c>
      <c r="C110" s="127">
        <f t="shared" si="101"/>
        <v>16362.81</v>
      </c>
      <c r="D110" s="4"/>
      <c r="E110" s="4"/>
      <c r="F110" s="4">
        <v>1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56"/>
      <c r="AD110" s="23"/>
    </row>
    <row r="111" spans="1:30" s="14" customFormat="1">
      <c r="A111" s="79"/>
      <c r="B111" s="9"/>
      <c r="C111" s="127"/>
      <c r="D111" s="5">
        <f t="shared" ref="D111" si="159">$C110*D110</f>
        <v>0</v>
      </c>
      <c r="E111" s="5">
        <f t="shared" ref="E111" si="160">$C110*E110</f>
        <v>0</v>
      </c>
      <c r="F111" s="5">
        <f t="shared" ref="F111:AB111" si="161">$C110*F110</f>
        <v>16362.81</v>
      </c>
      <c r="G111" s="5">
        <f t="shared" si="161"/>
        <v>0</v>
      </c>
      <c r="H111" s="5">
        <f t="shared" si="161"/>
        <v>0</v>
      </c>
      <c r="I111" s="5">
        <f t="shared" si="161"/>
        <v>0</v>
      </c>
      <c r="J111" s="5">
        <f t="shared" si="161"/>
        <v>0</v>
      </c>
      <c r="K111" s="5">
        <f t="shared" si="161"/>
        <v>0</v>
      </c>
      <c r="L111" s="5">
        <f t="shared" si="161"/>
        <v>0</v>
      </c>
      <c r="M111" s="5">
        <f t="shared" si="161"/>
        <v>0</v>
      </c>
      <c r="N111" s="5">
        <f t="shared" si="161"/>
        <v>0</v>
      </c>
      <c r="O111" s="5">
        <f t="shared" si="161"/>
        <v>0</v>
      </c>
      <c r="P111" s="5">
        <f t="shared" si="161"/>
        <v>0</v>
      </c>
      <c r="Q111" s="5">
        <f t="shared" si="161"/>
        <v>0</v>
      </c>
      <c r="R111" s="5">
        <f t="shared" si="161"/>
        <v>0</v>
      </c>
      <c r="S111" s="5">
        <f t="shared" si="161"/>
        <v>0</v>
      </c>
      <c r="T111" s="5">
        <f t="shared" si="161"/>
        <v>0</v>
      </c>
      <c r="U111" s="5">
        <f t="shared" si="161"/>
        <v>0</v>
      </c>
      <c r="V111" s="5">
        <f t="shared" si="161"/>
        <v>0</v>
      </c>
      <c r="W111" s="5">
        <f t="shared" si="161"/>
        <v>0</v>
      </c>
      <c r="X111" s="5">
        <f t="shared" si="161"/>
        <v>0</v>
      </c>
      <c r="Y111" s="5">
        <f t="shared" si="161"/>
        <v>0</v>
      </c>
      <c r="Z111" s="5">
        <f t="shared" si="161"/>
        <v>0</v>
      </c>
      <c r="AA111" s="5">
        <f t="shared" si="161"/>
        <v>0</v>
      </c>
      <c r="AB111" s="5">
        <f t="shared" si="161"/>
        <v>0</v>
      </c>
      <c r="AC111" s="56"/>
      <c r="AD111" s="23"/>
    </row>
    <row r="112" spans="1:30" s="14" customFormat="1">
      <c r="A112" s="80" t="s">
        <v>195</v>
      </c>
      <c r="B112" s="15">
        <v>46380.87</v>
      </c>
      <c r="C112" s="127">
        <f t="shared" si="101"/>
        <v>3865.07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56"/>
      <c r="AD112" s="23"/>
    </row>
    <row r="113" spans="1:30" s="14" customFormat="1">
      <c r="A113" s="79"/>
      <c r="B113" s="9"/>
      <c r="C113" s="127"/>
      <c r="D113" s="5">
        <f t="shared" ref="D113" si="162">$C112*D112</f>
        <v>0</v>
      </c>
      <c r="E113" s="5">
        <f t="shared" ref="E113" si="163">$C112*E112</f>
        <v>0</v>
      </c>
      <c r="F113" s="5">
        <f t="shared" ref="F113:AB113" si="164">$C112*F112</f>
        <v>3865.07</v>
      </c>
      <c r="G113" s="5">
        <f t="shared" si="164"/>
        <v>0</v>
      </c>
      <c r="H113" s="5">
        <f t="shared" si="164"/>
        <v>0</v>
      </c>
      <c r="I113" s="5">
        <f t="shared" si="164"/>
        <v>0</v>
      </c>
      <c r="J113" s="5">
        <f t="shared" si="164"/>
        <v>0</v>
      </c>
      <c r="K113" s="5">
        <f t="shared" si="164"/>
        <v>0</v>
      </c>
      <c r="L113" s="5">
        <f t="shared" si="164"/>
        <v>0</v>
      </c>
      <c r="M113" s="5">
        <f t="shared" si="164"/>
        <v>0</v>
      </c>
      <c r="N113" s="5">
        <f t="shared" si="164"/>
        <v>0</v>
      </c>
      <c r="O113" s="5">
        <f t="shared" si="164"/>
        <v>0</v>
      </c>
      <c r="P113" s="5">
        <f t="shared" si="164"/>
        <v>0</v>
      </c>
      <c r="Q113" s="5">
        <f t="shared" si="164"/>
        <v>0</v>
      </c>
      <c r="R113" s="5">
        <f t="shared" si="164"/>
        <v>0</v>
      </c>
      <c r="S113" s="5">
        <f t="shared" si="164"/>
        <v>0</v>
      </c>
      <c r="T113" s="5">
        <f t="shared" si="164"/>
        <v>0</v>
      </c>
      <c r="U113" s="5">
        <f t="shared" si="164"/>
        <v>0</v>
      </c>
      <c r="V113" s="5">
        <f t="shared" si="164"/>
        <v>0</v>
      </c>
      <c r="W113" s="5">
        <f t="shared" si="164"/>
        <v>0</v>
      </c>
      <c r="X113" s="5">
        <f t="shared" si="164"/>
        <v>0</v>
      </c>
      <c r="Y113" s="5">
        <f t="shared" si="164"/>
        <v>0</v>
      </c>
      <c r="Z113" s="5">
        <f t="shared" si="164"/>
        <v>0</v>
      </c>
      <c r="AA113" s="5">
        <f t="shared" si="164"/>
        <v>0</v>
      </c>
      <c r="AB113" s="5">
        <f t="shared" si="164"/>
        <v>0</v>
      </c>
      <c r="AC113" s="56"/>
      <c r="AD113" s="23"/>
    </row>
    <row r="114" spans="1:30" s="14" customFormat="1">
      <c r="A114" s="80" t="s">
        <v>237</v>
      </c>
      <c r="B114" s="15">
        <v>111279.97</v>
      </c>
      <c r="C114" s="127">
        <f t="shared" si="101"/>
        <v>9273.33</v>
      </c>
      <c r="D114" s="4"/>
      <c r="E114" s="4"/>
      <c r="F114" s="4">
        <v>1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56"/>
      <c r="AD114" s="23"/>
    </row>
    <row r="115" spans="1:30" s="14" customFormat="1">
      <c r="A115" s="79"/>
      <c r="B115" s="9"/>
      <c r="C115" s="127"/>
      <c r="D115" s="5">
        <f t="shared" ref="D115" si="165">$C114*D114</f>
        <v>0</v>
      </c>
      <c r="E115" s="5">
        <f t="shared" ref="E115" si="166">$C114*E114</f>
        <v>0</v>
      </c>
      <c r="F115" s="5">
        <f t="shared" ref="F115:AB115" si="167">$C114*F114</f>
        <v>9273.33</v>
      </c>
      <c r="G115" s="5">
        <f t="shared" si="167"/>
        <v>0</v>
      </c>
      <c r="H115" s="5">
        <f t="shared" si="167"/>
        <v>0</v>
      </c>
      <c r="I115" s="5">
        <f t="shared" si="167"/>
        <v>0</v>
      </c>
      <c r="J115" s="5">
        <f t="shared" si="167"/>
        <v>0</v>
      </c>
      <c r="K115" s="5">
        <f t="shared" si="167"/>
        <v>0</v>
      </c>
      <c r="L115" s="5">
        <f t="shared" si="167"/>
        <v>0</v>
      </c>
      <c r="M115" s="5">
        <f t="shared" si="167"/>
        <v>0</v>
      </c>
      <c r="N115" s="5">
        <f t="shared" si="167"/>
        <v>0</v>
      </c>
      <c r="O115" s="5">
        <f t="shared" si="167"/>
        <v>0</v>
      </c>
      <c r="P115" s="5">
        <f t="shared" si="167"/>
        <v>0</v>
      </c>
      <c r="Q115" s="5">
        <f t="shared" si="167"/>
        <v>0</v>
      </c>
      <c r="R115" s="5">
        <f t="shared" si="167"/>
        <v>0</v>
      </c>
      <c r="S115" s="5">
        <f t="shared" si="167"/>
        <v>0</v>
      </c>
      <c r="T115" s="5">
        <f t="shared" si="167"/>
        <v>0</v>
      </c>
      <c r="U115" s="5">
        <f t="shared" si="167"/>
        <v>0</v>
      </c>
      <c r="V115" s="5">
        <f t="shared" si="167"/>
        <v>0</v>
      </c>
      <c r="W115" s="5">
        <f t="shared" si="167"/>
        <v>0</v>
      </c>
      <c r="X115" s="5">
        <f t="shared" si="167"/>
        <v>0</v>
      </c>
      <c r="Y115" s="5">
        <f t="shared" si="167"/>
        <v>0</v>
      </c>
      <c r="Z115" s="5">
        <f t="shared" si="167"/>
        <v>0</v>
      </c>
      <c r="AA115" s="5">
        <f t="shared" si="167"/>
        <v>0</v>
      </c>
      <c r="AB115" s="5">
        <f t="shared" si="167"/>
        <v>0</v>
      </c>
      <c r="AC115" s="56"/>
      <c r="AD115" s="23"/>
    </row>
    <row r="116" spans="1:30" s="14" customFormat="1">
      <c r="A116" s="80" t="s">
        <v>238</v>
      </c>
      <c r="B116" s="15">
        <v>2030959.98</v>
      </c>
      <c r="C116" s="127">
        <f t="shared" si="101"/>
        <v>169246.67</v>
      </c>
      <c r="D116" s="4"/>
      <c r="E116" s="4"/>
      <c r="F116" s="4">
        <v>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56"/>
      <c r="AD116" s="23"/>
    </row>
    <row r="117" spans="1:30" s="14" customFormat="1">
      <c r="A117" s="79"/>
      <c r="B117" s="9"/>
      <c r="C117" s="127"/>
      <c r="D117" s="5">
        <f t="shared" ref="D117" si="168">$C116*D116</f>
        <v>0</v>
      </c>
      <c r="E117" s="5">
        <f t="shared" ref="E117" si="169">$C116*E116</f>
        <v>0</v>
      </c>
      <c r="F117" s="5">
        <f t="shared" ref="F117:AB117" si="170">$C116*F116</f>
        <v>169246.67</v>
      </c>
      <c r="G117" s="5">
        <f t="shared" si="170"/>
        <v>0</v>
      </c>
      <c r="H117" s="5">
        <f t="shared" si="170"/>
        <v>0</v>
      </c>
      <c r="I117" s="5">
        <f t="shared" si="170"/>
        <v>0</v>
      </c>
      <c r="J117" s="5">
        <f t="shared" si="170"/>
        <v>0</v>
      </c>
      <c r="K117" s="5">
        <f t="shared" si="170"/>
        <v>0</v>
      </c>
      <c r="L117" s="5">
        <f t="shared" si="170"/>
        <v>0</v>
      </c>
      <c r="M117" s="5">
        <f t="shared" si="170"/>
        <v>0</v>
      </c>
      <c r="N117" s="5">
        <f t="shared" si="170"/>
        <v>0</v>
      </c>
      <c r="O117" s="5">
        <f t="shared" si="170"/>
        <v>0</v>
      </c>
      <c r="P117" s="5">
        <f t="shared" si="170"/>
        <v>0</v>
      </c>
      <c r="Q117" s="5">
        <f t="shared" si="170"/>
        <v>0</v>
      </c>
      <c r="R117" s="5">
        <f t="shared" si="170"/>
        <v>0</v>
      </c>
      <c r="S117" s="5">
        <f t="shared" si="170"/>
        <v>0</v>
      </c>
      <c r="T117" s="5">
        <f t="shared" si="170"/>
        <v>0</v>
      </c>
      <c r="U117" s="5">
        <f t="shared" si="170"/>
        <v>0</v>
      </c>
      <c r="V117" s="5">
        <f t="shared" si="170"/>
        <v>0</v>
      </c>
      <c r="W117" s="5">
        <f t="shared" si="170"/>
        <v>0</v>
      </c>
      <c r="X117" s="5">
        <f t="shared" si="170"/>
        <v>0</v>
      </c>
      <c r="Y117" s="5">
        <f t="shared" si="170"/>
        <v>0</v>
      </c>
      <c r="Z117" s="5">
        <f t="shared" si="170"/>
        <v>0</v>
      </c>
      <c r="AA117" s="5">
        <f t="shared" si="170"/>
        <v>0</v>
      </c>
      <c r="AB117" s="5">
        <f t="shared" si="170"/>
        <v>0</v>
      </c>
      <c r="AC117" s="56"/>
      <c r="AD117" s="23"/>
    </row>
    <row r="118" spans="1:30" s="14" customFormat="1">
      <c r="A118" s="80" t="s">
        <v>239</v>
      </c>
      <c r="B118" s="15">
        <v>4106557.03</v>
      </c>
      <c r="C118" s="127">
        <f t="shared" si="101"/>
        <v>342213.09</v>
      </c>
      <c r="D118" s="4"/>
      <c r="E118" s="4"/>
      <c r="F118" s="4">
        <v>1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56"/>
      <c r="AD118" s="23"/>
    </row>
    <row r="119" spans="1:30" s="14" customFormat="1">
      <c r="A119" s="79"/>
      <c r="B119" s="9"/>
      <c r="C119" s="127"/>
      <c r="D119" s="5">
        <f t="shared" ref="D119" si="171">$C118*D118</f>
        <v>0</v>
      </c>
      <c r="E119" s="5">
        <f t="shared" ref="E119" si="172">$C118*E118</f>
        <v>0</v>
      </c>
      <c r="F119" s="5">
        <f t="shared" ref="F119:AB119" si="173">$C118*F118</f>
        <v>342213.09</v>
      </c>
      <c r="G119" s="5">
        <f t="shared" si="173"/>
        <v>0</v>
      </c>
      <c r="H119" s="5">
        <f t="shared" si="173"/>
        <v>0</v>
      </c>
      <c r="I119" s="5">
        <f t="shared" si="173"/>
        <v>0</v>
      </c>
      <c r="J119" s="5">
        <f t="shared" si="173"/>
        <v>0</v>
      </c>
      <c r="K119" s="5">
        <f t="shared" si="173"/>
        <v>0</v>
      </c>
      <c r="L119" s="5">
        <f t="shared" si="173"/>
        <v>0</v>
      </c>
      <c r="M119" s="5">
        <f t="shared" si="173"/>
        <v>0</v>
      </c>
      <c r="N119" s="5">
        <f t="shared" si="173"/>
        <v>0</v>
      </c>
      <c r="O119" s="5">
        <f t="shared" si="173"/>
        <v>0</v>
      </c>
      <c r="P119" s="5">
        <f t="shared" si="173"/>
        <v>0</v>
      </c>
      <c r="Q119" s="5">
        <f t="shared" si="173"/>
        <v>0</v>
      </c>
      <c r="R119" s="5">
        <f t="shared" si="173"/>
        <v>0</v>
      </c>
      <c r="S119" s="5">
        <f t="shared" si="173"/>
        <v>0</v>
      </c>
      <c r="T119" s="5">
        <f t="shared" si="173"/>
        <v>0</v>
      </c>
      <c r="U119" s="5">
        <f t="shared" si="173"/>
        <v>0</v>
      </c>
      <c r="V119" s="5">
        <f t="shared" si="173"/>
        <v>0</v>
      </c>
      <c r="W119" s="5">
        <f t="shared" si="173"/>
        <v>0</v>
      </c>
      <c r="X119" s="5">
        <f t="shared" si="173"/>
        <v>0</v>
      </c>
      <c r="Y119" s="5">
        <f t="shared" si="173"/>
        <v>0</v>
      </c>
      <c r="Z119" s="5">
        <f t="shared" si="173"/>
        <v>0</v>
      </c>
      <c r="AA119" s="5">
        <f t="shared" si="173"/>
        <v>0</v>
      </c>
      <c r="AB119" s="5">
        <f t="shared" si="173"/>
        <v>0</v>
      </c>
      <c r="AC119" s="56"/>
      <c r="AD119" s="23"/>
    </row>
    <row r="120" spans="1:30" s="14" customFormat="1">
      <c r="A120" s="80" t="s">
        <v>240</v>
      </c>
      <c r="B120" s="15">
        <v>71775.97</v>
      </c>
      <c r="C120" s="127">
        <f t="shared" si="101"/>
        <v>5981.33</v>
      </c>
      <c r="D120" s="4"/>
      <c r="E120" s="4"/>
      <c r="F120" s="4">
        <v>1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56"/>
      <c r="AD120" s="23"/>
    </row>
    <row r="121" spans="1:30" s="14" customFormat="1">
      <c r="A121" s="79"/>
      <c r="B121" s="9"/>
      <c r="C121" s="127"/>
      <c r="D121" s="5">
        <f t="shared" ref="D121" si="174">$C120*D120</f>
        <v>0</v>
      </c>
      <c r="E121" s="5">
        <f t="shared" ref="E121" si="175">$C120*E120</f>
        <v>0</v>
      </c>
      <c r="F121" s="5">
        <f t="shared" ref="F121:AB121" si="176">$C120*F120</f>
        <v>5981.33</v>
      </c>
      <c r="G121" s="5">
        <f t="shared" si="176"/>
        <v>0</v>
      </c>
      <c r="H121" s="5">
        <f t="shared" si="176"/>
        <v>0</v>
      </c>
      <c r="I121" s="5">
        <f t="shared" si="176"/>
        <v>0</v>
      </c>
      <c r="J121" s="5">
        <f t="shared" si="176"/>
        <v>0</v>
      </c>
      <c r="K121" s="5">
        <f t="shared" si="176"/>
        <v>0</v>
      </c>
      <c r="L121" s="5">
        <f t="shared" si="176"/>
        <v>0</v>
      </c>
      <c r="M121" s="5">
        <f t="shared" si="176"/>
        <v>0</v>
      </c>
      <c r="N121" s="5">
        <f t="shared" si="176"/>
        <v>0</v>
      </c>
      <c r="O121" s="5">
        <f t="shared" si="176"/>
        <v>0</v>
      </c>
      <c r="P121" s="5">
        <f t="shared" si="176"/>
        <v>0</v>
      </c>
      <c r="Q121" s="5">
        <f t="shared" si="176"/>
        <v>0</v>
      </c>
      <c r="R121" s="5">
        <f t="shared" si="176"/>
        <v>0</v>
      </c>
      <c r="S121" s="5">
        <f t="shared" si="176"/>
        <v>0</v>
      </c>
      <c r="T121" s="5">
        <f t="shared" si="176"/>
        <v>0</v>
      </c>
      <c r="U121" s="5">
        <f t="shared" si="176"/>
        <v>0</v>
      </c>
      <c r="V121" s="5">
        <f t="shared" si="176"/>
        <v>0</v>
      </c>
      <c r="W121" s="5">
        <f t="shared" si="176"/>
        <v>0</v>
      </c>
      <c r="X121" s="5">
        <f t="shared" si="176"/>
        <v>0</v>
      </c>
      <c r="Y121" s="5">
        <f t="shared" si="176"/>
        <v>0</v>
      </c>
      <c r="Z121" s="5">
        <f t="shared" si="176"/>
        <v>0</v>
      </c>
      <c r="AA121" s="5">
        <f t="shared" si="176"/>
        <v>0</v>
      </c>
      <c r="AB121" s="5">
        <f t="shared" si="176"/>
        <v>0</v>
      </c>
      <c r="AC121" s="56"/>
      <c r="AD121" s="23"/>
    </row>
    <row r="122" spans="1:30" s="14" customFormat="1">
      <c r="A122" s="80" t="s">
        <v>241</v>
      </c>
      <c r="B122" s="15">
        <f>3779132.26*0</f>
        <v>0</v>
      </c>
      <c r="C122" s="127">
        <f t="shared" si="101"/>
        <v>0</v>
      </c>
      <c r="D122" s="37">
        <v>6.4699999999999994E-2</v>
      </c>
      <c r="E122" s="37">
        <v>2.58E-2</v>
      </c>
      <c r="F122" s="37">
        <v>6.88E-2</v>
      </c>
      <c r="G122" s="37"/>
      <c r="H122" s="37">
        <v>6.5699999999999995E-2</v>
      </c>
      <c r="I122" s="37"/>
      <c r="J122" s="37"/>
      <c r="K122" s="37"/>
      <c r="L122" s="37"/>
      <c r="M122" s="37">
        <v>0.1239</v>
      </c>
      <c r="N122" s="37">
        <v>0.1489</v>
      </c>
      <c r="O122" s="37"/>
      <c r="P122" s="37"/>
      <c r="Q122" s="37">
        <v>8.14E-2</v>
      </c>
      <c r="R122" s="37">
        <v>6.2100000000000002E-2</v>
      </c>
      <c r="S122" s="37">
        <v>8.2000000000000007E-3</v>
      </c>
      <c r="T122" s="37">
        <v>0.21560000000000001</v>
      </c>
      <c r="U122" s="37"/>
      <c r="V122" s="37"/>
      <c r="W122" s="37">
        <v>4.8899999999999999E-2</v>
      </c>
      <c r="X122" s="37">
        <v>8.1799999999999998E-2</v>
      </c>
      <c r="Y122" s="37">
        <v>3.3E-3</v>
      </c>
      <c r="Z122" s="37">
        <v>8.9999999999999998E-4</v>
      </c>
      <c r="AA122" s="37">
        <v>0</v>
      </c>
      <c r="AB122" s="37">
        <v>0</v>
      </c>
      <c r="AC122" s="56"/>
      <c r="AD122" s="23"/>
    </row>
    <row r="123" spans="1:30" s="14" customFormat="1">
      <c r="A123" s="79"/>
      <c r="B123" s="9"/>
      <c r="C123" s="127"/>
      <c r="D123" s="36">
        <f>$C122*D122</f>
        <v>0</v>
      </c>
      <c r="E123" s="36">
        <f t="shared" ref="E123" si="177">$C122*E122</f>
        <v>0</v>
      </c>
      <c r="F123" s="36">
        <f t="shared" ref="F123" si="178">$C122*F122</f>
        <v>0</v>
      </c>
      <c r="G123" s="36">
        <f t="shared" ref="G123:AB123" si="179">$C122*G122</f>
        <v>0</v>
      </c>
      <c r="H123" s="36">
        <f t="shared" si="179"/>
        <v>0</v>
      </c>
      <c r="I123" s="36">
        <f t="shared" si="179"/>
        <v>0</v>
      </c>
      <c r="J123" s="36">
        <f t="shared" si="179"/>
        <v>0</v>
      </c>
      <c r="K123" s="36">
        <f t="shared" si="179"/>
        <v>0</v>
      </c>
      <c r="L123" s="36">
        <f t="shared" si="179"/>
        <v>0</v>
      </c>
      <c r="M123" s="36">
        <f t="shared" si="179"/>
        <v>0</v>
      </c>
      <c r="N123" s="36">
        <f t="shared" si="179"/>
        <v>0</v>
      </c>
      <c r="O123" s="36">
        <f t="shared" si="179"/>
        <v>0</v>
      </c>
      <c r="P123" s="36">
        <f t="shared" si="179"/>
        <v>0</v>
      </c>
      <c r="Q123" s="36">
        <f t="shared" si="179"/>
        <v>0</v>
      </c>
      <c r="R123" s="36">
        <f t="shared" si="179"/>
        <v>0</v>
      </c>
      <c r="S123" s="36">
        <f t="shared" si="179"/>
        <v>0</v>
      </c>
      <c r="T123" s="36">
        <f t="shared" si="179"/>
        <v>0</v>
      </c>
      <c r="U123" s="36">
        <f t="shared" si="179"/>
        <v>0</v>
      </c>
      <c r="V123" s="36">
        <f t="shared" si="179"/>
        <v>0</v>
      </c>
      <c r="W123" s="36">
        <f t="shared" si="179"/>
        <v>0</v>
      </c>
      <c r="X123" s="36">
        <f t="shared" si="179"/>
        <v>0</v>
      </c>
      <c r="Y123" s="36">
        <f t="shared" si="179"/>
        <v>0</v>
      </c>
      <c r="Z123" s="36">
        <f t="shared" si="179"/>
        <v>0</v>
      </c>
      <c r="AA123" s="36">
        <f t="shared" si="179"/>
        <v>0</v>
      </c>
      <c r="AB123" s="36">
        <f t="shared" si="179"/>
        <v>0</v>
      </c>
      <c r="AC123" s="56"/>
      <c r="AD123" s="23"/>
    </row>
    <row r="124" spans="1:30" s="14" customFormat="1">
      <c r="A124" s="80" t="s">
        <v>321</v>
      </c>
      <c r="B124" s="15">
        <f>3779132.26*0.69476</f>
        <v>2625589.9289576001</v>
      </c>
      <c r="C124" s="127">
        <f t="shared" si="101"/>
        <v>218799.16</v>
      </c>
      <c r="D124" s="4"/>
      <c r="E124" s="4"/>
      <c r="F124" s="4">
        <v>8.6099999999999996E-2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>
        <v>1.72E-2</v>
      </c>
      <c r="U124" s="4">
        <v>0.89670000000000005</v>
      </c>
      <c r="V124" s="4"/>
      <c r="W124" s="4"/>
      <c r="X124" s="4"/>
      <c r="Y124" s="4"/>
      <c r="Z124" s="4"/>
      <c r="AA124" s="4"/>
      <c r="AB124" s="4"/>
      <c r="AC124" s="56"/>
      <c r="AD124" s="23"/>
    </row>
    <row r="125" spans="1:30" s="14" customFormat="1">
      <c r="A125" s="79"/>
      <c r="B125" s="9"/>
      <c r="C125" s="127"/>
      <c r="D125" s="5">
        <f t="shared" ref="D125" si="180">$C124*D124</f>
        <v>0</v>
      </c>
      <c r="E125" s="5">
        <f t="shared" ref="E125" si="181">$C124*E124</f>
        <v>0</v>
      </c>
      <c r="F125" s="5">
        <f t="shared" ref="F125:AB125" si="182">$C124*F124</f>
        <v>18838.607676</v>
      </c>
      <c r="G125" s="5">
        <f t="shared" si="182"/>
        <v>0</v>
      </c>
      <c r="H125" s="5">
        <f t="shared" si="182"/>
        <v>0</v>
      </c>
      <c r="I125" s="5">
        <f t="shared" si="182"/>
        <v>0</v>
      </c>
      <c r="J125" s="5">
        <f t="shared" si="182"/>
        <v>0</v>
      </c>
      <c r="K125" s="5">
        <f t="shared" si="182"/>
        <v>0</v>
      </c>
      <c r="L125" s="5">
        <f t="shared" si="182"/>
        <v>0</v>
      </c>
      <c r="M125" s="5">
        <f t="shared" si="182"/>
        <v>0</v>
      </c>
      <c r="N125" s="5">
        <f t="shared" si="182"/>
        <v>0</v>
      </c>
      <c r="O125" s="5">
        <f t="shared" si="182"/>
        <v>0</v>
      </c>
      <c r="P125" s="5">
        <f t="shared" si="182"/>
        <v>0</v>
      </c>
      <c r="Q125" s="5">
        <f t="shared" si="182"/>
        <v>0</v>
      </c>
      <c r="R125" s="5">
        <f t="shared" si="182"/>
        <v>0</v>
      </c>
      <c r="S125" s="5">
        <f t="shared" si="182"/>
        <v>0</v>
      </c>
      <c r="T125" s="5">
        <f t="shared" si="182"/>
        <v>3763.3455520000002</v>
      </c>
      <c r="U125" s="5">
        <f t="shared" si="182"/>
        <v>196197.20677200001</v>
      </c>
      <c r="V125" s="5">
        <f t="shared" si="182"/>
        <v>0</v>
      </c>
      <c r="W125" s="5">
        <f t="shared" si="182"/>
        <v>0</v>
      </c>
      <c r="X125" s="5">
        <f t="shared" si="182"/>
        <v>0</v>
      </c>
      <c r="Y125" s="5">
        <f t="shared" si="182"/>
        <v>0</v>
      </c>
      <c r="Z125" s="5">
        <f t="shared" si="182"/>
        <v>0</v>
      </c>
      <c r="AA125" s="5">
        <f t="shared" si="182"/>
        <v>0</v>
      </c>
      <c r="AB125" s="5">
        <f t="shared" si="182"/>
        <v>0</v>
      </c>
      <c r="AC125" s="56"/>
      <c r="AD125" s="23"/>
    </row>
    <row r="126" spans="1:30" s="14" customFormat="1">
      <c r="A126" s="80" t="s">
        <v>513</v>
      </c>
      <c r="B126" s="15">
        <f>3779132.26*0.30524</f>
        <v>1153542.3310423999</v>
      </c>
      <c r="C126" s="127">
        <f t="shared" si="101"/>
        <v>96128.53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1</v>
      </c>
      <c r="V126" s="4"/>
      <c r="W126" s="4"/>
      <c r="X126" s="4"/>
      <c r="Y126" s="4"/>
      <c r="Z126" s="4"/>
      <c r="AA126" s="4"/>
      <c r="AB126" s="4"/>
      <c r="AC126" s="56"/>
      <c r="AD126" s="23"/>
    </row>
    <row r="127" spans="1:30" s="14" customFormat="1">
      <c r="A127" s="79"/>
      <c r="B127" s="9"/>
      <c r="C127" s="127"/>
      <c r="D127" s="5">
        <f t="shared" ref="D127" si="183">$C126*D126</f>
        <v>0</v>
      </c>
      <c r="E127" s="5">
        <f t="shared" ref="E127" si="184">$C126*E126</f>
        <v>0</v>
      </c>
      <c r="F127" s="5">
        <f t="shared" ref="F127:AB127" si="185">$C126*F126</f>
        <v>0</v>
      </c>
      <c r="G127" s="5">
        <f t="shared" si="185"/>
        <v>0</v>
      </c>
      <c r="H127" s="5">
        <f t="shared" si="185"/>
        <v>0</v>
      </c>
      <c r="I127" s="5">
        <f t="shared" si="185"/>
        <v>0</v>
      </c>
      <c r="J127" s="5">
        <f t="shared" si="185"/>
        <v>0</v>
      </c>
      <c r="K127" s="5">
        <f t="shared" si="185"/>
        <v>0</v>
      </c>
      <c r="L127" s="5">
        <f t="shared" si="185"/>
        <v>0</v>
      </c>
      <c r="M127" s="5">
        <f t="shared" si="185"/>
        <v>0</v>
      </c>
      <c r="N127" s="5">
        <f t="shared" si="185"/>
        <v>0</v>
      </c>
      <c r="O127" s="5">
        <f t="shared" si="185"/>
        <v>0</v>
      </c>
      <c r="P127" s="5">
        <f t="shared" si="185"/>
        <v>0</v>
      </c>
      <c r="Q127" s="5">
        <f t="shared" si="185"/>
        <v>0</v>
      </c>
      <c r="R127" s="5">
        <f t="shared" si="185"/>
        <v>0</v>
      </c>
      <c r="S127" s="5">
        <f t="shared" si="185"/>
        <v>0</v>
      </c>
      <c r="T127" s="5">
        <f t="shared" si="185"/>
        <v>0</v>
      </c>
      <c r="U127" s="5">
        <f t="shared" si="185"/>
        <v>96128.53</v>
      </c>
      <c r="V127" s="5">
        <f t="shared" si="185"/>
        <v>0</v>
      </c>
      <c r="W127" s="5">
        <f t="shared" si="185"/>
        <v>0</v>
      </c>
      <c r="X127" s="5">
        <f t="shared" si="185"/>
        <v>0</v>
      </c>
      <c r="Y127" s="5">
        <f t="shared" si="185"/>
        <v>0</v>
      </c>
      <c r="Z127" s="5">
        <f t="shared" si="185"/>
        <v>0</v>
      </c>
      <c r="AA127" s="5">
        <f t="shared" si="185"/>
        <v>0</v>
      </c>
      <c r="AB127" s="5">
        <f t="shared" si="185"/>
        <v>0</v>
      </c>
      <c r="AC127" s="56"/>
      <c r="AD127" s="23"/>
    </row>
    <row r="128" spans="1:30" s="14" customFormat="1">
      <c r="A128" s="80" t="s">
        <v>242</v>
      </c>
      <c r="B128" s="15">
        <v>150454.21</v>
      </c>
      <c r="C128" s="127">
        <f t="shared" si="101"/>
        <v>12537.85</v>
      </c>
      <c r="D128" s="35">
        <v>8.5800000000000001E-2</v>
      </c>
      <c r="E128" s="35"/>
      <c r="F128" s="35">
        <v>1.6899999999999998E-2</v>
      </c>
      <c r="G128" s="35"/>
      <c r="H128" s="35"/>
      <c r="I128" s="35"/>
      <c r="J128" s="35"/>
      <c r="K128" s="35"/>
      <c r="L128" s="35"/>
      <c r="M128" s="35">
        <v>0.12239999999999999</v>
      </c>
      <c r="N128" s="35"/>
      <c r="O128" s="35"/>
      <c r="P128" s="35"/>
      <c r="Q128" s="35">
        <v>0.18160000000000001</v>
      </c>
      <c r="R128" s="35">
        <v>1.55E-2</v>
      </c>
      <c r="S128" s="35">
        <v>1.77E-2</v>
      </c>
      <c r="T128" s="35">
        <v>0.21779999999999999</v>
      </c>
      <c r="U128" s="35"/>
      <c r="V128" s="35"/>
      <c r="W128" s="35">
        <v>6.4000000000000001E-2</v>
      </c>
      <c r="X128" s="35">
        <v>0.26129999999999998</v>
      </c>
      <c r="Y128" s="35">
        <v>9.7000000000000003E-3</v>
      </c>
      <c r="Z128" s="37">
        <v>7.3000000000000001E-3</v>
      </c>
      <c r="AA128" s="37">
        <v>0</v>
      </c>
      <c r="AB128" s="37">
        <v>0</v>
      </c>
      <c r="AC128" s="56"/>
      <c r="AD128" s="23"/>
    </row>
    <row r="129" spans="1:30" s="14" customFormat="1">
      <c r="A129" s="79"/>
      <c r="B129" s="9"/>
      <c r="C129" s="127"/>
      <c r="D129" s="36">
        <f t="shared" ref="D129" si="186">$C128*D128</f>
        <v>1075.7475300000001</v>
      </c>
      <c r="E129" s="36">
        <f t="shared" ref="E129" si="187">$C128*E128</f>
        <v>0</v>
      </c>
      <c r="F129" s="36">
        <f t="shared" ref="F129:AB129" si="188">$C128*F128</f>
        <v>211.88966499999998</v>
      </c>
      <c r="G129" s="36">
        <f t="shared" si="188"/>
        <v>0</v>
      </c>
      <c r="H129" s="36">
        <f t="shared" si="188"/>
        <v>0</v>
      </c>
      <c r="I129" s="36">
        <f t="shared" si="188"/>
        <v>0</v>
      </c>
      <c r="J129" s="36">
        <f t="shared" si="188"/>
        <v>0</v>
      </c>
      <c r="K129" s="36">
        <f t="shared" si="188"/>
        <v>0</v>
      </c>
      <c r="L129" s="36">
        <f t="shared" si="188"/>
        <v>0</v>
      </c>
      <c r="M129" s="36">
        <f t="shared" si="188"/>
        <v>1534.63284</v>
      </c>
      <c r="N129" s="36">
        <f t="shared" si="188"/>
        <v>0</v>
      </c>
      <c r="O129" s="36">
        <f t="shared" si="188"/>
        <v>0</v>
      </c>
      <c r="P129" s="36">
        <f t="shared" si="188"/>
        <v>0</v>
      </c>
      <c r="Q129" s="36">
        <f t="shared" si="188"/>
        <v>2276.87356</v>
      </c>
      <c r="R129" s="36">
        <f t="shared" si="188"/>
        <v>194.33667500000001</v>
      </c>
      <c r="S129" s="36">
        <f t="shared" si="188"/>
        <v>221.91994500000001</v>
      </c>
      <c r="T129" s="36">
        <f t="shared" si="188"/>
        <v>2730.7437300000001</v>
      </c>
      <c r="U129" s="36">
        <f t="shared" si="188"/>
        <v>0</v>
      </c>
      <c r="V129" s="36">
        <f t="shared" si="188"/>
        <v>0</v>
      </c>
      <c r="W129" s="36">
        <f t="shared" si="188"/>
        <v>802.42240000000004</v>
      </c>
      <c r="X129" s="36">
        <f t="shared" si="188"/>
        <v>3276.1402049999997</v>
      </c>
      <c r="Y129" s="36">
        <f t="shared" si="188"/>
        <v>121.61714500000001</v>
      </c>
      <c r="Z129" s="36">
        <f t="shared" si="188"/>
        <v>91.526305000000008</v>
      </c>
      <c r="AA129" s="36">
        <f t="shared" si="188"/>
        <v>0</v>
      </c>
      <c r="AB129" s="36">
        <f t="shared" si="188"/>
        <v>0</v>
      </c>
      <c r="AC129" s="56"/>
      <c r="AD129" s="23"/>
    </row>
    <row r="130" spans="1:30" s="14" customFormat="1">
      <c r="A130" s="80" t="s">
        <v>243</v>
      </c>
      <c r="B130" s="15">
        <v>805361.04</v>
      </c>
      <c r="C130" s="127">
        <f t="shared" si="101"/>
        <v>67113.42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>
        <v>1</v>
      </c>
      <c r="V130" s="4"/>
      <c r="W130" s="4"/>
      <c r="X130" s="4"/>
      <c r="Y130" s="4"/>
      <c r="Z130" s="4"/>
      <c r="AA130" s="4"/>
      <c r="AB130" s="4"/>
      <c r="AC130" s="56"/>
      <c r="AD130" s="23"/>
    </row>
    <row r="131" spans="1:30" s="14" customFormat="1">
      <c r="A131" s="79"/>
      <c r="B131" s="9"/>
      <c r="C131" s="127"/>
      <c r="D131" s="5">
        <f t="shared" ref="D131" si="189">$C130*D130</f>
        <v>0</v>
      </c>
      <c r="E131" s="5">
        <f t="shared" ref="E131" si="190">$C130*E130</f>
        <v>0</v>
      </c>
      <c r="F131" s="5">
        <f t="shared" ref="F131:AB131" si="191">$C130*F130</f>
        <v>0</v>
      </c>
      <c r="G131" s="5">
        <f t="shared" si="191"/>
        <v>0</v>
      </c>
      <c r="H131" s="5">
        <f t="shared" si="191"/>
        <v>0</v>
      </c>
      <c r="I131" s="5">
        <f t="shared" si="191"/>
        <v>0</v>
      </c>
      <c r="J131" s="5">
        <f t="shared" si="191"/>
        <v>0</v>
      </c>
      <c r="K131" s="5">
        <f t="shared" si="191"/>
        <v>0</v>
      </c>
      <c r="L131" s="5">
        <f t="shared" si="191"/>
        <v>0</v>
      </c>
      <c r="M131" s="5">
        <f t="shared" si="191"/>
        <v>0</v>
      </c>
      <c r="N131" s="5">
        <f t="shared" si="191"/>
        <v>0</v>
      </c>
      <c r="O131" s="5">
        <f t="shared" si="191"/>
        <v>0</v>
      </c>
      <c r="P131" s="5">
        <f t="shared" si="191"/>
        <v>0</v>
      </c>
      <c r="Q131" s="5">
        <f t="shared" si="191"/>
        <v>0</v>
      </c>
      <c r="R131" s="5">
        <f t="shared" si="191"/>
        <v>0</v>
      </c>
      <c r="S131" s="5">
        <f t="shared" si="191"/>
        <v>0</v>
      </c>
      <c r="T131" s="5">
        <f t="shared" si="191"/>
        <v>0</v>
      </c>
      <c r="U131" s="5">
        <f t="shared" si="191"/>
        <v>67113.42</v>
      </c>
      <c r="V131" s="5">
        <f t="shared" si="191"/>
        <v>0</v>
      </c>
      <c r="W131" s="5">
        <f t="shared" si="191"/>
        <v>0</v>
      </c>
      <c r="X131" s="5">
        <f t="shared" si="191"/>
        <v>0</v>
      </c>
      <c r="Y131" s="5">
        <f t="shared" si="191"/>
        <v>0</v>
      </c>
      <c r="Z131" s="5">
        <f t="shared" si="191"/>
        <v>0</v>
      </c>
      <c r="AA131" s="5">
        <f t="shared" si="191"/>
        <v>0</v>
      </c>
      <c r="AB131" s="5">
        <f t="shared" si="191"/>
        <v>0</v>
      </c>
      <c r="AC131" s="56"/>
      <c r="AD131" s="23"/>
    </row>
    <row r="132" spans="1:30" s="14" customFormat="1">
      <c r="A132" s="80" t="s">
        <v>245</v>
      </c>
      <c r="B132" s="15">
        <v>1997392.09</v>
      </c>
      <c r="C132" s="127">
        <f t="shared" si="101"/>
        <v>166449.34</v>
      </c>
      <c r="D132" s="4"/>
      <c r="E132" s="4"/>
      <c r="F132" s="4">
        <v>1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56"/>
      <c r="AD132" s="23"/>
    </row>
    <row r="133" spans="1:30" s="14" customFormat="1">
      <c r="A133" s="79"/>
      <c r="B133" s="9"/>
      <c r="C133" s="127"/>
      <c r="D133" s="5">
        <f t="shared" ref="D133" si="192">$C132*D132</f>
        <v>0</v>
      </c>
      <c r="E133" s="5">
        <f t="shared" ref="E133" si="193">$C132*E132</f>
        <v>0</v>
      </c>
      <c r="F133" s="5">
        <f t="shared" ref="F133:AB133" si="194">$C132*F132</f>
        <v>166449.34</v>
      </c>
      <c r="G133" s="5">
        <f t="shared" si="194"/>
        <v>0</v>
      </c>
      <c r="H133" s="5">
        <f t="shared" si="194"/>
        <v>0</v>
      </c>
      <c r="I133" s="5">
        <f t="shared" si="194"/>
        <v>0</v>
      </c>
      <c r="J133" s="5">
        <f t="shared" si="194"/>
        <v>0</v>
      </c>
      <c r="K133" s="5">
        <f t="shared" si="194"/>
        <v>0</v>
      </c>
      <c r="L133" s="5">
        <f t="shared" si="194"/>
        <v>0</v>
      </c>
      <c r="M133" s="5">
        <f t="shared" si="194"/>
        <v>0</v>
      </c>
      <c r="N133" s="5">
        <f t="shared" si="194"/>
        <v>0</v>
      </c>
      <c r="O133" s="5">
        <f t="shared" si="194"/>
        <v>0</v>
      </c>
      <c r="P133" s="5">
        <f t="shared" si="194"/>
        <v>0</v>
      </c>
      <c r="Q133" s="5">
        <f t="shared" si="194"/>
        <v>0</v>
      </c>
      <c r="R133" s="5">
        <f t="shared" si="194"/>
        <v>0</v>
      </c>
      <c r="S133" s="5">
        <f t="shared" si="194"/>
        <v>0</v>
      </c>
      <c r="T133" s="5">
        <f t="shared" si="194"/>
        <v>0</v>
      </c>
      <c r="U133" s="5">
        <f t="shared" si="194"/>
        <v>0</v>
      </c>
      <c r="V133" s="5">
        <f t="shared" si="194"/>
        <v>0</v>
      </c>
      <c r="W133" s="5">
        <f t="shared" si="194"/>
        <v>0</v>
      </c>
      <c r="X133" s="5">
        <f t="shared" si="194"/>
        <v>0</v>
      </c>
      <c r="Y133" s="5">
        <f t="shared" si="194"/>
        <v>0</v>
      </c>
      <c r="Z133" s="5">
        <f t="shared" si="194"/>
        <v>0</v>
      </c>
      <c r="AA133" s="5">
        <f t="shared" si="194"/>
        <v>0</v>
      </c>
      <c r="AB133" s="5">
        <f t="shared" si="194"/>
        <v>0</v>
      </c>
      <c r="AC133" s="56"/>
      <c r="AD133" s="23"/>
    </row>
    <row r="134" spans="1:30" s="14" customFormat="1">
      <c r="A134" s="80" t="s">
        <v>246</v>
      </c>
      <c r="B134" s="15">
        <v>3466135.33</v>
      </c>
      <c r="C134" s="127">
        <f t="shared" si="101"/>
        <v>288844.61</v>
      </c>
      <c r="D134" s="4"/>
      <c r="E134" s="4"/>
      <c r="F134" s="4">
        <v>1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56"/>
      <c r="AD134" s="23"/>
    </row>
    <row r="135" spans="1:30" s="14" customFormat="1">
      <c r="A135" s="79"/>
      <c r="B135" s="9"/>
      <c r="C135" s="127"/>
      <c r="D135" s="5">
        <f t="shared" ref="D135" si="195">$C134*D134</f>
        <v>0</v>
      </c>
      <c r="E135" s="5">
        <f t="shared" ref="E135" si="196">$C134*E134</f>
        <v>0</v>
      </c>
      <c r="F135" s="5">
        <f t="shared" ref="F135:AB135" si="197">$C134*F134</f>
        <v>288844.61</v>
      </c>
      <c r="G135" s="5">
        <f t="shared" si="197"/>
        <v>0</v>
      </c>
      <c r="H135" s="5">
        <f t="shared" si="197"/>
        <v>0</v>
      </c>
      <c r="I135" s="5">
        <f t="shared" si="197"/>
        <v>0</v>
      </c>
      <c r="J135" s="5">
        <f t="shared" si="197"/>
        <v>0</v>
      </c>
      <c r="K135" s="5">
        <f t="shared" si="197"/>
        <v>0</v>
      </c>
      <c r="L135" s="5">
        <f t="shared" si="197"/>
        <v>0</v>
      </c>
      <c r="M135" s="5">
        <f t="shared" si="197"/>
        <v>0</v>
      </c>
      <c r="N135" s="5">
        <f t="shared" si="197"/>
        <v>0</v>
      </c>
      <c r="O135" s="5">
        <f t="shared" si="197"/>
        <v>0</v>
      </c>
      <c r="P135" s="5">
        <f t="shared" si="197"/>
        <v>0</v>
      </c>
      <c r="Q135" s="5">
        <f t="shared" si="197"/>
        <v>0</v>
      </c>
      <c r="R135" s="5">
        <f t="shared" si="197"/>
        <v>0</v>
      </c>
      <c r="S135" s="5">
        <f t="shared" si="197"/>
        <v>0</v>
      </c>
      <c r="T135" s="5">
        <f t="shared" si="197"/>
        <v>0</v>
      </c>
      <c r="U135" s="5">
        <f t="shared" si="197"/>
        <v>0</v>
      </c>
      <c r="V135" s="5">
        <f t="shared" si="197"/>
        <v>0</v>
      </c>
      <c r="W135" s="5">
        <f t="shared" si="197"/>
        <v>0</v>
      </c>
      <c r="X135" s="5">
        <f t="shared" si="197"/>
        <v>0</v>
      </c>
      <c r="Y135" s="5">
        <f t="shared" si="197"/>
        <v>0</v>
      </c>
      <c r="Z135" s="5">
        <f t="shared" si="197"/>
        <v>0</v>
      </c>
      <c r="AA135" s="5">
        <f t="shared" si="197"/>
        <v>0</v>
      </c>
      <c r="AB135" s="5">
        <f t="shared" si="197"/>
        <v>0</v>
      </c>
      <c r="AC135" s="56"/>
      <c r="AD135" s="23"/>
    </row>
    <row r="136" spans="1:30" s="14" customFormat="1">
      <c r="A136" s="80" t="s">
        <v>247</v>
      </c>
      <c r="B136" s="15">
        <v>205574.24</v>
      </c>
      <c r="C136" s="127">
        <f t="shared" si="101"/>
        <v>17131.189999999999</v>
      </c>
      <c r="D136" s="4"/>
      <c r="E136" s="4"/>
      <c r="F136" s="4">
        <v>1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56"/>
      <c r="AD136" s="23"/>
    </row>
    <row r="137" spans="1:30" s="14" customFormat="1">
      <c r="A137" s="79"/>
      <c r="B137" s="9"/>
      <c r="C137" s="127"/>
      <c r="D137" s="5">
        <f t="shared" ref="D137" si="198">$C136*D136</f>
        <v>0</v>
      </c>
      <c r="E137" s="5">
        <f t="shared" ref="E137" si="199">$C136*E136</f>
        <v>0</v>
      </c>
      <c r="F137" s="5">
        <f t="shared" ref="F137:AB137" si="200">$C136*F136</f>
        <v>17131.189999999999</v>
      </c>
      <c r="G137" s="5">
        <f t="shared" si="200"/>
        <v>0</v>
      </c>
      <c r="H137" s="5">
        <f t="shared" si="200"/>
        <v>0</v>
      </c>
      <c r="I137" s="5">
        <f t="shared" si="200"/>
        <v>0</v>
      </c>
      <c r="J137" s="5">
        <f t="shared" si="200"/>
        <v>0</v>
      </c>
      <c r="K137" s="5">
        <f t="shared" si="200"/>
        <v>0</v>
      </c>
      <c r="L137" s="5">
        <f t="shared" si="200"/>
        <v>0</v>
      </c>
      <c r="M137" s="5">
        <f t="shared" si="200"/>
        <v>0</v>
      </c>
      <c r="N137" s="5">
        <f t="shared" si="200"/>
        <v>0</v>
      </c>
      <c r="O137" s="5">
        <f t="shared" si="200"/>
        <v>0</v>
      </c>
      <c r="P137" s="5">
        <f t="shared" si="200"/>
        <v>0</v>
      </c>
      <c r="Q137" s="5">
        <f t="shared" si="200"/>
        <v>0</v>
      </c>
      <c r="R137" s="5">
        <f t="shared" si="200"/>
        <v>0</v>
      </c>
      <c r="S137" s="5">
        <f t="shared" si="200"/>
        <v>0</v>
      </c>
      <c r="T137" s="5">
        <f t="shared" si="200"/>
        <v>0</v>
      </c>
      <c r="U137" s="5">
        <f t="shared" si="200"/>
        <v>0</v>
      </c>
      <c r="V137" s="5">
        <f t="shared" si="200"/>
        <v>0</v>
      </c>
      <c r="W137" s="5">
        <f t="shared" si="200"/>
        <v>0</v>
      </c>
      <c r="X137" s="5">
        <f t="shared" si="200"/>
        <v>0</v>
      </c>
      <c r="Y137" s="5">
        <f t="shared" si="200"/>
        <v>0</v>
      </c>
      <c r="Z137" s="5">
        <f t="shared" si="200"/>
        <v>0</v>
      </c>
      <c r="AA137" s="5">
        <f t="shared" si="200"/>
        <v>0</v>
      </c>
      <c r="AB137" s="5">
        <f t="shared" si="200"/>
        <v>0</v>
      </c>
      <c r="AC137" s="56"/>
      <c r="AD137" s="23"/>
    </row>
    <row r="138" spans="1:30" s="14" customFormat="1">
      <c r="A138" s="80" t="s">
        <v>248</v>
      </c>
      <c r="B138" s="15">
        <v>97607.26</v>
      </c>
      <c r="C138" s="127">
        <f t="shared" ref="C138:C160" si="201">ROUND(B138/12,2)</f>
        <v>8133.94</v>
      </c>
      <c r="D138" s="4"/>
      <c r="E138" s="4"/>
      <c r="F138" s="4">
        <v>1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56"/>
      <c r="AD138" s="23"/>
    </row>
    <row r="139" spans="1:30" s="14" customFormat="1">
      <c r="A139" s="79"/>
      <c r="B139" s="9"/>
      <c r="C139" s="127"/>
      <c r="D139" s="5">
        <f t="shared" ref="D139" si="202">$C138*D138</f>
        <v>0</v>
      </c>
      <c r="E139" s="5">
        <f t="shared" ref="E139" si="203">$C138*E138</f>
        <v>0</v>
      </c>
      <c r="F139" s="5">
        <f t="shared" ref="F139:AB139" si="204">$C138*F138</f>
        <v>8133.94</v>
      </c>
      <c r="G139" s="5">
        <f t="shared" si="204"/>
        <v>0</v>
      </c>
      <c r="H139" s="5">
        <f t="shared" si="204"/>
        <v>0</v>
      </c>
      <c r="I139" s="5">
        <f t="shared" si="204"/>
        <v>0</v>
      </c>
      <c r="J139" s="5">
        <f t="shared" si="204"/>
        <v>0</v>
      </c>
      <c r="K139" s="5">
        <f t="shared" si="204"/>
        <v>0</v>
      </c>
      <c r="L139" s="5">
        <f t="shared" si="204"/>
        <v>0</v>
      </c>
      <c r="M139" s="5">
        <f t="shared" si="204"/>
        <v>0</v>
      </c>
      <c r="N139" s="5">
        <f t="shared" si="204"/>
        <v>0</v>
      </c>
      <c r="O139" s="5">
        <f t="shared" si="204"/>
        <v>0</v>
      </c>
      <c r="P139" s="5">
        <f t="shared" si="204"/>
        <v>0</v>
      </c>
      <c r="Q139" s="5">
        <f t="shared" si="204"/>
        <v>0</v>
      </c>
      <c r="R139" s="5">
        <f t="shared" si="204"/>
        <v>0</v>
      </c>
      <c r="S139" s="5">
        <f t="shared" si="204"/>
        <v>0</v>
      </c>
      <c r="T139" s="5">
        <f t="shared" si="204"/>
        <v>0</v>
      </c>
      <c r="U139" s="5">
        <f t="shared" si="204"/>
        <v>0</v>
      </c>
      <c r="V139" s="5">
        <f t="shared" si="204"/>
        <v>0</v>
      </c>
      <c r="W139" s="5">
        <f t="shared" si="204"/>
        <v>0</v>
      </c>
      <c r="X139" s="5">
        <f t="shared" si="204"/>
        <v>0</v>
      </c>
      <c r="Y139" s="5">
        <f t="shared" si="204"/>
        <v>0</v>
      </c>
      <c r="Z139" s="5">
        <f t="shared" si="204"/>
        <v>0</v>
      </c>
      <c r="AA139" s="5">
        <f t="shared" si="204"/>
        <v>0</v>
      </c>
      <c r="AB139" s="5">
        <f t="shared" si="204"/>
        <v>0</v>
      </c>
      <c r="AC139" s="56"/>
      <c r="AD139" s="23"/>
    </row>
    <row r="140" spans="1:30" s="14" customFormat="1">
      <c r="A140" s="80" t="s">
        <v>282</v>
      </c>
      <c r="B140" s="15">
        <v>8566896.5899999999</v>
      </c>
      <c r="C140" s="127">
        <f t="shared" si="201"/>
        <v>713908.05</v>
      </c>
      <c r="D140" s="4"/>
      <c r="E140" s="4"/>
      <c r="F140" s="4">
        <v>1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56"/>
      <c r="AD140" s="23"/>
    </row>
    <row r="141" spans="1:30" s="14" customFormat="1">
      <c r="A141" s="79"/>
      <c r="B141" s="9"/>
      <c r="C141" s="127"/>
      <c r="D141" s="5">
        <f t="shared" ref="D141" si="205">$C140*D140</f>
        <v>0</v>
      </c>
      <c r="E141" s="5">
        <f t="shared" ref="E141" si="206">$C140*E140</f>
        <v>0</v>
      </c>
      <c r="F141" s="5">
        <f t="shared" ref="F141:AB141" si="207">$C140*F140</f>
        <v>713908.05</v>
      </c>
      <c r="G141" s="5">
        <f t="shared" si="207"/>
        <v>0</v>
      </c>
      <c r="H141" s="5">
        <f t="shared" si="207"/>
        <v>0</v>
      </c>
      <c r="I141" s="5">
        <f t="shared" si="207"/>
        <v>0</v>
      </c>
      <c r="J141" s="5">
        <f t="shared" si="207"/>
        <v>0</v>
      </c>
      <c r="K141" s="5">
        <f t="shared" si="207"/>
        <v>0</v>
      </c>
      <c r="L141" s="5">
        <f t="shared" si="207"/>
        <v>0</v>
      </c>
      <c r="M141" s="5">
        <f t="shared" si="207"/>
        <v>0</v>
      </c>
      <c r="N141" s="5">
        <f t="shared" si="207"/>
        <v>0</v>
      </c>
      <c r="O141" s="5">
        <f t="shared" si="207"/>
        <v>0</v>
      </c>
      <c r="P141" s="5">
        <f t="shared" si="207"/>
        <v>0</v>
      </c>
      <c r="Q141" s="5">
        <f t="shared" si="207"/>
        <v>0</v>
      </c>
      <c r="R141" s="5">
        <f t="shared" si="207"/>
        <v>0</v>
      </c>
      <c r="S141" s="5">
        <f t="shared" si="207"/>
        <v>0</v>
      </c>
      <c r="T141" s="5">
        <f t="shared" si="207"/>
        <v>0</v>
      </c>
      <c r="U141" s="5">
        <f t="shared" si="207"/>
        <v>0</v>
      </c>
      <c r="V141" s="5">
        <f t="shared" si="207"/>
        <v>0</v>
      </c>
      <c r="W141" s="5">
        <f t="shared" si="207"/>
        <v>0</v>
      </c>
      <c r="X141" s="5">
        <f t="shared" si="207"/>
        <v>0</v>
      </c>
      <c r="Y141" s="5">
        <f t="shared" si="207"/>
        <v>0</v>
      </c>
      <c r="Z141" s="5">
        <f t="shared" si="207"/>
        <v>0</v>
      </c>
      <c r="AA141" s="5">
        <f t="shared" si="207"/>
        <v>0</v>
      </c>
      <c r="AB141" s="5">
        <f t="shared" si="207"/>
        <v>0</v>
      </c>
      <c r="AC141" s="56"/>
      <c r="AD141" s="23"/>
    </row>
    <row r="142" spans="1:30" s="14" customFormat="1">
      <c r="A142" s="80" t="s">
        <v>286</v>
      </c>
      <c r="B142" s="15">
        <v>4946292.72</v>
      </c>
      <c r="C142" s="127">
        <f t="shared" si="201"/>
        <v>412191.06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>
        <v>1</v>
      </c>
      <c r="V142" s="4"/>
      <c r="W142" s="4"/>
      <c r="X142" s="4"/>
      <c r="Y142" s="4"/>
      <c r="Z142" s="4"/>
      <c r="AA142" s="4"/>
      <c r="AB142" s="4"/>
      <c r="AC142" s="56"/>
      <c r="AD142" s="23"/>
    </row>
    <row r="143" spans="1:30" s="14" customFormat="1">
      <c r="A143" s="150"/>
      <c r="B143" s="9"/>
      <c r="C143" s="127"/>
      <c r="D143" s="5">
        <f t="shared" ref="D143" si="208">$C142*D142</f>
        <v>0</v>
      </c>
      <c r="E143" s="5">
        <f t="shared" ref="E143" si="209">$C142*E142</f>
        <v>0</v>
      </c>
      <c r="F143" s="5">
        <f t="shared" ref="F143:AB143" si="210">$C142*F142</f>
        <v>0</v>
      </c>
      <c r="G143" s="5">
        <f t="shared" si="210"/>
        <v>0</v>
      </c>
      <c r="H143" s="5">
        <f t="shared" si="210"/>
        <v>0</v>
      </c>
      <c r="I143" s="5">
        <f t="shared" si="210"/>
        <v>0</v>
      </c>
      <c r="J143" s="5">
        <f t="shared" si="210"/>
        <v>0</v>
      </c>
      <c r="K143" s="5">
        <f t="shared" si="210"/>
        <v>0</v>
      </c>
      <c r="L143" s="5">
        <f t="shared" si="210"/>
        <v>0</v>
      </c>
      <c r="M143" s="5">
        <f t="shared" si="210"/>
        <v>0</v>
      </c>
      <c r="N143" s="5">
        <f t="shared" si="210"/>
        <v>0</v>
      </c>
      <c r="O143" s="5">
        <f t="shared" si="210"/>
        <v>0</v>
      </c>
      <c r="P143" s="5">
        <f t="shared" si="210"/>
        <v>0</v>
      </c>
      <c r="Q143" s="5">
        <f t="shared" si="210"/>
        <v>0</v>
      </c>
      <c r="R143" s="5">
        <f t="shared" si="210"/>
        <v>0</v>
      </c>
      <c r="S143" s="5">
        <f t="shared" si="210"/>
        <v>0</v>
      </c>
      <c r="T143" s="5">
        <f t="shared" si="210"/>
        <v>0</v>
      </c>
      <c r="U143" s="5">
        <f t="shared" si="210"/>
        <v>412191.06</v>
      </c>
      <c r="V143" s="5">
        <f t="shared" si="210"/>
        <v>0</v>
      </c>
      <c r="W143" s="5">
        <f t="shared" si="210"/>
        <v>0</v>
      </c>
      <c r="X143" s="5">
        <f t="shared" si="210"/>
        <v>0</v>
      </c>
      <c r="Y143" s="5">
        <f t="shared" si="210"/>
        <v>0</v>
      </c>
      <c r="Z143" s="5">
        <f t="shared" si="210"/>
        <v>0</v>
      </c>
      <c r="AA143" s="5">
        <f t="shared" si="210"/>
        <v>0</v>
      </c>
      <c r="AB143" s="5">
        <f t="shared" si="210"/>
        <v>0</v>
      </c>
      <c r="AC143" s="56"/>
      <c r="AD143" s="23"/>
    </row>
    <row r="144" spans="1:30" s="14" customFormat="1">
      <c r="A144" s="80" t="s">
        <v>283</v>
      </c>
      <c r="B144" s="15">
        <v>5260649.0199999996</v>
      </c>
      <c r="C144" s="127">
        <f t="shared" si="201"/>
        <v>438387.42</v>
      </c>
      <c r="D144" s="4"/>
      <c r="E144" s="4"/>
      <c r="F144" s="4">
        <v>1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56"/>
      <c r="AD144" s="23"/>
    </row>
    <row r="145" spans="1:30" s="14" customFormat="1">
      <c r="A145" s="79"/>
      <c r="B145" s="9"/>
      <c r="C145" s="127"/>
      <c r="D145" s="5">
        <f t="shared" ref="D145" si="211">$C144*D144</f>
        <v>0</v>
      </c>
      <c r="E145" s="5">
        <f t="shared" ref="E145" si="212">$C144*E144</f>
        <v>0</v>
      </c>
      <c r="F145" s="5">
        <f t="shared" ref="F145:AB145" si="213">$C144*F144</f>
        <v>438387.42</v>
      </c>
      <c r="G145" s="5">
        <f t="shared" si="213"/>
        <v>0</v>
      </c>
      <c r="H145" s="5">
        <f t="shared" si="213"/>
        <v>0</v>
      </c>
      <c r="I145" s="5">
        <f t="shared" si="213"/>
        <v>0</v>
      </c>
      <c r="J145" s="5">
        <f t="shared" si="213"/>
        <v>0</v>
      </c>
      <c r="K145" s="5">
        <f t="shared" si="213"/>
        <v>0</v>
      </c>
      <c r="L145" s="5">
        <f t="shared" si="213"/>
        <v>0</v>
      </c>
      <c r="M145" s="5">
        <f t="shared" si="213"/>
        <v>0</v>
      </c>
      <c r="N145" s="5">
        <f t="shared" si="213"/>
        <v>0</v>
      </c>
      <c r="O145" s="5">
        <f t="shared" si="213"/>
        <v>0</v>
      </c>
      <c r="P145" s="5">
        <f t="shared" si="213"/>
        <v>0</v>
      </c>
      <c r="Q145" s="5">
        <f t="shared" si="213"/>
        <v>0</v>
      </c>
      <c r="R145" s="5">
        <f t="shared" si="213"/>
        <v>0</v>
      </c>
      <c r="S145" s="5">
        <f t="shared" si="213"/>
        <v>0</v>
      </c>
      <c r="T145" s="5">
        <f t="shared" si="213"/>
        <v>0</v>
      </c>
      <c r="U145" s="5">
        <f t="shared" si="213"/>
        <v>0</v>
      </c>
      <c r="V145" s="5">
        <f t="shared" si="213"/>
        <v>0</v>
      </c>
      <c r="W145" s="5">
        <f t="shared" si="213"/>
        <v>0</v>
      </c>
      <c r="X145" s="5">
        <f t="shared" si="213"/>
        <v>0</v>
      </c>
      <c r="Y145" s="5">
        <f t="shared" si="213"/>
        <v>0</v>
      </c>
      <c r="Z145" s="5">
        <f t="shared" si="213"/>
        <v>0</v>
      </c>
      <c r="AA145" s="5">
        <f t="shared" si="213"/>
        <v>0</v>
      </c>
      <c r="AB145" s="5">
        <f t="shared" si="213"/>
        <v>0</v>
      </c>
      <c r="AC145" s="56"/>
      <c r="AD145" s="23"/>
    </row>
    <row r="146" spans="1:30" s="14" customFormat="1">
      <c r="A146" s="80" t="s">
        <v>284</v>
      </c>
      <c r="B146" s="15">
        <v>13283617.9</v>
      </c>
      <c r="C146" s="127">
        <f t="shared" si="201"/>
        <v>1106968.1599999999</v>
      </c>
      <c r="D146" s="4"/>
      <c r="E146" s="4"/>
      <c r="F146" s="4">
        <v>1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56"/>
      <c r="AD146" s="23"/>
    </row>
    <row r="147" spans="1:30" s="14" customFormat="1">
      <c r="A147" s="79"/>
      <c r="B147" s="9"/>
      <c r="C147" s="127"/>
      <c r="D147" s="5">
        <f t="shared" ref="D147" si="214">$C146*D146</f>
        <v>0</v>
      </c>
      <c r="E147" s="5">
        <f t="shared" ref="E147" si="215">$C146*E146</f>
        <v>0</v>
      </c>
      <c r="F147" s="5">
        <f t="shared" ref="F147:AB147" si="216">$C146*F146</f>
        <v>1106968.1599999999</v>
      </c>
      <c r="G147" s="5">
        <f t="shared" si="216"/>
        <v>0</v>
      </c>
      <c r="H147" s="5">
        <f t="shared" si="216"/>
        <v>0</v>
      </c>
      <c r="I147" s="5">
        <f t="shared" si="216"/>
        <v>0</v>
      </c>
      <c r="J147" s="5">
        <f t="shared" si="216"/>
        <v>0</v>
      </c>
      <c r="K147" s="5">
        <f t="shared" si="216"/>
        <v>0</v>
      </c>
      <c r="L147" s="5">
        <f t="shared" si="216"/>
        <v>0</v>
      </c>
      <c r="M147" s="5">
        <f t="shared" si="216"/>
        <v>0</v>
      </c>
      <c r="N147" s="5">
        <f t="shared" si="216"/>
        <v>0</v>
      </c>
      <c r="O147" s="5">
        <f t="shared" si="216"/>
        <v>0</v>
      </c>
      <c r="P147" s="5">
        <f t="shared" si="216"/>
        <v>0</v>
      </c>
      <c r="Q147" s="5">
        <f t="shared" si="216"/>
        <v>0</v>
      </c>
      <c r="R147" s="5">
        <f t="shared" si="216"/>
        <v>0</v>
      </c>
      <c r="S147" s="5">
        <f t="shared" si="216"/>
        <v>0</v>
      </c>
      <c r="T147" s="5">
        <f t="shared" si="216"/>
        <v>0</v>
      </c>
      <c r="U147" s="5">
        <f t="shared" si="216"/>
        <v>0</v>
      </c>
      <c r="V147" s="5">
        <f t="shared" si="216"/>
        <v>0</v>
      </c>
      <c r="W147" s="5">
        <f t="shared" si="216"/>
        <v>0</v>
      </c>
      <c r="X147" s="5">
        <f t="shared" si="216"/>
        <v>0</v>
      </c>
      <c r="Y147" s="5">
        <f t="shared" si="216"/>
        <v>0</v>
      </c>
      <c r="Z147" s="5">
        <f t="shared" si="216"/>
        <v>0</v>
      </c>
      <c r="AA147" s="5">
        <f t="shared" si="216"/>
        <v>0</v>
      </c>
      <c r="AB147" s="5">
        <f t="shared" si="216"/>
        <v>0</v>
      </c>
      <c r="AC147" s="56"/>
      <c r="AD147" s="23"/>
    </row>
    <row r="148" spans="1:30" s="14" customFormat="1">
      <c r="A148" s="80" t="s">
        <v>285</v>
      </c>
      <c r="B148" s="15">
        <v>4152677.53</v>
      </c>
      <c r="C148" s="127">
        <f t="shared" si="201"/>
        <v>346056.46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>
        <v>1</v>
      </c>
      <c r="V148" s="4"/>
      <c r="W148" s="4"/>
      <c r="X148" s="4"/>
      <c r="Y148" s="4"/>
      <c r="Z148" s="4"/>
      <c r="AA148" s="4"/>
      <c r="AB148" s="4"/>
      <c r="AC148" s="56"/>
      <c r="AD148" s="23"/>
    </row>
    <row r="149" spans="1:30" s="14" customFormat="1">
      <c r="A149" s="79"/>
      <c r="B149" s="9"/>
      <c r="C149" s="127"/>
      <c r="D149" s="5">
        <f t="shared" ref="D149" si="217">$C148*D148</f>
        <v>0</v>
      </c>
      <c r="E149" s="5">
        <f t="shared" ref="E149" si="218">$C148*E148</f>
        <v>0</v>
      </c>
      <c r="F149" s="5">
        <f t="shared" ref="F149:AB149" si="219">$C148*F148</f>
        <v>0</v>
      </c>
      <c r="G149" s="5">
        <f t="shared" si="219"/>
        <v>0</v>
      </c>
      <c r="H149" s="5">
        <f t="shared" si="219"/>
        <v>0</v>
      </c>
      <c r="I149" s="5">
        <f t="shared" si="219"/>
        <v>0</v>
      </c>
      <c r="J149" s="5">
        <f t="shared" si="219"/>
        <v>0</v>
      </c>
      <c r="K149" s="5">
        <f t="shared" si="219"/>
        <v>0</v>
      </c>
      <c r="L149" s="5">
        <f t="shared" si="219"/>
        <v>0</v>
      </c>
      <c r="M149" s="5">
        <f t="shared" si="219"/>
        <v>0</v>
      </c>
      <c r="N149" s="5">
        <f t="shared" si="219"/>
        <v>0</v>
      </c>
      <c r="O149" s="5">
        <f t="shared" si="219"/>
        <v>0</v>
      </c>
      <c r="P149" s="5">
        <f t="shared" si="219"/>
        <v>0</v>
      </c>
      <c r="Q149" s="5">
        <f t="shared" si="219"/>
        <v>0</v>
      </c>
      <c r="R149" s="5">
        <f t="shared" si="219"/>
        <v>0</v>
      </c>
      <c r="S149" s="5">
        <f t="shared" si="219"/>
        <v>0</v>
      </c>
      <c r="T149" s="5">
        <f t="shared" si="219"/>
        <v>0</v>
      </c>
      <c r="U149" s="5">
        <f t="shared" si="219"/>
        <v>346056.46</v>
      </c>
      <c r="V149" s="5">
        <f t="shared" si="219"/>
        <v>0</v>
      </c>
      <c r="W149" s="5">
        <f t="shared" si="219"/>
        <v>0</v>
      </c>
      <c r="X149" s="5">
        <f t="shared" si="219"/>
        <v>0</v>
      </c>
      <c r="Y149" s="5">
        <f t="shared" si="219"/>
        <v>0</v>
      </c>
      <c r="Z149" s="5">
        <f t="shared" si="219"/>
        <v>0</v>
      </c>
      <c r="AA149" s="5">
        <f t="shared" si="219"/>
        <v>0</v>
      </c>
      <c r="AB149" s="5">
        <f t="shared" si="219"/>
        <v>0</v>
      </c>
      <c r="AC149" s="56"/>
      <c r="AD149" s="23"/>
    </row>
    <row r="150" spans="1:30" s="14" customFormat="1">
      <c r="A150" s="80" t="s">
        <v>313</v>
      </c>
      <c r="B150" s="15">
        <v>210816.96</v>
      </c>
      <c r="C150" s="127">
        <f>ROUND(B150/12,2)</f>
        <v>17568.080000000002</v>
      </c>
      <c r="D150" s="4"/>
      <c r="E150" s="4"/>
      <c r="F150" s="4">
        <v>1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56"/>
      <c r="AD150" s="23"/>
    </row>
    <row r="151" spans="1:30" s="14" customFormat="1">
      <c r="A151" s="79"/>
      <c r="B151" s="9"/>
      <c r="C151" s="127"/>
      <c r="D151" s="5">
        <f t="shared" ref="D151" si="220">$C150*D150</f>
        <v>0</v>
      </c>
      <c r="E151" s="5">
        <f t="shared" ref="E151" si="221">$C150*E150</f>
        <v>0</v>
      </c>
      <c r="F151" s="5">
        <f t="shared" ref="F151:AB151" si="222">$C150*F150</f>
        <v>17568.080000000002</v>
      </c>
      <c r="G151" s="5">
        <f t="shared" si="222"/>
        <v>0</v>
      </c>
      <c r="H151" s="5">
        <f t="shared" si="222"/>
        <v>0</v>
      </c>
      <c r="I151" s="5">
        <f t="shared" si="222"/>
        <v>0</v>
      </c>
      <c r="J151" s="5">
        <f t="shared" si="222"/>
        <v>0</v>
      </c>
      <c r="K151" s="5">
        <f t="shared" si="222"/>
        <v>0</v>
      </c>
      <c r="L151" s="5">
        <f t="shared" si="222"/>
        <v>0</v>
      </c>
      <c r="M151" s="5">
        <f t="shared" si="222"/>
        <v>0</v>
      </c>
      <c r="N151" s="5">
        <f t="shared" si="222"/>
        <v>0</v>
      </c>
      <c r="O151" s="5">
        <f t="shared" si="222"/>
        <v>0</v>
      </c>
      <c r="P151" s="5">
        <f t="shared" si="222"/>
        <v>0</v>
      </c>
      <c r="Q151" s="5">
        <f t="shared" si="222"/>
        <v>0</v>
      </c>
      <c r="R151" s="5">
        <f t="shared" si="222"/>
        <v>0</v>
      </c>
      <c r="S151" s="5">
        <f t="shared" si="222"/>
        <v>0</v>
      </c>
      <c r="T151" s="5">
        <f t="shared" si="222"/>
        <v>0</v>
      </c>
      <c r="U151" s="5">
        <f t="shared" si="222"/>
        <v>0</v>
      </c>
      <c r="V151" s="5">
        <f t="shared" si="222"/>
        <v>0</v>
      </c>
      <c r="W151" s="5">
        <f t="shared" si="222"/>
        <v>0</v>
      </c>
      <c r="X151" s="5">
        <f t="shared" si="222"/>
        <v>0</v>
      </c>
      <c r="Y151" s="5">
        <f t="shared" si="222"/>
        <v>0</v>
      </c>
      <c r="Z151" s="5">
        <f t="shared" si="222"/>
        <v>0</v>
      </c>
      <c r="AA151" s="5">
        <f t="shared" si="222"/>
        <v>0</v>
      </c>
      <c r="AB151" s="5">
        <f t="shared" si="222"/>
        <v>0</v>
      </c>
      <c r="AC151" s="56"/>
      <c r="AD151" s="23"/>
    </row>
    <row r="152" spans="1:30" s="14" customFormat="1">
      <c r="A152" s="80" t="s">
        <v>314</v>
      </c>
      <c r="B152" s="15">
        <v>2613037.88</v>
      </c>
      <c r="C152" s="127">
        <f t="shared" si="201"/>
        <v>217753.16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56"/>
      <c r="AD152" s="23"/>
    </row>
    <row r="153" spans="1:30" s="14" customFormat="1">
      <c r="A153" s="79"/>
      <c r="B153" s="9"/>
      <c r="C153" s="127"/>
      <c r="D153" s="5">
        <f t="shared" ref="D153" si="223">$C152*D152</f>
        <v>0</v>
      </c>
      <c r="E153" s="5">
        <f t="shared" ref="E153" si="224">$C152*E152</f>
        <v>0</v>
      </c>
      <c r="F153" s="5">
        <f t="shared" ref="F153:AB153" si="225">$C152*F152</f>
        <v>0</v>
      </c>
      <c r="G153" s="5">
        <f t="shared" si="225"/>
        <v>0</v>
      </c>
      <c r="H153" s="5">
        <f t="shared" si="225"/>
        <v>0</v>
      </c>
      <c r="I153" s="5">
        <f t="shared" si="225"/>
        <v>0</v>
      </c>
      <c r="J153" s="5">
        <f t="shared" si="225"/>
        <v>0</v>
      </c>
      <c r="K153" s="5">
        <f t="shared" si="225"/>
        <v>0</v>
      </c>
      <c r="L153" s="5">
        <f t="shared" si="225"/>
        <v>0</v>
      </c>
      <c r="M153" s="5">
        <f t="shared" si="225"/>
        <v>0</v>
      </c>
      <c r="N153" s="5">
        <f t="shared" si="225"/>
        <v>0</v>
      </c>
      <c r="O153" s="5">
        <f t="shared" si="225"/>
        <v>0</v>
      </c>
      <c r="P153" s="5">
        <f t="shared" si="225"/>
        <v>0</v>
      </c>
      <c r="Q153" s="5">
        <f t="shared" si="225"/>
        <v>0</v>
      </c>
      <c r="R153" s="5">
        <f t="shared" si="225"/>
        <v>0</v>
      </c>
      <c r="S153" s="5">
        <f t="shared" si="225"/>
        <v>0</v>
      </c>
      <c r="T153" s="5">
        <f t="shared" si="225"/>
        <v>0</v>
      </c>
      <c r="U153" s="5">
        <f t="shared" si="225"/>
        <v>217753.16</v>
      </c>
      <c r="V153" s="5">
        <f t="shared" si="225"/>
        <v>0</v>
      </c>
      <c r="W153" s="5">
        <f t="shared" si="225"/>
        <v>0</v>
      </c>
      <c r="X153" s="5">
        <f t="shared" si="225"/>
        <v>0</v>
      </c>
      <c r="Y153" s="5">
        <f t="shared" si="225"/>
        <v>0</v>
      </c>
      <c r="Z153" s="5">
        <f t="shared" si="225"/>
        <v>0</v>
      </c>
      <c r="AA153" s="5">
        <f t="shared" si="225"/>
        <v>0</v>
      </c>
      <c r="AB153" s="5">
        <f t="shared" si="225"/>
        <v>0</v>
      </c>
      <c r="AC153" s="56"/>
      <c r="AD153" s="23"/>
    </row>
    <row r="154" spans="1:30" s="14" customFormat="1">
      <c r="A154" s="80" t="s">
        <v>315</v>
      </c>
      <c r="B154" s="15">
        <v>0</v>
      </c>
      <c r="C154" s="127">
        <f t="shared" si="201"/>
        <v>0</v>
      </c>
      <c r="D154" s="4"/>
      <c r="E154" s="4"/>
      <c r="F154" s="4">
        <v>1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56"/>
      <c r="AD154" s="23"/>
    </row>
    <row r="155" spans="1:30" s="14" customFormat="1">
      <c r="A155" s="79"/>
      <c r="B155" s="9"/>
      <c r="C155" s="127"/>
      <c r="D155" s="5">
        <f t="shared" ref="D155" si="226">$C154*D154</f>
        <v>0</v>
      </c>
      <c r="E155" s="5">
        <f t="shared" ref="E155" si="227">$C154*E154</f>
        <v>0</v>
      </c>
      <c r="F155" s="5">
        <f t="shared" ref="F155:AB155" si="228">$C154*F154</f>
        <v>0</v>
      </c>
      <c r="G155" s="5">
        <f t="shared" si="228"/>
        <v>0</v>
      </c>
      <c r="H155" s="5">
        <f t="shared" si="228"/>
        <v>0</v>
      </c>
      <c r="I155" s="5">
        <f t="shared" si="228"/>
        <v>0</v>
      </c>
      <c r="J155" s="5">
        <f t="shared" si="228"/>
        <v>0</v>
      </c>
      <c r="K155" s="5">
        <f t="shared" si="228"/>
        <v>0</v>
      </c>
      <c r="L155" s="5">
        <f t="shared" si="228"/>
        <v>0</v>
      </c>
      <c r="M155" s="5">
        <f t="shared" si="228"/>
        <v>0</v>
      </c>
      <c r="N155" s="5">
        <f t="shared" si="228"/>
        <v>0</v>
      </c>
      <c r="O155" s="5">
        <f t="shared" si="228"/>
        <v>0</v>
      </c>
      <c r="P155" s="5">
        <f t="shared" si="228"/>
        <v>0</v>
      </c>
      <c r="Q155" s="5">
        <f t="shared" si="228"/>
        <v>0</v>
      </c>
      <c r="R155" s="5">
        <f t="shared" si="228"/>
        <v>0</v>
      </c>
      <c r="S155" s="5">
        <f t="shared" si="228"/>
        <v>0</v>
      </c>
      <c r="T155" s="5">
        <f t="shared" si="228"/>
        <v>0</v>
      </c>
      <c r="U155" s="5">
        <f t="shared" si="228"/>
        <v>0</v>
      </c>
      <c r="V155" s="5">
        <f t="shared" si="228"/>
        <v>0</v>
      </c>
      <c r="W155" s="5">
        <f t="shared" si="228"/>
        <v>0</v>
      </c>
      <c r="X155" s="5">
        <f t="shared" si="228"/>
        <v>0</v>
      </c>
      <c r="Y155" s="5">
        <f t="shared" si="228"/>
        <v>0</v>
      </c>
      <c r="Z155" s="5">
        <f t="shared" si="228"/>
        <v>0</v>
      </c>
      <c r="AA155" s="5">
        <f t="shared" si="228"/>
        <v>0</v>
      </c>
      <c r="AB155" s="5">
        <f t="shared" si="228"/>
        <v>0</v>
      </c>
      <c r="AC155" s="56"/>
      <c r="AD155" s="23"/>
    </row>
    <row r="156" spans="1:30" s="14" customFormat="1">
      <c r="A156" s="83" t="s">
        <v>381</v>
      </c>
      <c r="B156" s="50">
        <v>1301341.4099999999</v>
      </c>
      <c r="C156" s="127">
        <f t="shared" si="201"/>
        <v>108445.12</v>
      </c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>
        <v>1</v>
      </c>
      <c r="V156" s="37"/>
      <c r="W156" s="37"/>
      <c r="X156" s="37"/>
      <c r="Y156" s="37"/>
      <c r="Z156" s="37"/>
      <c r="AA156" s="37"/>
      <c r="AB156" s="37"/>
      <c r="AC156" s="56"/>
      <c r="AD156" s="23"/>
    </row>
    <row r="157" spans="1:30" s="14" customFormat="1">
      <c r="A157" s="68"/>
      <c r="B157" s="29"/>
      <c r="C157" s="127"/>
      <c r="D157" s="36">
        <f t="shared" ref="D157" si="229">$C156*D156</f>
        <v>0</v>
      </c>
      <c r="E157" s="36">
        <f t="shared" ref="E157" si="230">$C156*E156</f>
        <v>0</v>
      </c>
      <c r="F157" s="36">
        <f t="shared" ref="F157:AB157" si="231">$C156*F156</f>
        <v>0</v>
      </c>
      <c r="G157" s="36">
        <f t="shared" si="231"/>
        <v>0</v>
      </c>
      <c r="H157" s="36">
        <f t="shared" si="231"/>
        <v>0</v>
      </c>
      <c r="I157" s="36">
        <f t="shared" si="231"/>
        <v>0</v>
      </c>
      <c r="J157" s="36">
        <f t="shared" si="231"/>
        <v>0</v>
      </c>
      <c r="K157" s="36">
        <f t="shared" si="231"/>
        <v>0</v>
      </c>
      <c r="L157" s="36">
        <f t="shared" si="231"/>
        <v>0</v>
      </c>
      <c r="M157" s="36">
        <f t="shared" si="231"/>
        <v>0</v>
      </c>
      <c r="N157" s="36">
        <f t="shared" si="231"/>
        <v>0</v>
      </c>
      <c r="O157" s="36">
        <f t="shared" si="231"/>
        <v>0</v>
      </c>
      <c r="P157" s="36">
        <f t="shared" si="231"/>
        <v>0</v>
      </c>
      <c r="Q157" s="36">
        <f t="shared" si="231"/>
        <v>0</v>
      </c>
      <c r="R157" s="36">
        <f t="shared" si="231"/>
        <v>0</v>
      </c>
      <c r="S157" s="36">
        <f t="shared" si="231"/>
        <v>0</v>
      </c>
      <c r="T157" s="36">
        <f t="shared" si="231"/>
        <v>0</v>
      </c>
      <c r="U157" s="36">
        <f t="shared" si="231"/>
        <v>108445.12</v>
      </c>
      <c r="V157" s="36">
        <f t="shared" si="231"/>
        <v>0</v>
      </c>
      <c r="W157" s="36">
        <f t="shared" si="231"/>
        <v>0</v>
      </c>
      <c r="X157" s="36">
        <f t="shared" si="231"/>
        <v>0</v>
      </c>
      <c r="Y157" s="36">
        <f t="shared" si="231"/>
        <v>0</v>
      </c>
      <c r="Z157" s="36">
        <f t="shared" si="231"/>
        <v>0</v>
      </c>
      <c r="AA157" s="36">
        <f t="shared" si="231"/>
        <v>0</v>
      </c>
      <c r="AB157" s="36">
        <f t="shared" si="231"/>
        <v>0</v>
      </c>
      <c r="AC157" s="56"/>
      <c r="AD157" s="23"/>
    </row>
    <row r="158" spans="1:30" s="14" customFormat="1">
      <c r="A158" s="83" t="s">
        <v>583</v>
      </c>
      <c r="B158" s="50">
        <v>0</v>
      </c>
      <c r="C158" s="127">
        <f t="shared" si="201"/>
        <v>0</v>
      </c>
      <c r="D158" s="37"/>
      <c r="E158" s="37"/>
      <c r="F158" s="37">
        <v>1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56"/>
      <c r="AD158" s="23"/>
    </row>
    <row r="159" spans="1:30" s="14" customFormat="1">
      <c r="A159" s="68"/>
      <c r="B159" s="29"/>
      <c r="C159" s="127"/>
      <c r="D159" s="36">
        <f t="shared" ref="D159" si="232">$C158*D158</f>
        <v>0</v>
      </c>
      <c r="E159" s="36">
        <f t="shared" ref="E159" si="233">$C158*E158</f>
        <v>0</v>
      </c>
      <c r="F159" s="36">
        <f t="shared" ref="F159:AB159" si="234">$C158*F158</f>
        <v>0</v>
      </c>
      <c r="G159" s="36">
        <f t="shared" si="234"/>
        <v>0</v>
      </c>
      <c r="H159" s="36">
        <f t="shared" si="234"/>
        <v>0</v>
      </c>
      <c r="I159" s="36">
        <f t="shared" si="234"/>
        <v>0</v>
      </c>
      <c r="J159" s="36">
        <f t="shared" si="234"/>
        <v>0</v>
      </c>
      <c r="K159" s="36">
        <f t="shared" si="234"/>
        <v>0</v>
      </c>
      <c r="L159" s="36">
        <f t="shared" si="234"/>
        <v>0</v>
      </c>
      <c r="M159" s="36">
        <f t="shared" si="234"/>
        <v>0</v>
      </c>
      <c r="N159" s="36">
        <f t="shared" si="234"/>
        <v>0</v>
      </c>
      <c r="O159" s="36">
        <f t="shared" si="234"/>
        <v>0</v>
      </c>
      <c r="P159" s="36">
        <f t="shared" si="234"/>
        <v>0</v>
      </c>
      <c r="Q159" s="36">
        <f t="shared" si="234"/>
        <v>0</v>
      </c>
      <c r="R159" s="36">
        <f t="shared" si="234"/>
        <v>0</v>
      </c>
      <c r="S159" s="36">
        <f t="shared" si="234"/>
        <v>0</v>
      </c>
      <c r="T159" s="36">
        <f t="shared" si="234"/>
        <v>0</v>
      </c>
      <c r="U159" s="36">
        <f t="shared" si="234"/>
        <v>0</v>
      </c>
      <c r="V159" s="36">
        <f t="shared" si="234"/>
        <v>0</v>
      </c>
      <c r="W159" s="36">
        <f t="shared" si="234"/>
        <v>0</v>
      </c>
      <c r="X159" s="36">
        <f t="shared" si="234"/>
        <v>0</v>
      </c>
      <c r="Y159" s="36">
        <f t="shared" si="234"/>
        <v>0</v>
      </c>
      <c r="Z159" s="36">
        <f t="shared" si="234"/>
        <v>0</v>
      </c>
      <c r="AA159" s="36">
        <f t="shared" si="234"/>
        <v>0</v>
      </c>
      <c r="AB159" s="36">
        <f t="shared" si="234"/>
        <v>0</v>
      </c>
      <c r="AC159" s="56"/>
      <c r="AD159" s="23"/>
    </row>
    <row r="160" spans="1:30" s="14" customFormat="1">
      <c r="A160" s="83" t="s">
        <v>584</v>
      </c>
      <c r="B160" s="50">
        <v>19546395.16</v>
      </c>
      <c r="C160" s="130">
        <f t="shared" si="201"/>
        <v>1628866.26</v>
      </c>
      <c r="D160" s="37"/>
      <c r="E160" s="37"/>
      <c r="F160" s="37">
        <v>1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56"/>
      <c r="AD160" s="23"/>
    </row>
    <row r="161" spans="1:30" s="14" customFormat="1">
      <c r="A161" s="68"/>
      <c r="B161" s="29"/>
      <c r="C161" s="129"/>
      <c r="D161" s="36">
        <f t="shared" ref="D161:S165" si="235">$C160*D160</f>
        <v>0</v>
      </c>
      <c r="E161" s="36">
        <f t="shared" ref="E161:T163" si="236">$C160*E160</f>
        <v>0</v>
      </c>
      <c r="F161" s="36">
        <f t="shared" ref="F161:AB161" si="237">$C160*F160</f>
        <v>1628866.26</v>
      </c>
      <c r="G161" s="36">
        <f t="shared" si="237"/>
        <v>0</v>
      </c>
      <c r="H161" s="36">
        <f t="shared" si="237"/>
        <v>0</v>
      </c>
      <c r="I161" s="36">
        <f t="shared" si="237"/>
        <v>0</v>
      </c>
      <c r="J161" s="36">
        <f t="shared" si="237"/>
        <v>0</v>
      </c>
      <c r="K161" s="36">
        <f t="shared" si="237"/>
        <v>0</v>
      </c>
      <c r="L161" s="36">
        <f t="shared" si="237"/>
        <v>0</v>
      </c>
      <c r="M161" s="36">
        <f t="shared" si="237"/>
        <v>0</v>
      </c>
      <c r="N161" s="36">
        <f t="shared" si="237"/>
        <v>0</v>
      </c>
      <c r="O161" s="36">
        <f t="shared" si="237"/>
        <v>0</v>
      </c>
      <c r="P161" s="36">
        <f t="shared" si="237"/>
        <v>0</v>
      </c>
      <c r="Q161" s="36">
        <f t="shared" si="237"/>
        <v>0</v>
      </c>
      <c r="R161" s="36">
        <f t="shared" si="237"/>
        <v>0</v>
      </c>
      <c r="S161" s="36">
        <f t="shared" si="237"/>
        <v>0</v>
      </c>
      <c r="T161" s="36">
        <f t="shared" si="237"/>
        <v>0</v>
      </c>
      <c r="U161" s="36">
        <f t="shared" si="237"/>
        <v>0</v>
      </c>
      <c r="V161" s="36">
        <f t="shared" si="237"/>
        <v>0</v>
      </c>
      <c r="W161" s="36">
        <f t="shared" si="237"/>
        <v>0</v>
      </c>
      <c r="X161" s="36">
        <f t="shared" si="237"/>
        <v>0</v>
      </c>
      <c r="Y161" s="36">
        <f t="shared" si="237"/>
        <v>0</v>
      </c>
      <c r="Z161" s="36">
        <f t="shared" si="237"/>
        <v>0</v>
      </c>
      <c r="AA161" s="36">
        <f t="shared" si="237"/>
        <v>0</v>
      </c>
      <c r="AB161" s="36">
        <f t="shared" si="237"/>
        <v>0</v>
      </c>
      <c r="AC161" s="56"/>
      <c r="AD161" s="23"/>
    </row>
    <row r="162" spans="1:30" s="14" customFormat="1">
      <c r="A162" s="83" t="s">
        <v>771</v>
      </c>
      <c r="B162" s="50">
        <v>138133.07999999999</v>
      </c>
      <c r="C162" s="130">
        <f t="shared" ref="C162" si="238">ROUND(B162/12,2)</f>
        <v>11511.09</v>
      </c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>
        <v>1</v>
      </c>
      <c r="V162" s="37"/>
      <c r="W162" s="37"/>
      <c r="X162" s="37"/>
      <c r="Y162" s="37"/>
      <c r="Z162" s="37"/>
      <c r="AA162" s="37"/>
      <c r="AB162" s="37"/>
      <c r="AC162" s="56"/>
      <c r="AD162" s="23"/>
    </row>
    <row r="163" spans="1:30" s="14" customFormat="1">
      <c r="A163" s="68"/>
      <c r="B163" s="29"/>
      <c r="C163" s="129"/>
      <c r="D163" s="36">
        <f t="shared" si="235"/>
        <v>0</v>
      </c>
      <c r="E163" s="36">
        <f t="shared" si="236"/>
        <v>0</v>
      </c>
      <c r="F163" s="36">
        <f t="shared" si="236"/>
        <v>0</v>
      </c>
      <c r="G163" s="36">
        <f t="shared" si="236"/>
        <v>0</v>
      </c>
      <c r="H163" s="36">
        <f t="shared" si="236"/>
        <v>0</v>
      </c>
      <c r="I163" s="36">
        <f t="shared" si="236"/>
        <v>0</v>
      </c>
      <c r="J163" s="36">
        <f t="shared" si="236"/>
        <v>0</v>
      </c>
      <c r="K163" s="36">
        <f t="shared" si="236"/>
        <v>0</v>
      </c>
      <c r="L163" s="36">
        <f t="shared" si="236"/>
        <v>0</v>
      </c>
      <c r="M163" s="36">
        <f t="shared" si="236"/>
        <v>0</v>
      </c>
      <c r="N163" s="36">
        <f t="shared" si="236"/>
        <v>0</v>
      </c>
      <c r="O163" s="36">
        <f t="shared" si="236"/>
        <v>0</v>
      </c>
      <c r="P163" s="36">
        <f t="shared" si="236"/>
        <v>0</v>
      </c>
      <c r="Q163" s="36">
        <f t="shared" si="236"/>
        <v>0</v>
      </c>
      <c r="R163" s="36">
        <f t="shared" si="236"/>
        <v>0</v>
      </c>
      <c r="S163" s="36">
        <f t="shared" si="236"/>
        <v>0</v>
      </c>
      <c r="T163" s="36">
        <f t="shared" si="236"/>
        <v>0</v>
      </c>
      <c r="U163" s="36">
        <f t="shared" ref="U163:AB163" si="239">$C162*U162</f>
        <v>11511.09</v>
      </c>
      <c r="V163" s="36">
        <f t="shared" si="239"/>
        <v>0</v>
      </c>
      <c r="W163" s="36">
        <f t="shared" si="239"/>
        <v>0</v>
      </c>
      <c r="X163" s="36">
        <f t="shared" si="239"/>
        <v>0</v>
      </c>
      <c r="Y163" s="36">
        <f t="shared" si="239"/>
        <v>0</v>
      </c>
      <c r="Z163" s="36">
        <f t="shared" si="239"/>
        <v>0</v>
      </c>
      <c r="AA163" s="36">
        <f t="shared" si="239"/>
        <v>0</v>
      </c>
      <c r="AB163" s="36">
        <f t="shared" si="239"/>
        <v>0</v>
      </c>
      <c r="AC163" s="56"/>
      <c r="AD163" s="23"/>
    </row>
    <row r="164" spans="1:30" s="14" customFormat="1">
      <c r="A164" s="83" t="s">
        <v>772</v>
      </c>
      <c r="B164" s="50">
        <v>3693.34</v>
      </c>
      <c r="C164" s="130">
        <f t="shared" ref="C164" si="240">ROUND(B164/12,2)</f>
        <v>307.77999999999997</v>
      </c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>
        <v>1</v>
      </c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56"/>
      <c r="AD164" s="23"/>
    </row>
    <row r="165" spans="1:30" s="14" customFormat="1">
      <c r="A165" s="68"/>
      <c r="B165" s="29"/>
      <c r="C165" s="129"/>
      <c r="D165" s="36">
        <f t="shared" si="235"/>
        <v>0</v>
      </c>
      <c r="E165" s="36">
        <f t="shared" si="235"/>
        <v>0</v>
      </c>
      <c r="F165" s="36">
        <f t="shared" si="235"/>
        <v>0</v>
      </c>
      <c r="G165" s="36">
        <f t="shared" si="235"/>
        <v>0</v>
      </c>
      <c r="H165" s="36">
        <f t="shared" si="235"/>
        <v>0</v>
      </c>
      <c r="I165" s="36">
        <f t="shared" si="235"/>
        <v>0</v>
      </c>
      <c r="J165" s="36">
        <f t="shared" si="235"/>
        <v>0</v>
      </c>
      <c r="K165" s="36">
        <f t="shared" si="235"/>
        <v>0</v>
      </c>
      <c r="L165" s="36">
        <f t="shared" si="235"/>
        <v>0</v>
      </c>
      <c r="M165" s="36">
        <f t="shared" si="235"/>
        <v>0</v>
      </c>
      <c r="N165" s="36">
        <f t="shared" si="235"/>
        <v>0</v>
      </c>
      <c r="O165" s="36">
        <f t="shared" si="235"/>
        <v>0</v>
      </c>
      <c r="P165" s="36">
        <f t="shared" si="235"/>
        <v>0</v>
      </c>
      <c r="Q165" s="36">
        <f t="shared" si="235"/>
        <v>0</v>
      </c>
      <c r="R165" s="36">
        <f t="shared" si="235"/>
        <v>307.77999999999997</v>
      </c>
      <c r="S165" s="36">
        <f t="shared" si="235"/>
        <v>0</v>
      </c>
      <c r="T165" s="36">
        <f t="shared" ref="T165:AB165" si="241">$C164*T164</f>
        <v>0</v>
      </c>
      <c r="U165" s="36">
        <f t="shared" si="241"/>
        <v>0</v>
      </c>
      <c r="V165" s="36">
        <f t="shared" si="241"/>
        <v>0</v>
      </c>
      <c r="W165" s="36">
        <f t="shared" si="241"/>
        <v>0</v>
      </c>
      <c r="X165" s="36">
        <f t="shared" si="241"/>
        <v>0</v>
      </c>
      <c r="Y165" s="36">
        <f t="shared" si="241"/>
        <v>0</v>
      </c>
      <c r="Z165" s="36">
        <f t="shared" si="241"/>
        <v>0</v>
      </c>
      <c r="AA165" s="36">
        <f t="shared" si="241"/>
        <v>0</v>
      </c>
      <c r="AB165" s="36">
        <f t="shared" si="241"/>
        <v>0</v>
      </c>
      <c r="AC165" s="56"/>
      <c r="AD165" s="23"/>
    </row>
    <row r="166" spans="1:30" s="14" customFormat="1">
      <c r="A166" s="83" t="s">
        <v>773</v>
      </c>
      <c r="B166" s="50">
        <v>26873.32</v>
      </c>
      <c r="C166" s="130">
        <f t="shared" ref="C166" si="242">ROUND(B166/12,2)</f>
        <v>2239.44</v>
      </c>
      <c r="D166" s="37"/>
      <c r="E166" s="37"/>
      <c r="F166" s="37">
        <v>1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56"/>
      <c r="AD166" s="23"/>
    </row>
    <row r="167" spans="1:30" s="14" customFormat="1">
      <c r="A167" s="68"/>
      <c r="B167" s="29"/>
      <c r="C167" s="129"/>
      <c r="D167" s="36">
        <f t="shared" ref="D167:AB167" si="243">$C166*D166</f>
        <v>0</v>
      </c>
      <c r="E167" s="36">
        <f t="shared" si="243"/>
        <v>0</v>
      </c>
      <c r="F167" s="36">
        <f t="shared" si="243"/>
        <v>2239.44</v>
      </c>
      <c r="G167" s="36">
        <f t="shared" si="243"/>
        <v>0</v>
      </c>
      <c r="H167" s="36">
        <f t="shared" si="243"/>
        <v>0</v>
      </c>
      <c r="I167" s="36">
        <f t="shared" si="243"/>
        <v>0</v>
      </c>
      <c r="J167" s="36">
        <f t="shared" si="243"/>
        <v>0</v>
      </c>
      <c r="K167" s="36">
        <f t="shared" si="243"/>
        <v>0</v>
      </c>
      <c r="L167" s="36">
        <f t="shared" si="243"/>
        <v>0</v>
      </c>
      <c r="M167" s="36">
        <f t="shared" si="243"/>
        <v>0</v>
      </c>
      <c r="N167" s="36">
        <f t="shared" si="243"/>
        <v>0</v>
      </c>
      <c r="O167" s="36">
        <f t="shared" si="243"/>
        <v>0</v>
      </c>
      <c r="P167" s="36">
        <f t="shared" si="243"/>
        <v>0</v>
      </c>
      <c r="Q167" s="36">
        <f t="shared" si="243"/>
        <v>0</v>
      </c>
      <c r="R167" s="36">
        <f t="shared" si="243"/>
        <v>0</v>
      </c>
      <c r="S167" s="36">
        <f t="shared" si="243"/>
        <v>0</v>
      </c>
      <c r="T167" s="36">
        <f t="shared" si="243"/>
        <v>0</v>
      </c>
      <c r="U167" s="36">
        <f t="shared" si="243"/>
        <v>0</v>
      </c>
      <c r="V167" s="36">
        <f t="shared" si="243"/>
        <v>0</v>
      </c>
      <c r="W167" s="36">
        <f t="shared" si="243"/>
        <v>0</v>
      </c>
      <c r="X167" s="36">
        <f t="shared" si="243"/>
        <v>0</v>
      </c>
      <c r="Y167" s="36">
        <f t="shared" si="243"/>
        <v>0</v>
      </c>
      <c r="Z167" s="36">
        <f t="shared" si="243"/>
        <v>0</v>
      </c>
      <c r="AA167" s="36">
        <f t="shared" si="243"/>
        <v>0</v>
      </c>
      <c r="AB167" s="36">
        <f t="shared" si="243"/>
        <v>0</v>
      </c>
      <c r="AC167" s="56"/>
      <c r="AD167" s="23"/>
    </row>
    <row r="168" spans="1:30" s="14" customFormat="1">
      <c r="A168" s="13" t="s">
        <v>50</v>
      </c>
      <c r="B168" s="6">
        <f>B8+B10+B12+B14+B20+B22+B24+B26+B28+B30+B32+B34+B36+B38+B40+B42+B44+B46+B48+B50+B52+B54+B56+B58+B60+B62+B64+B66+B68+B70+B72+B74+B76+B78+B80+B82+B84+B86+B88+B90+B92+B94+B96+B98+B100+B102+B104+B106+B108+B110+B112+B114+B116+B118+B120+B122+B124+B126+B128+B130+B132+B134+B136+B138+B140+B142+B144+B146+B148+B150+B152+B154+B156+B158+B160+B162+B164+B166</f>
        <v>257623759.04000008</v>
      </c>
      <c r="C168" s="131">
        <f>C8+C10+C12+C14+C20+C22+C24+C26+C28+C30+C32+C34+C36+C38+C40+C42+C44+C46+C48+C50+C52+C54+C56+C58+C60+C62+C64+C66+C68+C70+C72+C74+C76+C78+C80+C82+C84+C86+C88+C90+C92+C94+C96+C98+C100+C102+C104+C106+C108+C110+C112+C114+C116+C118+C120+C122+C124+C126+C128+C130+C132+C134+C136+C138+C140+C142+C144+C146+C148+C150+C152+C154+C156+C158+C160+C162+C164+C166</f>
        <v>21468646.609999996</v>
      </c>
      <c r="D168" s="6">
        <f>D9+D11+D13+D15+D21+D23+D25+D27+D29+D31+D33+D35+D37+D39+D41+D43+D45+D47+D49+D51+D53+D55+D57+D59+D61+D63+D65+D67+D69+D71+D73+D75+D77+D79+D81+D83+D85+D87+D89+D91+D93+D95+D97+D99+D101+D103+D105+D107+D109+D111+D113+D115+D117+D119+D121+D123+D125+D127+D129+D131+D133+D135+D137+D139+D141+D143+D145+D147+D149+D151+D153+D155+D157+D159+D161+D163+D165+D167</f>
        <v>158080.04714799995</v>
      </c>
      <c r="E168" s="6">
        <f t="shared" ref="E168:AB168" si="244">E9+E11+E13+E15+E21+E23+E25+E27+E29+E31+E33+E35+E37+E39+E41+E43+E45+E47+E49+E51+E53+E55+E57+E59+E61+E63+E65+E67+E69+E71+E73+E75+E77+E79+E81+E83+E85+E87+E89+E91+E93+E95+E97+E99+E101+E103+E105+E107+E109+E111+E113+E115+E117+E119+E121+E123+E125+E127+E129+E131+E133+E135+E137+E139+E141+E143+E145+E147+E149+E151+E153+E155+E157+E159+E161+E163+E165+E167</f>
        <v>874474.94176299998</v>
      </c>
      <c r="F168" s="6">
        <f t="shared" si="244"/>
        <v>7966993.8026219998</v>
      </c>
      <c r="G168" s="6">
        <f t="shared" si="244"/>
        <v>462273.93573800009</v>
      </c>
      <c r="H168" s="6">
        <f t="shared" si="244"/>
        <v>1115963.46798</v>
      </c>
      <c r="I168" s="6">
        <f t="shared" si="244"/>
        <v>753674.88117399998</v>
      </c>
      <c r="J168" s="6">
        <f t="shared" si="244"/>
        <v>124551.19977100001</v>
      </c>
      <c r="K168" s="6">
        <f t="shared" si="244"/>
        <v>190069.95509199999</v>
      </c>
      <c r="L168" s="6">
        <f t="shared" si="244"/>
        <v>103644.949834</v>
      </c>
      <c r="M168" s="6">
        <f t="shared" si="244"/>
        <v>263337.05084399995</v>
      </c>
      <c r="N168" s="6">
        <f t="shared" si="244"/>
        <v>4151433.3957309998</v>
      </c>
      <c r="O168" s="6">
        <f t="shared" si="244"/>
        <v>136820.52163799998</v>
      </c>
      <c r="P168" s="6">
        <f t="shared" si="244"/>
        <v>0</v>
      </c>
      <c r="Q168" s="6">
        <f t="shared" si="244"/>
        <v>326193.17086199997</v>
      </c>
      <c r="R168" s="6">
        <f t="shared" si="244"/>
        <v>177927.86080400003</v>
      </c>
      <c r="S168" s="6">
        <f t="shared" si="244"/>
        <v>32588.101410000007</v>
      </c>
      <c r="T168" s="6">
        <f t="shared" si="244"/>
        <v>513971.59655299992</v>
      </c>
      <c r="U168" s="6">
        <f t="shared" si="244"/>
        <v>1933752.7968659999</v>
      </c>
      <c r="V168" s="6">
        <f t="shared" si="244"/>
        <v>1329617.0484960002</v>
      </c>
      <c r="W168" s="6">
        <f t="shared" si="244"/>
        <v>365151.52182199992</v>
      </c>
      <c r="X168" s="6">
        <f t="shared" si="244"/>
        <v>457585.46358799998</v>
      </c>
      <c r="Y168" s="6">
        <f t="shared" si="244"/>
        <v>18256.192894</v>
      </c>
      <c r="Z168" s="6">
        <f t="shared" si="244"/>
        <v>8053.9742760000008</v>
      </c>
      <c r="AA168" s="6">
        <f t="shared" si="244"/>
        <v>4230.7330940000002</v>
      </c>
      <c r="AB168" s="6">
        <f t="shared" si="244"/>
        <v>0</v>
      </c>
      <c r="AC168" s="56"/>
      <c r="AD168" s="23"/>
    </row>
    <row r="169" spans="1:30" s="14" customFormat="1">
      <c r="A169" s="13"/>
      <c r="B169" s="6"/>
      <c r="C169" s="15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19"/>
      <c r="AA169" s="19"/>
      <c r="AB169" s="19"/>
      <c r="AC169" s="56"/>
      <c r="AD169" s="23"/>
    </row>
    <row r="170" spans="1:30" s="14" customFormat="1">
      <c r="A170" s="69"/>
      <c r="C170" s="154"/>
      <c r="AC170" s="56"/>
      <c r="AD170" s="23"/>
    </row>
    <row r="171" spans="1:30" s="14" customFormat="1" ht="13.8" thickBot="1">
      <c r="A171" s="64" t="s">
        <v>51</v>
      </c>
      <c r="B171" s="65"/>
      <c r="C171" s="152"/>
      <c r="D171" s="65"/>
      <c r="E171" s="65"/>
      <c r="F171" s="65"/>
      <c r="G171" s="19"/>
      <c r="H171" s="22"/>
      <c r="I171" s="22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56"/>
      <c r="AD171" s="23"/>
    </row>
    <row r="172" spans="1:30" s="14" customFormat="1" ht="13.8" thickBot="1">
      <c r="A172" s="93" t="s">
        <v>1</v>
      </c>
      <c r="B172" s="94" t="s">
        <v>2</v>
      </c>
      <c r="C172" s="125" t="s">
        <v>3</v>
      </c>
      <c r="D172" s="211" t="s">
        <v>4</v>
      </c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103"/>
      <c r="AA172" s="103"/>
      <c r="AB172" s="103"/>
      <c r="AC172" s="56"/>
      <c r="AD172" s="23"/>
    </row>
    <row r="173" spans="1:30" s="14" customFormat="1">
      <c r="A173" s="95" t="s">
        <v>5</v>
      </c>
      <c r="B173" s="96" t="s">
        <v>6</v>
      </c>
      <c r="C173" s="126" t="s">
        <v>6</v>
      </c>
      <c r="D173" s="97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9"/>
      <c r="Z173" s="96" t="s">
        <v>7</v>
      </c>
      <c r="AA173" s="96"/>
      <c r="AB173" s="96"/>
      <c r="AC173" s="56"/>
      <c r="AD173" s="23"/>
    </row>
    <row r="174" spans="1:30" s="14" customFormat="1">
      <c r="A174" s="95" t="s">
        <v>8</v>
      </c>
      <c r="B174" s="96" t="s">
        <v>9</v>
      </c>
      <c r="C174" s="126" t="s">
        <v>9</v>
      </c>
      <c r="D174" s="100" t="s">
        <v>10</v>
      </c>
      <c r="E174" s="96" t="s">
        <v>11</v>
      </c>
      <c r="F174" s="96" t="s">
        <v>12</v>
      </c>
      <c r="G174" s="96" t="s">
        <v>13</v>
      </c>
      <c r="H174" s="96" t="s">
        <v>14</v>
      </c>
      <c r="I174" s="96" t="s">
        <v>15</v>
      </c>
      <c r="J174" s="96" t="s">
        <v>16</v>
      </c>
      <c r="K174" s="96" t="s">
        <v>17</v>
      </c>
      <c r="L174" s="96" t="s">
        <v>18</v>
      </c>
      <c r="M174" s="96" t="s">
        <v>19</v>
      </c>
      <c r="N174" s="96" t="s">
        <v>20</v>
      </c>
      <c r="O174" s="96" t="s">
        <v>169</v>
      </c>
      <c r="P174" s="96" t="s">
        <v>21</v>
      </c>
      <c r="Q174" s="96" t="s">
        <v>22</v>
      </c>
      <c r="R174" s="96" t="s">
        <v>23</v>
      </c>
      <c r="S174" s="96" t="s">
        <v>24</v>
      </c>
      <c r="T174" s="96" t="s">
        <v>25</v>
      </c>
      <c r="U174" s="96" t="s">
        <v>26</v>
      </c>
      <c r="V174" s="96" t="s">
        <v>27</v>
      </c>
      <c r="W174" s="96" t="s">
        <v>28</v>
      </c>
      <c r="X174" s="96" t="s">
        <v>29</v>
      </c>
      <c r="Y174" s="96" t="s">
        <v>30</v>
      </c>
      <c r="Z174" s="96" t="s">
        <v>31</v>
      </c>
      <c r="AA174" s="96" t="s">
        <v>484</v>
      </c>
      <c r="AB174" s="96" t="s">
        <v>467</v>
      </c>
      <c r="AC174" s="56"/>
      <c r="AD174" s="23"/>
    </row>
    <row r="175" spans="1:30" s="14" customFormat="1">
      <c r="A175" s="95"/>
      <c r="B175" s="96"/>
      <c r="C175" s="126" t="s">
        <v>746</v>
      </c>
      <c r="D175" s="101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56"/>
      <c r="AD175" s="23"/>
    </row>
    <row r="176" spans="1:30" s="14" customFormat="1">
      <c r="A176" s="78" t="s">
        <v>52</v>
      </c>
      <c r="B176" s="15">
        <v>5919467</v>
      </c>
      <c r="C176" s="130">
        <f>ROUND(B176/12,2)</f>
        <v>493288.92</v>
      </c>
      <c r="D176" s="4"/>
      <c r="E176" s="4"/>
      <c r="F176" s="4"/>
      <c r="G176" s="4"/>
      <c r="H176" s="4">
        <v>0.75849999999999995</v>
      </c>
      <c r="I176" s="4"/>
      <c r="J176" s="4"/>
      <c r="K176" s="4"/>
      <c r="L176" s="4"/>
      <c r="M176" s="4"/>
      <c r="N176" s="4">
        <v>0.1154</v>
      </c>
      <c r="O176" s="4"/>
      <c r="P176" s="4"/>
      <c r="Q176" s="4"/>
      <c r="R176" s="4">
        <v>4.7300000000000002E-2</v>
      </c>
      <c r="S176" s="4"/>
      <c r="T176" s="4"/>
      <c r="U176" s="4"/>
      <c r="V176" s="4">
        <v>7.8799999999999995E-2</v>
      </c>
      <c r="W176" s="4"/>
      <c r="X176" s="4"/>
      <c r="Y176" s="4"/>
      <c r="Z176" s="4"/>
      <c r="AA176" s="4"/>
      <c r="AB176" s="4"/>
      <c r="AC176" s="56"/>
      <c r="AD176" s="23"/>
    </row>
    <row r="177" spans="1:30" s="14" customFormat="1">
      <c r="A177" s="79"/>
      <c r="B177" s="9"/>
      <c r="C177" s="130"/>
      <c r="D177" s="5">
        <f t="shared" ref="D177" si="245">$C176*D176</f>
        <v>0</v>
      </c>
      <c r="E177" s="5">
        <f t="shared" ref="E177" si="246">$C176*E176</f>
        <v>0</v>
      </c>
      <c r="F177" s="5">
        <f t="shared" ref="F177:AB177" si="247">$C176*F176</f>
        <v>0</v>
      </c>
      <c r="G177" s="5">
        <f t="shared" si="247"/>
        <v>0</v>
      </c>
      <c r="H177" s="5">
        <f>$C176*H176</f>
        <v>374159.64581999998</v>
      </c>
      <c r="I177" s="5">
        <f t="shared" si="247"/>
        <v>0</v>
      </c>
      <c r="J177" s="5">
        <f t="shared" si="247"/>
        <v>0</v>
      </c>
      <c r="K177" s="5">
        <f t="shared" si="247"/>
        <v>0</v>
      </c>
      <c r="L177" s="5">
        <f t="shared" si="247"/>
        <v>0</v>
      </c>
      <c r="M177" s="5">
        <f t="shared" si="247"/>
        <v>0</v>
      </c>
      <c r="N177" s="5">
        <f t="shared" si="247"/>
        <v>56925.541367999998</v>
      </c>
      <c r="O177" s="5">
        <f t="shared" si="247"/>
        <v>0</v>
      </c>
      <c r="P177" s="5">
        <f t="shared" si="247"/>
        <v>0</v>
      </c>
      <c r="Q177" s="5">
        <f t="shared" si="247"/>
        <v>0</v>
      </c>
      <c r="R177" s="5">
        <f t="shared" si="247"/>
        <v>23332.565916</v>
      </c>
      <c r="S177" s="5">
        <f t="shared" si="247"/>
        <v>0</v>
      </c>
      <c r="T177" s="5">
        <f t="shared" si="247"/>
        <v>0</v>
      </c>
      <c r="U177" s="5">
        <f t="shared" si="247"/>
        <v>0</v>
      </c>
      <c r="V177" s="5">
        <f t="shared" si="247"/>
        <v>38871.166895999995</v>
      </c>
      <c r="W177" s="5">
        <f t="shared" si="247"/>
        <v>0</v>
      </c>
      <c r="X177" s="5">
        <f t="shared" si="247"/>
        <v>0</v>
      </c>
      <c r="Y177" s="5">
        <f t="shared" si="247"/>
        <v>0</v>
      </c>
      <c r="Z177" s="5">
        <f t="shared" si="247"/>
        <v>0</v>
      </c>
      <c r="AA177" s="5">
        <f t="shared" si="247"/>
        <v>0</v>
      </c>
      <c r="AB177" s="5">
        <f t="shared" si="247"/>
        <v>0</v>
      </c>
      <c r="AC177" s="56"/>
      <c r="AD177" s="23"/>
    </row>
    <row r="178" spans="1:30" s="14" customFormat="1">
      <c r="A178" s="78" t="s">
        <v>53</v>
      </c>
      <c r="B178" s="15">
        <v>4421983</v>
      </c>
      <c r="C178" s="130">
        <f t="shared" ref="C178:C200" si="248">ROUND(B178/12,2)</f>
        <v>368498.58</v>
      </c>
      <c r="D178" s="4"/>
      <c r="E178" s="4"/>
      <c r="F178" s="4"/>
      <c r="G178" s="4"/>
      <c r="H178" s="4">
        <v>0.85560000000000003</v>
      </c>
      <c r="I178" s="4"/>
      <c r="J178" s="4"/>
      <c r="K178" s="4"/>
      <c r="L178" s="4"/>
      <c r="M178" s="4"/>
      <c r="N178" s="4"/>
      <c r="O178" s="4"/>
      <c r="P178" s="4"/>
      <c r="Q178" s="4"/>
      <c r="R178" s="4">
        <v>8.3000000000000001E-3</v>
      </c>
      <c r="S178" s="4"/>
      <c r="T178" s="4"/>
      <c r="U178" s="4"/>
      <c r="V178" s="4">
        <v>0.1361</v>
      </c>
      <c r="W178" s="4"/>
      <c r="X178" s="4"/>
      <c r="Y178" s="4"/>
      <c r="Z178" s="4"/>
      <c r="AA178" s="4"/>
      <c r="AB178" s="4"/>
      <c r="AC178" s="56"/>
      <c r="AD178" s="23"/>
    </row>
    <row r="179" spans="1:30" s="14" customFormat="1">
      <c r="A179" s="79"/>
      <c r="B179" s="9"/>
      <c r="C179" s="130"/>
      <c r="D179" s="5">
        <f t="shared" ref="D179" si="249">$C178*D178</f>
        <v>0</v>
      </c>
      <c r="E179" s="5">
        <f t="shared" ref="E179" si="250">$C178*E178</f>
        <v>0</v>
      </c>
      <c r="F179" s="5">
        <f t="shared" ref="F179:AB179" si="251">$C178*F178</f>
        <v>0</v>
      </c>
      <c r="G179" s="5">
        <f t="shared" si="251"/>
        <v>0</v>
      </c>
      <c r="H179" s="5">
        <f t="shared" si="251"/>
        <v>315287.38504800003</v>
      </c>
      <c r="I179" s="5">
        <f t="shared" si="251"/>
        <v>0</v>
      </c>
      <c r="J179" s="5">
        <f t="shared" si="251"/>
        <v>0</v>
      </c>
      <c r="K179" s="5">
        <f t="shared" si="251"/>
        <v>0</v>
      </c>
      <c r="L179" s="5">
        <f t="shared" si="251"/>
        <v>0</v>
      </c>
      <c r="M179" s="5">
        <f t="shared" si="251"/>
        <v>0</v>
      </c>
      <c r="N179" s="5">
        <f t="shared" si="251"/>
        <v>0</v>
      </c>
      <c r="O179" s="5">
        <f t="shared" si="251"/>
        <v>0</v>
      </c>
      <c r="P179" s="5">
        <f t="shared" si="251"/>
        <v>0</v>
      </c>
      <c r="Q179" s="5">
        <f t="shared" si="251"/>
        <v>0</v>
      </c>
      <c r="R179" s="5">
        <f t="shared" si="251"/>
        <v>3058.5382140000002</v>
      </c>
      <c r="S179" s="5">
        <f t="shared" si="251"/>
        <v>0</v>
      </c>
      <c r="T179" s="5">
        <f t="shared" si="251"/>
        <v>0</v>
      </c>
      <c r="U179" s="5">
        <f t="shared" si="251"/>
        <v>0</v>
      </c>
      <c r="V179" s="5">
        <f t="shared" si="251"/>
        <v>50152.656738000005</v>
      </c>
      <c r="W179" s="5">
        <f t="shared" si="251"/>
        <v>0</v>
      </c>
      <c r="X179" s="5">
        <f t="shared" si="251"/>
        <v>0</v>
      </c>
      <c r="Y179" s="5">
        <f t="shared" si="251"/>
        <v>0</v>
      </c>
      <c r="Z179" s="5">
        <f t="shared" si="251"/>
        <v>0</v>
      </c>
      <c r="AA179" s="5">
        <f t="shared" si="251"/>
        <v>0</v>
      </c>
      <c r="AB179" s="5">
        <f t="shared" si="251"/>
        <v>0</v>
      </c>
      <c r="AC179" s="56"/>
      <c r="AD179" s="23"/>
    </row>
    <row r="180" spans="1:30" s="14" customFormat="1">
      <c r="A180" s="78" t="s">
        <v>54</v>
      </c>
      <c r="B180" s="15">
        <v>2849684</v>
      </c>
      <c r="C180" s="130">
        <f t="shared" si="248"/>
        <v>237473.67</v>
      </c>
      <c r="D180" s="4"/>
      <c r="E180" s="4"/>
      <c r="F180" s="4"/>
      <c r="G180" s="4"/>
      <c r="H180" s="4">
        <v>0.90559999999999996</v>
      </c>
      <c r="I180" s="4"/>
      <c r="J180" s="4"/>
      <c r="K180" s="4"/>
      <c r="L180" s="4"/>
      <c r="M180" s="4"/>
      <c r="N180" s="4"/>
      <c r="O180" s="4"/>
      <c r="P180" s="4"/>
      <c r="Q180" s="4"/>
      <c r="R180" s="4">
        <v>1.5100000000000001E-2</v>
      </c>
      <c r="S180" s="4"/>
      <c r="T180" s="4">
        <v>9.1999999999999998E-3</v>
      </c>
      <c r="U180" s="4"/>
      <c r="V180" s="4">
        <v>4.0099999999999997E-2</v>
      </c>
      <c r="W180" s="4">
        <v>0.03</v>
      </c>
      <c r="X180" s="4"/>
      <c r="Y180" s="4"/>
      <c r="Z180" s="4"/>
      <c r="AA180" s="4"/>
      <c r="AB180" s="4"/>
      <c r="AC180" s="56"/>
      <c r="AD180" s="23"/>
    </row>
    <row r="181" spans="1:30" s="14" customFormat="1">
      <c r="A181" s="79"/>
      <c r="B181" s="9"/>
      <c r="C181" s="130"/>
      <c r="D181" s="5">
        <f t="shared" ref="D181" si="252">$C180*D180</f>
        <v>0</v>
      </c>
      <c r="E181" s="5">
        <f t="shared" ref="E181" si="253">$C180*E180</f>
        <v>0</v>
      </c>
      <c r="F181" s="5">
        <f t="shared" ref="F181:AB181" si="254">$C180*F180</f>
        <v>0</v>
      </c>
      <c r="G181" s="5">
        <f t="shared" si="254"/>
        <v>0</v>
      </c>
      <c r="H181" s="5">
        <f t="shared" si="254"/>
        <v>215056.15555200001</v>
      </c>
      <c r="I181" s="5">
        <f t="shared" si="254"/>
        <v>0</v>
      </c>
      <c r="J181" s="5">
        <f t="shared" si="254"/>
        <v>0</v>
      </c>
      <c r="K181" s="5">
        <f t="shared" si="254"/>
        <v>0</v>
      </c>
      <c r="L181" s="5">
        <f t="shared" si="254"/>
        <v>0</v>
      </c>
      <c r="M181" s="5">
        <f t="shared" si="254"/>
        <v>0</v>
      </c>
      <c r="N181" s="5">
        <f t="shared" si="254"/>
        <v>0</v>
      </c>
      <c r="O181" s="5">
        <f t="shared" si="254"/>
        <v>0</v>
      </c>
      <c r="P181" s="5">
        <f t="shared" si="254"/>
        <v>0</v>
      </c>
      <c r="Q181" s="5">
        <f t="shared" si="254"/>
        <v>0</v>
      </c>
      <c r="R181" s="5">
        <f t="shared" si="254"/>
        <v>3585.8524170000005</v>
      </c>
      <c r="S181" s="5">
        <f t="shared" si="254"/>
        <v>0</v>
      </c>
      <c r="T181" s="5">
        <f t="shared" si="254"/>
        <v>2184.757764</v>
      </c>
      <c r="U181" s="5">
        <f t="shared" si="254"/>
        <v>0</v>
      </c>
      <c r="V181" s="5">
        <f t="shared" si="254"/>
        <v>9522.6941669999997</v>
      </c>
      <c r="W181" s="5">
        <f t="shared" si="254"/>
        <v>7124.2101000000002</v>
      </c>
      <c r="X181" s="5">
        <f t="shared" si="254"/>
        <v>0</v>
      </c>
      <c r="Y181" s="5">
        <f t="shared" si="254"/>
        <v>0</v>
      </c>
      <c r="Z181" s="5">
        <f t="shared" si="254"/>
        <v>0</v>
      </c>
      <c r="AA181" s="5">
        <f t="shared" si="254"/>
        <v>0</v>
      </c>
      <c r="AB181" s="5">
        <f t="shared" si="254"/>
        <v>0</v>
      </c>
      <c r="AC181" s="56"/>
      <c r="AD181" s="23"/>
    </row>
    <row r="182" spans="1:30" s="14" customFormat="1">
      <c r="A182" s="78" t="s">
        <v>309</v>
      </c>
      <c r="B182" s="15">
        <v>2796752</v>
      </c>
      <c r="C182" s="130">
        <f>ROUND(B182/12,2)</f>
        <v>233062.67</v>
      </c>
      <c r="D182" s="37">
        <v>0.09</v>
      </c>
      <c r="E182" s="37"/>
      <c r="F182" s="37"/>
      <c r="G182" s="37"/>
      <c r="H182" s="37"/>
      <c r="I182" s="37"/>
      <c r="J182" s="37"/>
      <c r="K182" s="37"/>
      <c r="L182" s="37"/>
      <c r="M182" s="37">
        <v>0.16850000000000001</v>
      </c>
      <c r="N182" s="37"/>
      <c r="O182" s="37"/>
      <c r="P182" s="37"/>
      <c r="Q182" s="37">
        <v>9.64E-2</v>
      </c>
      <c r="R182" s="37">
        <v>1.4800000000000001E-2</v>
      </c>
      <c r="S182" s="37">
        <v>9.4999999999999998E-3</v>
      </c>
      <c r="T182" s="37">
        <v>0.30790000000000001</v>
      </c>
      <c r="U182" s="37"/>
      <c r="V182" s="37"/>
      <c r="W182" s="37">
        <v>0.1641</v>
      </c>
      <c r="X182" s="37">
        <v>0.14069999999999999</v>
      </c>
      <c r="Y182" s="37">
        <v>5.1999999999999998E-3</v>
      </c>
      <c r="Z182" s="37">
        <v>2.8999999999999998E-3</v>
      </c>
      <c r="AA182" s="37">
        <v>0</v>
      </c>
      <c r="AB182" s="37">
        <v>0</v>
      </c>
      <c r="AC182" s="56"/>
      <c r="AD182" s="23"/>
    </row>
    <row r="183" spans="1:30" s="14" customFormat="1">
      <c r="A183" s="79"/>
      <c r="B183" s="9"/>
      <c r="C183" s="130"/>
      <c r="D183" s="36">
        <f t="shared" ref="D183" si="255">$C182*D182</f>
        <v>20975.640299999999</v>
      </c>
      <c r="E183" s="36">
        <f t="shared" ref="E183" si="256">$C182*E182</f>
        <v>0</v>
      </c>
      <c r="F183" s="36">
        <f t="shared" ref="F183:O183" si="257">$C182*F182</f>
        <v>0</v>
      </c>
      <c r="G183" s="36">
        <f t="shared" si="257"/>
        <v>0</v>
      </c>
      <c r="H183" s="36">
        <f t="shared" si="257"/>
        <v>0</v>
      </c>
      <c r="I183" s="36">
        <f t="shared" si="257"/>
        <v>0</v>
      </c>
      <c r="J183" s="36">
        <f t="shared" si="257"/>
        <v>0</v>
      </c>
      <c r="K183" s="36">
        <f t="shared" si="257"/>
        <v>0</v>
      </c>
      <c r="L183" s="36">
        <f t="shared" si="257"/>
        <v>0</v>
      </c>
      <c r="M183" s="36">
        <f t="shared" si="257"/>
        <v>39271.059895000006</v>
      </c>
      <c r="N183" s="36">
        <f t="shared" si="257"/>
        <v>0</v>
      </c>
      <c r="O183" s="36">
        <f t="shared" si="257"/>
        <v>0</v>
      </c>
      <c r="P183" s="36">
        <f t="shared" ref="P183" si="258">$C182*P182</f>
        <v>0</v>
      </c>
      <c r="Q183" s="36">
        <f t="shared" ref="Q183" si="259">$C182*Q182</f>
        <v>22467.241388000002</v>
      </c>
      <c r="R183" s="36">
        <f t="shared" ref="R183:AB183" si="260">$C182*R182</f>
        <v>3449.3275160000003</v>
      </c>
      <c r="S183" s="36">
        <f t="shared" si="260"/>
        <v>2214.0953650000001</v>
      </c>
      <c r="T183" s="36">
        <f t="shared" si="260"/>
        <v>71759.996093000009</v>
      </c>
      <c r="U183" s="36">
        <f t="shared" si="260"/>
        <v>0</v>
      </c>
      <c r="V183" s="36">
        <f t="shared" si="260"/>
        <v>0</v>
      </c>
      <c r="W183" s="36">
        <f t="shared" si="260"/>
        <v>38245.584147000001</v>
      </c>
      <c r="X183" s="36">
        <f t="shared" si="260"/>
        <v>32791.917669000002</v>
      </c>
      <c r="Y183" s="36">
        <f t="shared" si="260"/>
        <v>1211.925884</v>
      </c>
      <c r="Z183" s="36">
        <f t="shared" si="260"/>
        <v>675.88174300000003</v>
      </c>
      <c r="AA183" s="36">
        <f t="shared" si="260"/>
        <v>0</v>
      </c>
      <c r="AB183" s="36">
        <f t="shared" si="260"/>
        <v>0</v>
      </c>
      <c r="AC183" s="56"/>
      <c r="AD183" s="23"/>
    </row>
    <row r="184" spans="1:30" s="14" customFormat="1">
      <c r="A184" s="78" t="s">
        <v>310</v>
      </c>
      <c r="B184" s="15">
        <v>11478665</v>
      </c>
      <c r="C184" s="130">
        <f t="shared" si="248"/>
        <v>956555.42</v>
      </c>
      <c r="D184" s="4"/>
      <c r="E184" s="4"/>
      <c r="F184" s="4">
        <v>2.0199999999999999E-2</v>
      </c>
      <c r="G184" s="4"/>
      <c r="H184" s="4">
        <v>0.75219999999999998</v>
      </c>
      <c r="I184" s="4"/>
      <c r="J184" s="4"/>
      <c r="K184" s="4"/>
      <c r="L184" s="4"/>
      <c r="M184" s="4"/>
      <c r="N184" s="4">
        <v>0.161</v>
      </c>
      <c r="O184" s="4"/>
      <c r="P184" s="4"/>
      <c r="Q184" s="4"/>
      <c r="R184" s="4"/>
      <c r="S184" s="4"/>
      <c r="T184" s="4"/>
      <c r="U184" s="4"/>
      <c r="V184" s="4">
        <v>6.6600000000000006E-2</v>
      </c>
      <c r="W184" s="4"/>
      <c r="X184" s="4"/>
      <c r="Y184" s="4"/>
      <c r="Z184" s="4"/>
      <c r="AA184" s="4"/>
      <c r="AB184" s="4"/>
      <c r="AC184" s="56"/>
      <c r="AD184" s="23"/>
    </row>
    <row r="185" spans="1:30" s="14" customFormat="1">
      <c r="A185" s="79"/>
      <c r="B185" s="9"/>
      <c r="C185" s="130"/>
      <c r="D185" s="5">
        <f t="shared" ref="D185" si="261">$C184*D184</f>
        <v>0</v>
      </c>
      <c r="E185" s="5">
        <f t="shared" ref="E185" si="262">$C184*E184</f>
        <v>0</v>
      </c>
      <c r="F185" s="5">
        <f t="shared" ref="F185:O185" si="263">$C184*F184</f>
        <v>19322.419484000002</v>
      </c>
      <c r="G185" s="5">
        <f t="shared" si="263"/>
        <v>0</v>
      </c>
      <c r="H185" s="5">
        <f t="shared" si="263"/>
        <v>719520.98692399997</v>
      </c>
      <c r="I185" s="5">
        <f t="shared" si="263"/>
        <v>0</v>
      </c>
      <c r="J185" s="5">
        <f t="shared" si="263"/>
        <v>0</v>
      </c>
      <c r="K185" s="5">
        <f t="shared" si="263"/>
        <v>0</v>
      </c>
      <c r="L185" s="5">
        <f t="shared" si="263"/>
        <v>0</v>
      </c>
      <c r="M185" s="5">
        <f t="shared" si="263"/>
        <v>0</v>
      </c>
      <c r="N185" s="5">
        <f t="shared" si="263"/>
        <v>154005.42262</v>
      </c>
      <c r="O185" s="5">
        <f t="shared" si="263"/>
        <v>0</v>
      </c>
      <c r="P185" s="5">
        <f t="shared" ref="P185" si="264">$C184*P184</f>
        <v>0</v>
      </c>
      <c r="Q185" s="5">
        <f t="shared" ref="Q185" si="265">$C184*Q184</f>
        <v>0</v>
      </c>
      <c r="R185" s="5">
        <f t="shared" ref="R185:AB185" si="266">$C184*R184</f>
        <v>0</v>
      </c>
      <c r="S185" s="5">
        <f t="shared" si="266"/>
        <v>0</v>
      </c>
      <c r="T185" s="5">
        <f t="shared" si="266"/>
        <v>0</v>
      </c>
      <c r="U185" s="5">
        <f t="shared" si="266"/>
        <v>0</v>
      </c>
      <c r="V185" s="5">
        <f t="shared" si="266"/>
        <v>63706.590972000005</v>
      </c>
      <c r="W185" s="5">
        <f t="shared" si="266"/>
        <v>0</v>
      </c>
      <c r="X185" s="5">
        <f t="shared" si="266"/>
        <v>0</v>
      </c>
      <c r="Y185" s="5">
        <f t="shared" si="266"/>
        <v>0</v>
      </c>
      <c r="Z185" s="5">
        <f t="shared" si="266"/>
        <v>0</v>
      </c>
      <c r="AA185" s="5">
        <f t="shared" si="266"/>
        <v>0</v>
      </c>
      <c r="AB185" s="5">
        <f t="shared" si="266"/>
        <v>0</v>
      </c>
      <c r="AC185" s="56"/>
      <c r="AD185" s="23"/>
    </row>
    <row r="186" spans="1:30" s="14" customFormat="1">
      <c r="A186" s="78" t="s">
        <v>311</v>
      </c>
      <c r="B186" s="15">
        <v>3083700</v>
      </c>
      <c r="C186" s="130">
        <f t="shared" si="248"/>
        <v>256975</v>
      </c>
      <c r="D186" s="4"/>
      <c r="E186" s="4"/>
      <c r="F186" s="4">
        <v>4.4200000000000003E-2</v>
      </c>
      <c r="G186" s="4"/>
      <c r="H186" s="4">
        <v>0.66949999999999998</v>
      </c>
      <c r="I186" s="4">
        <v>4.1200000000000001E-2</v>
      </c>
      <c r="J186" s="4">
        <v>4.8999999999999998E-3</v>
      </c>
      <c r="K186" s="4"/>
      <c r="L186" s="4"/>
      <c r="M186" s="4"/>
      <c r="N186" s="4">
        <v>0.18759999999999999</v>
      </c>
      <c r="O186" s="4"/>
      <c r="P186" s="4"/>
      <c r="Q186" s="4"/>
      <c r="R186" s="4"/>
      <c r="S186" s="4"/>
      <c r="T186" s="4"/>
      <c r="U186" s="4">
        <v>5.0000000000000001E-4</v>
      </c>
      <c r="V186" s="4">
        <v>5.21E-2</v>
      </c>
      <c r="W186" s="4"/>
      <c r="X186" s="4"/>
      <c r="Y186" s="4"/>
      <c r="Z186" s="4"/>
      <c r="AA186" s="4"/>
      <c r="AB186" s="4"/>
      <c r="AC186" s="56"/>
      <c r="AD186" s="23"/>
    </row>
    <row r="187" spans="1:30" s="14" customFormat="1">
      <c r="A187" s="79"/>
      <c r="B187" s="9"/>
      <c r="C187" s="130"/>
      <c r="D187" s="5">
        <f t="shared" ref="D187" si="267">$C186*D186</f>
        <v>0</v>
      </c>
      <c r="E187" s="5">
        <f t="shared" ref="E187" si="268">$C186*E186</f>
        <v>0</v>
      </c>
      <c r="F187" s="5">
        <f t="shared" ref="F187:O187" si="269">$C186*F186</f>
        <v>11358.295</v>
      </c>
      <c r="G187" s="5">
        <f t="shared" si="269"/>
        <v>0</v>
      </c>
      <c r="H187" s="5">
        <f t="shared" si="269"/>
        <v>172044.76249999998</v>
      </c>
      <c r="I187" s="5">
        <f t="shared" si="269"/>
        <v>10587.37</v>
      </c>
      <c r="J187" s="5">
        <f t="shared" si="269"/>
        <v>1259.1775</v>
      </c>
      <c r="K187" s="5">
        <f t="shared" si="269"/>
        <v>0</v>
      </c>
      <c r="L187" s="5">
        <f t="shared" si="269"/>
        <v>0</v>
      </c>
      <c r="M187" s="5">
        <f t="shared" si="269"/>
        <v>0</v>
      </c>
      <c r="N187" s="5">
        <f t="shared" si="269"/>
        <v>48208.509999999995</v>
      </c>
      <c r="O187" s="5">
        <f t="shared" si="269"/>
        <v>0</v>
      </c>
      <c r="P187" s="5">
        <f t="shared" ref="P187" si="270">$C186*P186</f>
        <v>0</v>
      </c>
      <c r="Q187" s="5">
        <f t="shared" ref="Q187" si="271">$C186*Q186</f>
        <v>0</v>
      </c>
      <c r="R187" s="5">
        <f t="shared" ref="R187:AB187" si="272">$C186*R186</f>
        <v>0</v>
      </c>
      <c r="S187" s="5">
        <f t="shared" si="272"/>
        <v>0</v>
      </c>
      <c r="T187" s="5">
        <f t="shared" si="272"/>
        <v>0</v>
      </c>
      <c r="U187" s="5">
        <f t="shared" si="272"/>
        <v>128.48750000000001</v>
      </c>
      <c r="V187" s="5">
        <f t="shared" si="272"/>
        <v>13388.397500000001</v>
      </c>
      <c r="W187" s="5">
        <f t="shared" si="272"/>
        <v>0</v>
      </c>
      <c r="X187" s="5">
        <f t="shared" si="272"/>
        <v>0</v>
      </c>
      <c r="Y187" s="5">
        <f t="shared" si="272"/>
        <v>0</v>
      </c>
      <c r="Z187" s="5">
        <f t="shared" si="272"/>
        <v>0</v>
      </c>
      <c r="AA187" s="5">
        <f t="shared" si="272"/>
        <v>0</v>
      </c>
      <c r="AB187" s="5">
        <f t="shared" si="272"/>
        <v>0</v>
      </c>
      <c r="AC187" s="56"/>
      <c r="AD187" s="23"/>
    </row>
    <row r="188" spans="1:30" s="14" customFormat="1">
      <c r="A188" s="78" t="s">
        <v>382</v>
      </c>
      <c r="B188" s="15">
        <v>3867283</v>
      </c>
      <c r="C188" s="130">
        <f t="shared" si="248"/>
        <v>322273.58</v>
      </c>
      <c r="D188" s="4"/>
      <c r="E188" s="4"/>
      <c r="F188" s="4">
        <v>4.4200000000000003E-2</v>
      </c>
      <c r="G188" s="4"/>
      <c r="H188" s="4">
        <v>0.66949999999999998</v>
      </c>
      <c r="I188" s="4">
        <v>4.1200000000000001E-2</v>
      </c>
      <c r="J188" s="4">
        <v>4.8999999999999998E-3</v>
      </c>
      <c r="K188" s="4"/>
      <c r="L188" s="4"/>
      <c r="M188" s="4"/>
      <c r="N188" s="4">
        <v>0.18759999999999999</v>
      </c>
      <c r="O188" s="4"/>
      <c r="P188" s="4"/>
      <c r="Q188" s="4"/>
      <c r="R188" s="4"/>
      <c r="S188" s="4"/>
      <c r="T188" s="4"/>
      <c r="U188" s="4">
        <v>5.0000000000000001E-4</v>
      </c>
      <c r="V188" s="4">
        <v>5.21E-2</v>
      </c>
      <c r="W188" s="4"/>
      <c r="X188" s="4"/>
      <c r="Y188" s="4"/>
      <c r="Z188" s="4"/>
      <c r="AA188" s="4"/>
      <c r="AB188" s="4"/>
      <c r="AC188" s="56"/>
      <c r="AD188" s="23"/>
    </row>
    <row r="189" spans="1:30" s="14" customFormat="1">
      <c r="A189" s="79"/>
      <c r="B189" s="9"/>
      <c r="C189" s="130"/>
      <c r="D189" s="5">
        <f t="shared" ref="D189" si="273">$C188*D188</f>
        <v>0</v>
      </c>
      <c r="E189" s="5">
        <f t="shared" ref="E189" si="274">$C188*E188</f>
        <v>0</v>
      </c>
      <c r="F189" s="5">
        <f t="shared" ref="F189:O189" si="275">$C188*F188</f>
        <v>14244.492236000002</v>
      </c>
      <c r="G189" s="5">
        <f t="shared" si="275"/>
        <v>0</v>
      </c>
      <c r="H189" s="5">
        <f t="shared" si="275"/>
        <v>215762.16181000002</v>
      </c>
      <c r="I189" s="5">
        <f t="shared" si="275"/>
        <v>13277.671496000001</v>
      </c>
      <c r="J189" s="5">
        <f t="shared" si="275"/>
        <v>1579.1405420000001</v>
      </c>
      <c r="K189" s="5">
        <f t="shared" si="275"/>
        <v>0</v>
      </c>
      <c r="L189" s="5">
        <f t="shared" si="275"/>
        <v>0</v>
      </c>
      <c r="M189" s="5">
        <f t="shared" si="275"/>
        <v>0</v>
      </c>
      <c r="N189" s="5">
        <f t="shared" si="275"/>
        <v>60458.523607999996</v>
      </c>
      <c r="O189" s="5">
        <f t="shared" si="275"/>
        <v>0</v>
      </c>
      <c r="P189" s="5">
        <f t="shared" ref="P189" si="276">$C188*P188</f>
        <v>0</v>
      </c>
      <c r="Q189" s="5">
        <f t="shared" ref="Q189" si="277">$C188*Q188</f>
        <v>0</v>
      </c>
      <c r="R189" s="5">
        <f t="shared" ref="R189:AB189" si="278">$C188*R188</f>
        <v>0</v>
      </c>
      <c r="S189" s="5">
        <f t="shared" si="278"/>
        <v>0</v>
      </c>
      <c r="T189" s="5">
        <f t="shared" si="278"/>
        <v>0</v>
      </c>
      <c r="U189" s="5">
        <f t="shared" si="278"/>
        <v>161.13679000000002</v>
      </c>
      <c r="V189" s="5">
        <f t="shared" si="278"/>
        <v>16790.453518000002</v>
      </c>
      <c r="W189" s="5">
        <f t="shared" si="278"/>
        <v>0</v>
      </c>
      <c r="X189" s="5">
        <f t="shared" si="278"/>
        <v>0</v>
      </c>
      <c r="Y189" s="5">
        <f t="shared" si="278"/>
        <v>0</v>
      </c>
      <c r="Z189" s="5">
        <f t="shared" si="278"/>
        <v>0</v>
      </c>
      <c r="AA189" s="5">
        <f t="shared" si="278"/>
        <v>0</v>
      </c>
      <c r="AB189" s="5">
        <f t="shared" si="278"/>
        <v>0</v>
      </c>
      <c r="AC189" s="56"/>
      <c r="AD189" s="23"/>
    </row>
    <row r="190" spans="1:30" s="14" customFormat="1">
      <c r="A190" s="78" t="s">
        <v>579</v>
      </c>
      <c r="B190" s="15">
        <f>1161699/2</f>
        <v>580849.5</v>
      </c>
      <c r="C190" s="130">
        <f t="shared" si="248"/>
        <v>48404.13</v>
      </c>
      <c r="D190" s="35">
        <v>1.6299999999999999E-2</v>
      </c>
      <c r="E190" s="35">
        <v>0.14269999999999999</v>
      </c>
      <c r="F190" s="35">
        <v>5.8900000000000001E-2</v>
      </c>
      <c r="G190" s="35">
        <v>7.6200000000000004E-2</v>
      </c>
      <c r="H190" s="35">
        <v>3.9600000000000003E-2</v>
      </c>
      <c r="I190" s="35">
        <v>0.12470000000000001</v>
      </c>
      <c r="J190" s="35">
        <v>2.0400000000000001E-2</v>
      </c>
      <c r="K190" s="35">
        <v>3.1199999999999999E-2</v>
      </c>
      <c r="L190" s="35">
        <v>1.6199999999999999E-2</v>
      </c>
      <c r="M190" s="35">
        <v>2.53E-2</v>
      </c>
      <c r="N190" s="35">
        <v>0.14849999999999999</v>
      </c>
      <c r="O190" s="35">
        <v>2.2599999999999999E-2</v>
      </c>
      <c r="P190" s="35">
        <v>0</v>
      </c>
      <c r="Q190" s="35">
        <v>3.78E-2</v>
      </c>
      <c r="R190" s="35">
        <v>1.8100000000000002E-2</v>
      </c>
      <c r="S190" s="35">
        <v>4.1000000000000003E-3</v>
      </c>
      <c r="T190" s="35">
        <v>5.04E-2</v>
      </c>
      <c r="U190" s="35">
        <v>1.7500000000000002E-2</v>
      </c>
      <c r="V190" s="35">
        <v>3.6200000000000003E-2</v>
      </c>
      <c r="W190" s="35">
        <v>4.8500000000000001E-2</v>
      </c>
      <c r="X190" s="35">
        <v>6.1600000000000002E-2</v>
      </c>
      <c r="Y190" s="35">
        <v>2.5000000000000001E-3</v>
      </c>
      <c r="Z190" s="4">
        <v>0</v>
      </c>
      <c r="AA190" s="4">
        <v>6.9999999999999999E-4</v>
      </c>
      <c r="AB190" s="4">
        <v>0</v>
      </c>
      <c r="AC190" s="56"/>
      <c r="AD190" s="23"/>
    </row>
    <row r="191" spans="1:30" s="14" customFormat="1">
      <c r="A191" s="79"/>
      <c r="B191" s="9"/>
      <c r="C191" s="130"/>
      <c r="D191" s="5">
        <f t="shared" ref="D191" si="279">$C190*D190</f>
        <v>788.98731899999984</v>
      </c>
      <c r="E191" s="5">
        <f t="shared" ref="E191" si="280">$C190*E190</f>
        <v>6907.269350999999</v>
      </c>
      <c r="F191" s="5">
        <f t="shared" ref="F191:O191" si="281">$C190*F190</f>
        <v>2851.0032569999998</v>
      </c>
      <c r="G191" s="5">
        <f t="shared" si="281"/>
        <v>3688.394706</v>
      </c>
      <c r="H191" s="5">
        <f t="shared" si="281"/>
        <v>1916.8035480000001</v>
      </c>
      <c r="I191" s="5">
        <f t="shared" si="281"/>
        <v>6035.995011</v>
      </c>
      <c r="J191" s="5">
        <f t="shared" si="281"/>
        <v>987.44425200000001</v>
      </c>
      <c r="K191" s="5">
        <f t="shared" si="281"/>
        <v>1510.2088559999997</v>
      </c>
      <c r="L191" s="5">
        <f t="shared" si="281"/>
        <v>784.14690599999994</v>
      </c>
      <c r="M191" s="5">
        <f t="shared" si="281"/>
        <v>1224.6244889999998</v>
      </c>
      <c r="N191" s="5">
        <f t="shared" si="281"/>
        <v>7188.0133049999995</v>
      </c>
      <c r="O191" s="5">
        <f t="shared" si="281"/>
        <v>1093.9333379999998</v>
      </c>
      <c r="P191" s="5">
        <f t="shared" ref="P191" si="282">$C190*P190</f>
        <v>0</v>
      </c>
      <c r="Q191" s="5">
        <f t="shared" ref="Q191" si="283">$C190*Q190</f>
        <v>1829.6761139999999</v>
      </c>
      <c r="R191" s="5">
        <f t="shared" ref="R191:AB191" si="284">$C190*R190</f>
        <v>876.11475300000006</v>
      </c>
      <c r="S191" s="5">
        <f t="shared" si="284"/>
        <v>198.45693299999999</v>
      </c>
      <c r="T191" s="5">
        <f t="shared" si="284"/>
        <v>2439.5681519999998</v>
      </c>
      <c r="U191" s="5">
        <f t="shared" si="284"/>
        <v>847.07227499999999</v>
      </c>
      <c r="V191" s="5">
        <f t="shared" si="284"/>
        <v>1752.2295060000001</v>
      </c>
      <c r="W191" s="5">
        <f t="shared" si="284"/>
        <v>2347.6003049999999</v>
      </c>
      <c r="X191" s="5">
        <f t="shared" si="284"/>
        <v>2981.6944079999998</v>
      </c>
      <c r="Y191" s="5">
        <f t="shared" si="284"/>
        <v>121.01032499999999</v>
      </c>
      <c r="Z191" s="5">
        <f t="shared" si="284"/>
        <v>0</v>
      </c>
      <c r="AA191" s="5">
        <f t="shared" si="284"/>
        <v>33.882891000000001</v>
      </c>
      <c r="AB191" s="5">
        <f t="shared" si="284"/>
        <v>0</v>
      </c>
      <c r="AC191" s="56"/>
      <c r="AD191" s="23"/>
    </row>
    <row r="192" spans="1:30" s="14" customFormat="1">
      <c r="A192" s="78" t="s">
        <v>582</v>
      </c>
      <c r="B192" s="15">
        <f>1161699/2</f>
        <v>580849.5</v>
      </c>
      <c r="C192" s="130">
        <f t="shared" si="248"/>
        <v>48404.13</v>
      </c>
      <c r="D192" s="4">
        <v>5.5E-2</v>
      </c>
      <c r="E192" s="4"/>
      <c r="F192" s="4"/>
      <c r="G192" s="4"/>
      <c r="H192" s="4">
        <v>0.1229</v>
      </c>
      <c r="I192" s="4"/>
      <c r="J192" s="4"/>
      <c r="K192" s="4"/>
      <c r="L192" s="4"/>
      <c r="M192" s="4">
        <v>0.19520000000000001</v>
      </c>
      <c r="N192" s="4">
        <v>0.22389999999999999</v>
      </c>
      <c r="O192" s="4"/>
      <c r="P192" s="4"/>
      <c r="Q192" s="4">
        <v>3.0300000000000001E-2</v>
      </c>
      <c r="R192" s="4"/>
      <c r="S192" s="4">
        <v>0</v>
      </c>
      <c r="T192" s="4">
        <v>0.18279999999999999</v>
      </c>
      <c r="U192" s="4"/>
      <c r="V192" s="4">
        <v>0.10630000000000001</v>
      </c>
      <c r="W192" s="4"/>
      <c r="X192" s="4">
        <v>8.0699999999999994E-2</v>
      </c>
      <c r="Y192" s="4">
        <v>2.8999999999999998E-3</v>
      </c>
      <c r="Z192" s="4"/>
      <c r="AA192" s="4"/>
      <c r="AB192" s="4"/>
      <c r="AC192" s="56"/>
      <c r="AD192" s="23"/>
    </row>
    <row r="193" spans="1:30" s="14" customFormat="1">
      <c r="A193" s="79"/>
      <c r="B193" s="9"/>
      <c r="C193" s="130"/>
      <c r="D193" s="5">
        <f t="shared" ref="D193" si="285">$C192*D192</f>
        <v>2662.2271499999997</v>
      </c>
      <c r="E193" s="5">
        <f t="shared" ref="E193" si="286">$C192*E192</f>
        <v>0</v>
      </c>
      <c r="F193" s="5">
        <f t="shared" ref="F193:O193" si="287">$C192*F192</f>
        <v>0</v>
      </c>
      <c r="G193" s="5">
        <f t="shared" si="287"/>
        <v>0</v>
      </c>
      <c r="H193" s="5">
        <f t="shared" si="287"/>
        <v>5948.8675769999991</v>
      </c>
      <c r="I193" s="5">
        <f t="shared" si="287"/>
        <v>0</v>
      </c>
      <c r="J193" s="5">
        <f t="shared" si="287"/>
        <v>0</v>
      </c>
      <c r="K193" s="5">
        <f t="shared" si="287"/>
        <v>0</v>
      </c>
      <c r="L193" s="5">
        <f t="shared" si="287"/>
        <v>0</v>
      </c>
      <c r="M193" s="5">
        <f t="shared" si="287"/>
        <v>9448.4861760000003</v>
      </c>
      <c r="N193" s="5">
        <f t="shared" si="287"/>
        <v>10837.684706999999</v>
      </c>
      <c r="O193" s="5">
        <f t="shared" si="287"/>
        <v>0</v>
      </c>
      <c r="P193" s="5">
        <f t="shared" ref="P193" si="288">$C192*P192</f>
        <v>0</v>
      </c>
      <c r="Q193" s="5">
        <f t="shared" ref="Q193" si="289">$C192*Q192</f>
        <v>1466.645139</v>
      </c>
      <c r="R193" s="5">
        <f t="shared" ref="R193:AB193" si="290">$C192*R192</f>
        <v>0</v>
      </c>
      <c r="S193" s="5">
        <f t="shared" si="290"/>
        <v>0</v>
      </c>
      <c r="T193" s="5">
        <f t="shared" si="290"/>
        <v>8848.2749639999984</v>
      </c>
      <c r="U193" s="5">
        <f t="shared" si="290"/>
        <v>0</v>
      </c>
      <c r="V193" s="5">
        <f t="shared" si="290"/>
        <v>5145.3590190000004</v>
      </c>
      <c r="W193" s="5">
        <f t="shared" si="290"/>
        <v>0</v>
      </c>
      <c r="X193" s="5">
        <f t="shared" si="290"/>
        <v>3906.2132909999996</v>
      </c>
      <c r="Y193" s="5">
        <f t="shared" si="290"/>
        <v>140.37197699999999</v>
      </c>
      <c r="Z193" s="5">
        <f t="shared" si="290"/>
        <v>0</v>
      </c>
      <c r="AA193" s="5">
        <f t="shared" si="290"/>
        <v>0</v>
      </c>
      <c r="AB193" s="5">
        <f t="shared" si="290"/>
        <v>0</v>
      </c>
      <c r="AC193" s="56"/>
      <c r="AD193" s="23"/>
    </row>
    <row r="194" spans="1:30" s="14" customFormat="1">
      <c r="A194" s="78" t="s">
        <v>580</v>
      </c>
      <c r="B194" s="15">
        <v>46878</v>
      </c>
      <c r="C194" s="130">
        <f t="shared" si="248"/>
        <v>3906.5</v>
      </c>
      <c r="D194" s="4"/>
      <c r="E194" s="4">
        <v>2.2499999999999999E-2</v>
      </c>
      <c r="F194" s="4">
        <v>2.58E-2</v>
      </c>
      <c r="G194" s="4"/>
      <c r="H194" s="4">
        <v>0.4461</v>
      </c>
      <c r="I194" s="4">
        <v>5.1000000000000004E-3</v>
      </c>
      <c r="J194" s="4">
        <v>4.0000000000000001E-3</v>
      </c>
      <c r="K194" s="4">
        <v>1.3899999999999999E-2</v>
      </c>
      <c r="L194" s="4">
        <v>1.4E-3</v>
      </c>
      <c r="M194" s="4"/>
      <c r="N194" s="4">
        <v>0.27050000000000002</v>
      </c>
      <c r="O194" s="4">
        <v>5.1999999999999998E-3</v>
      </c>
      <c r="P194" s="4"/>
      <c r="Q194" s="4"/>
      <c r="R194" s="4"/>
      <c r="S194" s="4"/>
      <c r="T194" s="4"/>
      <c r="U194" s="4">
        <v>2.0000000000000001E-4</v>
      </c>
      <c r="V194" s="4">
        <v>0.20530000000000001</v>
      </c>
      <c r="W194" s="4"/>
      <c r="X194" s="4"/>
      <c r="Y194" s="4"/>
      <c r="Z194" s="4"/>
      <c r="AA194" s="4"/>
      <c r="AB194" s="4"/>
      <c r="AC194" s="56"/>
      <c r="AD194" s="23"/>
    </row>
    <row r="195" spans="1:30" s="14" customFormat="1">
      <c r="A195" s="79"/>
      <c r="B195" s="9"/>
      <c r="C195" s="130"/>
      <c r="D195" s="5">
        <f t="shared" ref="D195" si="291">$C194*D194</f>
        <v>0</v>
      </c>
      <c r="E195" s="5">
        <f t="shared" ref="E195" si="292">$C194*E194</f>
        <v>87.896249999999995</v>
      </c>
      <c r="F195" s="5">
        <f t="shared" ref="F195:O195" si="293">$C194*F194</f>
        <v>100.7877</v>
      </c>
      <c r="G195" s="5">
        <f t="shared" si="293"/>
        <v>0</v>
      </c>
      <c r="H195" s="5">
        <f t="shared" si="293"/>
        <v>1742.68965</v>
      </c>
      <c r="I195" s="5">
        <f t="shared" si="293"/>
        <v>19.92315</v>
      </c>
      <c r="J195" s="5">
        <f t="shared" si="293"/>
        <v>15.625999999999999</v>
      </c>
      <c r="K195" s="5">
        <f t="shared" si="293"/>
        <v>54.300349999999995</v>
      </c>
      <c r="L195" s="5">
        <f t="shared" si="293"/>
        <v>5.4691000000000001</v>
      </c>
      <c r="M195" s="5">
        <f t="shared" si="293"/>
        <v>0</v>
      </c>
      <c r="N195" s="5">
        <f t="shared" si="293"/>
        <v>1056.7082500000001</v>
      </c>
      <c r="O195" s="5">
        <f t="shared" si="293"/>
        <v>20.313800000000001</v>
      </c>
      <c r="P195" s="5">
        <f t="shared" ref="P195" si="294">$C194*P194</f>
        <v>0</v>
      </c>
      <c r="Q195" s="5">
        <f t="shared" ref="Q195" si="295">$C194*Q194</f>
        <v>0</v>
      </c>
      <c r="R195" s="5">
        <f t="shared" ref="R195:AB195" si="296">$C194*R194</f>
        <v>0</v>
      </c>
      <c r="S195" s="5">
        <f t="shared" si="296"/>
        <v>0</v>
      </c>
      <c r="T195" s="5">
        <f t="shared" si="296"/>
        <v>0</v>
      </c>
      <c r="U195" s="5">
        <f t="shared" si="296"/>
        <v>0.78129999999999999</v>
      </c>
      <c r="V195" s="5">
        <f t="shared" si="296"/>
        <v>802.00445000000002</v>
      </c>
      <c r="W195" s="5">
        <f t="shared" si="296"/>
        <v>0</v>
      </c>
      <c r="X195" s="5">
        <f t="shared" si="296"/>
        <v>0</v>
      </c>
      <c r="Y195" s="5">
        <f t="shared" si="296"/>
        <v>0</v>
      </c>
      <c r="Z195" s="5">
        <f t="shared" si="296"/>
        <v>0</v>
      </c>
      <c r="AA195" s="5">
        <f t="shared" si="296"/>
        <v>0</v>
      </c>
      <c r="AB195" s="5">
        <f t="shared" si="296"/>
        <v>0</v>
      </c>
      <c r="AC195" s="56"/>
      <c r="AD195" s="23"/>
    </row>
    <row r="196" spans="1:30" s="14" customFormat="1">
      <c r="A196" s="78" t="s">
        <v>581</v>
      </c>
      <c r="B196" s="15">
        <v>1597306</v>
      </c>
      <c r="C196" s="130">
        <f t="shared" si="248"/>
        <v>133108.82999999999</v>
      </c>
      <c r="D196" s="4"/>
      <c r="E196" s="4">
        <v>2.2499999999999999E-2</v>
      </c>
      <c r="F196" s="4">
        <v>2.58E-2</v>
      </c>
      <c r="G196" s="4"/>
      <c r="H196" s="4">
        <v>0.4461</v>
      </c>
      <c r="I196" s="4">
        <v>5.1000000000000004E-3</v>
      </c>
      <c r="J196" s="4">
        <v>4.0000000000000001E-3</v>
      </c>
      <c r="K196" s="4">
        <v>1.3899999999999999E-2</v>
      </c>
      <c r="L196" s="4">
        <v>1.4E-3</v>
      </c>
      <c r="M196" s="4"/>
      <c r="N196" s="4">
        <v>0.27050000000000002</v>
      </c>
      <c r="O196" s="4">
        <v>5.1999999999999998E-3</v>
      </c>
      <c r="P196" s="4"/>
      <c r="Q196" s="4"/>
      <c r="R196" s="4"/>
      <c r="S196" s="4"/>
      <c r="T196" s="4"/>
      <c r="U196" s="4">
        <v>2.0000000000000001E-4</v>
      </c>
      <c r="V196" s="4">
        <v>0.20530000000000001</v>
      </c>
      <c r="W196" s="4"/>
      <c r="X196" s="4"/>
      <c r="Y196" s="4"/>
      <c r="Z196" s="4"/>
      <c r="AA196" s="4"/>
      <c r="AB196" s="4"/>
      <c r="AC196" s="56"/>
      <c r="AD196" s="23"/>
    </row>
    <row r="197" spans="1:30" s="14" customFormat="1">
      <c r="A197" s="79"/>
      <c r="B197" s="9"/>
      <c r="C197" s="130"/>
      <c r="D197" s="5">
        <f t="shared" ref="D197:O201" si="297">$C196*D196</f>
        <v>0</v>
      </c>
      <c r="E197" s="5">
        <f t="shared" ref="E197:O199" si="298">$C196*E196</f>
        <v>2994.9486749999996</v>
      </c>
      <c r="F197" s="5">
        <f t="shared" ref="F197:O197" si="299">$C196*F196</f>
        <v>3434.2078139999999</v>
      </c>
      <c r="G197" s="5">
        <f t="shared" si="299"/>
        <v>0</v>
      </c>
      <c r="H197" s="5">
        <f t="shared" si="299"/>
        <v>59379.849062999994</v>
      </c>
      <c r="I197" s="5">
        <f t="shared" si="299"/>
        <v>678.85503299999993</v>
      </c>
      <c r="J197" s="5">
        <f t="shared" si="299"/>
        <v>532.43531999999993</v>
      </c>
      <c r="K197" s="5">
        <f t="shared" si="299"/>
        <v>1850.2127369999996</v>
      </c>
      <c r="L197" s="5">
        <f t="shared" si="299"/>
        <v>186.35236199999997</v>
      </c>
      <c r="M197" s="5">
        <f t="shared" si="299"/>
        <v>0</v>
      </c>
      <c r="N197" s="5">
        <f t="shared" si="299"/>
        <v>36005.938515000002</v>
      </c>
      <c r="O197" s="5">
        <f t="shared" si="299"/>
        <v>692.16591599999992</v>
      </c>
      <c r="P197" s="5">
        <f t="shared" ref="P197:AB201" si="300">$C196*P196</f>
        <v>0</v>
      </c>
      <c r="Q197" s="5">
        <f t="shared" ref="Q197:AB199" si="301">$C196*Q196</f>
        <v>0</v>
      </c>
      <c r="R197" s="5">
        <f t="shared" ref="R197:AB197" si="302">$C196*R196</f>
        <v>0</v>
      </c>
      <c r="S197" s="5">
        <f t="shared" si="302"/>
        <v>0</v>
      </c>
      <c r="T197" s="5">
        <f t="shared" si="302"/>
        <v>0</v>
      </c>
      <c r="U197" s="5">
        <f t="shared" si="302"/>
        <v>26.621765999999997</v>
      </c>
      <c r="V197" s="5">
        <f t="shared" si="302"/>
        <v>27327.242799</v>
      </c>
      <c r="W197" s="5">
        <f t="shared" si="302"/>
        <v>0</v>
      </c>
      <c r="X197" s="5">
        <f t="shared" si="302"/>
        <v>0</v>
      </c>
      <c r="Y197" s="5">
        <f t="shared" si="302"/>
        <v>0</v>
      </c>
      <c r="Z197" s="5">
        <f t="shared" si="302"/>
        <v>0</v>
      </c>
      <c r="AA197" s="5">
        <f t="shared" si="302"/>
        <v>0</v>
      </c>
      <c r="AB197" s="5">
        <f t="shared" si="302"/>
        <v>0</v>
      </c>
      <c r="AC197" s="56"/>
      <c r="AD197" s="23"/>
    </row>
    <row r="198" spans="1:30" s="14" customFormat="1">
      <c r="A198" s="78" t="s">
        <v>591</v>
      </c>
      <c r="B198" s="15">
        <v>3093974</v>
      </c>
      <c r="C198" s="130">
        <f t="shared" si="248"/>
        <v>257831.17</v>
      </c>
      <c r="D198" s="4"/>
      <c r="E198" s="4">
        <v>2.2499999999999999E-2</v>
      </c>
      <c r="F198" s="4">
        <v>2.58E-2</v>
      </c>
      <c r="G198" s="4"/>
      <c r="H198" s="4">
        <v>0.4461</v>
      </c>
      <c r="I198" s="4">
        <v>5.1000000000000004E-3</v>
      </c>
      <c r="J198" s="4">
        <v>4.0000000000000001E-3</v>
      </c>
      <c r="K198" s="4">
        <v>1.3899999999999999E-2</v>
      </c>
      <c r="L198" s="4">
        <v>1.4E-3</v>
      </c>
      <c r="M198" s="4"/>
      <c r="N198" s="4">
        <v>0.27050000000000002</v>
      </c>
      <c r="O198" s="4">
        <v>5.1999999999999998E-3</v>
      </c>
      <c r="P198" s="4"/>
      <c r="Q198" s="4"/>
      <c r="R198" s="4"/>
      <c r="S198" s="4"/>
      <c r="T198" s="4"/>
      <c r="U198" s="4">
        <v>2.0000000000000001E-4</v>
      </c>
      <c r="V198" s="4">
        <v>0.20530000000000001</v>
      </c>
      <c r="W198" s="4"/>
      <c r="X198" s="4"/>
      <c r="Y198" s="4"/>
      <c r="Z198" s="4"/>
      <c r="AA198" s="4"/>
      <c r="AB198" s="4"/>
      <c r="AC198" s="56"/>
      <c r="AD198" s="23"/>
    </row>
    <row r="199" spans="1:30" s="14" customFormat="1">
      <c r="A199" s="79"/>
      <c r="B199" s="9"/>
      <c r="C199" s="130"/>
      <c r="D199" s="5">
        <f t="shared" si="297"/>
        <v>0</v>
      </c>
      <c r="E199" s="5">
        <f t="shared" si="298"/>
        <v>5801.201325</v>
      </c>
      <c r="F199" s="5">
        <f t="shared" si="298"/>
        <v>6652.0441860000001</v>
      </c>
      <c r="G199" s="5">
        <f t="shared" si="298"/>
        <v>0</v>
      </c>
      <c r="H199" s="5">
        <f t="shared" si="298"/>
        <v>115018.484937</v>
      </c>
      <c r="I199" s="5">
        <f t="shared" si="298"/>
        <v>1314.938967</v>
      </c>
      <c r="J199" s="5">
        <f t="shared" si="298"/>
        <v>1031.3246800000002</v>
      </c>
      <c r="K199" s="5">
        <f t="shared" si="298"/>
        <v>3583.853263</v>
      </c>
      <c r="L199" s="5">
        <f t="shared" si="298"/>
        <v>360.963638</v>
      </c>
      <c r="M199" s="5">
        <f t="shared" si="298"/>
        <v>0</v>
      </c>
      <c r="N199" s="5">
        <f t="shared" si="298"/>
        <v>69743.331485000002</v>
      </c>
      <c r="O199" s="5">
        <f t="shared" si="298"/>
        <v>1340.722084</v>
      </c>
      <c r="P199" s="5">
        <f t="shared" si="300"/>
        <v>0</v>
      </c>
      <c r="Q199" s="5">
        <f t="shared" si="301"/>
        <v>0</v>
      </c>
      <c r="R199" s="5">
        <f t="shared" si="301"/>
        <v>0</v>
      </c>
      <c r="S199" s="5">
        <f t="shared" si="301"/>
        <v>0</v>
      </c>
      <c r="T199" s="5">
        <f t="shared" si="301"/>
        <v>0</v>
      </c>
      <c r="U199" s="5">
        <f t="shared" si="301"/>
        <v>51.566234000000009</v>
      </c>
      <c r="V199" s="5">
        <f t="shared" si="301"/>
        <v>52932.739201000004</v>
      </c>
      <c r="W199" s="5">
        <f t="shared" si="301"/>
        <v>0</v>
      </c>
      <c r="X199" s="5">
        <f t="shared" si="301"/>
        <v>0</v>
      </c>
      <c r="Y199" s="5">
        <f t="shared" si="301"/>
        <v>0</v>
      </c>
      <c r="Z199" s="5">
        <f t="shared" si="301"/>
        <v>0</v>
      </c>
      <c r="AA199" s="5">
        <f t="shared" si="301"/>
        <v>0</v>
      </c>
      <c r="AB199" s="5">
        <f t="shared" si="301"/>
        <v>0</v>
      </c>
      <c r="AC199" s="56"/>
      <c r="AD199" s="23"/>
    </row>
    <row r="200" spans="1:30" s="14" customFormat="1">
      <c r="A200" s="78" t="s">
        <v>592</v>
      </c>
      <c r="B200" s="15">
        <v>3997825</v>
      </c>
      <c r="C200" s="130">
        <f t="shared" si="248"/>
        <v>333152.08</v>
      </c>
      <c r="D200" s="4"/>
      <c r="E200" s="4">
        <v>2.2499999999999999E-2</v>
      </c>
      <c r="F200" s="4">
        <v>2.58E-2</v>
      </c>
      <c r="G200" s="4"/>
      <c r="H200" s="4">
        <v>0.4461</v>
      </c>
      <c r="I200" s="4">
        <v>5.1000000000000004E-3</v>
      </c>
      <c r="J200" s="4">
        <v>4.0000000000000001E-3</v>
      </c>
      <c r="K200" s="4">
        <v>1.3899999999999999E-2</v>
      </c>
      <c r="L200" s="4">
        <v>1.4E-3</v>
      </c>
      <c r="M200" s="4"/>
      <c r="N200" s="4">
        <v>0.27050000000000002</v>
      </c>
      <c r="O200" s="4">
        <v>5.1999999999999998E-3</v>
      </c>
      <c r="P200" s="4"/>
      <c r="Q200" s="4"/>
      <c r="R200" s="4"/>
      <c r="S200" s="4"/>
      <c r="T200" s="4"/>
      <c r="U200" s="4">
        <v>2.0000000000000001E-4</v>
      </c>
      <c r="V200" s="4">
        <v>0.20530000000000001</v>
      </c>
      <c r="W200" s="4"/>
      <c r="X200" s="4"/>
      <c r="Y200" s="4"/>
      <c r="Z200" s="4"/>
      <c r="AA200" s="4"/>
      <c r="AB200" s="4"/>
      <c r="AC200" s="56"/>
      <c r="AD200" s="23"/>
    </row>
    <row r="201" spans="1:30" s="14" customFormat="1">
      <c r="A201" s="79"/>
      <c r="B201" s="9"/>
      <c r="C201" s="129"/>
      <c r="D201" s="5">
        <f t="shared" si="297"/>
        <v>0</v>
      </c>
      <c r="E201" s="5">
        <f t="shared" si="297"/>
        <v>7495.9218000000001</v>
      </c>
      <c r="F201" s="5">
        <f t="shared" si="297"/>
        <v>8595.3236639999996</v>
      </c>
      <c r="G201" s="5">
        <f t="shared" si="297"/>
        <v>0</v>
      </c>
      <c r="H201" s="5">
        <f t="shared" si="297"/>
        <v>148619.142888</v>
      </c>
      <c r="I201" s="5">
        <f t="shared" si="297"/>
        <v>1699.0756080000001</v>
      </c>
      <c r="J201" s="5">
        <f t="shared" si="297"/>
        <v>1332.60832</v>
      </c>
      <c r="K201" s="5">
        <f t="shared" si="297"/>
        <v>4630.8139119999996</v>
      </c>
      <c r="L201" s="5">
        <f t="shared" si="297"/>
        <v>466.41291200000001</v>
      </c>
      <c r="M201" s="5">
        <f t="shared" si="297"/>
        <v>0</v>
      </c>
      <c r="N201" s="5">
        <f t="shared" si="297"/>
        <v>90117.637640000015</v>
      </c>
      <c r="O201" s="5">
        <f t="shared" si="297"/>
        <v>1732.3908160000001</v>
      </c>
      <c r="P201" s="5">
        <f t="shared" si="300"/>
        <v>0</v>
      </c>
      <c r="Q201" s="5">
        <f t="shared" si="300"/>
        <v>0</v>
      </c>
      <c r="R201" s="5">
        <f t="shared" si="300"/>
        <v>0</v>
      </c>
      <c r="S201" s="5">
        <f t="shared" si="300"/>
        <v>0</v>
      </c>
      <c r="T201" s="5">
        <f t="shared" si="300"/>
        <v>0</v>
      </c>
      <c r="U201" s="5">
        <f t="shared" si="300"/>
        <v>66.630416000000011</v>
      </c>
      <c r="V201" s="5">
        <f t="shared" si="300"/>
        <v>68396.122024000011</v>
      </c>
      <c r="W201" s="5">
        <f t="shared" si="300"/>
        <v>0</v>
      </c>
      <c r="X201" s="5">
        <f t="shared" si="300"/>
        <v>0</v>
      </c>
      <c r="Y201" s="5">
        <f t="shared" si="300"/>
        <v>0</v>
      </c>
      <c r="Z201" s="5">
        <f t="shared" si="300"/>
        <v>0</v>
      </c>
      <c r="AA201" s="5">
        <f t="shared" si="300"/>
        <v>0</v>
      </c>
      <c r="AB201" s="5">
        <f t="shared" si="300"/>
        <v>0</v>
      </c>
      <c r="AC201" s="56"/>
      <c r="AD201" s="23"/>
    </row>
    <row r="202" spans="1:30" s="14" customFormat="1">
      <c r="A202" s="78" t="s">
        <v>752</v>
      </c>
      <c r="B202" s="15">
        <f>45016/2</f>
        <v>22508</v>
      </c>
      <c r="C202" s="130">
        <f t="shared" ref="C202" si="303">ROUND(B202/12,2)</f>
        <v>1875.67</v>
      </c>
      <c r="D202" s="35">
        <v>1.6299999999999999E-2</v>
      </c>
      <c r="E202" s="35">
        <v>0.14269999999999999</v>
      </c>
      <c r="F202" s="35">
        <v>5.8900000000000001E-2</v>
      </c>
      <c r="G202" s="35">
        <v>7.6200000000000004E-2</v>
      </c>
      <c r="H202" s="35">
        <v>3.9600000000000003E-2</v>
      </c>
      <c r="I202" s="35">
        <v>0.12470000000000001</v>
      </c>
      <c r="J202" s="35">
        <v>2.0400000000000001E-2</v>
      </c>
      <c r="K202" s="35">
        <v>3.1199999999999999E-2</v>
      </c>
      <c r="L202" s="35">
        <v>1.6199999999999999E-2</v>
      </c>
      <c r="M202" s="35">
        <v>2.53E-2</v>
      </c>
      <c r="N202" s="35">
        <v>0.14849999999999999</v>
      </c>
      <c r="O202" s="35">
        <v>2.2599999999999999E-2</v>
      </c>
      <c r="P202" s="35">
        <v>0</v>
      </c>
      <c r="Q202" s="35">
        <v>3.78E-2</v>
      </c>
      <c r="R202" s="35">
        <v>1.8100000000000002E-2</v>
      </c>
      <c r="S202" s="35">
        <v>4.1000000000000003E-3</v>
      </c>
      <c r="T202" s="35">
        <v>5.04E-2</v>
      </c>
      <c r="U202" s="35">
        <v>1.7500000000000002E-2</v>
      </c>
      <c r="V202" s="35">
        <v>3.6200000000000003E-2</v>
      </c>
      <c r="W202" s="35">
        <v>4.8500000000000001E-2</v>
      </c>
      <c r="X202" s="35">
        <v>6.1600000000000002E-2</v>
      </c>
      <c r="Y202" s="35">
        <v>2.5000000000000001E-3</v>
      </c>
      <c r="Z202" s="4">
        <v>0</v>
      </c>
      <c r="AA202" s="4">
        <v>6.9999999999999999E-4</v>
      </c>
      <c r="AB202" s="4">
        <v>0</v>
      </c>
      <c r="AC202" s="56"/>
      <c r="AD202" s="23"/>
    </row>
    <row r="203" spans="1:30" s="14" customFormat="1">
      <c r="A203" s="79"/>
      <c r="B203" s="9"/>
      <c r="C203" s="129"/>
      <c r="D203" s="5">
        <f t="shared" ref="D203:AB203" si="304">$C202*D202</f>
        <v>30.573421</v>
      </c>
      <c r="E203" s="5">
        <f t="shared" si="304"/>
        <v>267.65810900000002</v>
      </c>
      <c r="F203" s="5">
        <f t="shared" si="304"/>
        <v>110.47696300000001</v>
      </c>
      <c r="G203" s="5">
        <f t="shared" si="304"/>
        <v>142.92605400000002</v>
      </c>
      <c r="H203" s="5">
        <f t="shared" si="304"/>
        <v>74.276532000000003</v>
      </c>
      <c r="I203" s="5">
        <f t="shared" si="304"/>
        <v>233.896049</v>
      </c>
      <c r="J203" s="5">
        <f t="shared" si="304"/>
        <v>38.263668000000003</v>
      </c>
      <c r="K203" s="5">
        <f t="shared" si="304"/>
        <v>58.520904000000002</v>
      </c>
      <c r="L203" s="5">
        <f t="shared" si="304"/>
        <v>30.385853999999998</v>
      </c>
      <c r="M203" s="5">
        <f t="shared" si="304"/>
        <v>47.454450999999999</v>
      </c>
      <c r="N203" s="5">
        <f t="shared" si="304"/>
        <v>278.53699499999999</v>
      </c>
      <c r="O203" s="5">
        <f t="shared" si="304"/>
        <v>42.390141999999997</v>
      </c>
      <c r="P203" s="5">
        <f t="shared" si="304"/>
        <v>0</v>
      </c>
      <c r="Q203" s="5">
        <f t="shared" si="304"/>
        <v>70.900326000000007</v>
      </c>
      <c r="R203" s="5">
        <f t="shared" si="304"/>
        <v>33.949627000000007</v>
      </c>
      <c r="S203" s="5">
        <f t="shared" si="304"/>
        <v>7.6902470000000012</v>
      </c>
      <c r="T203" s="5">
        <f t="shared" si="304"/>
        <v>94.533768000000009</v>
      </c>
      <c r="U203" s="5">
        <f t="shared" si="304"/>
        <v>32.824225000000006</v>
      </c>
      <c r="V203" s="5">
        <f t="shared" si="304"/>
        <v>67.899254000000013</v>
      </c>
      <c r="W203" s="5">
        <f t="shared" si="304"/>
        <v>90.969995000000011</v>
      </c>
      <c r="X203" s="5">
        <f t="shared" si="304"/>
        <v>115.54127200000001</v>
      </c>
      <c r="Y203" s="5">
        <f t="shared" si="304"/>
        <v>4.6891750000000005</v>
      </c>
      <c r="Z203" s="5">
        <f t="shared" si="304"/>
        <v>0</v>
      </c>
      <c r="AA203" s="5">
        <f t="shared" si="304"/>
        <v>1.3129690000000001</v>
      </c>
      <c r="AB203" s="5">
        <f t="shared" si="304"/>
        <v>0</v>
      </c>
      <c r="AC203" s="56"/>
      <c r="AD203" s="23"/>
    </row>
    <row r="204" spans="1:30" s="14" customFormat="1">
      <c r="A204" s="78" t="s">
        <v>762</v>
      </c>
      <c r="B204" s="15">
        <f>45016/2</f>
        <v>22508</v>
      </c>
      <c r="C204" s="130">
        <f t="shared" ref="C204" si="305">ROUND(B204/12,2)</f>
        <v>1875.67</v>
      </c>
      <c r="D204" s="4"/>
      <c r="E204" s="4"/>
      <c r="F204" s="4">
        <v>0.13159999999999999</v>
      </c>
      <c r="G204" s="4"/>
      <c r="H204" s="4">
        <v>7.9000000000000008E-3</v>
      </c>
      <c r="I204" s="4"/>
      <c r="J204" s="4"/>
      <c r="K204" s="4"/>
      <c r="L204" s="4"/>
      <c r="M204" s="4">
        <v>4.1000000000000003E-3</v>
      </c>
      <c r="N204" s="4">
        <v>0.74280000000000002</v>
      </c>
      <c r="O204" s="4"/>
      <c r="P204" s="4"/>
      <c r="Q204" s="4"/>
      <c r="R204" s="4"/>
      <c r="S204" s="4"/>
      <c r="T204" s="4">
        <v>7.7000000000000002E-3</v>
      </c>
      <c r="U204" s="4"/>
      <c r="V204" s="4">
        <v>0.10589999999999999</v>
      </c>
      <c r="W204" s="4"/>
      <c r="X204" s="4"/>
      <c r="Y204" s="4"/>
      <c r="Z204" s="4"/>
      <c r="AA204" s="4"/>
      <c r="AB204" s="4"/>
      <c r="AC204" s="56"/>
      <c r="AD204" s="23"/>
    </row>
    <row r="205" spans="1:30" s="14" customFormat="1">
      <c r="A205" s="79"/>
      <c r="B205" s="9"/>
      <c r="C205" s="129"/>
      <c r="D205" s="5">
        <f t="shared" ref="D205:AB205" si="306">$C204*D204</f>
        <v>0</v>
      </c>
      <c r="E205" s="5">
        <f t="shared" si="306"/>
        <v>0</v>
      </c>
      <c r="F205" s="5">
        <f t="shared" si="306"/>
        <v>246.83817199999999</v>
      </c>
      <c r="G205" s="5">
        <f t="shared" si="306"/>
        <v>0</v>
      </c>
      <c r="H205" s="5">
        <f t="shared" si="306"/>
        <v>14.817793000000002</v>
      </c>
      <c r="I205" s="5">
        <f t="shared" si="306"/>
        <v>0</v>
      </c>
      <c r="J205" s="5">
        <f t="shared" si="306"/>
        <v>0</v>
      </c>
      <c r="K205" s="5">
        <f t="shared" si="306"/>
        <v>0</v>
      </c>
      <c r="L205" s="5">
        <f t="shared" si="306"/>
        <v>0</v>
      </c>
      <c r="M205" s="5">
        <f t="shared" si="306"/>
        <v>7.6902470000000012</v>
      </c>
      <c r="N205" s="5">
        <f t="shared" si="306"/>
        <v>1393.2476760000002</v>
      </c>
      <c r="O205" s="5">
        <f t="shared" si="306"/>
        <v>0</v>
      </c>
      <c r="P205" s="5">
        <f t="shared" si="306"/>
        <v>0</v>
      </c>
      <c r="Q205" s="5">
        <f t="shared" si="306"/>
        <v>0</v>
      </c>
      <c r="R205" s="5">
        <f t="shared" si="306"/>
        <v>0</v>
      </c>
      <c r="S205" s="5">
        <f t="shared" si="306"/>
        <v>0</v>
      </c>
      <c r="T205" s="5">
        <f t="shared" si="306"/>
        <v>14.442659000000001</v>
      </c>
      <c r="U205" s="5">
        <f t="shared" si="306"/>
        <v>0</v>
      </c>
      <c r="V205" s="5">
        <f t="shared" si="306"/>
        <v>198.633453</v>
      </c>
      <c r="W205" s="5">
        <f t="shared" si="306"/>
        <v>0</v>
      </c>
      <c r="X205" s="5">
        <f t="shared" si="306"/>
        <v>0</v>
      </c>
      <c r="Y205" s="5">
        <f t="shared" si="306"/>
        <v>0</v>
      </c>
      <c r="Z205" s="5">
        <f t="shared" si="306"/>
        <v>0</v>
      </c>
      <c r="AA205" s="5">
        <f t="shared" si="306"/>
        <v>0</v>
      </c>
      <c r="AB205" s="5">
        <f t="shared" si="306"/>
        <v>0</v>
      </c>
      <c r="AC205" s="56"/>
      <c r="AD205" s="23"/>
    </row>
    <row r="206" spans="1:30" s="14" customFormat="1">
      <c r="A206" s="78" t="s">
        <v>753</v>
      </c>
      <c r="B206" s="15">
        <f>484673/2</f>
        <v>242336.5</v>
      </c>
      <c r="C206" s="130">
        <f t="shared" ref="C206" si="307">ROUND(B206/12,2)</f>
        <v>20194.71</v>
      </c>
      <c r="D206" s="35">
        <v>1.6299999999999999E-2</v>
      </c>
      <c r="E206" s="35">
        <v>0.14269999999999999</v>
      </c>
      <c r="F206" s="35">
        <v>5.8900000000000001E-2</v>
      </c>
      <c r="G206" s="35">
        <v>7.6200000000000004E-2</v>
      </c>
      <c r="H206" s="35">
        <v>3.9600000000000003E-2</v>
      </c>
      <c r="I206" s="35">
        <v>0.12470000000000001</v>
      </c>
      <c r="J206" s="35">
        <v>2.0400000000000001E-2</v>
      </c>
      <c r="K206" s="35">
        <v>3.1199999999999999E-2</v>
      </c>
      <c r="L206" s="35">
        <v>1.6199999999999999E-2</v>
      </c>
      <c r="M206" s="35">
        <v>2.53E-2</v>
      </c>
      <c r="N206" s="35">
        <v>0.14849999999999999</v>
      </c>
      <c r="O206" s="35">
        <v>2.2599999999999999E-2</v>
      </c>
      <c r="P206" s="35">
        <v>0</v>
      </c>
      <c r="Q206" s="35">
        <v>3.78E-2</v>
      </c>
      <c r="R206" s="35">
        <v>1.8100000000000002E-2</v>
      </c>
      <c r="S206" s="35">
        <v>4.1000000000000003E-3</v>
      </c>
      <c r="T206" s="35">
        <v>5.04E-2</v>
      </c>
      <c r="U206" s="35">
        <v>1.7500000000000002E-2</v>
      </c>
      <c r="V206" s="35">
        <v>3.6200000000000003E-2</v>
      </c>
      <c r="W206" s="35">
        <v>4.8500000000000001E-2</v>
      </c>
      <c r="X206" s="35">
        <v>6.1600000000000002E-2</v>
      </c>
      <c r="Y206" s="35">
        <v>2.5000000000000001E-3</v>
      </c>
      <c r="Z206" s="4">
        <v>0</v>
      </c>
      <c r="AA206" s="4">
        <v>6.9999999999999999E-4</v>
      </c>
      <c r="AB206" s="4">
        <v>0</v>
      </c>
      <c r="AC206" s="56"/>
      <c r="AD206" s="23"/>
    </row>
    <row r="207" spans="1:30" s="14" customFormat="1">
      <c r="A207" s="79"/>
      <c r="B207" s="9"/>
      <c r="C207" s="129"/>
      <c r="D207" s="5">
        <f t="shared" ref="D207:AB207" si="308">$C206*D206</f>
        <v>329.17377299999998</v>
      </c>
      <c r="E207" s="5">
        <f t="shared" si="308"/>
        <v>2881.7851169999999</v>
      </c>
      <c r="F207" s="5">
        <f t="shared" si="308"/>
        <v>1189.468419</v>
      </c>
      <c r="G207" s="5">
        <f t="shared" si="308"/>
        <v>1538.836902</v>
      </c>
      <c r="H207" s="5">
        <f t="shared" si="308"/>
        <v>799.71051599999998</v>
      </c>
      <c r="I207" s="5">
        <f t="shared" si="308"/>
        <v>2518.2803370000001</v>
      </c>
      <c r="J207" s="5">
        <f t="shared" si="308"/>
        <v>411.972084</v>
      </c>
      <c r="K207" s="5">
        <f t="shared" si="308"/>
        <v>630.07495199999994</v>
      </c>
      <c r="L207" s="5">
        <f t="shared" si="308"/>
        <v>327.15430199999997</v>
      </c>
      <c r="M207" s="5">
        <f t="shared" si="308"/>
        <v>510.92616299999997</v>
      </c>
      <c r="N207" s="5">
        <f t="shared" si="308"/>
        <v>2998.9144349999997</v>
      </c>
      <c r="O207" s="5">
        <f t="shared" si="308"/>
        <v>456.40044599999993</v>
      </c>
      <c r="P207" s="5">
        <f t="shared" si="308"/>
        <v>0</v>
      </c>
      <c r="Q207" s="5">
        <f t="shared" si="308"/>
        <v>763.36003799999992</v>
      </c>
      <c r="R207" s="5">
        <f t="shared" si="308"/>
        <v>365.52425099999999</v>
      </c>
      <c r="S207" s="5">
        <f t="shared" si="308"/>
        <v>82.798310999999998</v>
      </c>
      <c r="T207" s="5">
        <f t="shared" si="308"/>
        <v>1017.8133839999999</v>
      </c>
      <c r="U207" s="5">
        <f t="shared" si="308"/>
        <v>353.40742500000005</v>
      </c>
      <c r="V207" s="5">
        <f t="shared" si="308"/>
        <v>731.04850199999998</v>
      </c>
      <c r="W207" s="5">
        <f t="shared" si="308"/>
        <v>979.44343500000002</v>
      </c>
      <c r="X207" s="5">
        <f t="shared" si="308"/>
        <v>1243.994136</v>
      </c>
      <c r="Y207" s="5">
        <f t="shared" si="308"/>
        <v>50.486775000000002</v>
      </c>
      <c r="Z207" s="5">
        <f t="shared" si="308"/>
        <v>0</v>
      </c>
      <c r="AA207" s="5">
        <f t="shared" si="308"/>
        <v>14.136296999999999</v>
      </c>
      <c r="AB207" s="5">
        <f t="shared" si="308"/>
        <v>0</v>
      </c>
      <c r="AC207" s="56"/>
      <c r="AD207" s="23"/>
    </row>
    <row r="208" spans="1:30" s="14" customFormat="1">
      <c r="A208" s="78" t="s">
        <v>763</v>
      </c>
      <c r="B208" s="15">
        <f>484673/2</f>
        <v>242336.5</v>
      </c>
      <c r="C208" s="130">
        <f t="shared" ref="C208" si="309">ROUND(B208/12,2)</f>
        <v>20194.71</v>
      </c>
      <c r="D208" s="4"/>
      <c r="E208" s="4"/>
      <c r="F208" s="4"/>
      <c r="G208" s="4"/>
      <c r="H208" s="4">
        <v>0.70660000000000001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>
        <v>0.29339999999999999</v>
      </c>
      <c r="W208" s="4"/>
      <c r="X208" s="4"/>
      <c r="Y208" s="4"/>
      <c r="Z208" s="4"/>
      <c r="AA208" s="4"/>
      <c r="AB208" s="4"/>
      <c r="AC208" s="56"/>
      <c r="AD208" s="23"/>
    </row>
    <row r="209" spans="1:30" s="14" customFormat="1">
      <c r="A209" s="79"/>
      <c r="B209" s="9"/>
      <c r="C209" s="129"/>
      <c r="D209" s="5">
        <f t="shared" ref="D209:AB209" si="310">$C208*D208</f>
        <v>0</v>
      </c>
      <c r="E209" s="5">
        <f t="shared" si="310"/>
        <v>0</v>
      </c>
      <c r="F209" s="5">
        <f t="shared" si="310"/>
        <v>0</v>
      </c>
      <c r="G209" s="5">
        <f t="shared" si="310"/>
        <v>0</v>
      </c>
      <c r="H209" s="5">
        <f t="shared" si="310"/>
        <v>14269.582086</v>
      </c>
      <c r="I209" s="5">
        <f t="shared" si="310"/>
        <v>0</v>
      </c>
      <c r="J209" s="5">
        <f t="shared" si="310"/>
        <v>0</v>
      </c>
      <c r="K209" s="5">
        <f t="shared" si="310"/>
        <v>0</v>
      </c>
      <c r="L209" s="5">
        <f t="shared" si="310"/>
        <v>0</v>
      </c>
      <c r="M209" s="5">
        <f t="shared" si="310"/>
        <v>0</v>
      </c>
      <c r="N209" s="5">
        <f t="shared" si="310"/>
        <v>0</v>
      </c>
      <c r="O209" s="5">
        <f t="shared" si="310"/>
        <v>0</v>
      </c>
      <c r="P209" s="5">
        <f t="shared" si="310"/>
        <v>0</v>
      </c>
      <c r="Q209" s="5">
        <f t="shared" si="310"/>
        <v>0</v>
      </c>
      <c r="R209" s="5">
        <f t="shared" si="310"/>
        <v>0</v>
      </c>
      <c r="S209" s="5">
        <f t="shared" si="310"/>
        <v>0</v>
      </c>
      <c r="T209" s="5">
        <f t="shared" si="310"/>
        <v>0</v>
      </c>
      <c r="U209" s="5">
        <f t="shared" si="310"/>
        <v>0</v>
      </c>
      <c r="V209" s="5">
        <f t="shared" si="310"/>
        <v>5925.1279139999997</v>
      </c>
      <c r="W209" s="5">
        <f t="shared" si="310"/>
        <v>0</v>
      </c>
      <c r="X209" s="5">
        <f t="shared" si="310"/>
        <v>0</v>
      </c>
      <c r="Y209" s="5">
        <f t="shared" si="310"/>
        <v>0</v>
      </c>
      <c r="Z209" s="5">
        <f t="shared" si="310"/>
        <v>0</v>
      </c>
      <c r="AA209" s="5">
        <f t="shared" si="310"/>
        <v>0</v>
      </c>
      <c r="AB209" s="5">
        <f t="shared" si="310"/>
        <v>0</v>
      </c>
      <c r="AC209" s="56"/>
      <c r="AD209" s="23"/>
    </row>
    <row r="210" spans="1:30" s="14" customFormat="1">
      <c r="A210" s="78" t="s">
        <v>754</v>
      </c>
      <c r="B210" s="15">
        <f>484673/2</f>
        <v>242336.5</v>
      </c>
      <c r="C210" s="130">
        <f t="shared" ref="C210" si="311">ROUND(B210/12,2)</f>
        <v>20194.71</v>
      </c>
      <c r="D210" s="35">
        <v>1.6299999999999999E-2</v>
      </c>
      <c r="E210" s="35">
        <v>0.14269999999999999</v>
      </c>
      <c r="F210" s="35">
        <v>5.8900000000000001E-2</v>
      </c>
      <c r="G210" s="35">
        <v>7.6200000000000004E-2</v>
      </c>
      <c r="H210" s="35">
        <v>3.9600000000000003E-2</v>
      </c>
      <c r="I210" s="35">
        <v>0.12470000000000001</v>
      </c>
      <c r="J210" s="35">
        <v>2.0400000000000001E-2</v>
      </c>
      <c r="K210" s="35">
        <v>3.1199999999999999E-2</v>
      </c>
      <c r="L210" s="35">
        <v>1.6199999999999999E-2</v>
      </c>
      <c r="M210" s="35">
        <v>2.53E-2</v>
      </c>
      <c r="N210" s="35">
        <v>0.14849999999999999</v>
      </c>
      <c r="O210" s="35">
        <v>2.2599999999999999E-2</v>
      </c>
      <c r="P210" s="35">
        <v>0</v>
      </c>
      <c r="Q210" s="35">
        <v>3.78E-2</v>
      </c>
      <c r="R210" s="35">
        <v>1.8100000000000002E-2</v>
      </c>
      <c r="S210" s="35">
        <v>4.1000000000000003E-3</v>
      </c>
      <c r="T210" s="35">
        <v>5.04E-2</v>
      </c>
      <c r="U210" s="35">
        <v>1.7500000000000002E-2</v>
      </c>
      <c r="V210" s="35">
        <v>3.6200000000000003E-2</v>
      </c>
      <c r="W210" s="35">
        <v>4.8500000000000001E-2</v>
      </c>
      <c r="X210" s="35">
        <v>6.1600000000000002E-2</v>
      </c>
      <c r="Y210" s="35">
        <v>2.5000000000000001E-3</v>
      </c>
      <c r="Z210" s="4">
        <v>0</v>
      </c>
      <c r="AA210" s="4">
        <v>6.9999999999999999E-4</v>
      </c>
      <c r="AB210" s="4">
        <v>0</v>
      </c>
      <c r="AC210" s="56"/>
      <c r="AD210" s="23"/>
    </row>
    <row r="211" spans="1:30" s="14" customFormat="1">
      <c r="A211" s="79"/>
      <c r="B211" s="9"/>
      <c r="C211" s="129"/>
      <c r="D211" s="5">
        <f t="shared" ref="D211:AB211" si="312">$C210*D210</f>
        <v>329.17377299999998</v>
      </c>
      <c r="E211" s="5">
        <f t="shared" si="312"/>
        <v>2881.7851169999999</v>
      </c>
      <c r="F211" s="5">
        <f t="shared" si="312"/>
        <v>1189.468419</v>
      </c>
      <c r="G211" s="5">
        <f t="shared" si="312"/>
        <v>1538.836902</v>
      </c>
      <c r="H211" s="5">
        <f t="shared" si="312"/>
        <v>799.71051599999998</v>
      </c>
      <c r="I211" s="5">
        <f t="shared" si="312"/>
        <v>2518.2803370000001</v>
      </c>
      <c r="J211" s="5">
        <f t="shared" si="312"/>
        <v>411.972084</v>
      </c>
      <c r="K211" s="5">
        <f t="shared" si="312"/>
        <v>630.07495199999994</v>
      </c>
      <c r="L211" s="5">
        <f t="shared" si="312"/>
        <v>327.15430199999997</v>
      </c>
      <c r="M211" s="5">
        <f t="shared" si="312"/>
        <v>510.92616299999997</v>
      </c>
      <c r="N211" s="5">
        <f t="shared" si="312"/>
        <v>2998.9144349999997</v>
      </c>
      <c r="O211" s="5">
        <f t="shared" si="312"/>
        <v>456.40044599999993</v>
      </c>
      <c r="P211" s="5">
        <f t="shared" si="312"/>
        <v>0</v>
      </c>
      <c r="Q211" s="5">
        <f t="shared" si="312"/>
        <v>763.36003799999992</v>
      </c>
      <c r="R211" s="5">
        <f t="shared" si="312"/>
        <v>365.52425099999999</v>
      </c>
      <c r="S211" s="5">
        <f t="shared" si="312"/>
        <v>82.798310999999998</v>
      </c>
      <c r="T211" s="5">
        <f t="shared" si="312"/>
        <v>1017.8133839999999</v>
      </c>
      <c r="U211" s="5">
        <f t="shared" si="312"/>
        <v>353.40742500000005</v>
      </c>
      <c r="V211" s="5">
        <f t="shared" si="312"/>
        <v>731.04850199999998</v>
      </c>
      <c r="W211" s="5">
        <f t="shared" si="312"/>
        <v>979.44343500000002</v>
      </c>
      <c r="X211" s="5">
        <f t="shared" si="312"/>
        <v>1243.994136</v>
      </c>
      <c r="Y211" s="5">
        <f t="shared" si="312"/>
        <v>50.486775000000002</v>
      </c>
      <c r="Z211" s="5">
        <f t="shared" si="312"/>
        <v>0</v>
      </c>
      <c r="AA211" s="5">
        <f t="shared" si="312"/>
        <v>14.136296999999999</v>
      </c>
      <c r="AB211" s="5">
        <f t="shared" si="312"/>
        <v>0</v>
      </c>
      <c r="AC211" s="56"/>
      <c r="AD211" s="23"/>
    </row>
    <row r="212" spans="1:30" s="14" customFormat="1">
      <c r="A212" s="78" t="s">
        <v>764</v>
      </c>
      <c r="B212" s="15">
        <f>484673/2</f>
        <v>242336.5</v>
      </c>
      <c r="C212" s="130">
        <f t="shared" ref="C212" si="313">ROUND(B212/12,2)</f>
        <v>20194.71</v>
      </c>
      <c r="D212" s="4"/>
      <c r="E212" s="4"/>
      <c r="F212" s="4">
        <v>6.7999999999999996E-3</v>
      </c>
      <c r="G212" s="4"/>
      <c r="H212" s="4">
        <v>0.97409999999999997</v>
      </c>
      <c r="I212" s="4"/>
      <c r="J212" s="4"/>
      <c r="K212" s="4"/>
      <c r="L212" s="4"/>
      <c r="M212" s="4"/>
      <c r="N212" s="4">
        <v>1.9099999999999999E-2</v>
      </c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56"/>
      <c r="AD212" s="23"/>
    </row>
    <row r="213" spans="1:30" s="14" customFormat="1">
      <c r="A213" s="79"/>
      <c r="B213" s="9"/>
      <c r="C213" s="129"/>
      <c r="D213" s="5">
        <f t="shared" ref="D213:AB213" si="314">$C212*D212</f>
        <v>0</v>
      </c>
      <c r="E213" s="5">
        <f t="shared" si="314"/>
        <v>0</v>
      </c>
      <c r="F213" s="5">
        <f t="shared" si="314"/>
        <v>137.324028</v>
      </c>
      <c r="G213" s="5">
        <f t="shared" si="314"/>
        <v>0</v>
      </c>
      <c r="H213" s="5">
        <f t="shared" si="314"/>
        <v>19671.667010999998</v>
      </c>
      <c r="I213" s="5">
        <f t="shared" si="314"/>
        <v>0</v>
      </c>
      <c r="J213" s="5">
        <f t="shared" si="314"/>
        <v>0</v>
      </c>
      <c r="K213" s="5">
        <f t="shared" si="314"/>
        <v>0</v>
      </c>
      <c r="L213" s="5">
        <f t="shared" si="314"/>
        <v>0</v>
      </c>
      <c r="M213" s="5">
        <f t="shared" si="314"/>
        <v>0</v>
      </c>
      <c r="N213" s="5">
        <f t="shared" si="314"/>
        <v>385.71896099999998</v>
      </c>
      <c r="O213" s="5">
        <f t="shared" si="314"/>
        <v>0</v>
      </c>
      <c r="P213" s="5">
        <f t="shared" si="314"/>
        <v>0</v>
      </c>
      <c r="Q213" s="5">
        <f t="shared" si="314"/>
        <v>0</v>
      </c>
      <c r="R213" s="5">
        <f t="shared" si="314"/>
        <v>0</v>
      </c>
      <c r="S213" s="5">
        <f t="shared" si="314"/>
        <v>0</v>
      </c>
      <c r="T213" s="5">
        <f t="shared" si="314"/>
        <v>0</v>
      </c>
      <c r="U213" s="5">
        <f t="shared" si="314"/>
        <v>0</v>
      </c>
      <c r="V213" s="5">
        <f t="shared" si="314"/>
        <v>0</v>
      </c>
      <c r="W213" s="5">
        <f t="shared" si="314"/>
        <v>0</v>
      </c>
      <c r="X213" s="5">
        <f t="shared" si="314"/>
        <v>0</v>
      </c>
      <c r="Y213" s="5">
        <f t="shared" si="314"/>
        <v>0</v>
      </c>
      <c r="Z213" s="5">
        <f t="shared" si="314"/>
        <v>0</v>
      </c>
      <c r="AA213" s="5">
        <f t="shared" si="314"/>
        <v>0</v>
      </c>
      <c r="AB213" s="5">
        <f t="shared" si="314"/>
        <v>0</v>
      </c>
      <c r="AC213" s="56"/>
      <c r="AD213" s="23"/>
    </row>
    <row r="214" spans="1:30" s="14" customFormat="1">
      <c r="A214" s="78" t="s">
        <v>755</v>
      </c>
      <c r="B214" s="15">
        <f>484673/2</f>
        <v>242336.5</v>
      </c>
      <c r="C214" s="130">
        <f t="shared" ref="C214" si="315">ROUND(B214/12,2)</f>
        <v>20194.71</v>
      </c>
      <c r="D214" s="35">
        <v>1.6299999999999999E-2</v>
      </c>
      <c r="E214" s="35">
        <v>0.14269999999999999</v>
      </c>
      <c r="F214" s="35">
        <v>5.8900000000000001E-2</v>
      </c>
      <c r="G214" s="35">
        <v>7.6200000000000004E-2</v>
      </c>
      <c r="H214" s="35">
        <v>3.9600000000000003E-2</v>
      </c>
      <c r="I214" s="35">
        <v>0.12470000000000001</v>
      </c>
      <c r="J214" s="35">
        <v>2.0400000000000001E-2</v>
      </c>
      <c r="K214" s="35">
        <v>3.1199999999999999E-2</v>
      </c>
      <c r="L214" s="35">
        <v>1.6199999999999999E-2</v>
      </c>
      <c r="M214" s="35">
        <v>2.53E-2</v>
      </c>
      <c r="N214" s="35">
        <v>0.14849999999999999</v>
      </c>
      <c r="O214" s="35">
        <v>2.2599999999999999E-2</v>
      </c>
      <c r="P214" s="35">
        <v>0</v>
      </c>
      <c r="Q214" s="35">
        <v>3.78E-2</v>
      </c>
      <c r="R214" s="35">
        <v>1.8100000000000002E-2</v>
      </c>
      <c r="S214" s="35">
        <v>4.1000000000000003E-3</v>
      </c>
      <c r="T214" s="35">
        <v>5.04E-2</v>
      </c>
      <c r="U214" s="35">
        <v>1.7500000000000002E-2</v>
      </c>
      <c r="V214" s="35">
        <v>3.6200000000000003E-2</v>
      </c>
      <c r="W214" s="35">
        <v>4.8500000000000001E-2</v>
      </c>
      <c r="X214" s="35">
        <v>6.1600000000000002E-2</v>
      </c>
      <c r="Y214" s="35">
        <v>2.5000000000000001E-3</v>
      </c>
      <c r="Z214" s="4">
        <v>0</v>
      </c>
      <c r="AA214" s="4">
        <v>6.9999999999999999E-4</v>
      </c>
      <c r="AB214" s="4">
        <v>0</v>
      </c>
      <c r="AC214" s="56"/>
      <c r="AD214" s="23"/>
    </row>
    <row r="215" spans="1:30" s="14" customFormat="1">
      <c r="A215" s="79"/>
      <c r="B215" s="9"/>
      <c r="C215" s="129"/>
      <c r="D215" s="5">
        <f t="shared" ref="D215:AB215" si="316">$C214*D214</f>
        <v>329.17377299999998</v>
      </c>
      <c r="E215" s="5">
        <f t="shared" si="316"/>
        <v>2881.7851169999999</v>
      </c>
      <c r="F215" s="5">
        <f t="shared" si="316"/>
        <v>1189.468419</v>
      </c>
      <c r="G215" s="5">
        <f t="shared" si="316"/>
        <v>1538.836902</v>
      </c>
      <c r="H215" s="5">
        <f t="shared" si="316"/>
        <v>799.71051599999998</v>
      </c>
      <c r="I215" s="5">
        <f t="shared" si="316"/>
        <v>2518.2803370000001</v>
      </c>
      <c r="J215" s="5">
        <f t="shared" si="316"/>
        <v>411.972084</v>
      </c>
      <c r="K215" s="5">
        <f t="shared" si="316"/>
        <v>630.07495199999994</v>
      </c>
      <c r="L215" s="5">
        <f t="shared" si="316"/>
        <v>327.15430199999997</v>
      </c>
      <c r="M215" s="5">
        <f t="shared" si="316"/>
        <v>510.92616299999997</v>
      </c>
      <c r="N215" s="5">
        <f t="shared" si="316"/>
        <v>2998.9144349999997</v>
      </c>
      <c r="O215" s="5">
        <f t="shared" si="316"/>
        <v>456.40044599999993</v>
      </c>
      <c r="P215" s="5">
        <f t="shared" si="316"/>
        <v>0</v>
      </c>
      <c r="Q215" s="5">
        <f t="shared" si="316"/>
        <v>763.36003799999992</v>
      </c>
      <c r="R215" s="5">
        <f t="shared" si="316"/>
        <v>365.52425099999999</v>
      </c>
      <c r="S215" s="5">
        <f t="shared" si="316"/>
        <v>82.798310999999998</v>
      </c>
      <c r="T215" s="5">
        <f t="shared" si="316"/>
        <v>1017.8133839999999</v>
      </c>
      <c r="U215" s="5">
        <f t="shared" si="316"/>
        <v>353.40742500000005</v>
      </c>
      <c r="V215" s="5">
        <f t="shared" si="316"/>
        <v>731.04850199999998</v>
      </c>
      <c r="W215" s="5">
        <f t="shared" si="316"/>
        <v>979.44343500000002</v>
      </c>
      <c r="X215" s="5">
        <f t="shared" si="316"/>
        <v>1243.994136</v>
      </c>
      <c r="Y215" s="5">
        <f t="shared" si="316"/>
        <v>50.486775000000002</v>
      </c>
      <c r="Z215" s="5">
        <f t="shared" si="316"/>
        <v>0</v>
      </c>
      <c r="AA215" s="5">
        <f t="shared" si="316"/>
        <v>14.136296999999999</v>
      </c>
      <c r="AB215" s="5">
        <f t="shared" si="316"/>
        <v>0</v>
      </c>
      <c r="AC215" s="56"/>
      <c r="AD215" s="23"/>
    </row>
    <row r="216" spans="1:30" s="14" customFormat="1">
      <c r="A216" s="78" t="s">
        <v>765</v>
      </c>
      <c r="B216" s="15">
        <f>484673/2</f>
        <v>242336.5</v>
      </c>
      <c r="C216" s="130">
        <f t="shared" ref="C216" si="317">ROUND(B216/12,2)</f>
        <v>20194.71</v>
      </c>
      <c r="D216" s="4"/>
      <c r="E216" s="4"/>
      <c r="F216" s="4"/>
      <c r="G216" s="4"/>
      <c r="H216" s="4">
        <v>2.58E-2</v>
      </c>
      <c r="I216" s="4"/>
      <c r="J216" s="4"/>
      <c r="K216" s="4"/>
      <c r="L216" s="4"/>
      <c r="M216" s="4">
        <v>2.0000000000000001E-4</v>
      </c>
      <c r="N216" s="4">
        <v>0.59279999999999999</v>
      </c>
      <c r="O216" s="4"/>
      <c r="P216" s="4"/>
      <c r="Q216" s="4"/>
      <c r="R216" s="4"/>
      <c r="S216" s="4"/>
      <c r="T216" s="4"/>
      <c r="U216" s="4"/>
      <c r="V216" s="4">
        <v>0.2848</v>
      </c>
      <c r="W216" s="4"/>
      <c r="X216" s="4">
        <v>9.2399999999999996E-2</v>
      </c>
      <c r="Y216" s="4">
        <v>4.0000000000000001E-3</v>
      </c>
      <c r="Z216" s="4"/>
      <c r="AA216" s="4"/>
      <c r="AB216" s="4"/>
      <c r="AC216" s="56"/>
      <c r="AD216" s="23"/>
    </row>
    <row r="217" spans="1:30" s="14" customFormat="1">
      <c r="A217" s="79"/>
      <c r="B217" s="9"/>
      <c r="C217" s="129"/>
      <c r="D217" s="5">
        <f t="shared" ref="D217:AB217" si="318">$C216*D216</f>
        <v>0</v>
      </c>
      <c r="E217" s="5">
        <f t="shared" si="318"/>
        <v>0</v>
      </c>
      <c r="F217" s="5">
        <f t="shared" si="318"/>
        <v>0</v>
      </c>
      <c r="G217" s="5">
        <f t="shared" si="318"/>
        <v>0</v>
      </c>
      <c r="H217" s="5">
        <f t="shared" si="318"/>
        <v>521.02351799999997</v>
      </c>
      <c r="I217" s="5">
        <f t="shared" si="318"/>
        <v>0</v>
      </c>
      <c r="J217" s="5">
        <f t="shared" si="318"/>
        <v>0</v>
      </c>
      <c r="K217" s="5">
        <f t="shared" si="318"/>
        <v>0</v>
      </c>
      <c r="L217" s="5">
        <f t="shared" si="318"/>
        <v>0</v>
      </c>
      <c r="M217" s="5">
        <f t="shared" si="318"/>
        <v>4.0389419999999996</v>
      </c>
      <c r="N217" s="5">
        <f t="shared" si="318"/>
        <v>11971.424088</v>
      </c>
      <c r="O217" s="5">
        <f t="shared" si="318"/>
        <v>0</v>
      </c>
      <c r="P217" s="5">
        <f t="shared" si="318"/>
        <v>0</v>
      </c>
      <c r="Q217" s="5">
        <f t="shared" si="318"/>
        <v>0</v>
      </c>
      <c r="R217" s="5">
        <f t="shared" si="318"/>
        <v>0</v>
      </c>
      <c r="S217" s="5">
        <f t="shared" si="318"/>
        <v>0</v>
      </c>
      <c r="T217" s="5">
        <f t="shared" si="318"/>
        <v>0</v>
      </c>
      <c r="U217" s="5">
        <f t="shared" si="318"/>
        <v>0</v>
      </c>
      <c r="V217" s="5">
        <f t="shared" si="318"/>
        <v>5751.4534079999994</v>
      </c>
      <c r="W217" s="5">
        <f t="shared" si="318"/>
        <v>0</v>
      </c>
      <c r="X217" s="5">
        <f t="shared" si="318"/>
        <v>1865.9912039999999</v>
      </c>
      <c r="Y217" s="5">
        <f t="shared" si="318"/>
        <v>80.778840000000002</v>
      </c>
      <c r="Z217" s="5">
        <f t="shared" si="318"/>
        <v>0</v>
      </c>
      <c r="AA217" s="5">
        <f t="shared" si="318"/>
        <v>0</v>
      </c>
      <c r="AB217" s="5">
        <f t="shared" si="318"/>
        <v>0</v>
      </c>
      <c r="AC217" s="56"/>
      <c r="AD217" s="23"/>
    </row>
    <row r="218" spans="1:30" s="14" customFormat="1">
      <c r="A218" s="78" t="s">
        <v>756</v>
      </c>
      <c r="B218" s="15">
        <v>945352</v>
      </c>
      <c r="C218" s="130">
        <f t="shared" ref="C218" si="319">ROUND(B218/12,2)</f>
        <v>78779.33</v>
      </c>
      <c r="D218" s="4"/>
      <c r="E218" s="4"/>
      <c r="F218" s="4"/>
      <c r="G218" s="4"/>
      <c r="H218" s="4">
        <v>0.62749999999999995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>
        <v>0.3725</v>
      </c>
      <c r="W218" s="4"/>
      <c r="X218" s="4"/>
      <c r="Y218" s="4"/>
      <c r="Z218" s="4"/>
      <c r="AA218" s="4"/>
      <c r="AB218" s="4"/>
      <c r="AC218" s="56"/>
      <c r="AD218" s="23"/>
    </row>
    <row r="219" spans="1:30" s="14" customFormat="1">
      <c r="A219" s="79"/>
      <c r="B219" s="9"/>
      <c r="C219" s="129"/>
      <c r="D219" s="5">
        <f t="shared" ref="D219:AB219" si="320">$C218*D218</f>
        <v>0</v>
      </c>
      <c r="E219" s="5">
        <f t="shared" si="320"/>
        <v>0</v>
      </c>
      <c r="F219" s="5">
        <f t="shared" si="320"/>
        <v>0</v>
      </c>
      <c r="G219" s="5">
        <f t="shared" si="320"/>
        <v>0</v>
      </c>
      <c r="H219" s="5">
        <f t="shared" si="320"/>
        <v>49434.029575</v>
      </c>
      <c r="I219" s="5">
        <f t="shared" si="320"/>
        <v>0</v>
      </c>
      <c r="J219" s="5">
        <f t="shared" si="320"/>
        <v>0</v>
      </c>
      <c r="K219" s="5">
        <f t="shared" si="320"/>
        <v>0</v>
      </c>
      <c r="L219" s="5">
        <f t="shared" si="320"/>
        <v>0</v>
      </c>
      <c r="M219" s="5">
        <f t="shared" si="320"/>
        <v>0</v>
      </c>
      <c r="N219" s="5">
        <f t="shared" si="320"/>
        <v>0</v>
      </c>
      <c r="O219" s="5">
        <f t="shared" si="320"/>
        <v>0</v>
      </c>
      <c r="P219" s="5">
        <f t="shared" si="320"/>
        <v>0</v>
      </c>
      <c r="Q219" s="5">
        <f t="shared" si="320"/>
        <v>0</v>
      </c>
      <c r="R219" s="5">
        <f t="shared" si="320"/>
        <v>0</v>
      </c>
      <c r="S219" s="5">
        <f t="shared" si="320"/>
        <v>0</v>
      </c>
      <c r="T219" s="5">
        <f t="shared" si="320"/>
        <v>0</v>
      </c>
      <c r="U219" s="5">
        <f t="shared" si="320"/>
        <v>0</v>
      </c>
      <c r="V219" s="5">
        <f t="shared" si="320"/>
        <v>29345.300425000001</v>
      </c>
      <c r="W219" s="5">
        <f t="shared" si="320"/>
        <v>0</v>
      </c>
      <c r="X219" s="5">
        <f t="shared" si="320"/>
        <v>0</v>
      </c>
      <c r="Y219" s="5">
        <f t="shared" si="320"/>
        <v>0</v>
      </c>
      <c r="Z219" s="5">
        <f t="shared" si="320"/>
        <v>0</v>
      </c>
      <c r="AA219" s="5">
        <f t="shared" si="320"/>
        <v>0</v>
      </c>
      <c r="AB219" s="5">
        <f t="shared" si="320"/>
        <v>0</v>
      </c>
      <c r="AC219" s="56"/>
      <c r="AD219" s="23"/>
    </row>
    <row r="220" spans="1:30" s="14" customFormat="1">
      <c r="A220" s="78" t="s">
        <v>757</v>
      </c>
      <c r="B220" s="15">
        <f>203773/2</f>
        <v>101886.5</v>
      </c>
      <c r="C220" s="130">
        <f t="shared" ref="C220" si="321">ROUND(B220/12,2)</f>
        <v>8490.5400000000009</v>
      </c>
      <c r="D220" s="35">
        <v>1.6299999999999999E-2</v>
      </c>
      <c r="E220" s="35">
        <v>0.14269999999999999</v>
      </c>
      <c r="F220" s="35">
        <v>5.8900000000000001E-2</v>
      </c>
      <c r="G220" s="35">
        <v>7.6200000000000004E-2</v>
      </c>
      <c r="H220" s="35">
        <v>3.9600000000000003E-2</v>
      </c>
      <c r="I220" s="35">
        <v>0.12470000000000001</v>
      </c>
      <c r="J220" s="35">
        <v>2.0400000000000001E-2</v>
      </c>
      <c r="K220" s="35">
        <v>3.1199999999999999E-2</v>
      </c>
      <c r="L220" s="35">
        <v>1.6199999999999999E-2</v>
      </c>
      <c r="M220" s="35">
        <v>2.53E-2</v>
      </c>
      <c r="N220" s="35">
        <v>0.14849999999999999</v>
      </c>
      <c r="O220" s="35">
        <v>2.2599999999999999E-2</v>
      </c>
      <c r="P220" s="35">
        <v>0</v>
      </c>
      <c r="Q220" s="35">
        <v>3.78E-2</v>
      </c>
      <c r="R220" s="35">
        <v>1.8100000000000002E-2</v>
      </c>
      <c r="S220" s="35">
        <v>4.1000000000000003E-3</v>
      </c>
      <c r="T220" s="35">
        <v>5.04E-2</v>
      </c>
      <c r="U220" s="35">
        <v>1.7500000000000002E-2</v>
      </c>
      <c r="V220" s="35">
        <v>3.6200000000000003E-2</v>
      </c>
      <c r="W220" s="35">
        <v>4.8500000000000001E-2</v>
      </c>
      <c r="X220" s="35">
        <v>6.1600000000000002E-2</v>
      </c>
      <c r="Y220" s="35">
        <v>2.5000000000000001E-3</v>
      </c>
      <c r="Z220" s="4">
        <v>0</v>
      </c>
      <c r="AA220" s="4">
        <v>6.9999999999999999E-4</v>
      </c>
      <c r="AB220" s="4">
        <v>0</v>
      </c>
      <c r="AC220" s="56"/>
      <c r="AD220" s="23"/>
    </row>
    <row r="221" spans="1:30" s="14" customFormat="1">
      <c r="A221" s="79"/>
      <c r="B221" s="9"/>
      <c r="C221" s="129"/>
      <c r="D221" s="5">
        <f t="shared" ref="D221:AB221" si="322">$C220*D220</f>
        <v>138.395802</v>
      </c>
      <c r="E221" s="5">
        <f t="shared" si="322"/>
        <v>1211.600058</v>
      </c>
      <c r="F221" s="5">
        <f t="shared" si="322"/>
        <v>500.09280600000005</v>
      </c>
      <c r="G221" s="5">
        <f t="shared" si="322"/>
        <v>646.97914800000012</v>
      </c>
      <c r="H221" s="5">
        <f t="shared" si="322"/>
        <v>336.22538400000008</v>
      </c>
      <c r="I221" s="5">
        <f t="shared" si="322"/>
        <v>1058.7703380000003</v>
      </c>
      <c r="J221" s="5">
        <f t="shared" si="322"/>
        <v>173.20701600000004</v>
      </c>
      <c r="K221" s="5">
        <f t="shared" si="322"/>
        <v>264.90484800000002</v>
      </c>
      <c r="L221" s="5">
        <f t="shared" si="322"/>
        <v>137.54674800000001</v>
      </c>
      <c r="M221" s="5">
        <f t="shared" si="322"/>
        <v>214.81066200000001</v>
      </c>
      <c r="N221" s="5">
        <f t="shared" si="322"/>
        <v>1260.84519</v>
      </c>
      <c r="O221" s="5">
        <f t="shared" si="322"/>
        <v>191.88620400000002</v>
      </c>
      <c r="P221" s="5">
        <f t="shared" si="322"/>
        <v>0</v>
      </c>
      <c r="Q221" s="5">
        <f t="shared" si="322"/>
        <v>320.94241200000005</v>
      </c>
      <c r="R221" s="5">
        <f t="shared" si="322"/>
        <v>153.67877400000003</v>
      </c>
      <c r="S221" s="5">
        <f t="shared" si="322"/>
        <v>34.811214000000007</v>
      </c>
      <c r="T221" s="5">
        <f t="shared" si="322"/>
        <v>427.92321600000002</v>
      </c>
      <c r="U221" s="5">
        <f t="shared" si="322"/>
        <v>148.58445000000003</v>
      </c>
      <c r="V221" s="5">
        <f t="shared" si="322"/>
        <v>307.35754800000007</v>
      </c>
      <c r="W221" s="5">
        <f t="shared" si="322"/>
        <v>411.79119000000003</v>
      </c>
      <c r="X221" s="5">
        <f t="shared" si="322"/>
        <v>523.01726400000007</v>
      </c>
      <c r="Y221" s="5">
        <f t="shared" si="322"/>
        <v>21.226350000000004</v>
      </c>
      <c r="Z221" s="5">
        <f t="shared" si="322"/>
        <v>0</v>
      </c>
      <c r="AA221" s="5">
        <f t="shared" si="322"/>
        <v>5.9433780000000009</v>
      </c>
      <c r="AB221" s="5">
        <f t="shared" si="322"/>
        <v>0</v>
      </c>
      <c r="AC221" s="56"/>
      <c r="AD221" s="23"/>
    </row>
    <row r="222" spans="1:30" s="14" customFormat="1">
      <c r="A222" s="78" t="s">
        <v>766</v>
      </c>
      <c r="B222" s="15">
        <f>203773/2</f>
        <v>101886.5</v>
      </c>
      <c r="C222" s="130">
        <f t="shared" ref="C222" si="323">ROUND(B222/12,2)</f>
        <v>8490.5400000000009</v>
      </c>
      <c r="D222" s="4"/>
      <c r="E222" s="4"/>
      <c r="F222" s="4"/>
      <c r="G222" s="4"/>
      <c r="H222" s="4">
        <v>2.58E-2</v>
      </c>
      <c r="I222" s="4"/>
      <c r="J222" s="4"/>
      <c r="K222" s="4"/>
      <c r="L222" s="4"/>
      <c r="M222" s="4">
        <v>2.0000000000000001E-4</v>
      </c>
      <c r="N222" s="4">
        <v>0.59279999999999999</v>
      </c>
      <c r="O222" s="4"/>
      <c r="P222" s="4"/>
      <c r="Q222" s="4"/>
      <c r="R222" s="4"/>
      <c r="S222" s="4"/>
      <c r="T222" s="4"/>
      <c r="U222" s="4"/>
      <c r="V222" s="4">
        <v>0.2848</v>
      </c>
      <c r="W222" s="4"/>
      <c r="X222" s="4">
        <v>9.2399999999999996E-2</v>
      </c>
      <c r="Y222" s="4">
        <v>4.0000000000000001E-3</v>
      </c>
      <c r="Z222" s="4"/>
      <c r="AA222" s="4"/>
      <c r="AB222" s="4"/>
      <c r="AC222" s="56"/>
      <c r="AD222" s="23"/>
    </row>
    <row r="223" spans="1:30" s="14" customFormat="1">
      <c r="A223" s="79"/>
      <c r="B223" s="9"/>
      <c r="C223" s="129"/>
      <c r="D223" s="5">
        <f t="shared" ref="D223:AB223" si="324">$C222*D222</f>
        <v>0</v>
      </c>
      <c r="E223" s="5">
        <f t="shared" si="324"/>
        <v>0</v>
      </c>
      <c r="F223" s="5">
        <f t="shared" si="324"/>
        <v>0</v>
      </c>
      <c r="G223" s="5">
        <f t="shared" si="324"/>
        <v>0</v>
      </c>
      <c r="H223" s="5">
        <f t="shared" si="324"/>
        <v>219.05593200000001</v>
      </c>
      <c r="I223" s="5">
        <f t="shared" si="324"/>
        <v>0</v>
      </c>
      <c r="J223" s="5">
        <f t="shared" si="324"/>
        <v>0</v>
      </c>
      <c r="K223" s="5">
        <f t="shared" si="324"/>
        <v>0</v>
      </c>
      <c r="L223" s="5">
        <f t="shared" si="324"/>
        <v>0</v>
      </c>
      <c r="M223" s="5">
        <f t="shared" si="324"/>
        <v>1.6981080000000002</v>
      </c>
      <c r="N223" s="5">
        <f t="shared" si="324"/>
        <v>5033.1921120000006</v>
      </c>
      <c r="O223" s="5">
        <f t="shared" si="324"/>
        <v>0</v>
      </c>
      <c r="P223" s="5">
        <f t="shared" si="324"/>
        <v>0</v>
      </c>
      <c r="Q223" s="5">
        <f t="shared" si="324"/>
        <v>0</v>
      </c>
      <c r="R223" s="5">
        <f t="shared" si="324"/>
        <v>0</v>
      </c>
      <c r="S223" s="5">
        <f t="shared" si="324"/>
        <v>0</v>
      </c>
      <c r="T223" s="5">
        <f t="shared" si="324"/>
        <v>0</v>
      </c>
      <c r="U223" s="5">
        <f t="shared" si="324"/>
        <v>0</v>
      </c>
      <c r="V223" s="5">
        <f t="shared" si="324"/>
        <v>2418.1057920000003</v>
      </c>
      <c r="W223" s="5">
        <f t="shared" si="324"/>
        <v>0</v>
      </c>
      <c r="X223" s="5">
        <f t="shared" si="324"/>
        <v>784.5258960000001</v>
      </c>
      <c r="Y223" s="5">
        <f t="shared" si="324"/>
        <v>33.962160000000004</v>
      </c>
      <c r="Z223" s="5">
        <f t="shared" si="324"/>
        <v>0</v>
      </c>
      <c r="AA223" s="5">
        <f t="shared" si="324"/>
        <v>0</v>
      </c>
      <c r="AB223" s="5">
        <f t="shared" si="324"/>
        <v>0</v>
      </c>
      <c r="AC223" s="56"/>
      <c r="AD223" s="23"/>
    </row>
    <row r="224" spans="1:30" s="14" customFormat="1">
      <c r="A224" s="78" t="s">
        <v>758</v>
      </c>
      <c r="B224" s="15">
        <f>14500/2</f>
        <v>7250</v>
      </c>
      <c r="C224" s="130">
        <f t="shared" ref="C224" si="325">ROUND(B224/12,2)</f>
        <v>604.16999999999996</v>
      </c>
      <c r="D224" s="35">
        <v>1.6299999999999999E-2</v>
      </c>
      <c r="E224" s="35">
        <v>0.14269999999999999</v>
      </c>
      <c r="F224" s="35">
        <v>5.8900000000000001E-2</v>
      </c>
      <c r="G224" s="35">
        <v>7.6200000000000004E-2</v>
      </c>
      <c r="H224" s="35">
        <v>3.9600000000000003E-2</v>
      </c>
      <c r="I224" s="35">
        <v>0.12470000000000001</v>
      </c>
      <c r="J224" s="35">
        <v>2.0400000000000001E-2</v>
      </c>
      <c r="K224" s="35">
        <v>3.1199999999999999E-2</v>
      </c>
      <c r="L224" s="35">
        <v>1.6199999999999999E-2</v>
      </c>
      <c r="M224" s="35">
        <v>2.53E-2</v>
      </c>
      <c r="N224" s="35">
        <v>0.14849999999999999</v>
      </c>
      <c r="O224" s="35">
        <v>2.2599999999999999E-2</v>
      </c>
      <c r="P224" s="35">
        <v>0</v>
      </c>
      <c r="Q224" s="35">
        <v>3.78E-2</v>
      </c>
      <c r="R224" s="35">
        <v>1.8100000000000002E-2</v>
      </c>
      <c r="S224" s="35">
        <v>4.1000000000000003E-3</v>
      </c>
      <c r="T224" s="35">
        <v>5.04E-2</v>
      </c>
      <c r="U224" s="35">
        <v>1.7500000000000002E-2</v>
      </c>
      <c r="V224" s="35">
        <v>3.6200000000000003E-2</v>
      </c>
      <c r="W224" s="35">
        <v>4.8500000000000001E-2</v>
      </c>
      <c r="X224" s="35">
        <v>6.1600000000000002E-2</v>
      </c>
      <c r="Y224" s="35">
        <v>2.5000000000000001E-3</v>
      </c>
      <c r="Z224" s="4">
        <v>0</v>
      </c>
      <c r="AA224" s="4">
        <v>6.9999999999999999E-4</v>
      </c>
      <c r="AB224" s="4">
        <v>0</v>
      </c>
      <c r="AC224" s="56"/>
      <c r="AD224" s="23"/>
    </row>
    <row r="225" spans="1:30" s="14" customFormat="1">
      <c r="A225" s="79"/>
      <c r="B225" s="9"/>
      <c r="C225" s="129"/>
      <c r="D225" s="5">
        <f t="shared" ref="D225:AB225" si="326">$C224*D224</f>
        <v>9.8479709999999976</v>
      </c>
      <c r="E225" s="5">
        <f t="shared" si="326"/>
        <v>86.215058999999997</v>
      </c>
      <c r="F225" s="5">
        <f t="shared" si="326"/>
        <v>35.585612999999995</v>
      </c>
      <c r="G225" s="5">
        <f t="shared" si="326"/>
        <v>46.037754</v>
      </c>
      <c r="H225" s="5">
        <f t="shared" si="326"/>
        <v>23.925132000000001</v>
      </c>
      <c r="I225" s="5">
        <f t="shared" si="326"/>
        <v>75.339998999999992</v>
      </c>
      <c r="J225" s="5">
        <f t="shared" si="326"/>
        <v>12.325068</v>
      </c>
      <c r="K225" s="5">
        <f t="shared" si="326"/>
        <v>18.850103999999998</v>
      </c>
      <c r="L225" s="5">
        <f t="shared" si="326"/>
        <v>9.7875539999999983</v>
      </c>
      <c r="M225" s="5">
        <f t="shared" si="326"/>
        <v>15.285500999999998</v>
      </c>
      <c r="N225" s="5">
        <f t="shared" si="326"/>
        <v>89.719244999999987</v>
      </c>
      <c r="O225" s="5">
        <f t="shared" si="326"/>
        <v>13.654241999999998</v>
      </c>
      <c r="P225" s="5">
        <f t="shared" si="326"/>
        <v>0</v>
      </c>
      <c r="Q225" s="5">
        <f t="shared" si="326"/>
        <v>22.837626</v>
      </c>
      <c r="R225" s="5">
        <f t="shared" si="326"/>
        <v>10.935477000000001</v>
      </c>
      <c r="S225" s="5">
        <f t="shared" si="326"/>
        <v>2.4770970000000001</v>
      </c>
      <c r="T225" s="5">
        <f t="shared" si="326"/>
        <v>30.450167999999998</v>
      </c>
      <c r="U225" s="5">
        <f t="shared" si="326"/>
        <v>10.572975</v>
      </c>
      <c r="V225" s="5">
        <f t="shared" si="326"/>
        <v>21.870954000000001</v>
      </c>
      <c r="W225" s="5">
        <f t="shared" si="326"/>
        <v>29.302244999999999</v>
      </c>
      <c r="X225" s="5">
        <f t="shared" si="326"/>
        <v>37.216872000000002</v>
      </c>
      <c r="Y225" s="5">
        <f t="shared" si="326"/>
        <v>1.5104249999999999</v>
      </c>
      <c r="Z225" s="5">
        <f t="shared" si="326"/>
        <v>0</v>
      </c>
      <c r="AA225" s="5">
        <f t="shared" si="326"/>
        <v>0.42291899999999999</v>
      </c>
      <c r="AB225" s="5">
        <f t="shared" si="326"/>
        <v>0</v>
      </c>
      <c r="AC225" s="56"/>
      <c r="AD225" s="23"/>
    </row>
    <row r="226" spans="1:30" s="14" customFormat="1">
      <c r="A226" s="78" t="s">
        <v>767</v>
      </c>
      <c r="B226" s="15">
        <f>14500/2</f>
        <v>7250</v>
      </c>
      <c r="C226" s="130">
        <f t="shared" ref="C226" si="327">ROUND(B226/12,2)</f>
        <v>604.16999999999996</v>
      </c>
      <c r="D226" s="4"/>
      <c r="E226" s="4"/>
      <c r="F226" s="4"/>
      <c r="G226" s="4"/>
      <c r="H226" s="4">
        <v>0.1236</v>
      </c>
      <c r="I226" s="4"/>
      <c r="J226" s="4"/>
      <c r="K226" s="4"/>
      <c r="L226" s="4"/>
      <c r="M226" s="4">
        <v>0.25169999999999998</v>
      </c>
      <c r="N226" s="4">
        <v>0.2457</v>
      </c>
      <c r="O226" s="4"/>
      <c r="P226" s="4"/>
      <c r="Q226" s="4">
        <v>7.9000000000000001E-2</v>
      </c>
      <c r="R226" s="4"/>
      <c r="S226" s="4">
        <v>8.8000000000000005E-3</v>
      </c>
      <c r="T226" s="4"/>
      <c r="U226" s="4">
        <v>1.6E-2</v>
      </c>
      <c r="V226" s="4">
        <v>0.1232</v>
      </c>
      <c r="W226" s="4"/>
      <c r="X226" s="4">
        <v>0.1457</v>
      </c>
      <c r="Y226" s="4">
        <v>6.3E-3</v>
      </c>
      <c r="Z226" s="4"/>
      <c r="AA226" s="4"/>
      <c r="AB226" s="4"/>
      <c r="AC226" s="56"/>
      <c r="AD226" s="23"/>
    </row>
    <row r="227" spans="1:30" s="14" customFormat="1">
      <c r="A227" s="79"/>
      <c r="B227" s="9"/>
      <c r="C227" s="129"/>
      <c r="D227" s="5">
        <f t="shared" ref="D227:AB227" si="328">$C226*D226</f>
        <v>0</v>
      </c>
      <c r="E227" s="5">
        <f t="shared" si="328"/>
        <v>0</v>
      </c>
      <c r="F227" s="5">
        <f t="shared" si="328"/>
        <v>0</v>
      </c>
      <c r="G227" s="5">
        <f t="shared" si="328"/>
        <v>0</v>
      </c>
      <c r="H227" s="5">
        <f t="shared" si="328"/>
        <v>74.675411999999994</v>
      </c>
      <c r="I227" s="5">
        <f t="shared" si="328"/>
        <v>0</v>
      </c>
      <c r="J227" s="5">
        <f t="shared" si="328"/>
        <v>0</v>
      </c>
      <c r="K227" s="5">
        <f t="shared" si="328"/>
        <v>0</v>
      </c>
      <c r="L227" s="5">
        <f t="shared" si="328"/>
        <v>0</v>
      </c>
      <c r="M227" s="5">
        <f t="shared" si="328"/>
        <v>152.06958899999998</v>
      </c>
      <c r="N227" s="5">
        <f t="shared" si="328"/>
        <v>148.444569</v>
      </c>
      <c r="O227" s="5">
        <f t="shared" si="328"/>
        <v>0</v>
      </c>
      <c r="P227" s="5">
        <f t="shared" si="328"/>
        <v>0</v>
      </c>
      <c r="Q227" s="5">
        <f t="shared" si="328"/>
        <v>47.729430000000001</v>
      </c>
      <c r="R227" s="5">
        <f t="shared" si="328"/>
        <v>0</v>
      </c>
      <c r="S227" s="5">
        <f t="shared" si="328"/>
        <v>5.3166960000000003</v>
      </c>
      <c r="T227" s="5">
        <f t="shared" si="328"/>
        <v>0</v>
      </c>
      <c r="U227" s="5">
        <f t="shared" si="328"/>
        <v>9.6667199999999998</v>
      </c>
      <c r="V227" s="5">
        <f t="shared" si="328"/>
        <v>74.433744000000004</v>
      </c>
      <c r="W227" s="5">
        <f t="shared" si="328"/>
        <v>0</v>
      </c>
      <c r="X227" s="5">
        <f t="shared" si="328"/>
        <v>88.027568999999986</v>
      </c>
      <c r="Y227" s="5">
        <f t="shared" si="328"/>
        <v>3.8062709999999997</v>
      </c>
      <c r="Z227" s="5">
        <f t="shared" si="328"/>
        <v>0</v>
      </c>
      <c r="AA227" s="5">
        <f t="shared" si="328"/>
        <v>0</v>
      </c>
      <c r="AB227" s="5">
        <f t="shared" si="328"/>
        <v>0</v>
      </c>
      <c r="AC227" s="56"/>
      <c r="AD227" s="23"/>
    </row>
    <row r="228" spans="1:30" s="14" customFormat="1">
      <c r="A228" s="78" t="s">
        <v>759</v>
      </c>
      <c r="B228" s="15">
        <f>15386/2</f>
        <v>7693</v>
      </c>
      <c r="C228" s="130">
        <f t="shared" ref="C228" si="329">ROUND(B228/12,2)</f>
        <v>641.08000000000004</v>
      </c>
      <c r="D228" s="35">
        <v>1.6299999999999999E-2</v>
      </c>
      <c r="E228" s="35">
        <v>0.14269999999999999</v>
      </c>
      <c r="F228" s="35">
        <v>5.8900000000000001E-2</v>
      </c>
      <c r="G228" s="35">
        <v>7.6200000000000004E-2</v>
      </c>
      <c r="H228" s="35">
        <v>3.9600000000000003E-2</v>
      </c>
      <c r="I228" s="35">
        <v>0.12470000000000001</v>
      </c>
      <c r="J228" s="35">
        <v>2.0400000000000001E-2</v>
      </c>
      <c r="K228" s="35">
        <v>3.1199999999999999E-2</v>
      </c>
      <c r="L228" s="35">
        <v>1.6199999999999999E-2</v>
      </c>
      <c r="M228" s="35">
        <v>2.53E-2</v>
      </c>
      <c r="N228" s="35">
        <v>0.14849999999999999</v>
      </c>
      <c r="O228" s="35">
        <v>2.2599999999999999E-2</v>
      </c>
      <c r="P228" s="35">
        <v>0</v>
      </c>
      <c r="Q228" s="35">
        <v>3.78E-2</v>
      </c>
      <c r="R228" s="35">
        <v>1.8100000000000002E-2</v>
      </c>
      <c r="S228" s="35">
        <v>4.1000000000000003E-3</v>
      </c>
      <c r="T228" s="35">
        <v>5.04E-2</v>
      </c>
      <c r="U228" s="35">
        <v>1.7500000000000002E-2</v>
      </c>
      <c r="V228" s="35">
        <v>3.6200000000000003E-2</v>
      </c>
      <c r="W228" s="35">
        <v>4.8500000000000001E-2</v>
      </c>
      <c r="X228" s="35">
        <v>6.1600000000000002E-2</v>
      </c>
      <c r="Y228" s="35">
        <v>2.5000000000000001E-3</v>
      </c>
      <c r="Z228" s="4">
        <v>0</v>
      </c>
      <c r="AA228" s="4">
        <v>6.9999999999999999E-4</v>
      </c>
      <c r="AB228" s="4">
        <v>0</v>
      </c>
      <c r="AC228" s="56"/>
      <c r="AD228" s="23"/>
    </row>
    <row r="229" spans="1:30" s="14" customFormat="1">
      <c r="A229" s="79"/>
      <c r="B229" s="9"/>
      <c r="C229" s="129"/>
      <c r="D229" s="5">
        <f t="shared" ref="D229:AB229" si="330">$C228*D228</f>
        <v>10.449603999999999</v>
      </c>
      <c r="E229" s="5">
        <f t="shared" si="330"/>
        <v>91.482116000000005</v>
      </c>
      <c r="F229" s="5">
        <f t="shared" si="330"/>
        <v>37.759612000000004</v>
      </c>
      <c r="G229" s="5">
        <f t="shared" si="330"/>
        <v>48.850296000000007</v>
      </c>
      <c r="H229" s="5">
        <f t="shared" si="330"/>
        <v>25.386768000000004</v>
      </c>
      <c r="I229" s="5">
        <f t="shared" si="330"/>
        <v>79.942676000000006</v>
      </c>
      <c r="J229" s="5">
        <f t="shared" si="330"/>
        <v>13.078032000000002</v>
      </c>
      <c r="K229" s="5">
        <f t="shared" si="330"/>
        <v>20.001695999999999</v>
      </c>
      <c r="L229" s="5">
        <f t="shared" si="330"/>
        <v>10.385496</v>
      </c>
      <c r="M229" s="5">
        <f t="shared" si="330"/>
        <v>16.219324</v>
      </c>
      <c r="N229" s="5">
        <f t="shared" si="330"/>
        <v>95.200379999999996</v>
      </c>
      <c r="O229" s="5">
        <f t="shared" si="330"/>
        <v>14.488408</v>
      </c>
      <c r="P229" s="5">
        <f t="shared" si="330"/>
        <v>0</v>
      </c>
      <c r="Q229" s="5">
        <f t="shared" si="330"/>
        <v>24.232824000000001</v>
      </c>
      <c r="R229" s="5">
        <f t="shared" si="330"/>
        <v>11.603548000000002</v>
      </c>
      <c r="S229" s="5">
        <f t="shared" si="330"/>
        <v>2.6284280000000004</v>
      </c>
      <c r="T229" s="5">
        <f t="shared" si="330"/>
        <v>32.310432000000006</v>
      </c>
      <c r="U229" s="5">
        <f t="shared" si="330"/>
        <v>11.218900000000001</v>
      </c>
      <c r="V229" s="5">
        <f t="shared" si="330"/>
        <v>23.207096000000003</v>
      </c>
      <c r="W229" s="5">
        <f t="shared" si="330"/>
        <v>31.092380000000002</v>
      </c>
      <c r="X229" s="5">
        <f t="shared" si="330"/>
        <v>39.490528000000005</v>
      </c>
      <c r="Y229" s="5">
        <f t="shared" si="330"/>
        <v>1.6027000000000002</v>
      </c>
      <c r="Z229" s="5">
        <f t="shared" si="330"/>
        <v>0</v>
      </c>
      <c r="AA229" s="5">
        <f t="shared" si="330"/>
        <v>0.44875600000000004</v>
      </c>
      <c r="AB229" s="5">
        <f t="shared" si="330"/>
        <v>0</v>
      </c>
      <c r="AC229" s="56"/>
      <c r="AD229" s="23"/>
    </row>
    <row r="230" spans="1:30" s="14" customFormat="1">
      <c r="A230" s="78" t="s">
        <v>768</v>
      </c>
      <c r="B230" s="15">
        <f>15386/2</f>
        <v>7693</v>
      </c>
      <c r="C230" s="130">
        <f>ROUND(B230/12,2)</f>
        <v>641.08000000000004</v>
      </c>
      <c r="D230" s="4"/>
      <c r="E230" s="4"/>
      <c r="F230" s="4"/>
      <c r="G230" s="4"/>
      <c r="H230" s="4">
        <v>0.51349999999999996</v>
      </c>
      <c r="I230" s="4"/>
      <c r="J230" s="4"/>
      <c r="K230" s="4"/>
      <c r="L230" s="4"/>
      <c r="M230" s="4">
        <v>1E-4</v>
      </c>
      <c r="N230" s="4">
        <v>0.32440000000000002</v>
      </c>
      <c r="O230" s="4"/>
      <c r="P230" s="4"/>
      <c r="Q230" s="4">
        <v>1E-4</v>
      </c>
      <c r="R230" s="4"/>
      <c r="S230" s="4"/>
      <c r="T230" s="4"/>
      <c r="U230" s="4"/>
      <c r="V230" s="4">
        <v>0.16170000000000001</v>
      </c>
      <c r="W230" s="4"/>
      <c r="X230" s="4">
        <v>2.0000000000000001E-4</v>
      </c>
      <c r="Y230" s="4"/>
      <c r="Z230" s="4"/>
      <c r="AA230" s="4"/>
      <c r="AB230" s="4"/>
      <c r="AC230" s="56"/>
      <c r="AD230" s="23"/>
    </row>
    <row r="231" spans="1:30" s="14" customFormat="1">
      <c r="A231" s="79"/>
      <c r="B231" s="9"/>
      <c r="C231" s="129"/>
      <c r="D231" s="5">
        <f t="shared" ref="D231:AB231" si="331">$C230*D230</f>
        <v>0</v>
      </c>
      <c r="E231" s="5">
        <f t="shared" si="331"/>
        <v>0</v>
      </c>
      <c r="F231" s="5">
        <f t="shared" si="331"/>
        <v>0</v>
      </c>
      <c r="G231" s="5">
        <f t="shared" si="331"/>
        <v>0</v>
      </c>
      <c r="H231" s="5">
        <f t="shared" si="331"/>
        <v>329.19457999999997</v>
      </c>
      <c r="I231" s="5">
        <f t="shared" si="331"/>
        <v>0</v>
      </c>
      <c r="J231" s="5">
        <f t="shared" si="331"/>
        <v>0</v>
      </c>
      <c r="K231" s="5">
        <f t="shared" si="331"/>
        <v>0</v>
      </c>
      <c r="L231" s="5">
        <f t="shared" si="331"/>
        <v>0</v>
      </c>
      <c r="M231" s="5">
        <f t="shared" si="331"/>
        <v>6.4108000000000012E-2</v>
      </c>
      <c r="N231" s="5">
        <f t="shared" si="331"/>
        <v>207.96635200000003</v>
      </c>
      <c r="O231" s="5">
        <f t="shared" si="331"/>
        <v>0</v>
      </c>
      <c r="P231" s="5">
        <f t="shared" si="331"/>
        <v>0</v>
      </c>
      <c r="Q231" s="5">
        <f t="shared" si="331"/>
        <v>6.4108000000000012E-2</v>
      </c>
      <c r="R231" s="5">
        <f t="shared" si="331"/>
        <v>0</v>
      </c>
      <c r="S231" s="5">
        <f t="shared" si="331"/>
        <v>0</v>
      </c>
      <c r="T231" s="5">
        <f t="shared" si="331"/>
        <v>0</v>
      </c>
      <c r="U231" s="5">
        <f t="shared" si="331"/>
        <v>0</v>
      </c>
      <c r="V231" s="5">
        <f t="shared" si="331"/>
        <v>103.66263600000001</v>
      </c>
      <c r="W231" s="5">
        <f t="shared" si="331"/>
        <v>0</v>
      </c>
      <c r="X231" s="5">
        <f t="shared" si="331"/>
        <v>0.12821600000000002</v>
      </c>
      <c r="Y231" s="5">
        <f t="shared" si="331"/>
        <v>0</v>
      </c>
      <c r="Z231" s="5">
        <f t="shared" si="331"/>
        <v>0</v>
      </c>
      <c r="AA231" s="5">
        <f t="shared" si="331"/>
        <v>0</v>
      </c>
      <c r="AB231" s="5">
        <f t="shared" si="331"/>
        <v>0</v>
      </c>
      <c r="AC231" s="56"/>
      <c r="AD231" s="23"/>
    </row>
    <row r="232" spans="1:30" s="14" customFormat="1">
      <c r="A232" s="78" t="s">
        <v>760</v>
      </c>
      <c r="B232" s="15">
        <f>13080/2</f>
        <v>6540</v>
      </c>
      <c r="C232" s="130">
        <f t="shared" ref="C232" si="332">ROUND(B232/12,2)</f>
        <v>545</v>
      </c>
      <c r="D232" s="35">
        <v>1.6299999999999999E-2</v>
      </c>
      <c r="E232" s="35">
        <v>0.14269999999999999</v>
      </c>
      <c r="F232" s="35">
        <v>5.8900000000000001E-2</v>
      </c>
      <c r="G232" s="35">
        <v>7.6200000000000004E-2</v>
      </c>
      <c r="H232" s="35">
        <v>3.9600000000000003E-2</v>
      </c>
      <c r="I232" s="35">
        <v>0.12470000000000001</v>
      </c>
      <c r="J232" s="35">
        <v>2.0400000000000001E-2</v>
      </c>
      <c r="K232" s="35">
        <v>3.1199999999999999E-2</v>
      </c>
      <c r="L232" s="35">
        <v>1.6199999999999999E-2</v>
      </c>
      <c r="M232" s="35">
        <v>2.53E-2</v>
      </c>
      <c r="N232" s="35">
        <v>0.14849999999999999</v>
      </c>
      <c r="O232" s="35">
        <v>2.2599999999999999E-2</v>
      </c>
      <c r="P232" s="35">
        <v>0</v>
      </c>
      <c r="Q232" s="35">
        <v>3.78E-2</v>
      </c>
      <c r="R232" s="35">
        <v>1.8100000000000002E-2</v>
      </c>
      <c r="S232" s="35">
        <v>4.1000000000000003E-3</v>
      </c>
      <c r="T232" s="35">
        <v>5.04E-2</v>
      </c>
      <c r="U232" s="35">
        <v>1.7500000000000002E-2</v>
      </c>
      <c r="V232" s="35">
        <v>3.6200000000000003E-2</v>
      </c>
      <c r="W232" s="35">
        <v>4.8500000000000001E-2</v>
      </c>
      <c r="X232" s="35">
        <v>6.1600000000000002E-2</v>
      </c>
      <c r="Y232" s="35">
        <v>2.5000000000000001E-3</v>
      </c>
      <c r="Z232" s="4">
        <v>0</v>
      </c>
      <c r="AA232" s="4">
        <v>6.9999999999999999E-4</v>
      </c>
      <c r="AB232" s="4">
        <v>0</v>
      </c>
      <c r="AC232" s="56"/>
      <c r="AD232" s="23"/>
    </row>
    <row r="233" spans="1:30" s="14" customFormat="1">
      <c r="A233" s="79"/>
      <c r="B233" s="9"/>
      <c r="C233" s="129"/>
      <c r="D233" s="5">
        <f t="shared" ref="D233:AB233" si="333">$C232*D232</f>
        <v>8.8834999999999997</v>
      </c>
      <c r="E233" s="5">
        <f t="shared" si="333"/>
        <v>77.771500000000003</v>
      </c>
      <c r="F233" s="5">
        <f t="shared" si="333"/>
        <v>32.100500000000004</v>
      </c>
      <c r="G233" s="5">
        <f t="shared" si="333"/>
        <v>41.529000000000003</v>
      </c>
      <c r="H233" s="5">
        <f t="shared" si="333"/>
        <v>21.582000000000001</v>
      </c>
      <c r="I233" s="5">
        <f t="shared" si="333"/>
        <v>67.961500000000001</v>
      </c>
      <c r="J233" s="5">
        <f t="shared" si="333"/>
        <v>11.118</v>
      </c>
      <c r="K233" s="5">
        <f t="shared" si="333"/>
        <v>17.003999999999998</v>
      </c>
      <c r="L233" s="5">
        <f t="shared" si="333"/>
        <v>8.8289999999999988</v>
      </c>
      <c r="M233" s="5">
        <f t="shared" si="333"/>
        <v>13.788499999999999</v>
      </c>
      <c r="N233" s="5">
        <f t="shared" si="333"/>
        <v>80.93249999999999</v>
      </c>
      <c r="O233" s="5">
        <f t="shared" si="333"/>
        <v>12.316999999999998</v>
      </c>
      <c r="P233" s="5">
        <f t="shared" si="333"/>
        <v>0</v>
      </c>
      <c r="Q233" s="5">
        <f t="shared" si="333"/>
        <v>20.600999999999999</v>
      </c>
      <c r="R233" s="5">
        <f t="shared" si="333"/>
        <v>9.8645000000000014</v>
      </c>
      <c r="S233" s="5">
        <f t="shared" si="333"/>
        <v>2.2345000000000002</v>
      </c>
      <c r="T233" s="5">
        <f t="shared" si="333"/>
        <v>27.468</v>
      </c>
      <c r="U233" s="5">
        <f t="shared" si="333"/>
        <v>9.5375000000000014</v>
      </c>
      <c r="V233" s="5">
        <f t="shared" si="333"/>
        <v>19.729000000000003</v>
      </c>
      <c r="W233" s="5">
        <f t="shared" si="333"/>
        <v>26.432500000000001</v>
      </c>
      <c r="X233" s="5">
        <f t="shared" si="333"/>
        <v>33.572000000000003</v>
      </c>
      <c r="Y233" s="5">
        <f t="shared" si="333"/>
        <v>1.3625</v>
      </c>
      <c r="Z233" s="5">
        <f t="shared" si="333"/>
        <v>0</v>
      </c>
      <c r="AA233" s="5">
        <f t="shared" si="333"/>
        <v>0.38150000000000001</v>
      </c>
      <c r="AB233" s="5">
        <f t="shared" si="333"/>
        <v>0</v>
      </c>
      <c r="AC233" s="56"/>
      <c r="AD233" s="23"/>
    </row>
    <row r="234" spans="1:30" s="14" customFormat="1">
      <c r="A234" s="78" t="s">
        <v>769</v>
      </c>
      <c r="B234" s="15">
        <f>13080/2</f>
        <v>6540</v>
      </c>
      <c r="C234" s="130">
        <f t="shared" ref="C234" si="334">ROUND(B234/12,2)</f>
        <v>545</v>
      </c>
      <c r="D234" s="4"/>
      <c r="E234" s="4"/>
      <c r="F234" s="4"/>
      <c r="G234" s="4"/>
      <c r="H234" s="4">
        <v>0.1236</v>
      </c>
      <c r="I234" s="4"/>
      <c r="J234" s="4"/>
      <c r="K234" s="4"/>
      <c r="L234" s="4"/>
      <c r="M234" s="4">
        <v>0.25169999999999998</v>
      </c>
      <c r="N234" s="4">
        <v>0.2457</v>
      </c>
      <c r="O234" s="4"/>
      <c r="P234" s="4"/>
      <c r="Q234" s="4">
        <v>7.9000000000000001E-2</v>
      </c>
      <c r="R234" s="4"/>
      <c r="S234" s="4">
        <v>8.8000000000000005E-3</v>
      </c>
      <c r="T234" s="4"/>
      <c r="U234" s="4">
        <v>1.6E-2</v>
      </c>
      <c r="V234" s="4">
        <v>0.1232</v>
      </c>
      <c r="W234" s="4"/>
      <c r="X234" s="4">
        <v>0.1457</v>
      </c>
      <c r="Y234" s="4">
        <v>6.3E-3</v>
      </c>
      <c r="Z234" s="4"/>
      <c r="AA234" s="4"/>
      <c r="AB234" s="4"/>
      <c r="AC234" s="56"/>
      <c r="AD234" s="23"/>
    </row>
    <row r="235" spans="1:30" s="14" customFormat="1">
      <c r="A235" s="79"/>
      <c r="B235" s="9"/>
      <c r="C235" s="129"/>
      <c r="D235" s="5">
        <f t="shared" ref="D235:AA235" si="335">$C234*D234</f>
        <v>0</v>
      </c>
      <c r="E235" s="5">
        <f t="shared" si="335"/>
        <v>0</v>
      </c>
      <c r="F235" s="5">
        <f t="shared" si="335"/>
        <v>0</v>
      </c>
      <c r="G235" s="5">
        <f t="shared" si="335"/>
        <v>0</v>
      </c>
      <c r="H235" s="5">
        <f t="shared" si="335"/>
        <v>67.361999999999995</v>
      </c>
      <c r="I235" s="5">
        <f t="shared" si="335"/>
        <v>0</v>
      </c>
      <c r="J235" s="5">
        <f t="shared" si="335"/>
        <v>0</v>
      </c>
      <c r="K235" s="5">
        <f t="shared" si="335"/>
        <v>0</v>
      </c>
      <c r="L235" s="5">
        <f t="shared" si="335"/>
        <v>0</v>
      </c>
      <c r="M235" s="5">
        <f t="shared" si="335"/>
        <v>137.17649999999998</v>
      </c>
      <c r="N235" s="5">
        <f t="shared" si="335"/>
        <v>133.90649999999999</v>
      </c>
      <c r="O235" s="5">
        <f t="shared" si="335"/>
        <v>0</v>
      </c>
      <c r="P235" s="5">
        <f t="shared" si="335"/>
        <v>0</v>
      </c>
      <c r="Q235" s="5">
        <f t="shared" si="335"/>
        <v>43.055</v>
      </c>
      <c r="R235" s="5">
        <f t="shared" si="335"/>
        <v>0</v>
      </c>
      <c r="S235" s="5">
        <f t="shared" si="335"/>
        <v>4.7960000000000003</v>
      </c>
      <c r="T235" s="5">
        <f t="shared" si="335"/>
        <v>0</v>
      </c>
      <c r="U235" s="5">
        <f t="shared" si="335"/>
        <v>8.7200000000000006</v>
      </c>
      <c r="V235" s="5">
        <f t="shared" si="335"/>
        <v>67.144000000000005</v>
      </c>
      <c r="W235" s="5">
        <f t="shared" si="335"/>
        <v>0</v>
      </c>
      <c r="X235" s="5">
        <f t="shared" si="335"/>
        <v>79.406499999999994</v>
      </c>
      <c r="Y235" s="5">
        <f t="shared" si="335"/>
        <v>3.4335</v>
      </c>
      <c r="Z235" s="5">
        <f>$C234*Z234</f>
        <v>0</v>
      </c>
      <c r="AA235" s="5">
        <f t="shared" si="335"/>
        <v>0</v>
      </c>
      <c r="AB235" s="5">
        <f>$C234*AB234</f>
        <v>0</v>
      </c>
      <c r="AC235" s="56"/>
      <c r="AD235" s="23"/>
    </row>
    <row r="236" spans="1:30" s="14" customFormat="1">
      <c r="A236" s="78" t="s">
        <v>761</v>
      </c>
      <c r="B236" s="15">
        <f>48100/2</f>
        <v>24050</v>
      </c>
      <c r="C236" s="130">
        <f t="shared" ref="C236" si="336">ROUND(B236/12,2)</f>
        <v>2004.17</v>
      </c>
      <c r="D236" s="35">
        <v>1.6299999999999999E-2</v>
      </c>
      <c r="E236" s="35">
        <v>0.14269999999999999</v>
      </c>
      <c r="F236" s="35">
        <v>5.8900000000000001E-2</v>
      </c>
      <c r="G236" s="35">
        <v>7.6200000000000004E-2</v>
      </c>
      <c r="H236" s="35">
        <v>3.9600000000000003E-2</v>
      </c>
      <c r="I236" s="35">
        <v>0.12470000000000001</v>
      </c>
      <c r="J236" s="35">
        <v>2.0400000000000001E-2</v>
      </c>
      <c r="K236" s="35">
        <v>3.1199999999999999E-2</v>
      </c>
      <c r="L236" s="35">
        <v>1.6199999999999999E-2</v>
      </c>
      <c r="M236" s="35">
        <v>2.53E-2</v>
      </c>
      <c r="N236" s="35">
        <v>0.14849999999999999</v>
      </c>
      <c r="O236" s="35">
        <v>2.2599999999999999E-2</v>
      </c>
      <c r="P236" s="35">
        <v>0</v>
      </c>
      <c r="Q236" s="35">
        <v>3.78E-2</v>
      </c>
      <c r="R236" s="35">
        <v>1.8100000000000002E-2</v>
      </c>
      <c r="S236" s="35">
        <v>4.1000000000000003E-3</v>
      </c>
      <c r="T236" s="35">
        <v>5.04E-2</v>
      </c>
      <c r="U236" s="35">
        <v>1.7500000000000002E-2</v>
      </c>
      <c r="V236" s="35">
        <v>3.6200000000000003E-2</v>
      </c>
      <c r="W236" s="35">
        <v>4.8500000000000001E-2</v>
      </c>
      <c r="X236" s="35">
        <v>6.1600000000000002E-2</v>
      </c>
      <c r="Y236" s="35">
        <v>2.5000000000000001E-3</v>
      </c>
      <c r="Z236" s="4">
        <v>0</v>
      </c>
      <c r="AA236" s="4">
        <v>6.9999999999999999E-4</v>
      </c>
      <c r="AB236" s="4">
        <v>0</v>
      </c>
      <c r="AC236" s="56"/>
      <c r="AD236" s="23"/>
    </row>
    <row r="237" spans="1:30" s="14" customFormat="1">
      <c r="A237" s="79"/>
      <c r="B237" s="9"/>
      <c r="C237" s="129"/>
      <c r="D237" s="5">
        <f t="shared" ref="D237:AB237" si="337">$C236*D236</f>
        <v>32.667971000000001</v>
      </c>
      <c r="E237" s="5">
        <f t="shared" si="337"/>
        <v>285.99505899999997</v>
      </c>
      <c r="F237" s="5">
        <f t="shared" si="337"/>
        <v>118.045613</v>
      </c>
      <c r="G237" s="5">
        <f t="shared" si="337"/>
        <v>152.71775400000001</v>
      </c>
      <c r="H237" s="5">
        <f t="shared" si="337"/>
        <v>79.365132000000003</v>
      </c>
      <c r="I237" s="5">
        <f t="shared" si="337"/>
        <v>249.91999900000002</v>
      </c>
      <c r="J237" s="5">
        <f t="shared" si="337"/>
        <v>40.885068000000004</v>
      </c>
      <c r="K237" s="5">
        <f t="shared" si="337"/>
        <v>62.530104000000001</v>
      </c>
      <c r="L237" s="5">
        <f t="shared" si="337"/>
        <v>32.467554</v>
      </c>
      <c r="M237" s="5">
        <f t="shared" si="337"/>
        <v>50.705500999999998</v>
      </c>
      <c r="N237" s="5">
        <f t="shared" si="337"/>
        <v>297.61924499999998</v>
      </c>
      <c r="O237" s="5">
        <f t="shared" si="337"/>
        <v>45.294241999999997</v>
      </c>
      <c r="P237" s="5">
        <f t="shared" si="337"/>
        <v>0</v>
      </c>
      <c r="Q237" s="5">
        <f t="shared" si="337"/>
        <v>75.757626000000002</v>
      </c>
      <c r="R237" s="5">
        <f t="shared" si="337"/>
        <v>36.275477000000002</v>
      </c>
      <c r="S237" s="5">
        <f t="shared" si="337"/>
        <v>8.2170970000000008</v>
      </c>
      <c r="T237" s="5">
        <f t="shared" si="337"/>
        <v>101.01016800000001</v>
      </c>
      <c r="U237" s="5">
        <f t="shared" si="337"/>
        <v>35.072975000000007</v>
      </c>
      <c r="V237" s="5">
        <f t="shared" si="337"/>
        <v>72.550954000000004</v>
      </c>
      <c r="W237" s="5">
        <f t="shared" si="337"/>
        <v>97.202245000000005</v>
      </c>
      <c r="X237" s="5">
        <f t="shared" si="337"/>
        <v>123.456872</v>
      </c>
      <c r="Y237" s="5">
        <f t="shared" si="337"/>
        <v>5.0104250000000006</v>
      </c>
      <c r="Z237" s="5">
        <f t="shared" si="337"/>
        <v>0</v>
      </c>
      <c r="AA237" s="5">
        <f t="shared" si="337"/>
        <v>1.402919</v>
      </c>
      <c r="AB237" s="5">
        <f t="shared" si="337"/>
        <v>0</v>
      </c>
      <c r="AC237" s="56"/>
      <c r="AD237" s="23"/>
    </row>
    <row r="238" spans="1:30" s="14" customFormat="1">
      <c r="A238" s="78" t="s">
        <v>770</v>
      </c>
      <c r="B238" s="15">
        <f>48100/2</f>
        <v>24050</v>
      </c>
      <c r="C238" s="130">
        <f t="shared" ref="C238" si="338">ROUND(B238/12,2)</f>
        <v>2004.17</v>
      </c>
      <c r="D238" s="4"/>
      <c r="E238" s="4"/>
      <c r="F238" s="4"/>
      <c r="G238" s="4"/>
      <c r="H238" s="4">
        <v>9.6500000000000002E-2</v>
      </c>
      <c r="I238" s="4"/>
      <c r="J238" s="4"/>
      <c r="K238" s="4"/>
      <c r="L238" s="4"/>
      <c r="M238" s="4">
        <v>2.0000000000000001E-4</v>
      </c>
      <c r="N238" s="4">
        <v>0.63039999999999996</v>
      </c>
      <c r="O238" s="4"/>
      <c r="P238" s="4"/>
      <c r="Q238" s="4"/>
      <c r="R238" s="4"/>
      <c r="S238" s="4"/>
      <c r="T238" s="4"/>
      <c r="U238" s="4"/>
      <c r="V238" s="4">
        <v>0.27289999999999998</v>
      </c>
      <c r="W238" s="4"/>
      <c r="X238" s="4"/>
      <c r="Y238" s="4"/>
      <c r="Z238" s="4"/>
      <c r="AA238" s="4"/>
      <c r="AB238" s="4"/>
      <c r="AC238" s="56"/>
      <c r="AD238" s="23"/>
    </row>
    <row r="239" spans="1:30" s="14" customFormat="1">
      <c r="A239" s="79"/>
      <c r="B239" s="9"/>
      <c r="C239" s="129"/>
      <c r="D239" s="5">
        <f t="shared" ref="D239:AB239" si="339">$C238*D238</f>
        <v>0</v>
      </c>
      <c r="E239" s="5">
        <f t="shared" si="339"/>
        <v>0</v>
      </c>
      <c r="F239" s="5">
        <f t="shared" si="339"/>
        <v>0</v>
      </c>
      <c r="G239" s="5">
        <f t="shared" si="339"/>
        <v>0</v>
      </c>
      <c r="H239" s="5">
        <f t="shared" si="339"/>
        <v>193.40240500000002</v>
      </c>
      <c r="I239" s="5">
        <f t="shared" si="339"/>
        <v>0</v>
      </c>
      <c r="J239" s="5">
        <f t="shared" si="339"/>
        <v>0</v>
      </c>
      <c r="K239" s="5">
        <f t="shared" si="339"/>
        <v>0</v>
      </c>
      <c r="L239" s="5">
        <f t="shared" si="339"/>
        <v>0</v>
      </c>
      <c r="M239" s="5">
        <f t="shared" si="339"/>
        <v>0.40083400000000002</v>
      </c>
      <c r="N239" s="5">
        <f t="shared" si="339"/>
        <v>1263.428768</v>
      </c>
      <c r="O239" s="5">
        <f t="shared" si="339"/>
        <v>0</v>
      </c>
      <c r="P239" s="5">
        <f t="shared" si="339"/>
        <v>0</v>
      </c>
      <c r="Q239" s="5">
        <f t="shared" si="339"/>
        <v>0</v>
      </c>
      <c r="R239" s="5">
        <f t="shared" si="339"/>
        <v>0</v>
      </c>
      <c r="S239" s="5">
        <f t="shared" si="339"/>
        <v>0</v>
      </c>
      <c r="T239" s="5">
        <f t="shared" si="339"/>
        <v>0</v>
      </c>
      <c r="U239" s="5">
        <f t="shared" si="339"/>
        <v>0</v>
      </c>
      <c r="V239" s="5">
        <f t="shared" si="339"/>
        <v>546.93799300000001</v>
      </c>
      <c r="W239" s="5">
        <f t="shared" si="339"/>
        <v>0</v>
      </c>
      <c r="X239" s="5">
        <f t="shared" si="339"/>
        <v>0</v>
      </c>
      <c r="Y239" s="5">
        <f t="shared" si="339"/>
        <v>0</v>
      </c>
      <c r="Z239" s="5">
        <f t="shared" si="339"/>
        <v>0</v>
      </c>
      <c r="AA239" s="5">
        <f t="shared" si="339"/>
        <v>0</v>
      </c>
      <c r="AB239" s="5">
        <f t="shared" si="339"/>
        <v>0</v>
      </c>
      <c r="AC239" s="56"/>
      <c r="AD239" s="23"/>
    </row>
    <row r="240" spans="1:30" s="14" customFormat="1">
      <c r="A240" s="13" t="s">
        <v>50</v>
      </c>
      <c r="B240" s="6">
        <f>SUM(B176:B238)</f>
        <v>47054442</v>
      </c>
      <c r="C240" s="131">
        <f>SUM(C176:C238)</f>
        <v>3921203.5299999993</v>
      </c>
      <c r="D240" s="6">
        <f>D177+D179+D181+D183+D185+D187+D189+D191+D193+D195+D197+D199+D201+D203+D205+D207+D209+D211+D213+D215+D217+D219+D221+D223+D225+D227+D229+D231+D233+D235+D237+D239</f>
        <v>25645.194356999993</v>
      </c>
      <c r="E240" s="6">
        <f t="shared" ref="E240:AB240" si="340">E177+E179+E181+E183+E185+E187+E189+E191+E193+E195+E197+E199+E201+E203+E205+E207+E209+E211+E213+E215+E217+E219+E221+E223+E225+E227+E229+E231+E233+E235+E237+E239</f>
        <v>33953.314653000001</v>
      </c>
      <c r="F240" s="6">
        <f t="shared" si="340"/>
        <v>71345.20190499998</v>
      </c>
      <c r="G240" s="6">
        <f t="shared" si="340"/>
        <v>9383.9454180000012</v>
      </c>
      <c r="H240" s="6">
        <f t="shared" si="340"/>
        <v>2432211.638125001</v>
      </c>
      <c r="I240" s="6">
        <f t="shared" si="340"/>
        <v>42934.500837000007</v>
      </c>
      <c r="J240" s="6">
        <f t="shared" si="340"/>
        <v>8262.5497180000002</v>
      </c>
      <c r="K240" s="6">
        <f t="shared" si="340"/>
        <v>13961.425629999996</v>
      </c>
      <c r="L240" s="6">
        <f t="shared" si="340"/>
        <v>3014.2100300000002</v>
      </c>
      <c r="M240" s="6">
        <f t="shared" si="340"/>
        <v>52138.351315999986</v>
      </c>
      <c r="N240" s="6">
        <f t="shared" si="340"/>
        <v>566184.23738400009</v>
      </c>
      <c r="O240" s="6">
        <f t="shared" si="340"/>
        <v>6568.757529999999</v>
      </c>
      <c r="P240" s="6">
        <f t="shared" si="340"/>
        <v>0</v>
      </c>
      <c r="Q240" s="6">
        <f t="shared" si="340"/>
        <v>28679.763106999995</v>
      </c>
      <c r="R240" s="6">
        <f t="shared" si="340"/>
        <v>35655.278972000015</v>
      </c>
      <c r="S240" s="6">
        <f t="shared" si="340"/>
        <v>2729.1185099999998</v>
      </c>
      <c r="T240" s="6">
        <f t="shared" si="340"/>
        <v>89014.175535999937</v>
      </c>
      <c r="U240" s="6">
        <f t="shared" si="340"/>
        <v>2608.7163009999999</v>
      </c>
      <c r="V240" s="6">
        <f t="shared" si="340"/>
        <v>395924.21646700002</v>
      </c>
      <c r="W240" s="6">
        <f t="shared" si="340"/>
        <v>51342.515412000008</v>
      </c>
      <c r="X240" s="6">
        <f t="shared" si="340"/>
        <v>47102.181969000005</v>
      </c>
      <c r="Y240" s="6">
        <f t="shared" si="340"/>
        <v>1782.1508569999999</v>
      </c>
      <c r="Z240" s="6">
        <f t="shared" si="340"/>
        <v>675.88174300000003</v>
      </c>
      <c r="AA240" s="6">
        <f t="shared" si="340"/>
        <v>86.204222999999985</v>
      </c>
      <c r="AB240" s="6">
        <f t="shared" si="340"/>
        <v>0</v>
      </c>
      <c r="AC240" s="56"/>
      <c r="AD240" s="23"/>
    </row>
    <row r="241" spans="1:30" s="14" customFormat="1">
      <c r="A241" s="31"/>
      <c r="B241" s="19"/>
      <c r="C241" s="153"/>
      <c r="D241" s="6"/>
      <c r="E241" s="33"/>
      <c r="F241" s="33"/>
      <c r="G241" s="33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6"/>
      <c r="X241" s="19"/>
      <c r="Y241" s="19"/>
      <c r="Z241" s="19"/>
      <c r="AA241" s="19"/>
      <c r="AB241" s="19"/>
      <c r="AC241" s="56"/>
      <c r="AD241" s="23"/>
    </row>
    <row r="242" spans="1:30" s="14" customFormat="1">
      <c r="A242" s="31"/>
      <c r="B242" s="19"/>
      <c r="C242" s="154"/>
      <c r="D242" s="6"/>
      <c r="E242" s="33"/>
      <c r="F242" s="19"/>
      <c r="G242" s="19"/>
      <c r="H242" s="38"/>
      <c r="I242" s="22"/>
      <c r="J242" s="19"/>
      <c r="K242" s="19"/>
      <c r="L242" s="19"/>
      <c r="M242" s="10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56"/>
      <c r="AD242" s="23"/>
    </row>
    <row r="243" spans="1:30" s="14" customFormat="1" ht="13.8" thickBot="1">
      <c r="A243" s="165" t="s">
        <v>676</v>
      </c>
      <c r="B243" s="140"/>
      <c r="C243" s="156"/>
      <c r="D243" s="140"/>
      <c r="E243" s="140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56"/>
      <c r="AD243" s="23"/>
    </row>
    <row r="244" spans="1:30" s="14" customFormat="1" ht="13.8" thickBot="1">
      <c r="A244" s="93" t="s">
        <v>1</v>
      </c>
      <c r="B244" s="94" t="s">
        <v>2</v>
      </c>
      <c r="C244" s="125" t="s">
        <v>3</v>
      </c>
      <c r="D244" s="211" t="s">
        <v>4</v>
      </c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103"/>
      <c r="AA244" s="103"/>
      <c r="AB244" s="103"/>
      <c r="AC244" s="56"/>
      <c r="AD244" s="23"/>
    </row>
    <row r="245" spans="1:30" s="14" customFormat="1">
      <c r="A245" s="95" t="s">
        <v>5</v>
      </c>
      <c r="B245" s="96" t="s">
        <v>6</v>
      </c>
      <c r="C245" s="126" t="s">
        <v>6</v>
      </c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9"/>
      <c r="Z245" s="96" t="s">
        <v>7</v>
      </c>
      <c r="AA245" s="96"/>
      <c r="AB245" s="96"/>
      <c r="AC245" s="56"/>
      <c r="AD245" s="23"/>
    </row>
    <row r="246" spans="1:30" s="14" customFormat="1">
      <c r="A246" s="95" t="s">
        <v>8</v>
      </c>
      <c r="B246" s="96" t="s">
        <v>9</v>
      </c>
      <c r="C246" s="126" t="s">
        <v>9</v>
      </c>
      <c r="D246" s="100" t="s">
        <v>10</v>
      </c>
      <c r="E246" s="96" t="s">
        <v>11</v>
      </c>
      <c r="F246" s="96" t="s">
        <v>12</v>
      </c>
      <c r="G246" s="96" t="s">
        <v>13</v>
      </c>
      <c r="H246" s="96" t="s">
        <v>14</v>
      </c>
      <c r="I246" s="96" t="s">
        <v>15</v>
      </c>
      <c r="J246" s="96" t="s">
        <v>16</v>
      </c>
      <c r="K246" s="96" t="s">
        <v>17</v>
      </c>
      <c r="L246" s="96" t="s">
        <v>18</v>
      </c>
      <c r="M246" s="96" t="s">
        <v>19</v>
      </c>
      <c r="N246" s="96" t="s">
        <v>20</v>
      </c>
      <c r="O246" s="96" t="s">
        <v>169</v>
      </c>
      <c r="P246" s="96" t="s">
        <v>21</v>
      </c>
      <c r="Q246" s="96" t="s">
        <v>22</v>
      </c>
      <c r="R246" s="96" t="s">
        <v>23</v>
      </c>
      <c r="S246" s="96" t="s">
        <v>24</v>
      </c>
      <c r="T246" s="96" t="s">
        <v>25</v>
      </c>
      <c r="U246" s="96" t="s">
        <v>26</v>
      </c>
      <c r="V246" s="96" t="s">
        <v>27</v>
      </c>
      <c r="W246" s="96" t="s">
        <v>28</v>
      </c>
      <c r="X246" s="96" t="s">
        <v>29</v>
      </c>
      <c r="Y246" s="96" t="s">
        <v>30</v>
      </c>
      <c r="Z246" s="96" t="s">
        <v>31</v>
      </c>
      <c r="AA246" s="96" t="s">
        <v>484</v>
      </c>
      <c r="AB246" s="96" t="s">
        <v>467</v>
      </c>
      <c r="AC246" s="56"/>
      <c r="AD246" s="23"/>
    </row>
    <row r="247" spans="1:30" s="14" customFormat="1">
      <c r="A247" s="95"/>
      <c r="B247" s="96"/>
      <c r="C247" s="126" t="s">
        <v>698</v>
      </c>
      <c r="D247" s="101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56"/>
      <c r="AD247" s="23"/>
    </row>
    <row r="248" spans="1:30" s="14" customFormat="1">
      <c r="A248" s="78" t="s">
        <v>55</v>
      </c>
      <c r="B248" s="26">
        <f>201256.7099/2</f>
        <v>100628.35494999999</v>
      </c>
      <c r="C248" s="130">
        <f>ROUND(B248/12,2)</f>
        <v>8385.7000000000007</v>
      </c>
      <c r="D248" s="35">
        <v>1.6299999999999999E-2</v>
      </c>
      <c r="E248" s="35">
        <v>0.14269999999999999</v>
      </c>
      <c r="F248" s="35">
        <v>5.8900000000000001E-2</v>
      </c>
      <c r="G248" s="35">
        <v>7.6200000000000004E-2</v>
      </c>
      <c r="H248" s="35">
        <v>3.9600000000000003E-2</v>
      </c>
      <c r="I248" s="35">
        <v>0.12470000000000001</v>
      </c>
      <c r="J248" s="35">
        <v>2.0400000000000001E-2</v>
      </c>
      <c r="K248" s="35">
        <v>3.1199999999999999E-2</v>
      </c>
      <c r="L248" s="35">
        <v>1.6199999999999999E-2</v>
      </c>
      <c r="M248" s="35">
        <v>2.53E-2</v>
      </c>
      <c r="N248" s="35">
        <v>0.14849999999999999</v>
      </c>
      <c r="O248" s="35">
        <v>2.2599999999999999E-2</v>
      </c>
      <c r="P248" s="35">
        <v>0</v>
      </c>
      <c r="Q248" s="35">
        <v>3.78E-2</v>
      </c>
      <c r="R248" s="35">
        <v>1.8100000000000002E-2</v>
      </c>
      <c r="S248" s="35">
        <v>4.1000000000000003E-3</v>
      </c>
      <c r="T248" s="35">
        <v>5.04E-2</v>
      </c>
      <c r="U248" s="35">
        <v>1.7500000000000002E-2</v>
      </c>
      <c r="V248" s="35">
        <v>3.6200000000000003E-2</v>
      </c>
      <c r="W248" s="35">
        <v>4.8500000000000001E-2</v>
      </c>
      <c r="X248" s="35">
        <v>6.1600000000000002E-2</v>
      </c>
      <c r="Y248" s="35">
        <v>2.5000000000000001E-3</v>
      </c>
      <c r="Z248" s="4">
        <v>0</v>
      </c>
      <c r="AA248" s="4">
        <v>6.9999999999999999E-4</v>
      </c>
      <c r="AB248" s="4">
        <v>0</v>
      </c>
      <c r="AC248" s="56"/>
      <c r="AD248" s="23"/>
    </row>
    <row r="249" spans="1:30" s="14" customFormat="1">
      <c r="A249" s="79"/>
      <c r="B249" s="27"/>
      <c r="C249" s="130"/>
      <c r="D249" s="5">
        <f t="shared" ref="D249" si="341">$C248*D248</f>
        <v>136.68691000000001</v>
      </c>
      <c r="E249" s="5">
        <f t="shared" ref="E249" si="342">$C248*E248</f>
        <v>1196.63939</v>
      </c>
      <c r="F249" s="5">
        <f t="shared" ref="F249:O249" si="343">$C248*F248</f>
        <v>493.91773000000006</v>
      </c>
      <c r="G249" s="5">
        <f t="shared" si="343"/>
        <v>638.99034000000006</v>
      </c>
      <c r="H249" s="5">
        <f t="shared" si="343"/>
        <v>332.07372000000004</v>
      </c>
      <c r="I249" s="5">
        <f t="shared" si="343"/>
        <v>1045.6967900000002</v>
      </c>
      <c r="J249" s="5">
        <f t="shared" si="343"/>
        <v>171.06828000000002</v>
      </c>
      <c r="K249" s="5">
        <f t="shared" si="343"/>
        <v>261.63384000000002</v>
      </c>
      <c r="L249" s="5">
        <f t="shared" si="343"/>
        <v>135.84834000000001</v>
      </c>
      <c r="M249" s="5">
        <f t="shared" si="343"/>
        <v>212.15821000000003</v>
      </c>
      <c r="N249" s="5">
        <f t="shared" si="343"/>
        <v>1245.2764500000001</v>
      </c>
      <c r="O249" s="5">
        <f t="shared" si="343"/>
        <v>189.51682</v>
      </c>
      <c r="P249" s="5">
        <f t="shared" ref="P249" si="344">$C248*P248</f>
        <v>0</v>
      </c>
      <c r="Q249" s="5">
        <f t="shared" ref="Q249" si="345">$C248*Q248</f>
        <v>316.97946000000002</v>
      </c>
      <c r="R249" s="5">
        <f t="shared" ref="R249:AB249" si="346">$C248*R248</f>
        <v>151.78117000000003</v>
      </c>
      <c r="S249" s="5">
        <f t="shared" si="346"/>
        <v>34.381370000000004</v>
      </c>
      <c r="T249" s="5">
        <f t="shared" si="346"/>
        <v>422.63928000000004</v>
      </c>
      <c r="U249" s="5">
        <f t="shared" si="346"/>
        <v>146.74975000000003</v>
      </c>
      <c r="V249" s="5">
        <f t="shared" si="346"/>
        <v>303.56234000000006</v>
      </c>
      <c r="W249" s="5">
        <f t="shared" si="346"/>
        <v>406.70645000000007</v>
      </c>
      <c r="X249" s="5">
        <f t="shared" si="346"/>
        <v>516.55912000000001</v>
      </c>
      <c r="Y249" s="5">
        <f t="shared" si="346"/>
        <v>20.964250000000003</v>
      </c>
      <c r="Z249" s="5">
        <f t="shared" si="346"/>
        <v>0</v>
      </c>
      <c r="AA249" s="5">
        <f t="shared" si="346"/>
        <v>5.8699900000000005</v>
      </c>
      <c r="AB249" s="5">
        <f t="shared" si="346"/>
        <v>0</v>
      </c>
      <c r="AC249" s="56"/>
      <c r="AD249" s="23"/>
    </row>
    <row r="250" spans="1:30" s="14" customFormat="1">
      <c r="A250" s="80" t="s">
        <v>402</v>
      </c>
      <c r="B250" s="26">
        <f>201256.7099/2</f>
        <v>100628.35494999999</v>
      </c>
      <c r="C250" s="130">
        <f t="shared" ref="C250:C312" si="347">ROUND(B250/12,2)</f>
        <v>8385.7000000000007</v>
      </c>
      <c r="D250" s="39"/>
      <c r="E250" s="39"/>
      <c r="F250" s="39">
        <v>0.159</v>
      </c>
      <c r="G250" s="39"/>
      <c r="H250" s="39">
        <v>8.5099999999999995E-2</v>
      </c>
      <c r="I250" s="39"/>
      <c r="J250" s="39"/>
      <c r="K250" s="39"/>
      <c r="L250" s="39"/>
      <c r="M250" s="39">
        <v>0</v>
      </c>
      <c r="N250" s="39">
        <v>0.67910000000000004</v>
      </c>
      <c r="O250" s="39"/>
      <c r="P250" s="39"/>
      <c r="Q250" s="39"/>
      <c r="R250" s="39"/>
      <c r="S250" s="39"/>
      <c r="T250" s="39"/>
      <c r="U250" s="39"/>
      <c r="V250" s="39">
        <v>7.6799999999999993E-2</v>
      </c>
      <c r="W250" s="39"/>
      <c r="X250" s="39"/>
      <c r="Y250" s="39"/>
      <c r="Z250" s="39"/>
      <c r="AA250" s="39"/>
      <c r="AB250" s="39"/>
      <c r="AC250" s="56"/>
      <c r="AD250" s="23"/>
    </row>
    <row r="251" spans="1:30" s="14" customFormat="1">
      <c r="A251" s="80"/>
      <c r="B251" s="9"/>
      <c r="C251" s="130"/>
      <c r="D251" s="5">
        <f t="shared" ref="D251" si="348">$C250*D250</f>
        <v>0</v>
      </c>
      <c r="E251" s="5">
        <f t="shared" ref="E251" si="349">$C250*E250</f>
        <v>0</v>
      </c>
      <c r="F251" s="5">
        <f t="shared" ref="F251:O251" si="350">$C250*F250</f>
        <v>1333.3263000000002</v>
      </c>
      <c r="G251" s="5">
        <f t="shared" si="350"/>
        <v>0</v>
      </c>
      <c r="H251" s="5">
        <f t="shared" si="350"/>
        <v>713.62306999999998</v>
      </c>
      <c r="I251" s="5">
        <f t="shared" si="350"/>
        <v>0</v>
      </c>
      <c r="J251" s="5">
        <f t="shared" si="350"/>
        <v>0</v>
      </c>
      <c r="K251" s="5">
        <f t="shared" si="350"/>
        <v>0</v>
      </c>
      <c r="L251" s="5">
        <f t="shared" si="350"/>
        <v>0</v>
      </c>
      <c r="M251" s="5">
        <f t="shared" si="350"/>
        <v>0</v>
      </c>
      <c r="N251" s="5">
        <f t="shared" si="350"/>
        <v>5694.7288700000008</v>
      </c>
      <c r="O251" s="5">
        <f t="shared" si="350"/>
        <v>0</v>
      </c>
      <c r="P251" s="5">
        <f t="shared" ref="P251" si="351">$C250*P250</f>
        <v>0</v>
      </c>
      <c r="Q251" s="5">
        <f t="shared" ref="Q251" si="352">$C250*Q250</f>
        <v>0</v>
      </c>
      <c r="R251" s="5">
        <f t="shared" ref="R251:AB251" si="353">$C250*R250</f>
        <v>0</v>
      </c>
      <c r="S251" s="5">
        <f t="shared" si="353"/>
        <v>0</v>
      </c>
      <c r="T251" s="5">
        <f t="shared" si="353"/>
        <v>0</v>
      </c>
      <c r="U251" s="5">
        <f t="shared" si="353"/>
        <v>0</v>
      </c>
      <c r="V251" s="5">
        <f t="shared" si="353"/>
        <v>644.02175999999997</v>
      </c>
      <c r="W251" s="5">
        <f t="shared" si="353"/>
        <v>0</v>
      </c>
      <c r="X251" s="5">
        <f t="shared" si="353"/>
        <v>0</v>
      </c>
      <c r="Y251" s="5">
        <f t="shared" si="353"/>
        <v>0</v>
      </c>
      <c r="Z251" s="5">
        <f t="shared" si="353"/>
        <v>0</v>
      </c>
      <c r="AA251" s="5">
        <f t="shared" si="353"/>
        <v>0</v>
      </c>
      <c r="AB251" s="5">
        <f t="shared" si="353"/>
        <v>0</v>
      </c>
      <c r="AC251" s="56"/>
      <c r="AD251" s="23"/>
    </row>
    <row r="252" spans="1:30" s="14" customFormat="1">
      <c r="A252" s="78" t="s">
        <v>56</v>
      </c>
      <c r="B252" s="26">
        <f>163545.04/2</f>
        <v>81772.52</v>
      </c>
      <c r="C252" s="130">
        <f>ROUND(B252/12,2)</f>
        <v>6814.38</v>
      </c>
      <c r="D252" s="35">
        <v>1.6299999999999999E-2</v>
      </c>
      <c r="E252" s="35">
        <v>0.14269999999999999</v>
      </c>
      <c r="F252" s="35">
        <v>5.8900000000000001E-2</v>
      </c>
      <c r="G252" s="35">
        <v>7.6200000000000004E-2</v>
      </c>
      <c r="H252" s="35">
        <v>3.9600000000000003E-2</v>
      </c>
      <c r="I252" s="35">
        <v>0.12470000000000001</v>
      </c>
      <c r="J252" s="35">
        <v>2.0400000000000001E-2</v>
      </c>
      <c r="K252" s="35">
        <v>3.1199999999999999E-2</v>
      </c>
      <c r="L252" s="35">
        <v>1.6199999999999999E-2</v>
      </c>
      <c r="M252" s="35">
        <v>2.53E-2</v>
      </c>
      <c r="N252" s="35">
        <v>0.14849999999999999</v>
      </c>
      <c r="O252" s="35">
        <v>2.2599999999999999E-2</v>
      </c>
      <c r="P252" s="35">
        <v>0</v>
      </c>
      <c r="Q252" s="35">
        <v>3.78E-2</v>
      </c>
      <c r="R252" s="35">
        <v>1.8100000000000002E-2</v>
      </c>
      <c r="S252" s="35">
        <v>4.1000000000000003E-3</v>
      </c>
      <c r="T252" s="35">
        <v>5.04E-2</v>
      </c>
      <c r="U252" s="35">
        <v>1.7500000000000002E-2</v>
      </c>
      <c r="V252" s="35">
        <v>3.6200000000000003E-2</v>
      </c>
      <c r="W252" s="35">
        <v>4.8500000000000001E-2</v>
      </c>
      <c r="X252" s="35">
        <v>6.1600000000000002E-2</v>
      </c>
      <c r="Y252" s="35">
        <v>2.5000000000000001E-3</v>
      </c>
      <c r="Z252" s="4">
        <v>0</v>
      </c>
      <c r="AA252" s="4">
        <v>6.9999999999999999E-4</v>
      </c>
      <c r="AB252" s="4">
        <v>0</v>
      </c>
      <c r="AC252" s="56"/>
      <c r="AD252" s="23"/>
    </row>
    <row r="253" spans="1:30" s="14" customFormat="1">
      <c r="A253" s="79"/>
      <c r="B253" s="27"/>
      <c r="C253" s="130"/>
      <c r="D253" s="5">
        <f t="shared" ref="D253" si="354">$C252*D252</f>
        <v>111.074394</v>
      </c>
      <c r="E253" s="5">
        <f t="shared" ref="E253" si="355">$C252*E252</f>
        <v>972.41202599999997</v>
      </c>
      <c r="F253" s="5">
        <f t="shared" ref="F253:O253" si="356">$C252*F252</f>
        <v>401.36698200000001</v>
      </c>
      <c r="G253" s="5">
        <f t="shared" si="356"/>
        <v>519.25575600000002</v>
      </c>
      <c r="H253" s="5">
        <f t="shared" si="356"/>
        <v>269.84944800000005</v>
      </c>
      <c r="I253" s="5">
        <f t="shared" si="356"/>
        <v>849.75318600000003</v>
      </c>
      <c r="J253" s="5">
        <f t="shared" si="356"/>
        <v>139.01335200000003</v>
      </c>
      <c r="K253" s="5">
        <f t="shared" si="356"/>
        <v>212.608656</v>
      </c>
      <c r="L253" s="5">
        <f t="shared" si="356"/>
        <v>110.392956</v>
      </c>
      <c r="M253" s="5">
        <f t="shared" si="356"/>
        <v>172.40381400000001</v>
      </c>
      <c r="N253" s="5">
        <f t="shared" si="356"/>
        <v>1011.93543</v>
      </c>
      <c r="O253" s="5">
        <f t="shared" si="356"/>
        <v>154.004988</v>
      </c>
      <c r="P253" s="5">
        <f t="shared" ref="P253" si="357">$C252*P252</f>
        <v>0</v>
      </c>
      <c r="Q253" s="5">
        <f t="shared" ref="Q253" si="358">$C252*Q252</f>
        <v>257.58356400000002</v>
      </c>
      <c r="R253" s="5">
        <f t="shared" ref="R253:AB253" si="359">$C252*R252</f>
        <v>123.34027800000001</v>
      </c>
      <c r="S253" s="5">
        <f t="shared" si="359"/>
        <v>27.938958000000003</v>
      </c>
      <c r="T253" s="5">
        <f t="shared" si="359"/>
        <v>343.44475199999999</v>
      </c>
      <c r="U253" s="5">
        <f t="shared" si="359"/>
        <v>119.25165000000001</v>
      </c>
      <c r="V253" s="5">
        <f t="shared" si="359"/>
        <v>246.68055600000002</v>
      </c>
      <c r="W253" s="5">
        <f t="shared" si="359"/>
        <v>330.49743000000001</v>
      </c>
      <c r="X253" s="5">
        <f t="shared" si="359"/>
        <v>419.76580799999999</v>
      </c>
      <c r="Y253" s="5">
        <f t="shared" si="359"/>
        <v>17.03595</v>
      </c>
      <c r="Z253" s="5">
        <f t="shared" si="359"/>
        <v>0</v>
      </c>
      <c r="AA253" s="5">
        <f t="shared" si="359"/>
        <v>4.7700659999999999</v>
      </c>
      <c r="AB253" s="5">
        <f t="shared" si="359"/>
        <v>0</v>
      </c>
      <c r="AC253" s="56"/>
      <c r="AD253" s="23"/>
    </row>
    <row r="254" spans="1:30" s="14" customFormat="1">
      <c r="A254" s="80" t="s">
        <v>403</v>
      </c>
      <c r="B254" s="26">
        <f>163545.04/2</f>
        <v>81772.52</v>
      </c>
      <c r="C254" s="130">
        <f t="shared" si="347"/>
        <v>6814.38</v>
      </c>
      <c r="D254" s="39"/>
      <c r="E254" s="39"/>
      <c r="F254" s="39">
        <v>0.3463</v>
      </c>
      <c r="G254" s="39"/>
      <c r="H254" s="39">
        <v>0</v>
      </c>
      <c r="I254" s="39"/>
      <c r="J254" s="39"/>
      <c r="K254" s="39"/>
      <c r="L254" s="39"/>
      <c r="M254" s="39"/>
      <c r="N254" s="39">
        <v>0.65369999999999995</v>
      </c>
      <c r="O254" s="39"/>
      <c r="P254" s="39"/>
      <c r="Q254" s="39"/>
      <c r="R254" s="39"/>
      <c r="S254" s="39"/>
      <c r="T254" s="39"/>
      <c r="U254" s="39"/>
      <c r="V254" s="39">
        <v>0</v>
      </c>
      <c r="W254" s="39"/>
      <c r="X254" s="39"/>
      <c r="Y254" s="39"/>
      <c r="Z254" s="39"/>
      <c r="AA254" s="39"/>
      <c r="AB254" s="39"/>
      <c r="AC254" s="56"/>
      <c r="AD254" s="23"/>
    </row>
    <row r="255" spans="1:30" s="14" customFormat="1">
      <c r="A255" s="80"/>
      <c r="B255" s="9"/>
      <c r="C255" s="130"/>
      <c r="D255" s="5">
        <f t="shared" ref="D255" si="360">$C254*D254</f>
        <v>0</v>
      </c>
      <c r="E255" s="5">
        <f t="shared" ref="E255" si="361">$C254*E254</f>
        <v>0</v>
      </c>
      <c r="F255" s="5">
        <f t="shared" ref="F255:O255" si="362">$C254*F254</f>
        <v>2359.819794</v>
      </c>
      <c r="G255" s="5">
        <f t="shared" si="362"/>
        <v>0</v>
      </c>
      <c r="H255" s="5">
        <f t="shared" si="362"/>
        <v>0</v>
      </c>
      <c r="I255" s="5">
        <f t="shared" si="362"/>
        <v>0</v>
      </c>
      <c r="J255" s="5">
        <f t="shared" si="362"/>
        <v>0</v>
      </c>
      <c r="K255" s="5">
        <f t="shared" si="362"/>
        <v>0</v>
      </c>
      <c r="L255" s="5">
        <f t="shared" si="362"/>
        <v>0</v>
      </c>
      <c r="M255" s="5">
        <f t="shared" si="362"/>
        <v>0</v>
      </c>
      <c r="N255" s="5">
        <f t="shared" si="362"/>
        <v>4454.5602060000001</v>
      </c>
      <c r="O255" s="5">
        <f t="shared" si="362"/>
        <v>0</v>
      </c>
      <c r="P255" s="5">
        <f t="shared" ref="P255" si="363">$C254*P254</f>
        <v>0</v>
      </c>
      <c r="Q255" s="5">
        <f t="shared" ref="Q255" si="364">$C254*Q254</f>
        <v>0</v>
      </c>
      <c r="R255" s="5">
        <f t="shared" ref="R255:AB255" si="365">$C254*R254</f>
        <v>0</v>
      </c>
      <c r="S255" s="5">
        <f t="shared" si="365"/>
        <v>0</v>
      </c>
      <c r="T255" s="5">
        <f t="shared" si="365"/>
        <v>0</v>
      </c>
      <c r="U255" s="5">
        <f t="shared" si="365"/>
        <v>0</v>
      </c>
      <c r="V255" s="5">
        <f t="shared" si="365"/>
        <v>0</v>
      </c>
      <c r="W255" s="5">
        <f t="shared" si="365"/>
        <v>0</v>
      </c>
      <c r="X255" s="5">
        <f t="shared" si="365"/>
        <v>0</v>
      </c>
      <c r="Y255" s="5">
        <f t="shared" si="365"/>
        <v>0</v>
      </c>
      <c r="Z255" s="5">
        <f t="shared" si="365"/>
        <v>0</v>
      </c>
      <c r="AA255" s="5">
        <f t="shared" si="365"/>
        <v>0</v>
      </c>
      <c r="AB255" s="5">
        <f t="shared" si="365"/>
        <v>0</v>
      </c>
      <c r="AC255" s="56"/>
      <c r="AD255" s="23"/>
    </row>
    <row r="256" spans="1:30" s="14" customFormat="1">
      <c r="A256" s="78" t="s">
        <v>57</v>
      </c>
      <c r="B256" s="26">
        <v>822579.37439999997</v>
      </c>
      <c r="C256" s="130">
        <f>ROUND(B256/12,2)</f>
        <v>68548.28</v>
      </c>
      <c r="D256" s="4"/>
      <c r="E256" s="4"/>
      <c r="F256" s="4">
        <v>3.6900000000000002E-2</v>
      </c>
      <c r="G256" s="4"/>
      <c r="H256" s="4">
        <v>3.5400000000000001E-2</v>
      </c>
      <c r="I256" s="4"/>
      <c r="J256" s="4"/>
      <c r="K256" s="4"/>
      <c r="L256" s="4"/>
      <c r="M256" s="4"/>
      <c r="N256" s="4">
        <v>0.85729999999999995</v>
      </c>
      <c r="O256" s="4"/>
      <c r="P256" s="4"/>
      <c r="Q256" s="4"/>
      <c r="R256" s="4"/>
      <c r="S256" s="4"/>
      <c r="T256" s="4"/>
      <c r="U256" s="4"/>
      <c r="V256" s="4">
        <v>7.0400000000000004E-2</v>
      </c>
      <c r="W256" s="4"/>
      <c r="X256" s="4"/>
      <c r="Y256" s="4"/>
      <c r="Z256" s="4"/>
      <c r="AA256" s="4"/>
      <c r="AB256" s="4"/>
      <c r="AC256" s="56"/>
      <c r="AD256" s="23"/>
    </row>
    <row r="257" spans="1:30" s="14" customFormat="1">
      <c r="A257" s="79"/>
      <c r="B257" s="27"/>
      <c r="C257" s="130"/>
      <c r="D257" s="5">
        <f t="shared" ref="D257" si="366">$C256*D256</f>
        <v>0</v>
      </c>
      <c r="E257" s="5">
        <f t="shared" ref="E257" si="367">$C256*E256</f>
        <v>0</v>
      </c>
      <c r="F257" s="5">
        <f t="shared" ref="F257:AB257" si="368">$C256*F256</f>
        <v>2529.4315320000001</v>
      </c>
      <c r="G257" s="5">
        <f t="shared" si="368"/>
        <v>0</v>
      </c>
      <c r="H257" s="5">
        <f t="shared" si="368"/>
        <v>2426.6091120000001</v>
      </c>
      <c r="I257" s="5">
        <f t="shared" si="368"/>
        <v>0</v>
      </c>
      <c r="J257" s="5">
        <f t="shared" si="368"/>
        <v>0</v>
      </c>
      <c r="K257" s="5">
        <f t="shared" si="368"/>
        <v>0</v>
      </c>
      <c r="L257" s="5">
        <f t="shared" si="368"/>
        <v>0</v>
      </c>
      <c r="M257" s="5">
        <f t="shared" si="368"/>
        <v>0</v>
      </c>
      <c r="N257" s="5">
        <f t="shared" si="368"/>
        <v>58766.440443999993</v>
      </c>
      <c r="O257" s="5">
        <f t="shared" si="368"/>
        <v>0</v>
      </c>
      <c r="P257" s="5">
        <f t="shared" si="368"/>
        <v>0</v>
      </c>
      <c r="Q257" s="5">
        <f t="shared" si="368"/>
        <v>0</v>
      </c>
      <c r="R257" s="5">
        <f t="shared" si="368"/>
        <v>0</v>
      </c>
      <c r="S257" s="5">
        <f t="shared" si="368"/>
        <v>0</v>
      </c>
      <c r="T257" s="5">
        <f t="shared" si="368"/>
        <v>0</v>
      </c>
      <c r="U257" s="5">
        <f t="shared" si="368"/>
        <v>0</v>
      </c>
      <c r="V257" s="5">
        <f t="shared" si="368"/>
        <v>4825.7989120000002</v>
      </c>
      <c r="W257" s="5">
        <f t="shared" si="368"/>
        <v>0</v>
      </c>
      <c r="X257" s="5">
        <f t="shared" si="368"/>
        <v>0</v>
      </c>
      <c r="Y257" s="5">
        <f t="shared" si="368"/>
        <v>0</v>
      </c>
      <c r="Z257" s="5">
        <f t="shared" si="368"/>
        <v>0</v>
      </c>
      <c r="AA257" s="5">
        <f t="shared" si="368"/>
        <v>0</v>
      </c>
      <c r="AB257" s="5">
        <f t="shared" si="368"/>
        <v>0</v>
      </c>
      <c r="AC257" s="56"/>
      <c r="AD257" s="23"/>
    </row>
    <row r="258" spans="1:30" s="14" customFormat="1">
      <c r="A258" s="78" t="s">
        <v>58</v>
      </c>
      <c r="B258" s="26">
        <v>901878.69149999996</v>
      </c>
      <c r="C258" s="130">
        <f>ROUND(B258/12,2)</f>
        <v>75156.56</v>
      </c>
      <c r="D258" s="4"/>
      <c r="E258" s="4"/>
      <c r="F258" s="4">
        <v>3.3500000000000002E-2</v>
      </c>
      <c r="G258" s="4"/>
      <c r="H258" s="4">
        <v>4.2200000000000001E-2</v>
      </c>
      <c r="I258" s="4"/>
      <c r="J258" s="4"/>
      <c r="K258" s="4"/>
      <c r="L258" s="4"/>
      <c r="M258" s="4">
        <v>1.0999999999999999E-2</v>
      </c>
      <c r="N258" s="4">
        <v>0.83940000000000003</v>
      </c>
      <c r="O258" s="4"/>
      <c r="P258" s="4"/>
      <c r="Q258" s="4"/>
      <c r="R258" s="4"/>
      <c r="S258" s="4"/>
      <c r="T258" s="4"/>
      <c r="U258" s="4"/>
      <c r="V258" s="4">
        <v>7.3899999999999993E-2</v>
      </c>
      <c r="W258" s="4"/>
      <c r="X258" s="4"/>
      <c r="Y258" s="4"/>
      <c r="Z258" s="4"/>
      <c r="AA258" s="4"/>
      <c r="AB258" s="4"/>
      <c r="AC258" s="56"/>
      <c r="AD258" s="23"/>
    </row>
    <row r="259" spans="1:30" s="14" customFormat="1">
      <c r="A259" s="79"/>
      <c r="B259" s="27"/>
      <c r="C259" s="130"/>
      <c r="D259" s="5">
        <f t="shared" ref="D259" si="369">$C258*D258</f>
        <v>0</v>
      </c>
      <c r="E259" s="5">
        <f t="shared" ref="E259" si="370">$C258*E258</f>
        <v>0</v>
      </c>
      <c r="F259" s="5">
        <f t="shared" ref="F259:AB259" si="371">$C258*F258</f>
        <v>2517.74476</v>
      </c>
      <c r="G259" s="5">
        <f t="shared" si="371"/>
        <v>0</v>
      </c>
      <c r="H259" s="5">
        <f t="shared" si="371"/>
        <v>3171.6068319999999</v>
      </c>
      <c r="I259" s="5">
        <f t="shared" si="371"/>
        <v>0</v>
      </c>
      <c r="J259" s="5">
        <f t="shared" si="371"/>
        <v>0</v>
      </c>
      <c r="K259" s="5">
        <f t="shared" si="371"/>
        <v>0</v>
      </c>
      <c r="L259" s="5">
        <f t="shared" si="371"/>
        <v>0</v>
      </c>
      <c r="M259" s="5">
        <f t="shared" si="371"/>
        <v>826.72215999999992</v>
      </c>
      <c r="N259" s="5">
        <f t="shared" si="371"/>
        <v>63086.416464000002</v>
      </c>
      <c r="O259" s="5">
        <f t="shared" si="371"/>
        <v>0</v>
      </c>
      <c r="P259" s="5">
        <f t="shared" si="371"/>
        <v>0</v>
      </c>
      <c r="Q259" s="5">
        <f t="shared" si="371"/>
        <v>0</v>
      </c>
      <c r="R259" s="5">
        <f t="shared" si="371"/>
        <v>0</v>
      </c>
      <c r="S259" s="5">
        <f t="shared" si="371"/>
        <v>0</v>
      </c>
      <c r="T259" s="5">
        <f t="shared" si="371"/>
        <v>0</v>
      </c>
      <c r="U259" s="5">
        <f t="shared" si="371"/>
        <v>0</v>
      </c>
      <c r="V259" s="5">
        <f t="shared" si="371"/>
        <v>5554.0697839999993</v>
      </c>
      <c r="W259" s="5">
        <f t="shared" si="371"/>
        <v>0</v>
      </c>
      <c r="X259" s="5">
        <f t="shared" si="371"/>
        <v>0</v>
      </c>
      <c r="Y259" s="5">
        <f t="shared" si="371"/>
        <v>0</v>
      </c>
      <c r="Z259" s="5">
        <f t="shared" si="371"/>
        <v>0</v>
      </c>
      <c r="AA259" s="5">
        <f t="shared" si="371"/>
        <v>0</v>
      </c>
      <c r="AB259" s="5">
        <f t="shared" si="371"/>
        <v>0</v>
      </c>
      <c r="AC259" s="56"/>
      <c r="AD259" s="23"/>
    </row>
    <row r="260" spans="1:30" s="14" customFormat="1">
      <c r="A260" s="78" t="s">
        <v>34</v>
      </c>
      <c r="B260" s="26">
        <f>24894773.3779/2</f>
        <v>12447386.68895</v>
      </c>
      <c r="C260" s="130">
        <f t="shared" si="347"/>
        <v>1037282.22</v>
      </c>
      <c r="D260" s="35">
        <v>1.6299999999999999E-2</v>
      </c>
      <c r="E260" s="35">
        <v>0.14269999999999999</v>
      </c>
      <c r="F260" s="35">
        <v>5.8900000000000001E-2</v>
      </c>
      <c r="G260" s="35">
        <v>7.6200000000000004E-2</v>
      </c>
      <c r="H260" s="35">
        <v>3.9600000000000003E-2</v>
      </c>
      <c r="I260" s="35">
        <v>0.12470000000000001</v>
      </c>
      <c r="J260" s="35">
        <v>2.0400000000000001E-2</v>
      </c>
      <c r="K260" s="35">
        <v>3.1199999999999999E-2</v>
      </c>
      <c r="L260" s="35">
        <v>1.6199999999999999E-2</v>
      </c>
      <c r="M260" s="35">
        <v>2.53E-2</v>
      </c>
      <c r="N260" s="35">
        <v>0.14849999999999999</v>
      </c>
      <c r="O260" s="35">
        <v>2.2599999999999999E-2</v>
      </c>
      <c r="P260" s="35">
        <v>0</v>
      </c>
      <c r="Q260" s="35">
        <v>3.78E-2</v>
      </c>
      <c r="R260" s="35">
        <v>1.8100000000000002E-2</v>
      </c>
      <c r="S260" s="35">
        <v>4.1000000000000003E-3</v>
      </c>
      <c r="T260" s="35">
        <v>5.04E-2</v>
      </c>
      <c r="U260" s="35">
        <v>1.7500000000000002E-2</v>
      </c>
      <c r="V260" s="35">
        <v>3.6200000000000003E-2</v>
      </c>
      <c r="W260" s="35">
        <v>4.8500000000000001E-2</v>
      </c>
      <c r="X260" s="35">
        <v>6.1600000000000002E-2</v>
      </c>
      <c r="Y260" s="35">
        <v>2.5000000000000001E-3</v>
      </c>
      <c r="Z260" s="4">
        <v>0</v>
      </c>
      <c r="AA260" s="4">
        <v>6.9999999999999999E-4</v>
      </c>
      <c r="AB260" s="4">
        <v>0</v>
      </c>
      <c r="AC260" s="56"/>
      <c r="AD260" s="23"/>
    </row>
    <row r="261" spans="1:30" s="14" customFormat="1">
      <c r="A261" s="79"/>
      <c r="B261" s="27"/>
      <c r="C261" s="130"/>
      <c r="D261" s="5">
        <f t="shared" ref="D261" si="372">$C260*D260</f>
        <v>16907.700185999998</v>
      </c>
      <c r="E261" s="5">
        <f t="shared" ref="E261" si="373">$C260*E260</f>
        <v>148020.17279399998</v>
      </c>
      <c r="F261" s="5">
        <f t="shared" ref="F261:O261" si="374">$C260*F260</f>
        <v>61095.922758000001</v>
      </c>
      <c r="G261" s="5">
        <f t="shared" si="374"/>
        <v>79040.905163999996</v>
      </c>
      <c r="H261" s="5">
        <f t="shared" si="374"/>
        <v>41076.375912000003</v>
      </c>
      <c r="I261" s="5">
        <f t="shared" si="374"/>
        <v>129349.092834</v>
      </c>
      <c r="J261" s="5">
        <f t="shared" si="374"/>
        <v>21160.557288</v>
      </c>
      <c r="K261" s="5">
        <f t="shared" si="374"/>
        <v>32363.205263999997</v>
      </c>
      <c r="L261" s="5">
        <f t="shared" si="374"/>
        <v>16803.971964</v>
      </c>
      <c r="M261" s="5">
        <f t="shared" si="374"/>
        <v>26243.240166</v>
      </c>
      <c r="N261" s="5">
        <f t="shared" si="374"/>
        <v>154036.40966999999</v>
      </c>
      <c r="O261" s="5">
        <f t="shared" si="374"/>
        <v>23442.578171999998</v>
      </c>
      <c r="P261" s="5">
        <f t="shared" ref="P261" si="375">$C260*P260</f>
        <v>0</v>
      </c>
      <c r="Q261" s="5">
        <f t="shared" ref="Q261" si="376">$C260*Q260</f>
        <v>39209.267915999997</v>
      </c>
      <c r="R261" s="5">
        <f t="shared" ref="R261:AB261" si="377">$C260*R260</f>
        <v>18774.808182000001</v>
      </c>
      <c r="S261" s="5">
        <f t="shared" si="377"/>
        <v>4252.8571019999999</v>
      </c>
      <c r="T261" s="5">
        <f t="shared" si="377"/>
        <v>52279.023887999996</v>
      </c>
      <c r="U261" s="5">
        <f t="shared" si="377"/>
        <v>18152.438850000002</v>
      </c>
      <c r="V261" s="5">
        <f t="shared" si="377"/>
        <v>37549.616364000001</v>
      </c>
      <c r="W261" s="5">
        <f t="shared" si="377"/>
        <v>50308.187669999999</v>
      </c>
      <c r="X261" s="5">
        <f t="shared" si="377"/>
        <v>63896.584752000002</v>
      </c>
      <c r="Y261" s="5">
        <f t="shared" si="377"/>
        <v>2593.2055500000001</v>
      </c>
      <c r="Z261" s="5">
        <f t="shared" si="377"/>
        <v>0</v>
      </c>
      <c r="AA261" s="5">
        <f t="shared" si="377"/>
        <v>726.09755399999995</v>
      </c>
      <c r="AB261" s="5">
        <f t="shared" si="377"/>
        <v>0</v>
      </c>
      <c r="AC261" s="56"/>
      <c r="AD261" s="23"/>
    </row>
    <row r="262" spans="1:30" s="14" customFormat="1">
      <c r="A262" s="80" t="s">
        <v>392</v>
      </c>
      <c r="B262" s="26">
        <f>24894773.3779/2</f>
        <v>12447386.68895</v>
      </c>
      <c r="C262" s="130">
        <f t="shared" si="347"/>
        <v>1037282.22</v>
      </c>
      <c r="D262" s="39"/>
      <c r="E262" s="39"/>
      <c r="F262" s="39">
        <v>7.9299999999999995E-2</v>
      </c>
      <c r="G262" s="39"/>
      <c r="H262" s="39">
        <v>4.6199999999999998E-2</v>
      </c>
      <c r="I262" s="39"/>
      <c r="J262" s="39"/>
      <c r="K262" s="39"/>
      <c r="L262" s="39"/>
      <c r="M262" s="39"/>
      <c r="N262" s="39">
        <v>0.8</v>
      </c>
      <c r="O262" s="39"/>
      <c r="P262" s="39"/>
      <c r="Q262" s="39"/>
      <c r="R262" s="39"/>
      <c r="S262" s="39"/>
      <c r="T262" s="39"/>
      <c r="U262" s="39"/>
      <c r="V262" s="39">
        <v>7.4499999999999997E-2</v>
      </c>
      <c r="W262" s="39"/>
      <c r="X262" s="39"/>
      <c r="Y262" s="39"/>
      <c r="Z262" s="39"/>
      <c r="AA262" s="39"/>
      <c r="AB262" s="39"/>
      <c r="AC262" s="56"/>
      <c r="AD262" s="23"/>
    </row>
    <row r="263" spans="1:30" s="14" customFormat="1">
      <c r="A263" s="80"/>
      <c r="B263" s="9"/>
      <c r="C263" s="130"/>
      <c r="D263" s="5">
        <f t="shared" ref="D263" si="378">$C262*D262</f>
        <v>0</v>
      </c>
      <c r="E263" s="5">
        <f t="shared" ref="E263" si="379">$C262*E262</f>
        <v>0</v>
      </c>
      <c r="F263" s="5">
        <f t="shared" ref="F263:O263" si="380">$C262*F262</f>
        <v>82256.480045999997</v>
      </c>
      <c r="G263" s="5">
        <f t="shared" si="380"/>
        <v>0</v>
      </c>
      <c r="H263" s="5">
        <f t="shared" si="380"/>
        <v>47922.438563999996</v>
      </c>
      <c r="I263" s="5">
        <f t="shared" si="380"/>
        <v>0</v>
      </c>
      <c r="J263" s="5">
        <f t="shared" si="380"/>
        <v>0</v>
      </c>
      <c r="K263" s="5">
        <f t="shared" si="380"/>
        <v>0</v>
      </c>
      <c r="L263" s="5">
        <f t="shared" si="380"/>
        <v>0</v>
      </c>
      <c r="M263" s="5">
        <f t="shared" si="380"/>
        <v>0</v>
      </c>
      <c r="N263" s="5">
        <f t="shared" si="380"/>
        <v>829825.77600000007</v>
      </c>
      <c r="O263" s="5">
        <f t="shared" si="380"/>
        <v>0</v>
      </c>
      <c r="P263" s="5">
        <f t="shared" ref="P263" si="381">$C262*P262</f>
        <v>0</v>
      </c>
      <c r="Q263" s="5">
        <f t="shared" ref="Q263" si="382">$C262*Q262</f>
        <v>0</v>
      </c>
      <c r="R263" s="5">
        <f t="shared" ref="R263:AB263" si="383">$C262*R262</f>
        <v>0</v>
      </c>
      <c r="S263" s="5">
        <f t="shared" si="383"/>
        <v>0</v>
      </c>
      <c r="T263" s="5">
        <f t="shared" si="383"/>
        <v>0</v>
      </c>
      <c r="U263" s="5">
        <f t="shared" si="383"/>
        <v>0</v>
      </c>
      <c r="V263" s="5">
        <f t="shared" si="383"/>
        <v>77277.525389999995</v>
      </c>
      <c r="W263" s="5">
        <f t="shared" si="383"/>
        <v>0</v>
      </c>
      <c r="X263" s="5">
        <f t="shared" si="383"/>
        <v>0</v>
      </c>
      <c r="Y263" s="5">
        <f t="shared" si="383"/>
        <v>0</v>
      </c>
      <c r="Z263" s="5">
        <f t="shared" si="383"/>
        <v>0</v>
      </c>
      <c r="AA263" s="5">
        <f t="shared" si="383"/>
        <v>0</v>
      </c>
      <c r="AB263" s="5">
        <f t="shared" si="383"/>
        <v>0</v>
      </c>
      <c r="AC263" s="56"/>
      <c r="AD263" s="23"/>
    </row>
    <row r="264" spans="1:30" s="14" customFormat="1">
      <c r="A264" s="78" t="s">
        <v>59</v>
      </c>
      <c r="B264" s="26">
        <f>1527058.9744/2</f>
        <v>763529.48719999997</v>
      </c>
      <c r="C264" s="130">
        <f t="shared" si="347"/>
        <v>63627.46</v>
      </c>
      <c r="D264" s="35">
        <v>1.6299999999999999E-2</v>
      </c>
      <c r="E264" s="35">
        <v>0.14269999999999999</v>
      </c>
      <c r="F264" s="35">
        <v>5.8900000000000001E-2</v>
      </c>
      <c r="G264" s="35">
        <v>7.6200000000000004E-2</v>
      </c>
      <c r="H264" s="35">
        <v>3.9600000000000003E-2</v>
      </c>
      <c r="I264" s="35">
        <v>0.12470000000000001</v>
      </c>
      <c r="J264" s="35">
        <v>2.0400000000000001E-2</v>
      </c>
      <c r="K264" s="35">
        <v>3.1199999999999999E-2</v>
      </c>
      <c r="L264" s="35">
        <v>1.6199999999999999E-2</v>
      </c>
      <c r="M264" s="35">
        <v>2.53E-2</v>
      </c>
      <c r="N264" s="35">
        <v>0.14849999999999999</v>
      </c>
      <c r="O264" s="35">
        <v>2.2599999999999999E-2</v>
      </c>
      <c r="P264" s="35">
        <v>0</v>
      </c>
      <c r="Q264" s="35">
        <v>3.78E-2</v>
      </c>
      <c r="R264" s="35">
        <v>1.8100000000000002E-2</v>
      </c>
      <c r="S264" s="35">
        <v>4.1000000000000003E-3</v>
      </c>
      <c r="T264" s="35">
        <v>5.04E-2</v>
      </c>
      <c r="U264" s="35">
        <v>1.7500000000000002E-2</v>
      </c>
      <c r="V264" s="35">
        <v>3.6200000000000003E-2</v>
      </c>
      <c r="W264" s="35">
        <v>4.8500000000000001E-2</v>
      </c>
      <c r="X264" s="35">
        <v>6.1600000000000002E-2</v>
      </c>
      <c r="Y264" s="35">
        <v>2.5000000000000001E-3</v>
      </c>
      <c r="Z264" s="4">
        <v>0</v>
      </c>
      <c r="AA264" s="4">
        <v>6.9999999999999999E-4</v>
      </c>
      <c r="AB264" s="4">
        <v>0</v>
      </c>
      <c r="AC264" s="56"/>
      <c r="AD264" s="23"/>
    </row>
    <row r="265" spans="1:30" s="14" customFormat="1">
      <c r="A265" s="79"/>
      <c r="B265" s="27"/>
      <c r="C265" s="130"/>
      <c r="D265" s="5">
        <f t="shared" ref="D265" si="384">$C264*D264</f>
        <v>1037.1275979999998</v>
      </c>
      <c r="E265" s="5">
        <f t="shared" ref="E265" si="385">$C264*E264</f>
        <v>9079.6385419999988</v>
      </c>
      <c r="F265" s="5">
        <f t="shared" ref="F265:O265" si="386">$C264*F264</f>
        <v>3747.6573939999998</v>
      </c>
      <c r="G265" s="5">
        <f t="shared" si="386"/>
        <v>4848.4124520000005</v>
      </c>
      <c r="H265" s="5">
        <f t="shared" si="386"/>
        <v>2519.6474160000002</v>
      </c>
      <c r="I265" s="5">
        <f t="shared" si="386"/>
        <v>7934.3442620000005</v>
      </c>
      <c r="J265" s="5">
        <f t="shared" si="386"/>
        <v>1298.000184</v>
      </c>
      <c r="K265" s="5">
        <f t="shared" si="386"/>
        <v>1985.1767519999999</v>
      </c>
      <c r="L265" s="5">
        <f t="shared" si="386"/>
        <v>1030.764852</v>
      </c>
      <c r="M265" s="5">
        <f t="shared" si="386"/>
        <v>1609.7747379999998</v>
      </c>
      <c r="N265" s="5">
        <f t="shared" si="386"/>
        <v>9448.6778099999992</v>
      </c>
      <c r="O265" s="5">
        <f t="shared" si="386"/>
        <v>1437.9805959999999</v>
      </c>
      <c r="P265" s="5">
        <f t="shared" ref="P265" si="387">$C264*P264</f>
        <v>0</v>
      </c>
      <c r="Q265" s="5">
        <f t="shared" ref="Q265" si="388">$C264*Q264</f>
        <v>2405.117988</v>
      </c>
      <c r="R265" s="5">
        <f t="shared" ref="R265:AB265" si="389">$C264*R264</f>
        <v>1151.6570260000001</v>
      </c>
      <c r="S265" s="5">
        <f t="shared" si="389"/>
        <v>260.87258600000001</v>
      </c>
      <c r="T265" s="5">
        <f t="shared" si="389"/>
        <v>3206.8239840000001</v>
      </c>
      <c r="U265" s="5">
        <f t="shared" si="389"/>
        <v>1113.48055</v>
      </c>
      <c r="V265" s="5">
        <f t="shared" si="389"/>
        <v>2303.3140520000002</v>
      </c>
      <c r="W265" s="5">
        <f t="shared" si="389"/>
        <v>3085.93181</v>
      </c>
      <c r="X265" s="5">
        <f t="shared" si="389"/>
        <v>3919.451536</v>
      </c>
      <c r="Y265" s="5">
        <f t="shared" si="389"/>
        <v>159.06864999999999</v>
      </c>
      <c r="Z265" s="5">
        <f t="shared" si="389"/>
        <v>0</v>
      </c>
      <c r="AA265" s="5">
        <f t="shared" si="389"/>
        <v>44.539222000000002</v>
      </c>
      <c r="AB265" s="5">
        <f t="shared" si="389"/>
        <v>0</v>
      </c>
      <c r="AC265" s="56"/>
      <c r="AD265" s="23"/>
    </row>
    <row r="266" spans="1:30" s="14" customFormat="1">
      <c r="A266" s="78" t="s">
        <v>404</v>
      </c>
      <c r="B266" s="26">
        <f>1527058.9744/2</f>
        <v>763529.48719999997</v>
      </c>
      <c r="C266" s="130">
        <f t="shared" si="347"/>
        <v>63627.46</v>
      </c>
      <c r="D266" s="4"/>
      <c r="E266" s="4"/>
      <c r="F266" s="4">
        <v>0.13020000000000001</v>
      </c>
      <c r="G266" s="4"/>
      <c r="H266" s="4">
        <v>6.7400000000000002E-2</v>
      </c>
      <c r="I266" s="4"/>
      <c r="J266" s="4"/>
      <c r="K266" s="4"/>
      <c r="L266" s="4"/>
      <c r="M266" s="4"/>
      <c r="N266" s="4">
        <v>0.70189999999999997</v>
      </c>
      <c r="O266" s="4"/>
      <c r="P266" s="4"/>
      <c r="Q266" s="4"/>
      <c r="R266" s="4"/>
      <c r="S266" s="4"/>
      <c r="T266" s="4"/>
      <c r="U266" s="4"/>
      <c r="V266" s="4">
        <v>0.10050000000000001</v>
      </c>
      <c r="W266" s="4"/>
      <c r="X266" s="4"/>
      <c r="Y266" s="4"/>
      <c r="Z266" s="4"/>
      <c r="AA266" s="4"/>
      <c r="AB266" s="4"/>
      <c r="AC266" s="56"/>
      <c r="AD266" s="23"/>
    </row>
    <row r="267" spans="1:30" s="14" customFormat="1">
      <c r="A267" s="79"/>
      <c r="B267" s="9"/>
      <c r="C267" s="130"/>
      <c r="D267" s="5">
        <f t="shared" ref="D267" si="390">$C266*D266</f>
        <v>0</v>
      </c>
      <c r="E267" s="5">
        <f t="shared" ref="E267" si="391">$C266*E266</f>
        <v>0</v>
      </c>
      <c r="F267" s="5">
        <f t="shared" ref="F267:O267" si="392">$C266*F266</f>
        <v>8284.2952920000007</v>
      </c>
      <c r="G267" s="5">
        <f t="shared" si="392"/>
        <v>0</v>
      </c>
      <c r="H267" s="5">
        <f t="shared" si="392"/>
        <v>4288.490804</v>
      </c>
      <c r="I267" s="5">
        <f t="shared" si="392"/>
        <v>0</v>
      </c>
      <c r="J267" s="5">
        <f t="shared" si="392"/>
        <v>0</v>
      </c>
      <c r="K267" s="5">
        <f t="shared" si="392"/>
        <v>0</v>
      </c>
      <c r="L267" s="5">
        <f t="shared" si="392"/>
        <v>0</v>
      </c>
      <c r="M267" s="5">
        <f t="shared" si="392"/>
        <v>0</v>
      </c>
      <c r="N267" s="5">
        <f t="shared" si="392"/>
        <v>44660.114173999995</v>
      </c>
      <c r="O267" s="5">
        <f t="shared" si="392"/>
        <v>0</v>
      </c>
      <c r="P267" s="5">
        <f t="shared" ref="P267" si="393">$C266*P266</f>
        <v>0</v>
      </c>
      <c r="Q267" s="5">
        <f t="shared" ref="Q267" si="394">$C266*Q266</f>
        <v>0</v>
      </c>
      <c r="R267" s="5">
        <f t="shared" ref="R267:AB267" si="395">$C266*R266</f>
        <v>0</v>
      </c>
      <c r="S267" s="5">
        <f t="shared" si="395"/>
        <v>0</v>
      </c>
      <c r="T267" s="5">
        <f t="shared" si="395"/>
        <v>0</v>
      </c>
      <c r="U267" s="5">
        <f t="shared" si="395"/>
        <v>0</v>
      </c>
      <c r="V267" s="5">
        <f t="shared" si="395"/>
        <v>6394.5597299999999</v>
      </c>
      <c r="W267" s="5">
        <f t="shared" si="395"/>
        <v>0</v>
      </c>
      <c r="X267" s="5">
        <f t="shared" si="395"/>
        <v>0</v>
      </c>
      <c r="Y267" s="5">
        <f t="shared" si="395"/>
        <v>0</v>
      </c>
      <c r="Z267" s="5">
        <f t="shared" si="395"/>
        <v>0</v>
      </c>
      <c r="AA267" s="5">
        <f t="shared" si="395"/>
        <v>0</v>
      </c>
      <c r="AB267" s="5">
        <f t="shared" si="395"/>
        <v>0</v>
      </c>
      <c r="AC267" s="56"/>
      <c r="AD267" s="23"/>
    </row>
    <row r="268" spans="1:30" s="14" customFormat="1">
      <c r="A268" s="78" t="s">
        <v>60</v>
      </c>
      <c r="B268" s="26">
        <f>344500.2604/2</f>
        <v>172250.13020000001</v>
      </c>
      <c r="C268" s="130">
        <f t="shared" si="347"/>
        <v>14354.18</v>
      </c>
      <c r="D268" s="35">
        <v>1.6299999999999999E-2</v>
      </c>
      <c r="E268" s="35">
        <v>0.14269999999999999</v>
      </c>
      <c r="F268" s="35">
        <v>5.8900000000000001E-2</v>
      </c>
      <c r="G268" s="35">
        <v>7.6200000000000004E-2</v>
      </c>
      <c r="H268" s="35">
        <v>3.9600000000000003E-2</v>
      </c>
      <c r="I268" s="35">
        <v>0.12470000000000001</v>
      </c>
      <c r="J268" s="35">
        <v>2.0400000000000001E-2</v>
      </c>
      <c r="K268" s="35">
        <v>3.1199999999999999E-2</v>
      </c>
      <c r="L268" s="35">
        <v>1.6199999999999999E-2</v>
      </c>
      <c r="M268" s="35">
        <v>2.53E-2</v>
      </c>
      <c r="N268" s="35">
        <v>0.14849999999999999</v>
      </c>
      <c r="O268" s="35">
        <v>2.2599999999999999E-2</v>
      </c>
      <c r="P268" s="35">
        <v>0</v>
      </c>
      <c r="Q268" s="35">
        <v>3.78E-2</v>
      </c>
      <c r="R268" s="35">
        <v>1.8100000000000002E-2</v>
      </c>
      <c r="S268" s="35">
        <v>4.1000000000000003E-3</v>
      </c>
      <c r="T268" s="35">
        <v>5.04E-2</v>
      </c>
      <c r="U268" s="35">
        <v>1.7500000000000002E-2</v>
      </c>
      <c r="V268" s="35">
        <v>3.6200000000000003E-2</v>
      </c>
      <c r="W268" s="35">
        <v>4.8500000000000001E-2</v>
      </c>
      <c r="X268" s="35">
        <v>6.1600000000000002E-2</v>
      </c>
      <c r="Y268" s="35">
        <v>2.5000000000000001E-3</v>
      </c>
      <c r="Z268" s="4">
        <v>0</v>
      </c>
      <c r="AA268" s="4">
        <v>6.9999999999999999E-4</v>
      </c>
      <c r="AB268" s="4">
        <v>0</v>
      </c>
      <c r="AC268" s="56"/>
      <c r="AD268" s="23"/>
    </row>
    <row r="269" spans="1:30" s="14" customFormat="1">
      <c r="A269" s="79"/>
      <c r="B269" s="27"/>
      <c r="C269" s="130"/>
      <c r="D269" s="5">
        <f t="shared" ref="D269" si="396">$C268*D268</f>
        <v>233.97313399999999</v>
      </c>
      <c r="E269" s="5">
        <f t="shared" ref="E269" si="397">$C268*E268</f>
        <v>2048.3414859999998</v>
      </c>
      <c r="F269" s="5">
        <f t="shared" ref="F269:O269" si="398">$C268*F268</f>
        <v>845.46120200000007</v>
      </c>
      <c r="G269" s="5">
        <f t="shared" si="398"/>
        <v>1093.7885160000001</v>
      </c>
      <c r="H269" s="5">
        <f t="shared" si="398"/>
        <v>568.4255280000001</v>
      </c>
      <c r="I269" s="5">
        <f t="shared" si="398"/>
        <v>1789.9662460000002</v>
      </c>
      <c r="J269" s="5">
        <f t="shared" si="398"/>
        <v>292.82527200000004</v>
      </c>
      <c r="K269" s="5">
        <f t="shared" si="398"/>
        <v>447.850416</v>
      </c>
      <c r="L269" s="5">
        <f t="shared" si="398"/>
        <v>232.53771599999999</v>
      </c>
      <c r="M269" s="5">
        <f t="shared" si="398"/>
        <v>363.160754</v>
      </c>
      <c r="N269" s="5">
        <f t="shared" si="398"/>
        <v>2131.59573</v>
      </c>
      <c r="O269" s="5">
        <f t="shared" si="398"/>
        <v>324.40446800000001</v>
      </c>
      <c r="P269" s="5">
        <f t="shared" ref="P269" si="399">$C268*P268</f>
        <v>0</v>
      </c>
      <c r="Q269" s="5">
        <f t="shared" ref="Q269" si="400">$C268*Q268</f>
        <v>542.58800400000007</v>
      </c>
      <c r="R269" s="5">
        <f t="shared" ref="R269:AB269" si="401">$C268*R268</f>
        <v>259.81065800000005</v>
      </c>
      <c r="S269" s="5">
        <f t="shared" si="401"/>
        <v>58.852138000000004</v>
      </c>
      <c r="T269" s="5">
        <f t="shared" si="401"/>
        <v>723.45067200000005</v>
      </c>
      <c r="U269" s="5">
        <f t="shared" si="401"/>
        <v>251.19815000000003</v>
      </c>
      <c r="V269" s="5">
        <f t="shared" si="401"/>
        <v>519.62131600000009</v>
      </c>
      <c r="W269" s="5">
        <f t="shared" si="401"/>
        <v>696.17773</v>
      </c>
      <c r="X269" s="5">
        <f t="shared" si="401"/>
        <v>884.217488</v>
      </c>
      <c r="Y269" s="5">
        <f t="shared" si="401"/>
        <v>35.885449999999999</v>
      </c>
      <c r="Z269" s="5">
        <f t="shared" si="401"/>
        <v>0</v>
      </c>
      <c r="AA269" s="5">
        <f t="shared" si="401"/>
        <v>10.047926</v>
      </c>
      <c r="AB269" s="5">
        <f t="shared" si="401"/>
        <v>0</v>
      </c>
      <c r="AC269" s="56"/>
      <c r="AD269" s="23"/>
    </row>
    <row r="270" spans="1:30" s="14" customFormat="1">
      <c r="A270" s="78" t="s">
        <v>405</v>
      </c>
      <c r="B270" s="26">
        <f>344500.2604/2</f>
        <v>172250.13020000001</v>
      </c>
      <c r="C270" s="130">
        <f t="shared" si="347"/>
        <v>14354.18</v>
      </c>
      <c r="D270" s="4"/>
      <c r="E270" s="4"/>
      <c r="F270" s="4">
        <v>0.3463</v>
      </c>
      <c r="G270" s="4"/>
      <c r="H270" s="4">
        <v>0</v>
      </c>
      <c r="I270" s="4"/>
      <c r="J270" s="4"/>
      <c r="K270" s="4"/>
      <c r="L270" s="4"/>
      <c r="M270" s="4"/>
      <c r="N270" s="4">
        <v>0.65369999999999995</v>
      </c>
      <c r="O270" s="4"/>
      <c r="P270" s="4"/>
      <c r="Q270" s="4"/>
      <c r="R270" s="4"/>
      <c r="S270" s="4"/>
      <c r="T270" s="4"/>
      <c r="U270" s="4"/>
      <c r="V270" s="4">
        <v>0</v>
      </c>
      <c r="W270" s="4"/>
      <c r="X270" s="4"/>
      <c r="Y270" s="4"/>
      <c r="Z270" s="4"/>
      <c r="AA270" s="4"/>
      <c r="AB270" s="4"/>
      <c r="AC270" s="56"/>
      <c r="AD270" s="23"/>
    </row>
    <row r="271" spans="1:30" s="14" customFormat="1">
      <c r="A271" s="79"/>
      <c r="B271" s="9"/>
      <c r="C271" s="130"/>
      <c r="D271" s="5">
        <f t="shared" ref="D271" si="402">$C270*D270</f>
        <v>0</v>
      </c>
      <c r="E271" s="5">
        <f t="shared" ref="E271" si="403">$C270*E270</f>
        <v>0</v>
      </c>
      <c r="F271" s="5">
        <f t="shared" ref="F271:O271" si="404">$C270*F270</f>
        <v>4970.8525339999997</v>
      </c>
      <c r="G271" s="5">
        <f t="shared" si="404"/>
        <v>0</v>
      </c>
      <c r="H271" s="5">
        <f t="shared" si="404"/>
        <v>0</v>
      </c>
      <c r="I271" s="5">
        <f t="shared" si="404"/>
        <v>0</v>
      </c>
      <c r="J271" s="5">
        <f t="shared" si="404"/>
        <v>0</v>
      </c>
      <c r="K271" s="5">
        <f t="shared" si="404"/>
        <v>0</v>
      </c>
      <c r="L271" s="5">
        <f t="shared" si="404"/>
        <v>0</v>
      </c>
      <c r="M271" s="5">
        <f t="shared" si="404"/>
        <v>0</v>
      </c>
      <c r="N271" s="5">
        <f t="shared" si="404"/>
        <v>9383.3274659999988</v>
      </c>
      <c r="O271" s="5">
        <f t="shared" si="404"/>
        <v>0</v>
      </c>
      <c r="P271" s="5">
        <f t="shared" ref="P271" si="405">$C270*P270</f>
        <v>0</v>
      </c>
      <c r="Q271" s="5">
        <f t="shared" ref="Q271" si="406">$C270*Q270</f>
        <v>0</v>
      </c>
      <c r="R271" s="5">
        <f t="shared" ref="R271:AB271" si="407">$C270*R270</f>
        <v>0</v>
      </c>
      <c r="S271" s="5">
        <f t="shared" si="407"/>
        <v>0</v>
      </c>
      <c r="T271" s="5">
        <f t="shared" si="407"/>
        <v>0</v>
      </c>
      <c r="U271" s="5">
        <f t="shared" si="407"/>
        <v>0</v>
      </c>
      <c r="V271" s="5">
        <f t="shared" si="407"/>
        <v>0</v>
      </c>
      <c r="W271" s="5">
        <f t="shared" si="407"/>
        <v>0</v>
      </c>
      <c r="X271" s="5">
        <f t="shared" si="407"/>
        <v>0</v>
      </c>
      <c r="Y271" s="5">
        <f t="shared" si="407"/>
        <v>0</v>
      </c>
      <c r="Z271" s="5">
        <f t="shared" si="407"/>
        <v>0</v>
      </c>
      <c r="AA271" s="5">
        <f t="shared" si="407"/>
        <v>0</v>
      </c>
      <c r="AB271" s="5">
        <f t="shared" si="407"/>
        <v>0</v>
      </c>
      <c r="AC271" s="56"/>
      <c r="AD271" s="23"/>
    </row>
    <row r="272" spans="1:30" s="14" customFormat="1">
      <c r="A272" s="78" t="s">
        <v>61</v>
      </c>
      <c r="B272" s="26">
        <v>2591027.4139</v>
      </c>
      <c r="C272" s="130">
        <f t="shared" si="347"/>
        <v>215918.95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>
        <v>1</v>
      </c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56"/>
      <c r="AD272" s="23"/>
    </row>
    <row r="273" spans="1:30" s="14" customFormat="1">
      <c r="A273" s="79"/>
      <c r="B273" s="27"/>
      <c r="C273" s="130"/>
      <c r="D273" s="5">
        <f t="shared" ref="D273" si="408">$C272*D272</f>
        <v>0</v>
      </c>
      <c r="E273" s="5">
        <f t="shared" ref="E273" si="409">$C272*E272</f>
        <v>0</v>
      </c>
      <c r="F273" s="5">
        <f t="shared" ref="F273:AB273" si="410">$C272*F272</f>
        <v>0</v>
      </c>
      <c r="G273" s="5">
        <f t="shared" si="410"/>
        <v>0</v>
      </c>
      <c r="H273" s="5">
        <f t="shared" si="410"/>
        <v>0</v>
      </c>
      <c r="I273" s="5">
        <f t="shared" si="410"/>
        <v>0</v>
      </c>
      <c r="J273" s="5">
        <f t="shared" si="410"/>
        <v>0</v>
      </c>
      <c r="K273" s="5">
        <f t="shared" si="410"/>
        <v>0</v>
      </c>
      <c r="L273" s="5">
        <f t="shared" si="410"/>
        <v>0</v>
      </c>
      <c r="M273" s="5">
        <f t="shared" si="410"/>
        <v>0</v>
      </c>
      <c r="N273" s="5">
        <f t="shared" si="410"/>
        <v>215918.95</v>
      </c>
      <c r="O273" s="5">
        <f t="shared" si="410"/>
        <v>0</v>
      </c>
      <c r="P273" s="5">
        <f t="shared" si="410"/>
        <v>0</v>
      </c>
      <c r="Q273" s="5">
        <f t="shared" si="410"/>
        <v>0</v>
      </c>
      <c r="R273" s="5">
        <f t="shared" si="410"/>
        <v>0</v>
      </c>
      <c r="S273" s="5">
        <f t="shared" si="410"/>
        <v>0</v>
      </c>
      <c r="T273" s="5">
        <f t="shared" si="410"/>
        <v>0</v>
      </c>
      <c r="U273" s="5">
        <f t="shared" si="410"/>
        <v>0</v>
      </c>
      <c r="V273" s="5">
        <f t="shared" si="410"/>
        <v>0</v>
      </c>
      <c r="W273" s="5">
        <f t="shared" si="410"/>
        <v>0</v>
      </c>
      <c r="X273" s="5">
        <f t="shared" si="410"/>
        <v>0</v>
      </c>
      <c r="Y273" s="5">
        <f t="shared" si="410"/>
        <v>0</v>
      </c>
      <c r="Z273" s="5">
        <f t="shared" si="410"/>
        <v>0</v>
      </c>
      <c r="AA273" s="5">
        <f t="shared" si="410"/>
        <v>0</v>
      </c>
      <c r="AB273" s="5">
        <f t="shared" si="410"/>
        <v>0</v>
      </c>
      <c r="AC273" s="56"/>
      <c r="AD273" s="23"/>
    </row>
    <row r="274" spans="1:30" s="14" customFormat="1">
      <c r="A274" s="78" t="s">
        <v>62</v>
      </c>
      <c r="B274" s="26">
        <v>661664.43839999998</v>
      </c>
      <c r="C274" s="130">
        <f t="shared" si="347"/>
        <v>55138.7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>
        <v>1</v>
      </c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56"/>
      <c r="AD274" s="23"/>
    </row>
    <row r="275" spans="1:30" s="14" customFormat="1">
      <c r="A275" s="79"/>
      <c r="B275" s="27"/>
      <c r="C275" s="130"/>
      <c r="D275" s="5">
        <f t="shared" ref="D275" si="411">$C274*D274</f>
        <v>0</v>
      </c>
      <c r="E275" s="5">
        <f t="shared" ref="E275" si="412">$C274*E274</f>
        <v>0</v>
      </c>
      <c r="F275" s="5">
        <f t="shared" ref="F275:AB275" si="413">$C274*F274</f>
        <v>0</v>
      </c>
      <c r="G275" s="5">
        <f t="shared" si="413"/>
        <v>0</v>
      </c>
      <c r="H275" s="5">
        <f t="shared" si="413"/>
        <v>0</v>
      </c>
      <c r="I275" s="5">
        <f t="shared" si="413"/>
        <v>0</v>
      </c>
      <c r="J275" s="5">
        <f t="shared" si="413"/>
        <v>0</v>
      </c>
      <c r="K275" s="5">
        <f t="shared" si="413"/>
        <v>0</v>
      </c>
      <c r="L275" s="5">
        <f t="shared" si="413"/>
        <v>0</v>
      </c>
      <c r="M275" s="5">
        <f t="shared" si="413"/>
        <v>0</v>
      </c>
      <c r="N275" s="5">
        <f t="shared" si="413"/>
        <v>55138.7</v>
      </c>
      <c r="O275" s="5">
        <f t="shared" si="413"/>
        <v>0</v>
      </c>
      <c r="P275" s="5">
        <f t="shared" si="413"/>
        <v>0</v>
      </c>
      <c r="Q275" s="5">
        <f t="shared" si="413"/>
        <v>0</v>
      </c>
      <c r="R275" s="5">
        <f t="shared" si="413"/>
        <v>0</v>
      </c>
      <c r="S275" s="5">
        <f t="shared" si="413"/>
        <v>0</v>
      </c>
      <c r="T275" s="5">
        <f t="shared" si="413"/>
        <v>0</v>
      </c>
      <c r="U275" s="5">
        <f t="shared" si="413"/>
        <v>0</v>
      </c>
      <c r="V275" s="5">
        <f t="shared" si="413"/>
        <v>0</v>
      </c>
      <c r="W275" s="5">
        <f t="shared" si="413"/>
        <v>0</v>
      </c>
      <c r="X275" s="5">
        <f t="shared" si="413"/>
        <v>0</v>
      </c>
      <c r="Y275" s="5">
        <f t="shared" si="413"/>
        <v>0</v>
      </c>
      <c r="Z275" s="5">
        <f t="shared" si="413"/>
        <v>0</v>
      </c>
      <c r="AA275" s="5">
        <f t="shared" si="413"/>
        <v>0</v>
      </c>
      <c r="AB275" s="5">
        <f t="shared" si="413"/>
        <v>0</v>
      </c>
      <c r="AC275" s="56"/>
      <c r="AD275" s="23"/>
    </row>
    <row r="276" spans="1:30" s="14" customFormat="1">
      <c r="A276" s="78" t="s">
        <v>63</v>
      </c>
      <c r="B276" s="26">
        <v>334482.54920000001</v>
      </c>
      <c r="C276" s="130">
        <f>ROUND(B276/12,2)</f>
        <v>27873.55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>
        <v>1</v>
      </c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56"/>
      <c r="AD276" s="23"/>
    </row>
    <row r="277" spans="1:30" s="14" customFormat="1">
      <c r="A277" s="79"/>
      <c r="B277" s="27"/>
      <c r="C277" s="130"/>
      <c r="D277" s="5">
        <f t="shared" ref="D277" si="414">$C276*D276</f>
        <v>0</v>
      </c>
      <c r="E277" s="5">
        <f t="shared" ref="E277" si="415">$C276*E276</f>
        <v>0</v>
      </c>
      <c r="F277" s="5">
        <f t="shared" ref="F277:AB277" si="416">$C276*F276</f>
        <v>0</v>
      </c>
      <c r="G277" s="5">
        <f t="shared" si="416"/>
        <v>0</v>
      </c>
      <c r="H277" s="5">
        <f t="shared" si="416"/>
        <v>0</v>
      </c>
      <c r="I277" s="5">
        <f t="shared" si="416"/>
        <v>0</v>
      </c>
      <c r="J277" s="5">
        <f t="shared" si="416"/>
        <v>0</v>
      </c>
      <c r="K277" s="5">
        <f t="shared" si="416"/>
        <v>0</v>
      </c>
      <c r="L277" s="5">
        <f t="shared" si="416"/>
        <v>0</v>
      </c>
      <c r="M277" s="5">
        <f t="shared" si="416"/>
        <v>0</v>
      </c>
      <c r="N277" s="5">
        <f t="shared" si="416"/>
        <v>27873.55</v>
      </c>
      <c r="O277" s="5">
        <f t="shared" si="416"/>
        <v>0</v>
      </c>
      <c r="P277" s="5">
        <f t="shared" si="416"/>
        <v>0</v>
      </c>
      <c r="Q277" s="5">
        <f t="shared" si="416"/>
        <v>0</v>
      </c>
      <c r="R277" s="5">
        <f t="shared" si="416"/>
        <v>0</v>
      </c>
      <c r="S277" s="5">
        <f t="shared" si="416"/>
        <v>0</v>
      </c>
      <c r="T277" s="5">
        <f t="shared" si="416"/>
        <v>0</v>
      </c>
      <c r="U277" s="5">
        <f t="shared" si="416"/>
        <v>0</v>
      </c>
      <c r="V277" s="5">
        <f t="shared" si="416"/>
        <v>0</v>
      </c>
      <c r="W277" s="5">
        <f t="shared" si="416"/>
        <v>0</v>
      </c>
      <c r="X277" s="5">
        <f t="shared" si="416"/>
        <v>0</v>
      </c>
      <c r="Y277" s="5">
        <f t="shared" si="416"/>
        <v>0</v>
      </c>
      <c r="Z277" s="5">
        <f t="shared" si="416"/>
        <v>0</v>
      </c>
      <c r="AA277" s="5">
        <f t="shared" si="416"/>
        <v>0</v>
      </c>
      <c r="AB277" s="5">
        <f t="shared" si="416"/>
        <v>0</v>
      </c>
      <c r="AC277" s="56"/>
      <c r="AD277" s="23"/>
    </row>
    <row r="278" spans="1:30" s="14" customFormat="1">
      <c r="A278" s="78" t="s">
        <v>64</v>
      </c>
      <c r="B278" s="26">
        <f>2293105.1175/2</f>
        <v>1146552.5587500001</v>
      </c>
      <c r="C278" s="130">
        <f t="shared" si="347"/>
        <v>95546.05</v>
      </c>
      <c r="D278" s="35">
        <v>1.6299999999999999E-2</v>
      </c>
      <c r="E278" s="35">
        <v>0.14269999999999999</v>
      </c>
      <c r="F278" s="35">
        <v>5.8900000000000001E-2</v>
      </c>
      <c r="G278" s="35">
        <v>7.6200000000000004E-2</v>
      </c>
      <c r="H278" s="35">
        <v>3.9600000000000003E-2</v>
      </c>
      <c r="I278" s="35">
        <v>0.12470000000000001</v>
      </c>
      <c r="J278" s="35">
        <v>2.0400000000000001E-2</v>
      </c>
      <c r="K278" s="35">
        <v>3.1199999999999999E-2</v>
      </c>
      <c r="L278" s="35">
        <v>1.6199999999999999E-2</v>
      </c>
      <c r="M278" s="35">
        <v>2.53E-2</v>
      </c>
      <c r="N278" s="35">
        <v>0.14849999999999999</v>
      </c>
      <c r="O278" s="35">
        <v>2.2599999999999999E-2</v>
      </c>
      <c r="P278" s="35">
        <v>0</v>
      </c>
      <c r="Q278" s="35">
        <v>3.78E-2</v>
      </c>
      <c r="R278" s="35">
        <v>1.8100000000000002E-2</v>
      </c>
      <c r="S278" s="35">
        <v>4.1000000000000003E-3</v>
      </c>
      <c r="T278" s="35">
        <v>5.04E-2</v>
      </c>
      <c r="U278" s="35">
        <v>1.7500000000000002E-2</v>
      </c>
      <c r="V278" s="35">
        <v>3.6200000000000003E-2</v>
      </c>
      <c r="W278" s="35">
        <v>4.8500000000000001E-2</v>
      </c>
      <c r="X278" s="35">
        <v>6.1600000000000002E-2</v>
      </c>
      <c r="Y278" s="35">
        <v>2.5000000000000001E-3</v>
      </c>
      <c r="Z278" s="4">
        <v>0</v>
      </c>
      <c r="AA278" s="4">
        <v>6.9999999999999999E-4</v>
      </c>
      <c r="AB278" s="4">
        <v>0</v>
      </c>
      <c r="AC278" s="56"/>
      <c r="AD278" s="23"/>
    </row>
    <row r="279" spans="1:30" s="14" customFormat="1">
      <c r="A279" s="79"/>
      <c r="B279" s="27"/>
      <c r="C279" s="130"/>
      <c r="D279" s="5">
        <f t="shared" ref="D279" si="417">$C278*D278</f>
        <v>1557.400615</v>
      </c>
      <c r="E279" s="5">
        <f t="shared" ref="E279" si="418">$C278*E278</f>
        <v>13634.421334999999</v>
      </c>
      <c r="F279" s="5">
        <f t="shared" ref="F279:O279" si="419">$C278*F278</f>
        <v>5627.6623450000006</v>
      </c>
      <c r="G279" s="5">
        <f t="shared" si="419"/>
        <v>7280.609010000001</v>
      </c>
      <c r="H279" s="5">
        <f t="shared" si="419"/>
        <v>3783.6235800000004</v>
      </c>
      <c r="I279" s="5">
        <f t="shared" si="419"/>
        <v>11914.592435</v>
      </c>
      <c r="J279" s="5">
        <f t="shared" si="419"/>
        <v>1949.1394200000002</v>
      </c>
      <c r="K279" s="5">
        <f t="shared" si="419"/>
        <v>2981.03676</v>
      </c>
      <c r="L279" s="5">
        <f t="shared" si="419"/>
        <v>1547.84601</v>
      </c>
      <c r="M279" s="5">
        <f t="shared" si="419"/>
        <v>2417.3150650000002</v>
      </c>
      <c r="N279" s="5">
        <f t="shared" si="419"/>
        <v>14188.588425</v>
      </c>
      <c r="O279" s="5">
        <f t="shared" si="419"/>
        <v>2159.3407299999999</v>
      </c>
      <c r="P279" s="5">
        <f t="shared" ref="P279" si="420">$C278*P278</f>
        <v>0</v>
      </c>
      <c r="Q279" s="5">
        <f t="shared" ref="Q279" si="421">$C278*Q278</f>
        <v>3611.6406900000002</v>
      </c>
      <c r="R279" s="5">
        <f t="shared" ref="R279:AB279" si="422">$C278*R278</f>
        <v>1729.3835050000002</v>
      </c>
      <c r="S279" s="5">
        <f t="shared" si="422"/>
        <v>391.73880500000007</v>
      </c>
      <c r="T279" s="5">
        <f t="shared" si="422"/>
        <v>4815.5209199999999</v>
      </c>
      <c r="U279" s="5">
        <f t="shared" si="422"/>
        <v>1672.0558750000002</v>
      </c>
      <c r="V279" s="5">
        <f t="shared" si="422"/>
        <v>3458.7670100000005</v>
      </c>
      <c r="W279" s="5">
        <f t="shared" si="422"/>
        <v>4633.9834250000004</v>
      </c>
      <c r="X279" s="5">
        <f t="shared" si="422"/>
        <v>5885.6366800000005</v>
      </c>
      <c r="Y279" s="5">
        <f t="shared" si="422"/>
        <v>238.86512500000001</v>
      </c>
      <c r="Z279" s="5">
        <f t="shared" si="422"/>
        <v>0</v>
      </c>
      <c r="AA279" s="5">
        <f t="shared" si="422"/>
        <v>66.882234999999994</v>
      </c>
      <c r="AB279" s="5">
        <f t="shared" si="422"/>
        <v>0</v>
      </c>
      <c r="AC279" s="56"/>
      <c r="AD279" s="23"/>
    </row>
    <row r="280" spans="1:30" s="14" customFormat="1">
      <c r="A280" s="78" t="s">
        <v>406</v>
      </c>
      <c r="B280" s="26">
        <f>2293105.1175/2</f>
        <v>1146552.5587500001</v>
      </c>
      <c r="C280" s="130">
        <f t="shared" si="347"/>
        <v>95546.05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>
        <v>1</v>
      </c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56"/>
      <c r="AD280" s="23"/>
    </row>
    <row r="281" spans="1:30" s="14" customFormat="1">
      <c r="A281" s="79"/>
      <c r="B281" s="9"/>
      <c r="C281" s="130"/>
      <c r="D281" s="5">
        <f t="shared" ref="D281" si="423">$C280*D280</f>
        <v>0</v>
      </c>
      <c r="E281" s="5">
        <f t="shared" ref="E281" si="424">$C280*E280</f>
        <v>0</v>
      </c>
      <c r="F281" s="5">
        <f t="shared" ref="F281:O281" si="425">$C280*F280</f>
        <v>0</v>
      </c>
      <c r="G281" s="5">
        <f t="shared" si="425"/>
        <v>0</v>
      </c>
      <c r="H281" s="5">
        <f t="shared" si="425"/>
        <v>0</v>
      </c>
      <c r="I281" s="5">
        <f t="shared" si="425"/>
        <v>0</v>
      </c>
      <c r="J281" s="5">
        <f t="shared" si="425"/>
        <v>0</v>
      </c>
      <c r="K281" s="5">
        <f t="shared" si="425"/>
        <v>0</v>
      </c>
      <c r="L281" s="5">
        <f t="shared" si="425"/>
        <v>0</v>
      </c>
      <c r="M281" s="5">
        <f t="shared" si="425"/>
        <v>0</v>
      </c>
      <c r="N281" s="5">
        <f t="shared" si="425"/>
        <v>95546.05</v>
      </c>
      <c r="O281" s="5">
        <f t="shared" si="425"/>
        <v>0</v>
      </c>
      <c r="P281" s="5">
        <f t="shared" ref="P281" si="426">$C280*P280</f>
        <v>0</v>
      </c>
      <c r="Q281" s="5">
        <f t="shared" ref="Q281" si="427">$C280*Q280</f>
        <v>0</v>
      </c>
      <c r="R281" s="5">
        <f t="shared" ref="R281:AB281" si="428">$C280*R280</f>
        <v>0</v>
      </c>
      <c r="S281" s="5">
        <f t="shared" si="428"/>
        <v>0</v>
      </c>
      <c r="T281" s="5">
        <f t="shared" si="428"/>
        <v>0</v>
      </c>
      <c r="U281" s="5">
        <f t="shared" si="428"/>
        <v>0</v>
      </c>
      <c r="V281" s="5">
        <f t="shared" si="428"/>
        <v>0</v>
      </c>
      <c r="W281" s="5">
        <f t="shared" si="428"/>
        <v>0</v>
      </c>
      <c r="X281" s="5">
        <f t="shared" si="428"/>
        <v>0</v>
      </c>
      <c r="Y281" s="5">
        <f t="shared" si="428"/>
        <v>0</v>
      </c>
      <c r="Z281" s="5">
        <f t="shared" si="428"/>
        <v>0</v>
      </c>
      <c r="AA281" s="5">
        <f t="shared" si="428"/>
        <v>0</v>
      </c>
      <c r="AB281" s="5">
        <f t="shared" si="428"/>
        <v>0</v>
      </c>
      <c r="AC281" s="56"/>
      <c r="AD281" s="23"/>
    </row>
    <row r="282" spans="1:30" s="14" customFormat="1">
      <c r="A282" s="78" t="s">
        <v>65</v>
      </c>
      <c r="B282" s="26">
        <v>485023.84669999999</v>
      </c>
      <c r="C282" s="130">
        <f t="shared" si="347"/>
        <v>40418.65</v>
      </c>
      <c r="D282" s="4"/>
      <c r="E282" s="4"/>
      <c r="F282" s="4">
        <v>0.33689999999999998</v>
      </c>
      <c r="G282" s="4"/>
      <c r="H282" s="4">
        <v>0.12180000000000001</v>
      </c>
      <c r="I282" s="4"/>
      <c r="J282" s="4"/>
      <c r="K282" s="4"/>
      <c r="L282" s="4"/>
      <c r="M282" s="4"/>
      <c r="N282" s="4">
        <v>0.40079999999999999</v>
      </c>
      <c r="O282" s="4"/>
      <c r="P282" s="4"/>
      <c r="Q282" s="4"/>
      <c r="R282" s="4"/>
      <c r="S282" s="4"/>
      <c r="T282" s="4"/>
      <c r="U282" s="4"/>
      <c r="V282" s="4">
        <v>0.14050000000000001</v>
      </c>
      <c r="W282" s="4"/>
      <c r="X282" s="4"/>
      <c r="Y282" s="4"/>
      <c r="Z282" s="4"/>
      <c r="AA282" s="4"/>
      <c r="AB282" s="4"/>
      <c r="AC282" s="56"/>
      <c r="AD282" s="23"/>
    </row>
    <row r="283" spans="1:30" s="14" customFormat="1">
      <c r="A283" s="79"/>
      <c r="B283" s="27"/>
      <c r="C283" s="130"/>
      <c r="D283" s="5">
        <f t="shared" ref="D283" si="429">$C282*D282</f>
        <v>0</v>
      </c>
      <c r="E283" s="5">
        <f t="shared" ref="E283" si="430">$C282*E282</f>
        <v>0</v>
      </c>
      <c r="F283" s="5">
        <f t="shared" ref="F283:AB283" si="431">$C282*F282</f>
        <v>13617.043185</v>
      </c>
      <c r="G283" s="5">
        <f t="shared" si="431"/>
        <v>0</v>
      </c>
      <c r="H283" s="5">
        <f t="shared" si="431"/>
        <v>4922.9915700000001</v>
      </c>
      <c r="I283" s="5">
        <f t="shared" si="431"/>
        <v>0</v>
      </c>
      <c r="J283" s="5">
        <f t="shared" si="431"/>
        <v>0</v>
      </c>
      <c r="K283" s="5">
        <f t="shared" si="431"/>
        <v>0</v>
      </c>
      <c r="L283" s="5">
        <f t="shared" si="431"/>
        <v>0</v>
      </c>
      <c r="M283" s="5">
        <f t="shared" si="431"/>
        <v>0</v>
      </c>
      <c r="N283" s="5">
        <f t="shared" si="431"/>
        <v>16199.79492</v>
      </c>
      <c r="O283" s="5">
        <f t="shared" si="431"/>
        <v>0</v>
      </c>
      <c r="P283" s="5">
        <f t="shared" si="431"/>
        <v>0</v>
      </c>
      <c r="Q283" s="5">
        <f t="shared" si="431"/>
        <v>0</v>
      </c>
      <c r="R283" s="5">
        <f t="shared" si="431"/>
        <v>0</v>
      </c>
      <c r="S283" s="5">
        <f t="shared" si="431"/>
        <v>0</v>
      </c>
      <c r="T283" s="5">
        <f t="shared" si="431"/>
        <v>0</v>
      </c>
      <c r="U283" s="5">
        <f t="shared" si="431"/>
        <v>0</v>
      </c>
      <c r="V283" s="5">
        <f t="shared" si="431"/>
        <v>5678.8203250000006</v>
      </c>
      <c r="W283" s="5">
        <f t="shared" si="431"/>
        <v>0</v>
      </c>
      <c r="X283" s="5">
        <f t="shared" si="431"/>
        <v>0</v>
      </c>
      <c r="Y283" s="5">
        <f t="shared" si="431"/>
        <v>0</v>
      </c>
      <c r="Z283" s="5">
        <f t="shared" si="431"/>
        <v>0</v>
      </c>
      <c r="AA283" s="5">
        <f t="shared" si="431"/>
        <v>0</v>
      </c>
      <c r="AB283" s="5">
        <f t="shared" si="431"/>
        <v>0</v>
      </c>
      <c r="AC283" s="56"/>
      <c r="AD283" s="23"/>
    </row>
    <row r="284" spans="1:30" s="14" customFormat="1">
      <c r="A284" s="78" t="s">
        <v>66</v>
      </c>
      <c r="B284" s="26">
        <v>2091462.3921999999</v>
      </c>
      <c r="C284" s="130">
        <f>ROUND(B284/12,2)</f>
        <v>174288.53</v>
      </c>
      <c r="D284" s="4">
        <v>7.1000000000000004E-3</v>
      </c>
      <c r="E284" s="4"/>
      <c r="F284" s="4">
        <v>3.3599999999999998E-2</v>
      </c>
      <c r="G284" s="4"/>
      <c r="H284" s="4">
        <v>0.10929999999999999</v>
      </c>
      <c r="I284" s="4"/>
      <c r="J284" s="4"/>
      <c r="K284" s="4"/>
      <c r="L284" s="4"/>
      <c r="M284" s="4">
        <v>1.66E-2</v>
      </c>
      <c r="N284" s="4">
        <v>0.67379999999999995</v>
      </c>
      <c r="O284" s="4"/>
      <c r="P284" s="4"/>
      <c r="Q284" s="4"/>
      <c r="R284" s="4">
        <v>8.8999999999999999E-3</v>
      </c>
      <c r="S284" s="4"/>
      <c r="T284" s="4">
        <v>2.3300000000000001E-2</v>
      </c>
      <c r="U284" s="4"/>
      <c r="V284" s="4">
        <v>0.122</v>
      </c>
      <c r="W284" s="4">
        <v>5.4000000000000003E-3</v>
      </c>
      <c r="X284" s="4"/>
      <c r="Y284" s="4"/>
      <c r="Z284" s="4"/>
      <c r="AA284" s="4"/>
      <c r="AB284" s="4"/>
      <c r="AC284" s="56"/>
      <c r="AD284" s="23"/>
    </row>
    <row r="285" spans="1:30" s="14" customFormat="1">
      <c r="A285" s="79"/>
      <c r="B285" s="27"/>
      <c r="C285" s="130"/>
      <c r="D285" s="5">
        <f t="shared" ref="D285" si="432">$C284*D284</f>
        <v>1237.4485630000001</v>
      </c>
      <c r="E285" s="5">
        <f t="shared" ref="E285" si="433">$C284*E284</f>
        <v>0</v>
      </c>
      <c r="F285" s="5">
        <f t="shared" ref="F285:AB285" si="434">$C284*F284</f>
        <v>5856.0946079999994</v>
      </c>
      <c r="G285" s="5">
        <f t="shared" si="434"/>
        <v>0</v>
      </c>
      <c r="H285" s="5">
        <f t="shared" si="434"/>
        <v>19049.736328999999</v>
      </c>
      <c r="I285" s="5">
        <f t="shared" si="434"/>
        <v>0</v>
      </c>
      <c r="J285" s="5">
        <f t="shared" si="434"/>
        <v>0</v>
      </c>
      <c r="K285" s="5">
        <f t="shared" si="434"/>
        <v>0</v>
      </c>
      <c r="L285" s="5">
        <f t="shared" si="434"/>
        <v>0</v>
      </c>
      <c r="M285" s="5">
        <f t="shared" si="434"/>
        <v>2893.1895979999999</v>
      </c>
      <c r="N285" s="5">
        <f t="shared" si="434"/>
        <v>117435.61151399999</v>
      </c>
      <c r="O285" s="5">
        <f t="shared" si="434"/>
        <v>0</v>
      </c>
      <c r="P285" s="5">
        <f t="shared" si="434"/>
        <v>0</v>
      </c>
      <c r="Q285" s="5">
        <f t="shared" si="434"/>
        <v>0</v>
      </c>
      <c r="R285" s="5">
        <f t="shared" si="434"/>
        <v>1551.167917</v>
      </c>
      <c r="S285" s="5">
        <f t="shared" si="434"/>
        <v>0</v>
      </c>
      <c r="T285" s="5">
        <f t="shared" si="434"/>
        <v>4060.9227490000003</v>
      </c>
      <c r="U285" s="5">
        <f t="shared" si="434"/>
        <v>0</v>
      </c>
      <c r="V285" s="5">
        <f t="shared" si="434"/>
        <v>21263.200659999999</v>
      </c>
      <c r="W285" s="5">
        <f t="shared" si="434"/>
        <v>941.15806200000009</v>
      </c>
      <c r="X285" s="5">
        <f t="shared" si="434"/>
        <v>0</v>
      </c>
      <c r="Y285" s="5">
        <f t="shared" si="434"/>
        <v>0</v>
      </c>
      <c r="Z285" s="5">
        <f t="shared" si="434"/>
        <v>0</v>
      </c>
      <c r="AA285" s="5">
        <f t="shared" si="434"/>
        <v>0</v>
      </c>
      <c r="AB285" s="5">
        <f t="shared" si="434"/>
        <v>0</v>
      </c>
      <c r="AC285" s="56"/>
      <c r="AD285" s="23"/>
    </row>
    <row r="286" spans="1:30" s="14" customFormat="1">
      <c r="A286" s="78" t="s">
        <v>67</v>
      </c>
      <c r="B286" s="26">
        <v>338482.9449</v>
      </c>
      <c r="C286" s="130">
        <f t="shared" si="347"/>
        <v>28206.91</v>
      </c>
      <c r="D286" s="4"/>
      <c r="E286" s="4"/>
      <c r="F286" s="4">
        <v>0.32700000000000001</v>
      </c>
      <c r="G286" s="4"/>
      <c r="H286" s="4">
        <v>7.0099999999999996E-2</v>
      </c>
      <c r="I286" s="4"/>
      <c r="J286" s="4"/>
      <c r="K286" s="4"/>
      <c r="L286" s="4"/>
      <c r="M286" s="4">
        <v>1.7999999999999999E-2</v>
      </c>
      <c r="N286" s="4">
        <v>0.50819999999999999</v>
      </c>
      <c r="O286" s="4"/>
      <c r="P286" s="4"/>
      <c r="Q286" s="4"/>
      <c r="R286" s="4"/>
      <c r="S286" s="4"/>
      <c r="T286" s="4"/>
      <c r="U286" s="4"/>
      <c r="V286" s="4">
        <v>7.6700000000000004E-2</v>
      </c>
      <c r="W286" s="4"/>
      <c r="X286" s="4"/>
      <c r="Y286" s="4"/>
      <c r="Z286" s="4"/>
      <c r="AA286" s="4"/>
      <c r="AB286" s="4"/>
      <c r="AC286" s="56"/>
      <c r="AD286" s="23"/>
    </row>
    <row r="287" spans="1:30" s="14" customFormat="1">
      <c r="A287" s="79"/>
      <c r="B287" s="27"/>
      <c r="C287" s="130"/>
      <c r="D287" s="5">
        <f t="shared" ref="D287" si="435">$C286*D286</f>
        <v>0</v>
      </c>
      <c r="E287" s="5">
        <f t="shared" ref="E287" si="436">$C286*E286</f>
        <v>0</v>
      </c>
      <c r="F287" s="5">
        <f t="shared" ref="F287:AB287" si="437">$C286*F286</f>
        <v>9223.6595699999998</v>
      </c>
      <c r="G287" s="5">
        <f t="shared" si="437"/>
        <v>0</v>
      </c>
      <c r="H287" s="5">
        <f t="shared" si="437"/>
        <v>1977.3043909999999</v>
      </c>
      <c r="I287" s="5">
        <f t="shared" si="437"/>
        <v>0</v>
      </c>
      <c r="J287" s="5">
        <f t="shared" si="437"/>
        <v>0</v>
      </c>
      <c r="K287" s="5">
        <f t="shared" si="437"/>
        <v>0</v>
      </c>
      <c r="L287" s="5">
        <f t="shared" si="437"/>
        <v>0</v>
      </c>
      <c r="M287" s="5">
        <f t="shared" si="437"/>
        <v>507.72437999999994</v>
      </c>
      <c r="N287" s="5">
        <f t="shared" si="437"/>
        <v>14334.751661999999</v>
      </c>
      <c r="O287" s="5">
        <f t="shared" si="437"/>
        <v>0</v>
      </c>
      <c r="P287" s="5">
        <f t="shared" si="437"/>
        <v>0</v>
      </c>
      <c r="Q287" s="5">
        <f t="shared" si="437"/>
        <v>0</v>
      </c>
      <c r="R287" s="5">
        <f t="shared" si="437"/>
        <v>0</v>
      </c>
      <c r="S287" s="5">
        <f t="shared" si="437"/>
        <v>0</v>
      </c>
      <c r="T287" s="5">
        <f t="shared" si="437"/>
        <v>0</v>
      </c>
      <c r="U287" s="5">
        <f t="shared" si="437"/>
        <v>0</v>
      </c>
      <c r="V287" s="5">
        <f t="shared" si="437"/>
        <v>2163.4699970000001</v>
      </c>
      <c r="W287" s="5">
        <f t="shared" si="437"/>
        <v>0</v>
      </c>
      <c r="X287" s="5">
        <f t="shared" si="437"/>
        <v>0</v>
      </c>
      <c r="Y287" s="5">
        <f t="shared" si="437"/>
        <v>0</v>
      </c>
      <c r="Z287" s="5">
        <f t="shared" si="437"/>
        <v>0</v>
      </c>
      <c r="AA287" s="5">
        <f t="shared" si="437"/>
        <v>0</v>
      </c>
      <c r="AB287" s="5">
        <f t="shared" si="437"/>
        <v>0</v>
      </c>
      <c r="AC287" s="56"/>
      <c r="AD287" s="23"/>
    </row>
    <row r="288" spans="1:30" s="14" customFormat="1">
      <c r="A288" s="78" t="s">
        <v>68</v>
      </c>
      <c r="B288" s="26">
        <v>158232.23639999999</v>
      </c>
      <c r="C288" s="130">
        <f>ROUND(B288/12,2)</f>
        <v>13186.02</v>
      </c>
      <c r="D288" s="4"/>
      <c r="E288" s="4"/>
      <c r="F288" s="4">
        <v>3.0999999999999999E-3</v>
      </c>
      <c r="G288" s="4"/>
      <c r="H288" s="4">
        <v>3.0099999999999998E-2</v>
      </c>
      <c r="I288" s="4"/>
      <c r="J288" s="4"/>
      <c r="K288" s="4"/>
      <c r="L288" s="4"/>
      <c r="M288" s="4">
        <v>4.0000000000000002E-4</v>
      </c>
      <c r="N288" s="4">
        <v>0.92749999999999999</v>
      </c>
      <c r="O288" s="4"/>
      <c r="P288" s="4"/>
      <c r="Q288" s="4"/>
      <c r="R288" s="4">
        <v>2.9999999999999997E-4</v>
      </c>
      <c r="S288" s="4"/>
      <c r="T288" s="4"/>
      <c r="U288" s="4"/>
      <c r="V288" s="4">
        <v>3.8600000000000002E-2</v>
      </c>
      <c r="W288" s="4"/>
      <c r="X288" s="4"/>
      <c r="Y288" s="4"/>
      <c r="Z288" s="4"/>
      <c r="AA288" s="4"/>
      <c r="AB288" s="4"/>
      <c r="AC288" s="56"/>
      <c r="AD288" s="23"/>
    </row>
    <row r="289" spans="1:30" s="14" customFormat="1">
      <c r="A289" s="79"/>
      <c r="B289" s="27"/>
      <c r="C289" s="130"/>
      <c r="D289" s="5">
        <f t="shared" ref="D289" si="438">$C288*D288</f>
        <v>0</v>
      </c>
      <c r="E289" s="5">
        <f t="shared" ref="E289" si="439">$C288*E288</f>
        <v>0</v>
      </c>
      <c r="F289" s="5">
        <f t="shared" ref="F289:AB289" si="440">$C288*F288</f>
        <v>40.876662000000003</v>
      </c>
      <c r="G289" s="5">
        <f t="shared" si="440"/>
        <v>0</v>
      </c>
      <c r="H289" s="5">
        <f t="shared" si="440"/>
        <v>396.899202</v>
      </c>
      <c r="I289" s="5">
        <f t="shared" si="440"/>
        <v>0</v>
      </c>
      <c r="J289" s="5">
        <f t="shared" si="440"/>
        <v>0</v>
      </c>
      <c r="K289" s="5">
        <f t="shared" si="440"/>
        <v>0</v>
      </c>
      <c r="L289" s="5">
        <f t="shared" si="440"/>
        <v>0</v>
      </c>
      <c r="M289" s="5">
        <f t="shared" si="440"/>
        <v>5.2744080000000002</v>
      </c>
      <c r="N289" s="5">
        <f t="shared" si="440"/>
        <v>12230.03355</v>
      </c>
      <c r="O289" s="5">
        <f t="shared" si="440"/>
        <v>0</v>
      </c>
      <c r="P289" s="5">
        <f t="shared" si="440"/>
        <v>0</v>
      </c>
      <c r="Q289" s="5">
        <f t="shared" si="440"/>
        <v>0</v>
      </c>
      <c r="R289" s="5">
        <f t="shared" si="440"/>
        <v>3.9558059999999999</v>
      </c>
      <c r="S289" s="5">
        <f t="shared" si="440"/>
        <v>0</v>
      </c>
      <c r="T289" s="5">
        <f t="shared" si="440"/>
        <v>0</v>
      </c>
      <c r="U289" s="5">
        <f t="shared" si="440"/>
        <v>0</v>
      </c>
      <c r="V289" s="5">
        <f t="shared" si="440"/>
        <v>508.98037200000005</v>
      </c>
      <c r="W289" s="5">
        <f t="shared" si="440"/>
        <v>0</v>
      </c>
      <c r="X289" s="5">
        <f t="shared" si="440"/>
        <v>0</v>
      </c>
      <c r="Y289" s="5">
        <f t="shared" si="440"/>
        <v>0</v>
      </c>
      <c r="Z289" s="5">
        <f t="shared" si="440"/>
        <v>0</v>
      </c>
      <c r="AA289" s="5">
        <f t="shared" si="440"/>
        <v>0</v>
      </c>
      <c r="AB289" s="5">
        <f t="shared" si="440"/>
        <v>0</v>
      </c>
      <c r="AC289" s="56"/>
      <c r="AD289" s="23"/>
    </row>
    <row r="290" spans="1:30" s="14" customFormat="1">
      <c r="A290" s="78" t="s">
        <v>69</v>
      </c>
      <c r="B290" s="26">
        <v>1515689.8833999999</v>
      </c>
      <c r="C290" s="130">
        <f>ROUND(B290/12,2)</f>
        <v>126307.49</v>
      </c>
      <c r="D290" s="4"/>
      <c r="E290" s="4"/>
      <c r="F290" s="4">
        <v>3.0999999999999999E-3</v>
      </c>
      <c r="G290" s="4"/>
      <c r="H290" s="4">
        <v>3.0099999999999998E-2</v>
      </c>
      <c r="I290" s="4"/>
      <c r="J290" s="4"/>
      <c r="K290" s="4"/>
      <c r="L290" s="4"/>
      <c r="M290" s="4">
        <v>4.0000000000000002E-4</v>
      </c>
      <c r="N290" s="4">
        <v>0.92749999999999999</v>
      </c>
      <c r="O290" s="4"/>
      <c r="P290" s="4"/>
      <c r="Q290" s="4"/>
      <c r="R290" s="4">
        <v>2.9999999999999997E-4</v>
      </c>
      <c r="S290" s="4"/>
      <c r="T290" s="4"/>
      <c r="U290" s="4"/>
      <c r="V290" s="4">
        <v>3.8600000000000002E-2</v>
      </c>
      <c r="W290" s="4"/>
      <c r="X290" s="4"/>
      <c r="Y290" s="4"/>
      <c r="Z290" s="4"/>
      <c r="AA290" s="4"/>
      <c r="AB290" s="4"/>
      <c r="AC290" s="56"/>
      <c r="AD290" s="23"/>
    </row>
    <row r="291" spans="1:30" s="14" customFormat="1">
      <c r="A291" s="79"/>
      <c r="B291" s="27"/>
      <c r="C291" s="130"/>
      <c r="D291" s="5">
        <f t="shared" ref="D291" si="441">$C290*D290</f>
        <v>0</v>
      </c>
      <c r="E291" s="5">
        <f t="shared" ref="E291" si="442">$C290*E290</f>
        <v>0</v>
      </c>
      <c r="F291" s="5">
        <f>$C290*F290</f>
        <v>391.55321900000001</v>
      </c>
      <c r="G291" s="5">
        <f t="shared" ref="G291:AB291" si="443">$C290*G290</f>
        <v>0</v>
      </c>
      <c r="H291" s="5">
        <f t="shared" si="443"/>
        <v>3801.8554490000001</v>
      </c>
      <c r="I291" s="5">
        <f t="shared" si="443"/>
        <v>0</v>
      </c>
      <c r="J291" s="5">
        <f t="shared" si="443"/>
        <v>0</v>
      </c>
      <c r="K291" s="5">
        <f t="shared" si="443"/>
        <v>0</v>
      </c>
      <c r="L291" s="5">
        <f t="shared" si="443"/>
        <v>0</v>
      </c>
      <c r="M291" s="5">
        <f t="shared" si="443"/>
        <v>50.522996000000006</v>
      </c>
      <c r="N291" s="5">
        <f t="shared" si="443"/>
        <v>117150.196975</v>
      </c>
      <c r="O291" s="5">
        <f t="shared" si="443"/>
        <v>0</v>
      </c>
      <c r="P291" s="5">
        <f t="shared" si="443"/>
        <v>0</v>
      </c>
      <c r="Q291" s="5">
        <f t="shared" si="443"/>
        <v>0</v>
      </c>
      <c r="R291" s="5">
        <f t="shared" si="443"/>
        <v>37.892246999999998</v>
      </c>
      <c r="S291" s="5">
        <f t="shared" si="443"/>
        <v>0</v>
      </c>
      <c r="T291" s="5">
        <f t="shared" si="443"/>
        <v>0</v>
      </c>
      <c r="U291" s="5">
        <f t="shared" si="443"/>
        <v>0</v>
      </c>
      <c r="V291" s="5">
        <f t="shared" si="443"/>
        <v>4875.4691140000004</v>
      </c>
      <c r="W291" s="5">
        <f t="shared" si="443"/>
        <v>0</v>
      </c>
      <c r="X291" s="5">
        <f t="shared" si="443"/>
        <v>0</v>
      </c>
      <c r="Y291" s="5">
        <f t="shared" si="443"/>
        <v>0</v>
      </c>
      <c r="Z291" s="5">
        <f t="shared" si="443"/>
        <v>0</v>
      </c>
      <c r="AA291" s="5">
        <f t="shared" si="443"/>
        <v>0</v>
      </c>
      <c r="AB291" s="5">
        <f t="shared" si="443"/>
        <v>0</v>
      </c>
      <c r="AC291" s="56"/>
      <c r="AD291" s="23"/>
    </row>
    <row r="292" spans="1:30" s="14" customFormat="1">
      <c r="A292" s="78" t="s">
        <v>70</v>
      </c>
      <c r="B292" s="26">
        <v>351836.147</v>
      </c>
      <c r="C292" s="130">
        <f t="shared" si="347"/>
        <v>29319.68</v>
      </c>
      <c r="D292" s="4"/>
      <c r="E292" s="4"/>
      <c r="F292" s="4">
        <v>3.0999999999999999E-3</v>
      </c>
      <c r="G292" s="4"/>
      <c r="H292" s="4">
        <v>3.0099999999999998E-2</v>
      </c>
      <c r="I292" s="4"/>
      <c r="J292" s="4"/>
      <c r="K292" s="4"/>
      <c r="L292" s="4"/>
      <c r="M292" s="4">
        <v>4.0000000000000002E-4</v>
      </c>
      <c r="N292" s="4">
        <v>0.92749999999999999</v>
      </c>
      <c r="O292" s="4"/>
      <c r="P292" s="4"/>
      <c r="Q292" s="4"/>
      <c r="R292" s="4">
        <v>2.9999999999999997E-4</v>
      </c>
      <c r="S292" s="4"/>
      <c r="T292" s="4"/>
      <c r="U292" s="4"/>
      <c r="V292" s="4">
        <v>3.8600000000000002E-2</v>
      </c>
      <c r="W292" s="4"/>
      <c r="X292" s="4"/>
      <c r="Y292" s="4"/>
      <c r="Z292" s="4"/>
      <c r="AA292" s="4"/>
      <c r="AB292" s="4"/>
      <c r="AC292" s="56"/>
      <c r="AD292" s="23"/>
    </row>
    <row r="293" spans="1:30" s="14" customFormat="1">
      <c r="A293" s="79"/>
      <c r="B293" s="27"/>
      <c r="C293" s="130"/>
      <c r="D293" s="5">
        <f t="shared" ref="D293" si="444">$C292*D292</f>
        <v>0</v>
      </c>
      <c r="E293" s="5">
        <f t="shared" ref="E293" si="445">$C292*E292</f>
        <v>0</v>
      </c>
      <c r="F293" s="5">
        <f t="shared" ref="F293:AB293" si="446">$C292*F292</f>
        <v>90.891007999999999</v>
      </c>
      <c r="G293" s="5">
        <f t="shared" si="446"/>
        <v>0</v>
      </c>
      <c r="H293" s="5">
        <f t="shared" si="446"/>
        <v>882.52236799999991</v>
      </c>
      <c r="I293" s="5">
        <f t="shared" si="446"/>
        <v>0</v>
      </c>
      <c r="J293" s="5">
        <f t="shared" si="446"/>
        <v>0</v>
      </c>
      <c r="K293" s="5">
        <f t="shared" si="446"/>
        <v>0</v>
      </c>
      <c r="L293" s="5">
        <f t="shared" si="446"/>
        <v>0</v>
      </c>
      <c r="M293" s="5">
        <f t="shared" si="446"/>
        <v>11.727872000000001</v>
      </c>
      <c r="N293" s="5">
        <f t="shared" si="446"/>
        <v>27194.003199999999</v>
      </c>
      <c r="O293" s="5">
        <f t="shared" si="446"/>
        <v>0</v>
      </c>
      <c r="P293" s="5">
        <f t="shared" si="446"/>
        <v>0</v>
      </c>
      <c r="Q293" s="5">
        <f t="shared" si="446"/>
        <v>0</v>
      </c>
      <c r="R293" s="5">
        <f t="shared" si="446"/>
        <v>8.7959040000000002</v>
      </c>
      <c r="S293" s="5">
        <f t="shared" si="446"/>
        <v>0</v>
      </c>
      <c r="T293" s="5">
        <f t="shared" si="446"/>
        <v>0</v>
      </c>
      <c r="U293" s="5">
        <f t="shared" si="446"/>
        <v>0</v>
      </c>
      <c r="V293" s="5">
        <f t="shared" si="446"/>
        <v>1131.739648</v>
      </c>
      <c r="W293" s="5">
        <f t="shared" si="446"/>
        <v>0</v>
      </c>
      <c r="X293" s="5">
        <f t="shared" si="446"/>
        <v>0</v>
      </c>
      <c r="Y293" s="5">
        <f t="shared" si="446"/>
        <v>0</v>
      </c>
      <c r="Z293" s="5">
        <f t="shared" si="446"/>
        <v>0</v>
      </c>
      <c r="AA293" s="5">
        <f t="shared" si="446"/>
        <v>0</v>
      </c>
      <c r="AB293" s="5">
        <f t="shared" si="446"/>
        <v>0</v>
      </c>
      <c r="AC293" s="56"/>
      <c r="AD293" s="23"/>
    </row>
    <row r="294" spans="1:30" s="14" customFormat="1">
      <c r="A294" s="78" t="s">
        <v>71</v>
      </c>
      <c r="B294" s="26">
        <f>77169.8691/2</f>
        <v>38584.934549999998</v>
      </c>
      <c r="C294" s="130">
        <f t="shared" si="347"/>
        <v>3215.41</v>
      </c>
      <c r="D294" s="35">
        <v>1.6299999999999999E-2</v>
      </c>
      <c r="E294" s="35">
        <v>0.14269999999999999</v>
      </c>
      <c r="F294" s="35">
        <v>5.8900000000000001E-2</v>
      </c>
      <c r="G294" s="35">
        <v>7.6200000000000004E-2</v>
      </c>
      <c r="H294" s="35">
        <v>3.9600000000000003E-2</v>
      </c>
      <c r="I294" s="35">
        <v>0.12470000000000001</v>
      </c>
      <c r="J294" s="35">
        <v>2.0400000000000001E-2</v>
      </c>
      <c r="K294" s="35">
        <v>3.1199999999999999E-2</v>
      </c>
      <c r="L294" s="35">
        <v>1.6199999999999999E-2</v>
      </c>
      <c r="M294" s="35">
        <v>2.53E-2</v>
      </c>
      <c r="N294" s="35">
        <v>0.14849999999999999</v>
      </c>
      <c r="O294" s="35">
        <v>2.2599999999999999E-2</v>
      </c>
      <c r="P294" s="35">
        <v>0</v>
      </c>
      <c r="Q294" s="35">
        <v>3.78E-2</v>
      </c>
      <c r="R294" s="35">
        <v>1.8100000000000002E-2</v>
      </c>
      <c r="S294" s="35">
        <v>4.1000000000000003E-3</v>
      </c>
      <c r="T294" s="35">
        <v>5.04E-2</v>
      </c>
      <c r="U294" s="35">
        <v>1.7500000000000002E-2</v>
      </c>
      <c r="V294" s="35">
        <v>3.6200000000000003E-2</v>
      </c>
      <c r="W294" s="35">
        <v>4.8500000000000001E-2</v>
      </c>
      <c r="X294" s="35">
        <v>6.1600000000000002E-2</v>
      </c>
      <c r="Y294" s="35">
        <v>2.5000000000000001E-3</v>
      </c>
      <c r="Z294" s="4">
        <v>0</v>
      </c>
      <c r="AA294" s="4">
        <v>6.9999999999999999E-4</v>
      </c>
      <c r="AB294" s="4">
        <v>0</v>
      </c>
      <c r="AC294" s="56"/>
      <c r="AD294" s="23"/>
    </row>
    <row r="295" spans="1:30" s="14" customFormat="1">
      <c r="A295" s="79"/>
      <c r="B295" s="27"/>
      <c r="C295" s="130"/>
      <c r="D295" s="5">
        <f t="shared" ref="D295" si="447">$C294*D294</f>
        <v>52.411182999999994</v>
      </c>
      <c r="E295" s="5">
        <f t="shared" ref="E295" si="448">$C294*E294</f>
        <v>458.83900699999998</v>
      </c>
      <c r="F295" s="5">
        <f t="shared" ref="F295:O295" si="449">$C294*F294</f>
        <v>189.38764899999998</v>
      </c>
      <c r="G295" s="5">
        <f t="shared" si="449"/>
        <v>245.014242</v>
      </c>
      <c r="H295" s="5">
        <f t="shared" si="449"/>
        <v>127.330236</v>
      </c>
      <c r="I295" s="5">
        <f t="shared" si="449"/>
        <v>400.96162700000002</v>
      </c>
      <c r="J295" s="5">
        <f t="shared" si="449"/>
        <v>65.594363999999999</v>
      </c>
      <c r="K295" s="5">
        <f t="shared" si="449"/>
        <v>100.320792</v>
      </c>
      <c r="L295" s="5">
        <f t="shared" si="449"/>
        <v>52.089641999999998</v>
      </c>
      <c r="M295" s="5">
        <f t="shared" si="449"/>
        <v>81.349872999999988</v>
      </c>
      <c r="N295" s="5">
        <f t="shared" si="449"/>
        <v>477.48838499999994</v>
      </c>
      <c r="O295" s="5">
        <f t="shared" si="449"/>
        <v>72.668265999999988</v>
      </c>
      <c r="P295" s="5">
        <f t="shared" ref="P295" si="450">$C294*P294</f>
        <v>0</v>
      </c>
      <c r="Q295" s="5">
        <f t="shared" ref="Q295" si="451">$C294*Q294</f>
        <v>121.54249799999999</v>
      </c>
      <c r="R295" s="5">
        <f t="shared" ref="R295:AB295" si="452">$C294*R294</f>
        <v>58.198921000000006</v>
      </c>
      <c r="S295" s="5">
        <f t="shared" si="452"/>
        <v>13.183181000000001</v>
      </c>
      <c r="T295" s="5">
        <f t="shared" si="452"/>
        <v>162.05666399999998</v>
      </c>
      <c r="U295" s="5">
        <f t="shared" si="452"/>
        <v>56.269674999999999</v>
      </c>
      <c r="V295" s="5">
        <f t="shared" si="452"/>
        <v>116.39784200000001</v>
      </c>
      <c r="W295" s="5">
        <f t="shared" si="452"/>
        <v>155.947385</v>
      </c>
      <c r="X295" s="5">
        <f t="shared" si="452"/>
        <v>198.069256</v>
      </c>
      <c r="Y295" s="5">
        <f t="shared" si="452"/>
        <v>8.0385249999999999</v>
      </c>
      <c r="Z295" s="5">
        <f t="shared" si="452"/>
        <v>0</v>
      </c>
      <c r="AA295" s="5">
        <f t="shared" si="452"/>
        <v>2.2507869999999999</v>
      </c>
      <c r="AB295" s="5">
        <f t="shared" si="452"/>
        <v>0</v>
      </c>
      <c r="AC295" s="56"/>
      <c r="AD295" s="23"/>
    </row>
    <row r="296" spans="1:30" s="14" customFormat="1">
      <c r="A296" s="78" t="s">
        <v>407</v>
      </c>
      <c r="B296" s="26">
        <f>77169.8691/2</f>
        <v>38584.934549999998</v>
      </c>
      <c r="C296" s="130">
        <f t="shared" si="347"/>
        <v>3215.41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>
        <v>1</v>
      </c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56"/>
      <c r="AD296" s="23"/>
    </row>
    <row r="297" spans="1:30" s="14" customFormat="1">
      <c r="A297" s="79"/>
      <c r="B297" s="9"/>
      <c r="C297" s="130"/>
      <c r="D297" s="5">
        <f t="shared" ref="D297" si="453">$C296*D296</f>
        <v>0</v>
      </c>
      <c r="E297" s="5">
        <f t="shared" ref="E297" si="454">$C296*E296</f>
        <v>0</v>
      </c>
      <c r="F297" s="5">
        <f t="shared" ref="F297:O297" si="455">$C296*F296</f>
        <v>0</v>
      </c>
      <c r="G297" s="5">
        <f t="shared" si="455"/>
        <v>0</v>
      </c>
      <c r="H297" s="5">
        <f t="shared" si="455"/>
        <v>0</v>
      </c>
      <c r="I297" s="5">
        <f t="shared" si="455"/>
        <v>0</v>
      </c>
      <c r="J297" s="5">
        <f t="shared" si="455"/>
        <v>0</v>
      </c>
      <c r="K297" s="5">
        <f t="shared" si="455"/>
        <v>0</v>
      </c>
      <c r="L297" s="5">
        <f t="shared" si="455"/>
        <v>0</v>
      </c>
      <c r="M297" s="5">
        <f t="shared" si="455"/>
        <v>0</v>
      </c>
      <c r="N297" s="5">
        <f t="shared" si="455"/>
        <v>3215.41</v>
      </c>
      <c r="O297" s="5">
        <f t="shared" si="455"/>
        <v>0</v>
      </c>
      <c r="P297" s="5">
        <f t="shared" ref="P297" si="456">$C296*P296</f>
        <v>0</v>
      </c>
      <c r="Q297" s="5">
        <f t="shared" ref="Q297" si="457">$C296*Q296</f>
        <v>0</v>
      </c>
      <c r="R297" s="5">
        <f t="shared" ref="R297:AB297" si="458">$C296*R296</f>
        <v>0</v>
      </c>
      <c r="S297" s="5">
        <f t="shared" si="458"/>
        <v>0</v>
      </c>
      <c r="T297" s="5">
        <f t="shared" si="458"/>
        <v>0</v>
      </c>
      <c r="U297" s="5">
        <f t="shared" si="458"/>
        <v>0</v>
      </c>
      <c r="V297" s="5">
        <f t="shared" si="458"/>
        <v>0</v>
      </c>
      <c r="W297" s="5">
        <f t="shared" si="458"/>
        <v>0</v>
      </c>
      <c r="X297" s="5">
        <f t="shared" si="458"/>
        <v>0</v>
      </c>
      <c r="Y297" s="5">
        <f t="shared" si="458"/>
        <v>0</v>
      </c>
      <c r="Z297" s="5">
        <f t="shared" si="458"/>
        <v>0</v>
      </c>
      <c r="AA297" s="5">
        <f t="shared" si="458"/>
        <v>0</v>
      </c>
      <c r="AB297" s="5">
        <f t="shared" si="458"/>
        <v>0</v>
      </c>
      <c r="AC297" s="56"/>
      <c r="AD297" s="23"/>
    </row>
    <row r="298" spans="1:30" s="14" customFormat="1">
      <c r="A298" s="78" t="s">
        <v>72</v>
      </c>
      <c r="B298" s="26">
        <v>628258.79240000003</v>
      </c>
      <c r="C298" s="130">
        <f t="shared" si="347"/>
        <v>52354.9</v>
      </c>
      <c r="D298" s="4"/>
      <c r="E298" s="4"/>
      <c r="F298" s="4">
        <v>0.19789999999999999</v>
      </c>
      <c r="G298" s="4"/>
      <c r="H298" s="4"/>
      <c r="I298" s="4"/>
      <c r="J298" s="4"/>
      <c r="K298" s="4"/>
      <c r="L298" s="4"/>
      <c r="M298" s="4"/>
      <c r="N298" s="4">
        <v>0.76180000000000003</v>
      </c>
      <c r="O298" s="4"/>
      <c r="P298" s="4"/>
      <c r="Q298" s="4"/>
      <c r="R298" s="4"/>
      <c r="S298" s="4"/>
      <c r="T298" s="4"/>
      <c r="U298" s="4"/>
      <c r="V298" s="4">
        <v>4.0300000000000002E-2</v>
      </c>
      <c r="W298" s="4"/>
      <c r="X298" s="4"/>
      <c r="Y298" s="4"/>
      <c r="Z298" s="4"/>
      <c r="AA298" s="4"/>
      <c r="AB298" s="4"/>
      <c r="AC298" s="56"/>
      <c r="AD298" s="23"/>
    </row>
    <row r="299" spans="1:30" s="14" customFormat="1">
      <c r="A299" s="79"/>
      <c r="B299" s="27"/>
      <c r="C299" s="130"/>
      <c r="D299" s="5">
        <f t="shared" ref="D299" si="459">$C298*D298</f>
        <v>0</v>
      </c>
      <c r="E299" s="5">
        <f t="shared" ref="E299" si="460">$C298*E298</f>
        <v>0</v>
      </c>
      <c r="F299" s="5">
        <f t="shared" ref="F299:AB299" si="461">$C298*F298</f>
        <v>10361.03471</v>
      </c>
      <c r="G299" s="5">
        <f t="shared" si="461"/>
        <v>0</v>
      </c>
      <c r="H299" s="5">
        <f t="shared" si="461"/>
        <v>0</v>
      </c>
      <c r="I299" s="5">
        <f t="shared" si="461"/>
        <v>0</v>
      </c>
      <c r="J299" s="5">
        <f t="shared" si="461"/>
        <v>0</v>
      </c>
      <c r="K299" s="5">
        <f t="shared" si="461"/>
        <v>0</v>
      </c>
      <c r="L299" s="5">
        <f t="shared" si="461"/>
        <v>0</v>
      </c>
      <c r="M299" s="5">
        <f t="shared" si="461"/>
        <v>0</v>
      </c>
      <c r="N299" s="5">
        <f t="shared" si="461"/>
        <v>39883.962820000001</v>
      </c>
      <c r="O299" s="5">
        <f t="shared" si="461"/>
        <v>0</v>
      </c>
      <c r="P299" s="5">
        <f t="shared" si="461"/>
        <v>0</v>
      </c>
      <c r="Q299" s="5">
        <f t="shared" si="461"/>
        <v>0</v>
      </c>
      <c r="R299" s="5">
        <f t="shared" si="461"/>
        <v>0</v>
      </c>
      <c r="S299" s="5">
        <f t="shared" si="461"/>
        <v>0</v>
      </c>
      <c r="T299" s="5">
        <f t="shared" si="461"/>
        <v>0</v>
      </c>
      <c r="U299" s="5">
        <f t="shared" si="461"/>
        <v>0</v>
      </c>
      <c r="V299" s="5">
        <f t="shared" si="461"/>
        <v>2109.90247</v>
      </c>
      <c r="W299" s="5">
        <f t="shared" si="461"/>
        <v>0</v>
      </c>
      <c r="X299" s="5">
        <f t="shared" si="461"/>
        <v>0</v>
      </c>
      <c r="Y299" s="5">
        <f t="shared" si="461"/>
        <v>0</v>
      </c>
      <c r="Z299" s="5">
        <f t="shared" si="461"/>
        <v>0</v>
      </c>
      <c r="AA299" s="5">
        <f t="shared" si="461"/>
        <v>0</v>
      </c>
      <c r="AB299" s="5">
        <f t="shared" si="461"/>
        <v>0</v>
      </c>
      <c r="AC299" s="56"/>
      <c r="AD299" s="23"/>
    </row>
    <row r="300" spans="1:30" s="14" customFormat="1">
      <c r="A300" s="78" t="s">
        <v>73</v>
      </c>
      <c r="B300" s="26">
        <v>4492825.67</v>
      </c>
      <c r="C300" s="130">
        <f>ROUND(B300/12,2)</f>
        <v>374402.14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>
        <v>1</v>
      </c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56"/>
      <c r="AD300" s="23"/>
    </row>
    <row r="301" spans="1:30" s="14" customFormat="1">
      <c r="A301" s="79"/>
      <c r="B301" s="27"/>
      <c r="C301" s="130"/>
      <c r="D301" s="5">
        <f t="shared" ref="D301" si="462">$C300*D300</f>
        <v>0</v>
      </c>
      <c r="E301" s="5">
        <f t="shared" ref="E301" si="463">$C300*E300</f>
        <v>0</v>
      </c>
      <c r="F301" s="5">
        <f t="shared" ref="F301:AB301" si="464">$C300*F300</f>
        <v>0</v>
      </c>
      <c r="G301" s="5">
        <f t="shared" si="464"/>
        <v>0</v>
      </c>
      <c r="H301" s="5">
        <f t="shared" si="464"/>
        <v>0</v>
      </c>
      <c r="I301" s="5">
        <f t="shared" si="464"/>
        <v>0</v>
      </c>
      <c r="J301" s="5">
        <f t="shared" si="464"/>
        <v>0</v>
      </c>
      <c r="K301" s="5">
        <f t="shared" si="464"/>
        <v>0</v>
      </c>
      <c r="L301" s="5">
        <f t="shared" si="464"/>
        <v>0</v>
      </c>
      <c r="M301" s="5">
        <f t="shared" si="464"/>
        <v>0</v>
      </c>
      <c r="N301" s="5">
        <f t="shared" si="464"/>
        <v>374402.14</v>
      </c>
      <c r="O301" s="5">
        <f t="shared" si="464"/>
        <v>0</v>
      </c>
      <c r="P301" s="5">
        <f t="shared" si="464"/>
        <v>0</v>
      </c>
      <c r="Q301" s="5">
        <f t="shared" si="464"/>
        <v>0</v>
      </c>
      <c r="R301" s="5">
        <f t="shared" si="464"/>
        <v>0</v>
      </c>
      <c r="S301" s="5">
        <f t="shared" si="464"/>
        <v>0</v>
      </c>
      <c r="T301" s="5">
        <f t="shared" si="464"/>
        <v>0</v>
      </c>
      <c r="U301" s="5">
        <f t="shared" si="464"/>
        <v>0</v>
      </c>
      <c r="V301" s="5">
        <f t="shared" si="464"/>
        <v>0</v>
      </c>
      <c r="W301" s="5">
        <f t="shared" si="464"/>
        <v>0</v>
      </c>
      <c r="X301" s="5">
        <f t="shared" si="464"/>
        <v>0</v>
      </c>
      <c r="Y301" s="5">
        <f t="shared" si="464"/>
        <v>0</v>
      </c>
      <c r="Z301" s="5">
        <f t="shared" si="464"/>
        <v>0</v>
      </c>
      <c r="AA301" s="5">
        <f t="shared" si="464"/>
        <v>0</v>
      </c>
      <c r="AB301" s="5">
        <f t="shared" si="464"/>
        <v>0</v>
      </c>
      <c r="AC301" s="56"/>
      <c r="AD301" s="23"/>
    </row>
    <row r="302" spans="1:30" s="14" customFormat="1">
      <c r="A302" s="78" t="s">
        <v>74</v>
      </c>
      <c r="B302" s="26">
        <f>18133022.51/2</f>
        <v>9066511.2550000008</v>
      </c>
      <c r="C302" s="130">
        <f t="shared" si="347"/>
        <v>755542.6</v>
      </c>
      <c r="D302" s="35">
        <v>1.6299999999999999E-2</v>
      </c>
      <c r="E302" s="35">
        <v>0.14269999999999999</v>
      </c>
      <c r="F302" s="35">
        <v>5.8900000000000001E-2</v>
      </c>
      <c r="G302" s="35">
        <v>7.6200000000000004E-2</v>
      </c>
      <c r="H302" s="35">
        <v>3.9600000000000003E-2</v>
      </c>
      <c r="I302" s="35">
        <v>0.12470000000000001</v>
      </c>
      <c r="J302" s="35">
        <v>2.0400000000000001E-2</v>
      </c>
      <c r="K302" s="35">
        <v>3.1199999999999999E-2</v>
      </c>
      <c r="L302" s="35">
        <v>1.6199999999999999E-2</v>
      </c>
      <c r="M302" s="35">
        <v>2.53E-2</v>
      </c>
      <c r="N302" s="35">
        <v>0.14849999999999999</v>
      </c>
      <c r="O302" s="35">
        <v>2.2599999999999999E-2</v>
      </c>
      <c r="P302" s="35">
        <v>0</v>
      </c>
      <c r="Q302" s="35">
        <v>3.78E-2</v>
      </c>
      <c r="R302" s="35">
        <v>1.8100000000000002E-2</v>
      </c>
      <c r="S302" s="35">
        <v>4.1000000000000003E-3</v>
      </c>
      <c r="T302" s="35">
        <v>5.04E-2</v>
      </c>
      <c r="U302" s="35">
        <v>1.7500000000000002E-2</v>
      </c>
      <c r="V302" s="35">
        <v>3.6200000000000003E-2</v>
      </c>
      <c r="W302" s="35">
        <v>4.8500000000000001E-2</v>
      </c>
      <c r="X302" s="35">
        <v>6.1600000000000002E-2</v>
      </c>
      <c r="Y302" s="35">
        <v>2.5000000000000001E-3</v>
      </c>
      <c r="Z302" s="4">
        <v>0</v>
      </c>
      <c r="AA302" s="4">
        <v>6.9999999999999999E-4</v>
      </c>
      <c r="AB302" s="4">
        <v>0</v>
      </c>
      <c r="AC302" s="56"/>
      <c r="AD302" s="23"/>
    </row>
    <row r="303" spans="1:30" s="14" customFormat="1">
      <c r="A303" s="79"/>
      <c r="B303" s="27"/>
      <c r="C303" s="130"/>
      <c r="D303" s="5">
        <f t="shared" ref="D303" si="465">$C302*D302</f>
        <v>12315.344379999999</v>
      </c>
      <c r="E303" s="5">
        <f t="shared" ref="E303" si="466">$C302*E302</f>
        <v>107815.92902</v>
      </c>
      <c r="F303" s="5">
        <f t="shared" ref="F303:O303" si="467">$C302*F302</f>
        <v>44501.459139999999</v>
      </c>
      <c r="G303" s="5">
        <f t="shared" si="467"/>
        <v>57572.346120000002</v>
      </c>
      <c r="H303" s="5">
        <f t="shared" si="467"/>
        <v>29919.486960000002</v>
      </c>
      <c r="I303" s="5">
        <f t="shared" si="467"/>
        <v>94216.162219999998</v>
      </c>
      <c r="J303" s="5">
        <f t="shared" si="467"/>
        <v>15413.06904</v>
      </c>
      <c r="K303" s="5">
        <f t="shared" si="467"/>
        <v>23572.929119999997</v>
      </c>
      <c r="L303" s="5">
        <f t="shared" si="467"/>
        <v>12239.79012</v>
      </c>
      <c r="M303" s="5">
        <f t="shared" si="467"/>
        <v>19115.227779999997</v>
      </c>
      <c r="N303" s="5">
        <f t="shared" si="467"/>
        <v>112198.07609999999</v>
      </c>
      <c r="O303" s="5">
        <f t="shared" si="467"/>
        <v>17075.262759999998</v>
      </c>
      <c r="P303" s="5">
        <f t="shared" ref="P303" si="468">$C302*P302</f>
        <v>0</v>
      </c>
      <c r="Q303" s="5">
        <f t="shared" ref="Q303" si="469">$C302*Q302</f>
        <v>28559.510279999999</v>
      </c>
      <c r="R303" s="5">
        <f t="shared" ref="R303:AB303" si="470">$C302*R302</f>
        <v>13675.32106</v>
      </c>
      <c r="S303" s="5">
        <f t="shared" si="470"/>
        <v>3097.7246600000003</v>
      </c>
      <c r="T303" s="5">
        <f t="shared" si="470"/>
        <v>38079.347040000001</v>
      </c>
      <c r="U303" s="5">
        <f t="shared" si="470"/>
        <v>13221.995500000001</v>
      </c>
      <c r="V303" s="5">
        <f t="shared" si="470"/>
        <v>27350.64212</v>
      </c>
      <c r="W303" s="5">
        <f t="shared" si="470"/>
        <v>36643.816099999996</v>
      </c>
      <c r="X303" s="5">
        <f t="shared" si="470"/>
        <v>46541.424160000002</v>
      </c>
      <c r="Y303" s="5">
        <f t="shared" si="470"/>
        <v>1888.8564999999999</v>
      </c>
      <c r="Z303" s="5">
        <f t="shared" si="470"/>
        <v>0</v>
      </c>
      <c r="AA303" s="5">
        <f t="shared" si="470"/>
        <v>528.87982</v>
      </c>
      <c r="AB303" s="5">
        <f t="shared" si="470"/>
        <v>0</v>
      </c>
      <c r="AC303" s="56"/>
      <c r="AD303" s="23"/>
    </row>
    <row r="304" spans="1:30" s="14" customFormat="1">
      <c r="A304" s="78" t="s">
        <v>408</v>
      </c>
      <c r="B304" s="26">
        <f>18133022.51/2</f>
        <v>9066511.2550000008</v>
      </c>
      <c r="C304" s="130">
        <f t="shared" si="347"/>
        <v>755542.6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>
        <v>1</v>
      </c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56"/>
      <c r="AD304" s="23"/>
    </row>
    <row r="305" spans="1:30" s="14" customFormat="1">
      <c r="A305" s="79"/>
      <c r="B305" s="9"/>
      <c r="C305" s="130"/>
      <c r="D305" s="5">
        <f t="shared" ref="D305" si="471">$C304*D304</f>
        <v>0</v>
      </c>
      <c r="E305" s="5">
        <f t="shared" ref="E305" si="472">$C304*E304</f>
        <v>0</v>
      </c>
      <c r="F305" s="5">
        <f t="shared" ref="F305:O305" si="473">$C304*F304</f>
        <v>0</v>
      </c>
      <c r="G305" s="5">
        <f t="shared" si="473"/>
        <v>0</v>
      </c>
      <c r="H305" s="5">
        <f t="shared" si="473"/>
        <v>0</v>
      </c>
      <c r="I305" s="5">
        <f t="shared" si="473"/>
        <v>0</v>
      </c>
      <c r="J305" s="5">
        <f t="shared" si="473"/>
        <v>0</v>
      </c>
      <c r="K305" s="5">
        <f t="shared" si="473"/>
        <v>0</v>
      </c>
      <c r="L305" s="5">
        <f t="shared" si="473"/>
        <v>0</v>
      </c>
      <c r="M305" s="5">
        <f t="shared" si="473"/>
        <v>0</v>
      </c>
      <c r="N305" s="5">
        <f t="shared" si="473"/>
        <v>755542.6</v>
      </c>
      <c r="O305" s="5">
        <f t="shared" si="473"/>
        <v>0</v>
      </c>
      <c r="P305" s="5">
        <f t="shared" ref="P305" si="474">$C304*P304</f>
        <v>0</v>
      </c>
      <c r="Q305" s="5">
        <f t="shared" ref="Q305" si="475">$C304*Q304</f>
        <v>0</v>
      </c>
      <c r="R305" s="5">
        <f t="shared" ref="R305:AB305" si="476">$C304*R304</f>
        <v>0</v>
      </c>
      <c r="S305" s="5">
        <f t="shared" si="476"/>
        <v>0</v>
      </c>
      <c r="T305" s="5">
        <f t="shared" si="476"/>
        <v>0</v>
      </c>
      <c r="U305" s="5">
        <f t="shared" si="476"/>
        <v>0</v>
      </c>
      <c r="V305" s="5">
        <f t="shared" si="476"/>
        <v>0</v>
      </c>
      <c r="W305" s="5">
        <f t="shared" si="476"/>
        <v>0</v>
      </c>
      <c r="X305" s="5">
        <f t="shared" si="476"/>
        <v>0</v>
      </c>
      <c r="Y305" s="5">
        <f t="shared" si="476"/>
        <v>0</v>
      </c>
      <c r="Z305" s="5">
        <f t="shared" si="476"/>
        <v>0</v>
      </c>
      <c r="AA305" s="5">
        <f t="shared" si="476"/>
        <v>0</v>
      </c>
      <c r="AB305" s="5">
        <f t="shared" si="476"/>
        <v>0</v>
      </c>
      <c r="AC305" s="56"/>
      <c r="AD305" s="23"/>
    </row>
    <row r="306" spans="1:30" s="14" customFormat="1">
      <c r="A306" s="78" t="s">
        <v>75</v>
      </c>
      <c r="B306" s="26">
        <v>574274.78749999998</v>
      </c>
      <c r="C306" s="130">
        <f t="shared" si="347"/>
        <v>47856.23</v>
      </c>
      <c r="D306" s="4">
        <v>1.7500000000000002E-2</v>
      </c>
      <c r="E306" s="4"/>
      <c r="F306" s="4">
        <v>0.19700000000000001</v>
      </c>
      <c r="G306" s="4"/>
      <c r="H306" s="4">
        <v>0.2213</v>
      </c>
      <c r="I306" s="4"/>
      <c r="J306" s="4"/>
      <c r="K306" s="4"/>
      <c r="L306" s="4"/>
      <c r="M306" s="4">
        <v>3.6999999999999998E-2</v>
      </c>
      <c r="N306" s="4"/>
      <c r="O306" s="4"/>
      <c r="P306" s="4"/>
      <c r="Q306" s="4">
        <v>7.1000000000000004E-3</v>
      </c>
      <c r="R306" s="4">
        <v>2.4799999999999999E-2</v>
      </c>
      <c r="S306" s="4">
        <v>5.9999999999999995E-4</v>
      </c>
      <c r="T306" s="4">
        <v>5.5399999999999998E-2</v>
      </c>
      <c r="U306" s="4"/>
      <c r="V306" s="4">
        <v>0.41860000000000003</v>
      </c>
      <c r="W306" s="4">
        <v>2.07E-2</v>
      </c>
      <c r="X306" s="4"/>
      <c r="Y306" s="4"/>
      <c r="Z306" s="4"/>
      <c r="AA306" s="4"/>
      <c r="AB306" s="4"/>
      <c r="AC306" s="56"/>
      <c r="AD306" s="23"/>
    </row>
    <row r="307" spans="1:30" s="14" customFormat="1">
      <c r="A307" s="79"/>
      <c r="B307" s="27"/>
      <c r="C307" s="130"/>
      <c r="D307" s="5">
        <f t="shared" ref="D307" si="477">$C306*D306</f>
        <v>837.48402500000009</v>
      </c>
      <c r="E307" s="5">
        <f t="shared" ref="E307" si="478">$C306*E306</f>
        <v>0</v>
      </c>
      <c r="F307" s="5">
        <f t="shared" ref="F307:AB307" si="479">$C306*F306</f>
        <v>9427.6773100000009</v>
      </c>
      <c r="G307" s="5">
        <f t="shared" si="479"/>
        <v>0</v>
      </c>
      <c r="H307" s="5">
        <f t="shared" si="479"/>
        <v>10590.583699000001</v>
      </c>
      <c r="I307" s="5">
        <f t="shared" si="479"/>
        <v>0</v>
      </c>
      <c r="J307" s="5">
        <f t="shared" si="479"/>
        <v>0</v>
      </c>
      <c r="K307" s="5">
        <f t="shared" si="479"/>
        <v>0</v>
      </c>
      <c r="L307" s="5">
        <f t="shared" si="479"/>
        <v>0</v>
      </c>
      <c r="M307" s="5">
        <f t="shared" si="479"/>
        <v>1770.6805100000001</v>
      </c>
      <c r="N307" s="5">
        <f t="shared" si="479"/>
        <v>0</v>
      </c>
      <c r="O307" s="5">
        <f t="shared" si="479"/>
        <v>0</v>
      </c>
      <c r="P307" s="5">
        <f t="shared" si="479"/>
        <v>0</v>
      </c>
      <c r="Q307" s="5">
        <f t="shared" si="479"/>
        <v>339.77923300000003</v>
      </c>
      <c r="R307" s="5">
        <f t="shared" si="479"/>
        <v>1186.8345039999999</v>
      </c>
      <c r="S307" s="5">
        <f t="shared" si="479"/>
        <v>28.713737999999999</v>
      </c>
      <c r="T307" s="5">
        <f t="shared" si="479"/>
        <v>2651.235142</v>
      </c>
      <c r="U307" s="5">
        <f t="shared" si="479"/>
        <v>0</v>
      </c>
      <c r="V307" s="5">
        <f t="shared" si="479"/>
        <v>20032.617878000001</v>
      </c>
      <c r="W307" s="5">
        <f t="shared" si="479"/>
        <v>990.62396100000001</v>
      </c>
      <c r="X307" s="5">
        <f t="shared" si="479"/>
        <v>0</v>
      </c>
      <c r="Y307" s="5">
        <f t="shared" si="479"/>
        <v>0</v>
      </c>
      <c r="Z307" s="5">
        <f t="shared" si="479"/>
        <v>0</v>
      </c>
      <c r="AA307" s="5">
        <f t="shared" si="479"/>
        <v>0</v>
      </c>
      <c r="AB307" s="5">
        <f t="shared" si="479"/>
        <v>0</v>
      </c>
      <c r="AC307" s="56"/>
      <c r="AD307" s="23"/>
    </row>
    <row r="308" spans="1:30" s="14" customFormat="1">
      <c r="A308" s="78" t="s">
        <v>76</v>
      </c>
      <c r="B308" s="26">
        <f>32831765.3004/2</f>
        <v>16415882.6502</v>
      </c>
      <c r="C308" s="130">
        <f t="shared" si="347"/>
        <v>1367990.22</v>
      </c>
      <c r="D308" s="35">
        <v>1.6299999999999999E-2</v>
      </c>
      <c r="E308" s="35">
        <v>0.14269999999999999</v>
      </c>
      <c r="F308" s="35">
        <v>5.8900000000000001E-2</v>
      </c>
      <c r="G308" s="35">
        <v>7.6200000000000004E-2</v>
      </c>
      <c r="H308" s="35">
        <v>3.9600000000000003E-2</v>
      </c>
      <c r="I308" s="35">
        <v>0.12470000000000001</v>
      </c>
      <c r="J308" s="35">
        <v>2.0400000000000001E-2</v>
      </c>
      <c r="K308" s="35">
        <v>3.1199999999999999E-2</v>
      </c>
      <c r="L308" s="35">
        <v>1.6199999999999999E-2</v>
      </c>
      <c r="M308" s="35">
        <v>2.53E-2</v>
      </c>
      <c r="N308" s="35">
        <v>0.14849999999999999</v>
      </c>
      <c r="O308" s="35">
        <v>2.2599999999999999E-2</v>
      </c>
      <c r="P308" s="35">
        <v>0</v>
      </c>
      <c r="Q308" s="35">
        <v>3.78E-2</v>
      </c>
      <c r="R308" s="35">
        <v>1.8100000000000002E-2</v>
      </c>
      <c r="S308" s="35">
        <v>4.1000000000000003E-3</v>
      </c>
      <c r="T308" s="35">
        <v>5.04E-2</v>
      </c>
      <c r="U308" s="35">
        <v>1.7500000000000002E-2</v>
      </c>
      <c r="V308" s="35">
        <v>3.6200000000000003E-2</v>
      </c>
      <c r="W308" s="35">
        <v>4.8500000000000001E-2</v>
      </c>
      <c r="X308" s="35">
        <v>6.1600000000000002E-2</v>
      </c>
      <c r="Y308" s="35">
        <v>2.5000000000000001E-3</v>
      </c>
      <c r="Z308" s="4">
        <v>0</v>
      </c>
      <c r="AA308" s="4">
        <v>6.9999999999999999E-4</v>
      </c>
      <c r="AB308" s="4">
        <v>0</v>
      </c>
      <c r="AC308" s="56"/>
      <c r="AD308" s="23"/>
    </row>
    <row r="309" spans="1:30" s="14" customFormat="1">
      <c r="A309" s="79"/>
      <c r="B309" s="27"/>
      <c r="C309" s="130"/>
      <c r="D309" s="5">
        <f t="shared" ref="D309" si="480">$C308*D308</f>
        <v>22298.240585999996</v>
      </c>
      <c r="E309" s="5">
        <f t="shared" ref="E309" si="481">$C308*E308</f>
        <v>195212.204394</v>
      </c>
      <c r="F309" s="5">
        <f t="shared" ref="F309:O309" si="482">$C308*F308</f>
        <v>80574.623957999996</v>
      </c>
      <c r="G309" s="5">
        <f t="shared" si="482"/>
        <v>104240.854764</v>
      </c>
      <c r="H309" s="5">
        <f t="shared" si="482"/>
        <v>54172.412712000005</v>
      </c>
      <c r="I309" s="5">
        <f t="shared" si="482"/>
        <v>170588.38043399999</v>
      </c>
      <c r="J309" s="5">
        <f t="shared" si="482"/>
        <v>27907.000488000001</v>
      </c>
      <c r="K309" s="5">
        <f t="shared" si="482"/>
        <v>42681.294863999996</v>
      </c>
      <c r="L309" s="5">
        <f t="shared" si="482"/>
        <v>22161.441563999997</v>
      </c>
      <c r="M309" s="5">
        <f t="shared" si="482"/>
        <v>34610.152565999997</v>
      </c>
      <c r="N309" s="5">
        <f t="shared" si="482"/>
        <v>203146.54767</v>
      </c>
      <c r="O309" s="5">
        <f t="shared" si="482"/>
        <v>30916.578971999996</v>
      </c>
      <c r="P309" s="5">
        <f t="shared" ref="P309" si="483">$C308*P308</f>
        <v>0</v>
      </c>
      <c r="Q309" s="5">
        <f t="shared" ref="Q309" si="484">$C308*Q308</f>
        <v>51710.030315999997</v>
      </c>
      <c r="R309" s="5">
        <f t="shared" ref="R309:AB309" si="485">$C308*R308</f>
        <v>24760.622982000001</v>
      </c>
      <c r="S309" s="5">
        <f t="shared" si="485"/>
        <v>5608.7599020000007</v>
      </c>
      <c r="T309" s="5">
        <f t="shared" si="485"/>
        <v>68946.707087999996</v>
      </c>
      <c r="U309" s="5">
        <f t="shared" si="485"/>
        <v>23939.828850000002</v>
      </c>
      <c r="V309" s="5">
        <f t="shared" si="485"/>
        <v>49521.245964000002</v>
      </c>
      <c r="W309" s="5">
        <f t="shared" si="485"/>
        <v>66347.525670000003</v>
      </c>
      <c r="X309" s="5">
        <f t="shared" si="485"/>
        <v>84268.197551999998</v>
      </c>
      <c r="Y309" s="5">
        <f t="shared" si="485"/>
        <v>3419.9755500000001</v>
      </c>
      <c r="Z309" s="5">
        <f t="shared" si="485"/>
        <v>0</v>
      </c>
      <c r="AA309" s="5">
        <f t="shared" si="485"/>
        <v>957.59315400000003</v>
      </c>
      <c r="AB309" s="5">
        <f t="shared" si="485"/>
        <v>0</v>
      </c>
      <c r="AC309" s="56"/>
      <c r="AD309" s="23"/>
    </row>
    <row r="310" spans="1:30" s="14" customFormat="1">
      <c r="A310" s="78" t="s">
        <v>409</v>
      </c>
      <c r="B310" s="26">
        <f>32831765.3004/2</f>
        <v>16415882.6502</v>
      </c>
      <c r="C310" s="130">
        <f t="shared" si="347"/>
        <v>1367990.22</v>
      </c>
      <c r="D310" s="4"/>
      <c r="E310" s="4"/>
      <c r="F310" s="4">
        <v>0.159</v>
      </c>
      <c r="G310" s="4"/>
      <c r="H310" s="4">
        <v>8.5099999999999995E-2</v>
      </c>
      <c r="I310" s="4"/>
      <c r="J310" s="4"/>
      <c r="K310" s="4"/>
      <c r="L310" s="4"/>
      <c r="M310" s="4">
        <v>0</v>
      </c>
      <c r="N310" s="4">
        <v>0.67910000000000004</v>
      </c>
      <c r="O310" s="4"/>
      <c r="P310" s="4"/>
      <c r="Q310" s="4"/>
      <c r="R310" s="4"/>
      <c r="S310" s="4"/>
      <c r="T310" s="4"/>
      <c r="U310" s="4"/>
      <c r="V310" s="4">
        <v>7.6799999999999993E-2</v>
      </c>
      <c r="W310" s="4"/>
      <c r="X310" s="4"/>
      <c r="Y310" s="4"/>
      <c r="Z310" s="4"/>
      <c r="AA310" s="4"/>
      <c r="AB310" s="4"/>
      <c r="AC310" s="56"/>
      <c r="AD310" s="23"/>
    </row>
    <row r="311" spans="1:30" s="14" customFormat="1">
      <c r="A311" s="79"/>
      <c r="B311" s="9"/>
      <c r="C311" s="130"/>
      <c r="D311" s="5">
        <f t="shared" ref="D311" si="486">$C310*D310</f>
        <v>0</v>
      </c>
      <c r="E311" s="5">
        <f t="shared" ref="E311" si="487">$C310*E310</f>
        <v>0</v>
      </c>
      <c r="F311" s="5">
        <f t="shared" ref="F311:O311" si="488">$C310*F310</f>
        <v>217510.44498</v>
      </c>
      <c r="G311" s="5">
        <f t="shared" si="488"/>
        <v>0</v>
      </c>
      <c r="H311" s="5">
        <f t="shared" si="488"/>
        <v>116415.96772199999</v>
      </c>
      <c r="I311" s="5">
        <f t="shared" si="488"/>
        <v>0</v>
      </c>
      <c r="J311" s="5">
        <f t="shared" si="488"/>
        <v>0</v>
      </c>
      <c r="K311" s="5">
        <f t="shared" si="488"/>
        <v>0</v>
      </c>
      <c r="L311" s="5">
        <f t="shared" si="488"/>
        <v>0</v>
      </c>
      <c r="M311" s="5">
        <f t="shared" si="488"/>
        <v>0</v>
      </c>
      <c r="N311" s="5">
        <f t="shared" si="488"/>
        <v>929002.15840200009</v>
      </c>
      <c r="O311" s="5">
        <f t="shared" si="488"/>
        <v>0</v>
      </c>
      <c r="P311" s="5">
        <f t="shared" ref="P311" si="489">$C310*P310</f>
        <v>0</v>
      </c>
      <c r="Q311" s="5">
        <f t="shared" ref="Q311" si="490">$C310*Q310</f>
        <v>0</v>
      </c>
      <c r="R311" s="5">
        <f t="shared" ref="R311:AB311" si="491">$C310*R310</f>
        <v>0</v>
      </c>
      <c r="S311" s="5">
        <f t="shared" si="491"/>
        <v>0</v>
      </c>
      <c r="T311" s="5">
        <f t="shared" si="491"/>
        <v>0</v>
      </c>
      <c r="U311" s="5">
        <f t="shared" si="491"/>
        <v>0</v>
      </c>
      <c r="V311" s="5">
        <f t="shared" si="491"/>
        <v>105061.64889599998</v>
      </c>
      <c r="W311" s="5">
        <f t="shared" si="491"/>
        <v>0</v>
      </c>
      <c r="X311" s="5">
        <f t="shared" si="491"/>
        <v>0</v>
      </c>
      <c r="Y311" s="5">
        <f t="shared" si="491"/>
        <v>0</v>
      </c>
      <c r="Z311" s="5">
        <f t="shared" si="491"/>
        <v>0</v>
      </c>
      <c r="AA311" s="5">
        <f t="shared" si="491"/>
        <v>0</v>
      </c>
      <c r="AB311" s="5">
        <f t="shared" si="491"/>
        <v>0</v>
      </c>
      <c r="AC311" s="56"/>
      <c r="AD311" s="23"/>
    </row>
    <row r="312" spans="1:30" s="14" customFormat="1">
      <c r="A312" s="78" t="s">
        <v>77</v>
      </c>
      <c r="B312" s="26">
        <f>11433.3837/2</f>
        <v>5716.6918500000002</v>
      </c>
      <c r="C312" s="130">
        <f t="shared" si="347"/>
        <v>476.39</v>
      </c>
      <c r="D312" s="35">
        <v>1.6299999999999999E-2</v>
      </c>
      <c r="E312" s="35">
        <v>0.14269999999999999</v>
      </c>
      <c r="F312" s="35">
        <v>5.8900000000000001E-2</v>
      </c>
      <c r="G312" s="35">
        <v>7.6200000000000004E-2</v>
      </c>
      <c r="H312" s="35">
        <v>3.9600000000000003E-2</v>
      </c>
      <c r="I312" s="35">
        <v>0.12470000000000001</v>
      </c>
      <c r="J312" s="35">
        <v>2.0400000000000001E-2</v>
      </c>
      <c r="K312" s="35">
        <v>3.1199999999999999E-2</v>
      </c>
      <c r="L312" s="35">
        <v>1.6199999999999999E-2</v>
      </c>
      <c r="M312" s="35">
        <v>2.53E-2</v>
      </c>
      <c r="N312" s="35">
        <v>0.14849999999999999</v>
      </c>
      <c r="O312" s="35">
        <v>2.2599999999999999E-2</v>
      </c>
      <c r="P312" s="35">
        <v>0</v>
      </c>
      <c r="Q312" s="35">
        <v>3.78E-2</v>
      </c>
      <c r="R312" s="35">
        <v>1.8100000000000002E-2</v>
      </c>
      <c r="S312" s="35">
        <v>4.1000000000000003E-3</v>
      </c>
      <c r="T312" s="35">
        <v>5.04E-2</v>
      </c>
      <c r="U312" s="35">
        <v>1.7500000000000002E-2</v>
      </c>
      <c r="V312" s="35">
        <v>3.6200000000000003E-2</v>
      </c>
      <c r="W312" s="35">
        <v>4.8500000000000001E-2</v>
      </c>
      <c r="X312" s="35">
        <v>6.1600000000000002E-2</v>
      </c>
      <c r="Y312" s="35">
        <v>2.5000000000000001E-3</v>
      </c>
      <c r="Z312" s="4">
        <v>0</v>
      </c>
      <c r="AA312" s="4">
        <v>6.9999999999999999E-4</v>
      </c>
      <c r="AB312" s="4">
        <v>0</v>
      </c>
      <c r="AC312" s="56"/>
      <c r="AD312" s="23"/>
    </row>
    <row r="313" spans="1:30" s="14" customFormat="1">
      <c r="A313" s="79"/>
      <c r="B313" s="27"/>
      <c r="C313" s="130"/>
      <c r="D313" s="5">
        <f t="shared" ref="D313" si="492">$C312*D312</f>
        <v>7.7651569999999994</v>
      </c>
      <c r="E313" s="5">
        <f t="shared" ref="E313" si="493">$C312*E312</f>
        <v>67.980852999999996</v>
      </c>
      <c r="F313" s="5">
        <f t="shared" ref="F313:O313" si="494">$C312*F312</f>
        <v>28.059370999999999</v>
      </c>
      <c r="G313" s="5">
        <f t="shared" si="494"/>
        <v>36.300918000000003</v>
      </c>
      <c r="H313" s="5">
        <f t="shared" si="494"/>
        <v>18.865044000000001</v>
      </c>
      <c r="I313" s="5">
        <f t="shared" si="494"/>
        <v>59.405833000000001</v>
      </c>
      <c r="J313" s="5">
        <f t="shared" si="494"/>
        <v>9.718356</v>
      </c>
      <c r="K313" s="5">
        <f t="shared" si="494"/>
        <v>14.863367999999999</v>
      </c>
      <c r="L313" s="5">
        <f t="shared" si="494"/>
        <v>7.7175179999999992</v>
      </c>
      <c r="M313" s="5">
        <f t="shared" si="494"/>
        <v>12.052667</v>
      </c>
      <c r="N313" s="5">
        <f t="shared" si="494"/>
        <v>70.743915000000001</v>
      </c>
      <c r="O313" s="5">
        <f t="shared" si="494"/>
        <v>10.766413999999999</v>
      </c>
      <c r="P313" s="5">
        <f t="shared" ref="P313" si="495">$C312*P312</f>
        <v>0</v>
      </c>
      <c r="Q313" s="5">
        <f t="shared" ref="Q313" si="496">$C312*Q312</f>
        <v>18.007542000000001</v>
      </c>
      <c r="R313" s="5">
        <f t="shared" ref="R313:AB313" si="497">$C312*R312</f>
        <v>8.6226590000000005</v>
      </c>
      <c r="S313" s="5">
        <f t="shared" si="497"/>
        <v>1.9531990000000001</v>
      </c>
      <c r="T313" s="5">
        <f t="shared" si="497"/>
        <v>24.010055999999999</v>
      </c>
      <c r="U313" s="5">
        <f t="shared" si="497"/>
        <v>8.336825000000001</v>
      </c>
      <c r="V313" s="5">
        <f t="shared" si="497"/>
        <v>17.245318000000001</v>
      </c>
      <c r="W313" s="5">
        <f t="shared" si="497"/>
        <v>23.104914999999998</v>
      </c>
      <c r="X313" s="5">
        <f t="shared" si="497"/>
        <v>29.345624000000001</v>
      </c>
      <c r="Y313" s="5">
        <f t="shared" si="497"/>
        <v>1.1909749999999999</v>
      </c>
      <c r="Z313" s="5">
        <f t="shared" si="497"/>
        <v>0</v>
      </c>
      <c r="AA313" s="5">
        <f t="shared" si="497"/>
        <v>0.33347299999999996</v>
      </c>
      <c r="AB313" s="5">
        <f t="shared" si="497"/>
        <v>0</v>
      </c>
      <c r="AC313" s="56"/>
      <c r="AD313" s="23"/>
    </row>
    <row r="314" spans="1:30" s="14" customFormat="1">
      <c r="A314" s="78" t="s">
        <v>410</v>
      </c>
      <c r="B314" s="26">
        <f>11433.3837/2</f>
        <v>5716.6918500000002</v>
      </c>
      <c r="C314" s="130">
        <f t="shared" ref="C314:C376" si="498">ROUND(B314/12,2)</f>
        <v>476.39</v>
      </c>
      <c r="D314" s="4"/>
      <c r="E314" s="4"/>
      <c r="F314" s="4"/>
      <c r="G314" s="4"/>
      <c r="H314" s="4">
        <v>0</v>
      </c>
      <c r="I314" s="4"/>
      <c r="J314" s="4"/>
      <c r="K314" s="4"/>
      <c r="L314" s="4"/>
      <c r="M314" s="4"/>
      <c r="N314" s="4">
        <v>1</v>
      </c>
      <c r="O314" s="4">
        <v>0</v>
      </c>
      <c r="P314" s="4"/>
      <c r="Q314" s="4"/>
      <c r="R314" s="4"/>
      <c r="S314" s="4"/>
      <c r="T314" s="4"/>
      <c r="U314" s="4"/>
      <c r="V314" s="4">
        <v>0</v>
      </c>
      <c r="W314" s="4"/>
      <c r="X314" s="4"/>
      <c r="Y314" s="4"/>
      <c r="Z314" s="4"/>
      <c r="AA314" s="4"/>
      <c r="AB314" s="4"/>
      <c r="AC314" s="56"/>
      <c r="AD314" s="23"/>
    </row>
    <row r="315" spans="1:30" s="14" customFormat="1">
      <c r="A315" s="79"/>
      <c r="B315" s="9"/>
      <c r="C315" s="130"/>
      <c r="D315" s="5">
        <f t="shared" ref="D315" si="499">$C314*D314</f>
        <v>0</v>
      </c>
      <c r="E315" s="5">
        <f t="shared" ref="E315" si="500">$C314*E314</f>
        <v>0</v>
      </c>
      <c r="F315" s="5">
        <f t="shared" ref="F315:O315" si="501">$C314*F314</f>
        <v>0</v>
      </c>
      <c r="G315" s="5">
        <f t="shared" si="501"/>
        <v>0</v>
      </c>
      <c r="H315" s="5">
        <f t="shared" si="501"/>
        <v>0</v>
      </c>
      <c r="I315" s="5">
        <f t="shared" si="501"/>
        <v>0</v>
      </c>
      <c r="J315" s="5">
        <f t="shared" si="501"/>
        <v>0</v>
      </c>
      <c r="K315" s="5">
        <f t="shared" si="501"/>
        <v>0</v>
      </c>
      <c r="L315" s="5">
        <f t="shared" si="501"/>
        <v>0</v>
      </c>
      <c r="M315" s="5">
        <f t="shared" si="501"/>
        <v>0</v>
      </c>
      <c r="N315" s="5">
        <f t="shared" si="501"/>
        <v>476.39</v>
      </c>
      <c r="O315" s="5">
        <f t="shared" si="501"/>
        <v>0</v>
      </c>
      <c r="P315" s="5">
        <f t="shared" ref="P315" si="502">$C314*P314</f>
        <v>0</v>
      </c>
      <c r="Q315" s="5">
        <f t="shared" ref="Q315" si="503">$C314*Q314</f>
        <v>0</v>
      </c>
      <c r="R315" s="5">
        <f t="shared" ref="R315:AB315" si="504">$C314*R314</f>
        <v>0</v>
      </c>
      <c r="S315" s="5">
        <f t="shared" si="504"/>
        <v>0</v>
      </c>
      <c r="T315" s="5">
        <f t="shared" si="504"/>
        <v>0</v>
      </c>
      <c r="U315" s="5">
        <f t="shared" si="504"/>
        <v>0</v>
      </c>
      <c r="V315" s="5">
        <f t="shared" si="504"/>
        <v>0</v>
      </c>
      <c r="W315" s="5">
        <f t="shared" si="504"/>
        <v>0</v>
      </c>
      <c r="X315" s="5">
        <f t="shared" si="504"/>
        <v>0</v>
      </c>
      <c r="Y315" s="5">
        <f t="shared" si="504"/>
        <v>0</v>
      </c>
      <c r="Z315" s="5">
        <f t="shared" si="504"/>
        <v>0</v>
      </c>
      <c r="AA315" s="5">
        <f t="shared" si="504"/>
        <v>0</v>
      </c>
      <c r="AB315" s="5">
        <f t="shared" si="504"/>
        <v>0</v>
      </c>
      <c r="AC315" s="56"/>
      <c r="AD315" s="23"/>
    </row>
    <row r="316" spans="1:30" s="14" customFormat="1">
      <c r="A316" s="78" t="s">
        <v>78</v>
      </c>
      <c r="B316" s="26">
        <f>7926.5221/2</f>
        <v>3963.2610500000001</v>
      </c>
      <c r="C316" s="130">
        <f t="shared" si="498"/>
        <v>330.27</v>
      </c>
      <c r="D316" s="35">
        <v>1.6299999999999999E-2</v>
      </c>
      <c r="E316" s="35">
        <v>0.14269999999999999</v>
      </c>
      <c r="F316" s="35">
        <v>5.8900000000000001E-2</v>
      </c>
      <c r="G316" s="35">
        <v>7.6200000000000004E-2</v>
      </c>
      <c r="H316" s="35">
        <v>3.9600000000000003E-2</v>
      </c>
      <c r="I316" s="35">
        <v>0.12470000000000001</v>
      </c>
      <c r="J316" s="35">
        <v>2.0400000000000001E-2</v>
      </c>
      <c r="K316" s="35">
        <v>3.1199999999999999E-2</v>
      </c>
      <c r="L316" s="35">
        <v>1.6199999999999999E-2</v>
      </c>
      <c r="M316" s="35">
        <v>2.53E-2</v>
      </c>
      <c r="N316" s="35">
        <v>0.14849999999999999</v>
      </c>
      <c r="O316" s="35">
        <v>2.2599999999999999E-2</v>
      </c>
      <c r="P316" s="35">
        <v>0</v>
      </c>
      <c r="Q316" s="35">
        <v>3.78E-2</v>
      </c>
      <c r="R316" s="35">
        <v>1.8100000000000002E-2</v>
      </c>
      <c r="S316" s="35">
        <v>4.1000000000000003E-3</v>
      </c>
      <c r="T316" s="35">
        <v>5.04E-2</v>
      </c>
      <c r="U316" s="35">
        <v>1.7500000000000002E-2</v>
      </c>
      <c r="V316" s="35">
        <v>3.6200000000000003E-2</v>
      </c>
      <c r="W316" s="35">
        <v>4.8500000000000001E-2</v>
      </c>
      <c r="X316" s="35">
        <v>6.1600000000000002E-2</v>
      </c>
      <c r="Y316" s="35">
        <v>2.5000000000000001E-3</v>
      </c>
      <c r="Z316" s="4">
        <v>0</v>
      </c>
      <c r="AA316" s="4">
        <v>6.9999999999999999E-4</v>
      </c>
      <c r="AB316" s="4">
        <v>0</v>
      </c>
      <c r="AC316" s="56"/>
      <c r="AD316" s="23"/>
    </row>
    <row r="317" spans="1:30" s="14" customFormat="1">
      <c r="A317" s="79"/>
      <c r="B317" s="27"/>
      <c r="C317" s="130"/>
      <c r="D317" s="5">
        <f t="shared" ref="D317" si="505">$C316*D316</f>
        <v>5.3834009999999992</v>
      </c>
      <c r="E317" s="5">
        <f t="shared" ref="E317" si="506">$C316*E316</f>
        <v>47.129528999999998</v>
      </c>
      <c r="F317" s="5">
        <f t="shared" ref="F317:O317" si="507">$C316*F316</f>
        <v>19.452902999999999</v>
      </c>
      <c r="G317" s="5">
        <f t="shared" si="507"/>
        <v>25.166574000000001</v>
      </c>
      <c r="H317" s="5">
        <f t="shared" si="507"/>
        <v>13.078692</v>
      </c>
      <c r="I317" s="5">
        <f t="shared" si="507"/>
        <v>41.184669</v>
      </c>
      <c r="J317" s="5">
        <f t="shared" si="507"/>
        <v>6.7375080000000001</v>
      </c>
      <c r="K317" s="5">
        <f t="shared" si="507"/>
        <v>10.304423999999999</v>
      </c>
      <c r="L317" s="5">
        <f t="shared" si="507"/>
        <v>5.3503739999999995</v>
      </c>
      <c r="M317" s="5">
        <f t="shared" si="507"/>
        <v>8.3558310000000002</v>
      </c>
      <c r="N317" s="5">
        <f t="shared" si="507"/>
        <v>49.045094999999996</v>
      </c>
      <c r="O317" s="5">
        <f t="shared" si="507"/>
        <v>7.4641019999999987</v>
      </c>
      <c r="P317" s="5">
        <f t="shared" ref="P317" si="508">$C316*P316</f>
        <v>0</v>
      </c>
      <c r="Q317" s="5">
        <f t="shared" ref="Q317" si="509">$C316*Q316</f>
        <v>12.484205999999999</v>
      </c>
      <c r="R317" s="5">
        <f t="shared" ref="R317:AB317" si="510">$C316*R316</f>
        <v>5.977887</v>
      </c>
      <c r="S317" s="5">
        <f t="shared" si="510"/>
        <v>1.3541069999999999</v>
      </c>
      <c r="T317" s="5">
        <f t="shared" si="510"/>
        <v>16.645607999999999</v>
      </c>
      <c r="U317" s="5">
        <f t="shared" si="510"/>
        <v>5.779725</v>
      </c>
      <c r="V317" s="5">
        <f t="shared" si="510"/>
        <v>11.955774</v>
      </c>
      <c r="W317" s="5">
        <f t="shared" si="510"/>
        <v>16.018094999999999</v>
      </c>
      <c r="X317" s="5">
        <f t="shared" si="510"/>
        <v>20.344632000000001</v>
      </c>
      <c r="Y317" s="5">
        <f t="shared" si="510"/>
        <v>0.82567499999999994</v>
      </c>
      <c r="Z317" s="5">
        <f t="shared" si="510"/>
        <v>0</v>
      </c>
      <c r="AA317" s="5">
        <f t="shared" si="510"/>
        <v>0.23118899999999998</v>
      </c>
      <c r="AB317" s="5">
        <f t="shared" si="510"/>
        <v>0</v>
      </c>
      <c r="AC317" s="56"/>
      <c r="AD317" s="23"/>
    </row>
    <row r="318" spans="1:30" s="14" customFormat="1">
      <c r="A318" s="78" t="s">
        <v>411</v>
      </c>
      <c r="B318" s="26">
        <f>7926.5221/2</f>
        <v>3963.2610500000001</v>
      </c>
      <c r="C318" s="130">
        <f t="shared" si="498"/>
        <v>330.27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>
        <v>1</v>
      </c>
      <c r="O318" s="4"/>
      <c r="P318" s="4"/>
      <c r="Q318" s="4"/>
      <c r="R318" s="4"/>
      <c r="S318" s="4"/>
      <c r="T318" s="4"/>
      <c r="U318" s="4"/>
      <c r="V318" s="4">
        <v>0</v>
      </c>
      <c r="W318" s="4"/>
      <c r="X318" s="4"/>
      <c r="Y318" s="4"/>
      <c r="Z318" s="4"/>
      <c r="AA318" s="4"/>
      <c r="AB318" s="4"/>
      <c r="AC318" s="56"/>
      <c r="AD318" s="23"/>
    </row>
    <row r="319" spans="1:30" s="14" customFormat="1">
      <c r="A319" s="79"/>
      <c r="B319" s="9"/>
      <c r="C319" s="130"/>
      <c r="D319" s="5">
        <f t="shared" ref="D319" si="511">$C318*D318</f>
        <v>0</v>
      </c>
      <c r="E319" s="5">
        <f t="shared" ref="E319" si="512">$C318*E318</f>
        <v>0</v>
      </c>
      <c r="F319" s="5">
        <f t="shared" ref="F319:O319" si="513">$C318*F318</f>
        <v>0</v>
      </c>
      <c r="G319" s="5">
        <f t="shared" si="513"/>
        <v>0</v>
      </c>
      <c r="H319" s="5">
        <f t="shared" si="513"/>
        <v>0</v>
      </c>
      <c r="I319" s="5">
        <f t="shared" si="513"/>
        <v>0</v>
      </c>
      <c r="J319" s="5">
        <f t="shared" si="513"/>
        <v>0</v>
      </c>
      <c r="K319" s="5">
        <f t="shared" si="513"/>
        <v>0</v>
      </c>
      <c r="L319" s="5">
        <f t="shared" si="513"/>
        <v>0</v>
      </c>
      <c r="M319" s="5">
        <f t="shared" si="513"/>
        <v>0</v>
      </c>
      <c r="N319" s="5">
        <f t="shared" si="513"/>
        <v>330.27</v>
      </c>
      <c r="O319" s="5">
        <f t="shared" si="513"/>
        <v>0</v>
      </c>
      <c r="P319" s="5">
        <f t="shared" ref="P319" si="514">$C318*P318</f>
        <v>0</v>
      </c>
      <c r="Q319" s="5">
        <f t="shared" ref="Q319" si="515">$C318*Q318</f>
        <v>0</v>
      </c>
      <c r="R319" s="5">
        <f t="shared" ref="R319:AB319" si="516">$C318*R318</f>
        <v>0</v>
      </c>
      <c r="S319" s="5">
        <f t="shared" si="516"/>
        <v>0</v>
      </c>
      <c r="T319" s="5">
        <f t="shared" si="516"/>
        <v>0</v>
      </c>
      <c r="U319" s="5">
        <f t="shared" si="516"/>
        <v>0</v>
      </c>
      <c r="V319" s="5">
        <f t="shared" si="516"/>
        <v>0</v>
      </c>
      <c r="W319" s="5">
        <f t="shared" si="516"/>
        <v>0</v>
      </c>
      <c r="X319" s="5">
        <f t="shared" si="516"/>
        <v>0</v>
      </c>
      <c r="Y319" s="5">
        <f t="shared" si="516"/>
        <v>0</v>
      </c>
      <c r="Z319" s="5">
        <f t="shared" si="516"/>
        <v>0</v>
      </c>
      <c r="AA319" s="5">
        <f t="shared" si="516"/>
        <v>0</v>
      </c>
      <c r="AB319" s="5">
        <f t="shared" si="516"/>
        <v>0</v>
      </c>
      <c r="AC319" s="56"/>
      <c r="AD319" s="23"/>
    </row>
    <row r="320" spans="1:30" s="14" customFormat="1">
      <c r="A320" s="78" t="s">
        <v>79</v>
      </c>
      <c r="B320" s="26">
        <v>1590243.6836000001</v>
      </c>
      <c r="C320" s="130">
        <f t="shared" si="498"/>
        <v>132520.31</v>
      </c>
      <c r="D320" s="7"/>
      <c r="E320" s="7"/>
      <c r="F320" s="7"/>
      <c r="G320" s="7"/>
      <c r="H320" s="7">
        <v>7.5600000000000001E-2</v>
      </c>
      <c r="I320" s="7"/>
      <c r="J320" s="7"/>
      <c r="K320" s="7"/>
      <c r="L320" s="7"/>
      <c r="M320" s="7">
        <v>1.03E-2</v>
      </c>
      <c r="N320" s="7">
        <v>0.78210000000000002</v>
      </c>
      <c r="O320" s="7"/>
      <c r="P320" s="7"/>
      <c r="Q320" s="7"/>
      <c r="R320" s="7">
        <v>7.7000000000000002E-3</v>
      </c>
      <c r="S320" s="7"/>
      <c r="T320" s="7">
        <v>1.3899999999999999E-2</v>
      </c>
      <c r="U320" s="7"/>
      <c r="V320" s="7">
        <v>0.1104</v>
      </c>
      <c r="W320" s="7"/>
      <c r="X320" s="7"/>
      <c r="Y320" s="7"/>
      <c r="Z320" s="7"/>
      <c r="AA320" s="7"/>
      <c r="AB320" s="7"/>
      <c r="AC320" s="56"/>
      <c r="AD320" s="23"/>
    </row>
    <row r="321" spans="1:30" s="14" customFormat="1">
      <c r="A321" s="79"/>
      <c r="B321" s="168"/>
      <c r="C321" s="130"/>
      <c r="D321" s="5">
        <f t="shared" ref="D321" si="517">$C320*D320</f>
        <v>0</v>
      </c>
      <c r="E321" s="5">
        <f t="shared" ref="E321" si="518">$C320*E320</f>
        <v>0</v>
      </c>
      <c r="F321" s="5">
        <f t="shared" ref="F321:AB321" si="519">$C320*F320</f>
        <v>0</v>
      </c>
      <c r="G321" s="5">
        <f t="shared" si="519"/>
        <v>0</v>
      </c>
      <c r="H321" s="5">
        <f t="shared" si="519"/>
        <v>10018.535436</v>
      </c>
      <c r="I321" s="5">
        <f t="shared" si="519"/>
        <v>0</v>
      </c>
      <c r="J321" s="5">
        <f t="shared" si="519"/>
        <v>0</v>
      </c>
      <c r="K321" s="5">
        <f t="shared" si="519"/>
        <v>0</v>
      </c>
      <c r="L321" s="5">
        <f t="shared" si="519"/>
        <v>0</v>
      </c>
      <c r="M321" s="5">
        <f t="shared" si="519"/>
        <v>1364.9591929999999</v>
      </c>
      <c r="N321" s="5">
        <f t="shared" si="519"/>
        <v>103644.13445100001</v>
      </c>
      <c r="O321" s="5">
        <f t="shared" si="519"/>
        <v>0</v>
      </c>
      <c r="P321" s="5">
        <f t="shared" si="519"/>
        <v>0</v>
      </c>
      <c r="Q321" s="5">
        <f t="shared" si="519"/>
        <v>0</v>
      </c>
      <c r="R321" s="5">
        <f t="shared" si="519"/>
        <v>1020.406387</v>
      </c>
      <c r="S321" s="5">
        <f t="shared" si="519"/>
        <v>0</v>
      </c>
      <c r="T321" s="5">
        <f t="shared" si="519"/>
        <v>1842.0323089999999</v>
      </c>
      <c r="U321" s="5">
        <f t="shared" si="519"/>
        <v>0</v>
      </c>
      <c r="V321" s="5">
        <f t="shared" si="519"/>
        <v>14630.242224</v>
      </c>
      <c r="W321" s="5">
        <f t="shared" si="519"/>
        <v>0</v>
      </c>
      <c r="X321" s="5">
        <f t="shared" si="519"/>
        <v>0</v>
      </c>
      <c r="Y321" s="5">
        <f t="shared" si="519"/>
        <v>0</v>
      </c>
      <c r="Z321" s="5">
        <f t="shared" si="519"/>
        <v>0</v>
      </c>
      <c r="AA321" s="5">
        <f t="shared" si="519"/>
        <v>0</v>
      </c>
      <c r="AB321" s="5">
        <f t="shared" si="519"/>
        <v>0</v>
      </c>
      <c r="AC321" s="56"/>
      <c r="AD321" s="23"/>
    </row>
    <row r="322" spans="1:30" s="14" customFormat="1">
      <c r="A322" s="78" t="s">
        <v>80</v>
      </c>
      <c r="B322" s="26">
        <v>130999.084</v>
      </c>
      <c r="C322" s="130">
        <f t="shared" si="498"/>
        <v>10916.59</v>
      </c>
      <c r="D322" s="7"/>
      <c r="E322" s="7"/>
      <c r="F322" s="7">
        <v>0.3705</v>
      </c>
      <c r="G322" s="7"/>
      <c r="H322" s="7"/>
      <c r="I322" s="7"/>
      <c r="J322" s="7"/>
      <c r="K322" s="7"/>
      <c r="L322" s="7"/>
      <c r="M322" s="7"/>
      <c r="N322" s="7">
        <v>0.62949999999999995</v>
      </c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56"/>
      <c r="AD322" s="23"/>
    </row>
    <row r="323" spans="1:30" s="14" customFormat="1">
      <c r="A323" s="79"/>
      <c r="B323" s="168"/>
      <c r="C323" s="130"/>
      <c r="D323" s="5">
        <f t="shared" ref="D323" si="520">$C322*D322</f>
        <v>0</v>
      </c>
      <c r="E323" s="5">
        <f t="shared" ref="E323" si="521">$C322*E322</f>
        <v>0</v>
      </c>
      <c r="F323" s="5">
        <f t="shared" ref="F323:AB323" si="522">$C322*F322</f>
        <v>4044.596595</v>
      </c>
      <c r="G323" s="5">
        <f t="shared" si="522"/>
        <v>0</v>
      </c>
      <c r="H323" s="5">
        <f t="shared" si="522"/>
        <v>0</v>
      </c>
      <c r="I323" s="5">
        <f t="shared" si="522"/>
        <v>0</v>
      </c>
      <c r="J323" s="5">
        <f t="shared" si="522"/>
        <v>0</v>
      </c>
      <c r="K323" s="5">
        <f t="shared" si="522"/>
        <v>0</v>
      </c>
      <c r="L323" s="5">
        <f t="shared" si="522"/>
        <v>0</v>
      </c>
      <c r="M323" s="5">
        <f t="shared" si="522"/>
        <v>0</v>
      </c>
      <c r="N323" s="5">
        <f t="shared" si="522"/>
        <v>6871.9934049999993</v>
      </c>
      <c r="O323" s="5">
        <f t="shared" si="522"/>
        <v>0</v>
      </c>
      <c r="P323" s="5">
        <f t="shared" si="522"/>
        <v>0</v>
      </c>
      <c r="Q323" s="5">
        <f t="shared" si="522"/>
        <v>0</v>
      </c>
      <c r="R323" s="5">
        <f t="shared" si="522"/>
        <v>0</v>
      </c>
      <c r="S323" s="5">
        <f t="shared" si="522"/>
        <v>0</v>
      </c>
      <c r="T323" s="5">
        <f t="shared" si="522"/>
        <v>0</v>
      </c>
      <c r="U323" s="5">
        <f t="shared" si="522"/>
        <v>0</v>
      </c>
      <c r="V323" s="5">
        <f t="shared" si="522"/>
        <v>0</v>
      </c>
      <c r="W323" s="5">
        <f t="shared" si="522"/>
        <v>0</v>
      </c>
      <c r="X323" s="5">
        <f t="shared" si="522"/>
        <v>0</v>
      </c>
      <c r="Y323" s="5">
        <f t="shared" si="522"/>
        <v>0</v>
      </c>
      <c r="Z323" s="5">
        <f t="shared" si="522"/>
        <v>0</v>
      </c>
      <c r="AA323" s="5">
        <f t="shared" si="522"/>
        <v>0</v>
      </c>
      <c r="AB323" s="5">
        <f t="shared" si="522"/>
        <v>0</v>
      </c>
      <c r="AC323" s="56"/>
      <c r="AD323" s="23"/>
    </row>
    <row r="324" spans="1:30" s="14" customFormat="1">
      <c r="A324" s="78" t="s">
        <v>81</v>
      </c>
      <c r="B324" s="26">
        <f>1754.0709/2</f>
        <v>877.03544999999997</v>
      </c>
      <c r="C324" s="130">
        <f t="shared" si="498"/>
        <v>73.09</v>
      </c>
      <c r="D324" s="35">
        <v>1.6299999999999999E-2</v>
      </c>
      <c r="E324" s="35">
        <v>0.14269999999999999</v>
      </c>
      <c r="F324" s="35">
        <v>5.8900000000000001E-2</v>
      </c>
      <c r="G324" s="35">
        <v>7.6200000000000004E-2</v>
      </c>
      <c r="H324" s="35">
        <v>3.9600000000000003E-2</v>
      </c>
      <c r="I324" s="35">
        <v>0.12470000000000001</v>
      </c>
      <c r="J324" s="35">
        <v>2.0400000000000001E-2</v>
      </c>
      <c r="K324" s="35">
        <v>3.1199999999999999E-2</v>
      </c>
      <c r="L324" s="35">
        <v>1.6199999999999999E-2</v>
      </c>
      <c r="M324" s="35">
        <v>2.53E-2</v>
      </c>
      <c r="N324" s="35">
        <v>0.14849999999999999</v>
      </c>
      <c r="O324" s="35">
        <v>2.2599999999999999E-2</v>
      </c>
      <c r="P324" s="35">
        <v>0</v>
      </c>
      <c r="Q324" s="35">
        <v>3.78E-2</v>
      </c>
      <c r="R324" s="35">
        <v>1.8100000000000002E-2</v>
      </c>
      <c r="S324" s="35">
        <v>4.1000000000000003E-3</v>
      </c>
      <c r="T324" s="35">
        <v>5.04E-2</v>
      </c>
      <c r="U324" s="35">
        <v>1.7500000000000002E-2</v>
      </c>
      <c r="V324" s="35">
        <v>3.6200000000000003E-2</v>
      </c>
      <c r="W324" s="35">
        <v>4.8500000000000001E-2</v>
      </c>
      <c r="X324" s="35">
        <v>6.1600000000000002E-2</v>
      </c>
      <c r="Y324" s="35">
        <v>2.5000000000000001E-3</v>
      </c>
      <c r="Z324" s="4">
        <v>0</v>
      </c>
      <c r="AA324" s="4">
        <v>6.9999999999999999E-4</v>
      </c>
      <c r="AB324" s="4">
        <v>0</v>
      </c>
      <c r="AC324" s="56"/>
      <c r="AD324" s="23"/>
    </row>
    <row r="325" spans="1:30" s="14" customFormat="1">
      <c r="A325" s="79"/>
      <c r="B325" s="27"/>
      <c r="C325" s="130"/>
      <c r="D325" s="5">
        <f t="shared" ref="D325" si="523">$C324*D324</f>
        <v>1.1913669999999998</v>
      </c>
      <c r="E325" s="5">
        <f t="shared" ref="E325" si="524">$C324*E324</f>
        <v>10.429943</v>
      </c>
      <c r="F325" s="5">
        <f t="shared" ref="F325:O325" si="525">$C324*F324</f>
        <v>4.3050009999999999</v>
      </c>
      <c r="G325" s="5">
        <f t="shared" si="525"/>
        <v>5.5694580000000009</v>
      </c>
      <c r="H325" s="5">
        <f t="shared" si="525"/>
        <v>2.8943640000000004</v>
      </c>
      <c r="I325" s="5">
        <f t="shared" si="525"/>
        <v>9.1143230000000006</v>
      </c>
      <c r="J325" s="5">
        <f t="shared" si="525"/>
        <v>1.4910360000000003</v>
      </c>
      <c r="K325" s="5">
        <f t="shared" si="525"/>
        <v>2.280408</v>
      </c>
      <c r="L325" s="5">
        <f t="shared" si="525"/>
        <v>1.1840580000000001</v>
      </c>
      <c r="M325" s="5">
        <f t="shared" si="525"/>
        <v>1.8491770000000001</v>
      </c>
      <c r="N325" s="5">
        <f t="shared" si="525"/>
        <v>10.853865000000001</v>
      </c>
      <c r="O325" s="5">
        <f t="shared" si="525"/>
        <v>1.651834</v>
      </c>
      <c r="P325" s="5">
        <f t="shared" ref="P325" si="526">$C324*P324</f>
        <v>0</v>
      </c>
      <c r="Q325" s="5">
        <f t="shared" ref="Q325" si="527">$C324*Q324</f>
        <v>2.7628020000000002</v>
      </c>
      <c r="R325" s="5">
        <f t="shared" ref="R325:AB325" si="528">$C324*R324</f>
        <v>1.3229290000000002</v>
      </c>
      <c r="S325" s="5">
        <f t="shared" si="528"/>
        <v>0.29966900000000002</v>
      </c>
      <c r="T325" s="5">
        <f t="shared" si="528"/>
        <v>3.6837360000000001</v>
      </c>
      <c r="U325" s="5">
        <f t="shared" si="528"/>
        <v>1.2790750000000002</v>
      </c>
      <c r="V325" s="5">
        <f t="shared" si="528"/>
        <v>2.6458580000000005</v>
      </c>
      <c r="W325" s="5">
        <f t="shared" si="528"/>
        <v>3.5448650000000002</v>
      </c>
      <c r="X325" s="5">
        <f t="shared" si="528"/>
        <v>4.5023440000000008</v>
      </c>
      <c r="Y325" s="5">
        <f t="shared" si="528"/>
        <v>0.182725</v>
      </c>
      <c r="Z325" s="5">
        <f t="shared" si="528"/>
        <v>0</v>
      </c>
      <c r="AA325" s="5">
        <f t="shared" si="528"/>
        <v>5.1163E-2</v>
      </c>
      <c r="AB325" s="5">
        <f t="shared" si="528"/>
        <v>0</v>
      </c>
      <c r="AC325" s="56"/>
      <c r="AD325" s="23"/>
    </row>
    <row r="326" spans="1:30" s="14" customFormat="1">
      <c r="A326" s="78" t="s">
        <v>412</v>
      </c>
      <c r="B326" s="26">
        <f>1754.0709/2</f>
        <v>877.03544999999997</v>
      </c>
      <c r="C326" s="130">
        <f t="shared" si="498"/>
        <v>73.09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>
        <v>1</v>
      </c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56"/>
      <c r="AD326" s="23"/>
    </row>
    <row r="327" spans="1:30" s="14" customFormat="1">
      <c r="A327" s="79"/>
      <c r="B327" s="9"/>
      <c r="C327" s="130"/>
      <c r="D327" s="5">
        <f t="shared" ref="D327" si="529">$C326*D326</f>
        <v>0</v>
      </c>
      <c r="E327" s="5">
        <f t="shared" ref="E327" si="530">$C326*E326</f>
        <v>0</v>
      </c>
      <c r="F327" s="5">
        <f t="shared" ref="F327:O327" si="531">$C326*F326</f>
        <v>0</v>
      </c>
      <c r="G327" s="5">
        <f t="shared" si="531"/>
        <v>0</v>
      </c>
      <c r="H327" s="5">
        <f t="shared" si="531"/>
        <v>0</v>
      </c>
      <c r="I327" s="5">
        <f t="shared" si="531"/>
        <v>0</v>
      </c>
      <c r="J327" s="5">
        <f t="shared" si="531"/>
        <v>0</v>
      </c>
      <c r="K327" s="5">
        <f t="shared" si="531"/>
        <v>0</v>
      </c>
      <c r="L327" s="5">
        <f t="shared" si="531"/>
        <v>0</v>
      </c>
      <c r="M327" s="5">
        <f t="shared" si="531"/>
        <v>0</v>
      </c>
      <c r="N327" s="5">
        <f t="shared" si="531"/>
        <v>73.09</v>
      </c>
      <c r="O327" s="5">
        <f t="shared" si="531"/>
        <v>0</v>
      </c>
      <c r="P327" s="5">
        <f t="shared" ref="P327" si="532">$C326*P326</f>
        <v>0</v>
      </c>
      <c r="Q327" s="5">
        <f t="shared" ref="Q327" si="533">$C326*Q326</f>
        <v>0</v>
      </c>
      <c r="R327" s="5">
        <f t="shared" ref="R327:AB327" si="534">$C326*R326</f>
        <v>0</v>
      </c>
      <c r="S327" s="5">
        <f t="shared" si="534"/>
        <v>0</v>
      </c>
      <c r="T327" s="5">
        <f t="shared" si="534"/>
        <v>0</v>
      </c>
      <c r="U327" s="5">
        <f t="shared" si="534"/>
        <v>0</v>
      </c>
      <c r="V327" s="5">
        <f t="shared" si="534"/>
        <v>0</v>
      </c>
      <c r="W327" s="5">
        <f t="shared" si="534"/>
        <v>0</v>
      </c>
      <c r="X327" s="5">
        <f t="shared" si="534"/>
        <v>0</v>
      </c>
      <c r="Y327" s="5">
        <f t="shared" si="534"/>
        <v>0</v>
      </c>
      <c r="Z327" s="5">
        <f t="shared" si="534"/>
        <v>0</v>
      </c>
      <c r="AA327" s="5">
        <f t="shared" si="534"/>
        <v>0</v>
      </c>
      <c r="AB327" s="5">
        <f t="shared" si="534"/>
        <v>0</v>
      </c>
      <c r="AC327" s="56"/>
      <c r="AD327" s="23"/>
    </row>
    <row r="328" spans="1:30" s="14" customFormat="1">
      <c r="A328" s="78" t="s">
        <v>82</v>
      </c>
      <c r="B328" s="26">
        <f>1754.0709/2</f>
        <v>877.03544999999997</v>
      </c>
      <c r="C328" s="130">
        <f t="shared" si="498"/>
        <v>73.09</v>
      </c>
      <c r="D328" s="35">
        <v>1.6299999999999999E-2</v>
      </c>
      <c r="E328" s="35">
        <v>0.14269999999999999</v>
      </c>
      <c r="F328" s="35">
        <v>5.8900000000000001E-2</v>
      </c>
      <c r="G328" s="35">
        <v>7.6200000000000004E-2</v>
      </c>
      <c r="H328" s="35">
        <v>3.9600000000000003E-2</v>
      </c>
      <c r="I328" s="35">
        <v>0.12470000000000001</v>
      </c>
      <c r="J328" s="35">
        <v>2.0400000000000001E-2</v>
      </c>
      <c r="K328" s="35">
        <v>3.1199999999999999E-2</v>
      </c>
      <c r="L328" s="35">
        <v>1.6199999999999999E-2</v>
      </c>
      <c r="M328" s="35">
        <v>2.53E-2</v>
      </c>
      <c r="N328" s="35">
        <v>0.14849999999999999</v>
      </c>
      <c r="O328" s="35">
        <v>2.2599999999999999E-2</v>
      </c>
      <c r="P328" s="35">
        <v>0</v>
      </c>
      <c r="Q328" s="35">
        <v>3.78E-2</v>
      </c>
      <c r="R328" s="35">
        <v>1.8100000000000002E-2</v>
      </c>
      <c r="S328" s="35">
        <v>4.1000000000000003E-3</v>
      </c>
      <c r="T328" s="35">
        <v>5.04E-2</v>
      </c>
      <c r="U328" s="35">
        <v>1.7500000000000002E-2</v>
      </c>
      <c r="V328" s="35">
        <v>3.6200000000000003E-2</v>
      </c>
      <c r="W328" s="35">
        <v>4.8500000000000001E-2</v>
      </c>
      <c r="X328" s="35">
        <v>6.1600000000000002E-2</v>
      </c>
      <c r="Y328" s="35">
        <v>2.5000000000000001E-3</v>
      </c>
      <c r="Z328" s="4">
        <v>0</v>
      </c>
      <c r="AA328" s="4">
        <v>6.9999999999999999E-4</v>
      </c>
      <c r="AB328" s="4">
        <v>0</v>
      </c>
      <c r="AC328" s="56"/>
      <c r="AD328" s="23"/>
    </row>
    <row r="329" spans="1:30" s="14" customFormat="1">
      <c r="A329" s="79"/>
      <c r="B329" s="27"/>
      <c r="C329" s="130"/>
      <c r="D329" s="5">
        <f t="shared" ref="D329" si="535">$C328*D328</f>
        <v>1.1913669999999998</v>
      </c>
      <c r="E329" s="5">
        <f t="shared" ref="E329" si="536">$C328*E328</f>
        <v>10.429943</v>
      </c>
      <c r="F329" s="5">
        <f t="shared" ref="F329:O329" si="537">$C328*F328</f>
        <v>4.3050009999999999</v>
      </c>
      <c r="G329" s="5">
        <f t="shared" si="537"/>
        <v>5.5694580000000009</v>
      </c>
      <c r="H329" s="5">
        <f t="shared" si="537"/>
        <v>2.8943640000000004</v>
      </c>
      <c r="I329" s="5">
        <f t="shared" si="537"/>
        <v>9.1143230000000006</v>
      </c>
      <c r="J329" s="5">
        <f t="shared" si="537"/>
        <v>1.4910360000000003</v>
      </c>
      <c r="K329" s="5">
        <f t="shared" si="537"/>
        <v>2.280408</v>
      </c>
      <c r="L329" s="5">
        <f t="shared" si="537"/>
        <v>1.1840580000000001</v>
      </c>
      <c r="M329" s="5">
        <f t="shared" si="537"/>
        <v>1.8491770000000001</v>
      </c>
      <c r="N329" s="5">
        <f t="shared" si="537"/>
        <v>10.853865000000001</v>
      </c>
      <c r="O329" s="5">
        <f t="shared" si="537"/>
        <v>1.651834</v>
      </c>
      <c r="P329" s="5">
        <f t="shared" ref="P329" si="538">$C328*P328</f>
        <v>0</v>
      </c>
      <c r="Q329" s="5">
        <f t="shared" ref="Q329" si="539">$C328*Q328</f>
        <v>2.7628020000000002</v>
      </c>
      <c r="R329" s="5">
        <f t="shared" ref="R329:AB329" si="540">$C328*R328</f>
        <v>1.3229290000000002</v>
      </c>
      <c r="S329" s="5">
        <f t="shared" si="540"/>
        <v>0.29966900000000002</v>
      </c>
      <c r="T329" s="5">
        <f t="shared" si="540"/>
        <v>3.6837360000000001</v>
      </c>
      <c r="U329" s="5">
        <f t="shared" si="540"/>
        <v>1.2790750000000002</v>
      </c>
      <c r="V329" s="5">
        <f t="shared" si="540"/>
        <v>2.6458580000000005</v>
      </c>
      <c r="W329" s="5">
        <f t="shared" si="540"/>
        <v>3.5448650000000002</v>
      </c>
      <c r="X329" s="5">
        <f t="shared" si="540"/>
        <v>4.5023440000000008</v>
      </c>
      <c r="Y329" s="5">
        <f t="shared" si="540"/>
        <v>0.182725</v>
      </c>
      <c r="Z329" s="5">
        <f t="shared" si="540"/>
        <v>0</v>
      </c>
      <c r="AA329" s="5">
        <f t="shared" si="540"/>
        <v>5.1163E-2</v>
      </c>
      <c r="AB329" s="5">
        <f t="shared" si="540"/>
        <v>0</v>
      </c>
      <c r="AC329" s="56"/>
      <c r="AD329" s="23"/>
    </row>
    <row r="330" spans="1:30" s="14" customFormat="1">
      <c r="A330" s="78" t="s">
        <v>413</v>
      </c>
      <c r="B330" s="26">
        <f>1754.0709/2</f>
        <v>877.03544999999997</v>
      </c>
      <c r="C330" s="130">
        <f t="shared" si="498"/>
        <v>73.09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>
        <v>1</v>
      </c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56"/>
      <c r="AD330" s="23"/>
    </row>
    <row r="331" spans="1:30" s="14" customFormat="1">
      <c r="A331" s="79"/>
      <c r="B331" s="9"/>
      <c r="C331" s="130"/>
      <c r="D331" s="5">
        <f t="shared" ref="D331" si="541">$C330*D330</f>
        <v>0</v>
      </c>
      <c r="E331" s="5">
        <f t="shared" ref="E331" si="542">$C330*E330</f>
        <v>0</v>
      </c>
      <c r="F331" s="5">
        <f t="shared" ref="F331:O331" si="543">$C330*F330</f>
        <v>0</v>
      </c>
      <c r="G331" s="5">
        <f t="shared" si="543"/>
        <v>0</v>
      </c>
      <c r="H331" s="5">
        <f t="shared" si="543"/>
        <v>0</v>
      </c>
      <c r="I331" s="5">
        <f t="shared" si="543"/>
        <v>0</v>
      </c>
      <c r="J331" s="5">
        <f t="shared" si="543"/>
        <v>0</v>
      </c>
      <c r="K331" s="5">
        <f t="shared" si="543"/>
        <v>0</v>
      </c>
      <c r="L331" s="5">
        <f t="shared" si="543"/>
        <v>0</v>
      </c>
      <c r="M331" s="5">
        <f t="shared" si="543"/>
        <v>0</v>
      </c>
      <c r="N331" s="5">
        <f t="shared" si="543"/>
        <v>73.09</v>
      </c>
      <c r="O331" s="5">
        <f t="shared" si="543"/>
        <v>0</v>
      </c>
      <c r="P331" s="5">
        <f t="shared" ref="P331" si="544">$C330*P330</f>
        <v>0</v>
      </c>
      <c r="Q331" s="5">
        <f t="shared" ref="Q331" si="545">$C330*Q330</f>
        <v>0</v>
      </c>
      <c r="R331" s="5">
        <f t="shared" ref="R331:AB331" si="546">$C330*R330</f>
        <v>0</v>
      </c>
      <c r="S331" s="5">
        <f t="shared" si="546"/>
        <v>0</v>
      </c>
      <c r="T331" s="5">
        <f t="shared" si="546"/>
        <v>0</v>
      </c>
      <c r="U331" s="5">
        <f t="shared" si="546"/>
        <v>0</v>
      </c>
      <c r="V331" s="5">
        <f t="shared" si="546"/>
        <v>0</v>
      </c>
      <c r="W331" s="5">
        <f t="shared" si="546"/>
        <v>0</v>
      </c>
      <c r="X331" s="5">
        <f t="shared" si="546"/>
        <v>0</v>
      </c>
      <c r="Y331" s="5">
        <f t="shared" si="546"/>
        <v>0</v>
      </c>
      <c r="Z331" s="5">
        <f t="shared" si="546"/>
        <v>0</v>
      </c>
      <c r="AA331" s="5">
        <f t="shared" si="546"/>
        <v>0</v>
      </c>
      <c r="AB331" s="5">
        <f t="shared" si="546"/>
        <v>0</v>
      </c>
      <c r="AC331" s="56"/>
      <c r="AD331" s="23"/>
    </row>
    <row r="332" spans="1:30" s="14" customFormat="1">
      <c r="A332" s="78" t="s">
        <v>83</v>
      </c>
      <c r="B332" s="26">
        <f>92550.14/2</f>
        <v>46275.07</v>
      </c>
      <c r="C332" s="130">
        <f t="shared" si="498"/>
        <v>3856.26</v>
      </c>
      <c r="D332" s="35">
        <v>1.6299999999999999E-2</v>
      </c>
      <c r="E332" s="35">
        <v>0.14269999999999999</v>
      </c>
      <c r="F332" s="35">
        <v>5.8900000000000001E-2</v>
      </c>
      <c r="G332" s="35">
        <v>7.6200000000000004E-2</v>
      </c>
      <c r="H332" s="35">
        <v>3.9600000000000003E-2</v>
      </c>
      <c r="I332" s="35">
        <v>0.12470000000000001</v>
      </c>
      <c r="J332" s="35">
        <v>2.0400000000000001E-2</v>
      </c>
      <c r="K332" s="35">
        <v>3.1199999999999999E-2</v>
      </c>
      <c r="L332" s="35">
        <v>1.6199999999999999E-2</v>
      </c>
      <c r="M332" s="35">
        <v>2.53E-2</v>
      </c>
      <c r="N332" s="35">
        <v>0.14849999999999999</v>
      </c>
      <c r="O332" s="35">
        <v>2.2599999999999999E-2</v>
      </c>
      <c r="P332" s="35">
        <v>0</v>
      </c>
      <c r="Q332" s="35">
        <v>3.78E-2</v>
      </c>
      <c r="R332" s="35">
        <v>1.8100000000000002E-2</v>
      </c>
      <c r="S332" s="35">
        <v>4.1000000000000003E-3</v>
      </c>
      <c r="T332" s="35">
        <v>5.04E-2</v>
      </c>
      <c r="U332" s="35">
        <v>1.7500000000000002E-2</v>
      </c>
      <c r="V332" s="35">
        <v>3.6200000000000003E-2</v>
      </c>
      <c r="W332" s="35">
        <v>4.8500000000000001E-2</v>
      </c>
      <c r="X332" s="35">
        <v>6.1600000000000002E-2</v>
      </c>
      <c r="Y332" s="35">
        <v>2.5000000000000001E-3</v>
      </c>
      <c r="Z332" s="4">
        <v>0</v>
      </c>
      <c r="AA332" s="4">
        <v>6.9999999999999999E-4</v>
      </c>
      <c r="AB332" s="4">
        <v>0</v>
      </c>
      <c r="AC332" s="56"/>
      <c r="AD332" s="23"/>
    </row>
    <row r="333" spans="1:30" s="14" customFormat="1">
      <c r="A333" s="79"/>
      <c r="B333" s="27"/>
      <c r="C333" s="130"/>
      <c r="D333" s="5">
        <f t="shared" ref="D333" si="547">$C332*D332</f>
        <v>62.857037999999996</v>
      </c>
      <c r="E333" s="5">
        <f t="shared" ref="E333" si="548">$C332*E332</f>
        <v>550.28830200000004</v>
      </c>
      <c r="F333" s="5">
        <f t="shared" ref="F333:O333" si="549">$C332*F332</f>
        <v>227.13371400000003</v>
      </c>
      <c r="G333" s="5">
        <f t="shared" si="549"/>
        <v>293.84701200000001</v>
      </c>
      <c r="H333" s="5">
        <f t="shared" si="549"/>
        <v>152.70789600000003</v>
      </c>
      <c r="I333" s="5">
        <f t="shared" si="549"/>
        <v>480.87562200000002</v>
      </c>
      <c r="J333" s="5">
        <f t="shared" si="549"/>
        <v>78.667704000000015</v>
      </c>
      <c r="K333" s="5">
        <f t="shared" si="549"/>
        <v>120.31531200000001</v>
      </c>
      <c r="L333" s="5">
        <f t="shared" si="549"/>
        <v>62.471412000000001</v>
      </c>
      <c r="M333" s="5">
        <f t="shared" si="549"/>
        <v>97.563378</v>
      </c>
      <c r="N333" s="5">
        <f t="shared" si="549"/>
        <v>572.65461000000005</v>
      </c>
      <c r="O333" s="5">
        <f t="shared" si="549"/>
        <v>87.151476000000002</v>
      </c>
      <c r="P333" s="5">
        <f t="shared" ref="P333" si="550">$C332*P332</f>
        <v>0</v>
      </c>
      <c r="Q333" s="5">
        <f t="shared" ref="Q333" si="551">$C332*Q332</f>
        <v>145.766628</v>
      </c>
      <c r="R333" s="5">
        <f t="shared" ref="R333:AB333" si="552">$C332*R332</f>
        <v>69.798306000000011</v>
      </c>
      <c r="S333" s="5">
        <f t="shared" si="552"/>
        <v>15.810666000000003</v>
      </c>
      <c r="T333" s="5">
        <f t="shared" si="552"/>
        <v>194.35550400000002</v>
      </c>
      <c r="U333" s="5">
        <f t="shared" si="552"/>
        <v>67.484550000000013</v>
      </c>
      <c r="V333" s="5">
        <f t="shared" si="552"/>
        <v>139.59661200000002</v>
      </c>
      <c r="W333" s="5">
        <f t="shared" si="552"/>
        <v>187.02861000000001</v>
      </c>
      <c r="X333" s="5">
        <f t="shared" si="552"/>
        <v>237.54561600000002</v>
      </c>
      <c r="Y333" s="5">
        <f t="shared" si="552"/>
        <v>9.6406500000000008</v>
      </c>
      <c r="Z333" s="5">
        <f t="shared" si="552"/>
        <v>0</v>
      </c>
      <c r="AA333" s="5">
        <f t="shared" si="552"/>
        <v>2.6993819999999999</v>
      </c>
      <c r="AB333" s="5">
        <f t="shared" si="552"/>
        <v>0</v>
      </c>
      <c r="AC333" s="56"/>
      <c r="AD333" s="23"/>
    </row>
    <row r="334" spans="1:30" s="14" customFormat="1">
      <c r="A334" s="78" t="s">
        <v>414</v>
      </c>
      <c r="B334" s="26">
        <f>92550.14/2</f>
        <v>46275.07</v>
      </c>
      <c r="C334" s="130">
        <f t="shared" si="498"/>
        <v>3856.26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>
        <v>1</v>
      </c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56"/>
      <c r="AD334" s="23"/>
    </row>
    <row r="335" spans="1:30" s="14" customFormat="1">
      <c r="A335" s="79"/>
      <c r="B335" s="9"/>
      <c r="C335" s="130"/>
      <c r="D335" s="5">
        <f t="shared" ref="D335" si="553">$C334*D334</f>
        <v>0</v>
      </c>
      <c r="E335" s="5">
        <f t="shared" ref="E335" si="554">$C334*E334</f>
        <v>0</v>
      </c>
      <c r="F335" s="5">
        <f t="shared" ref="F335:O335" si="555">$C334*F334</f>
        <v>0</v>
      </c>
      <c r="G335" s="5">
        <f t="shared" si="555"/>
        <v>0</v>
      </c>
      <c r="H335" s="5">
        <f t="shared" si="555"/>
        <v>0</v>
      </c>
      <c r="I335" s="5">
        <f t="shared" si="555"/>
        <v>0</v>
      </c>
      <c r="J335" s="5">
        <f t="shared" si="555"/>
        <v>0</v>
      </c>
      <c r="K335" s="5">
        <f t="shared" si="555"/>
        <v>0</v>
      </c>
      <c r="L335" s="5">
        <f t="shared" si="555"/>
        <v>0</v>
      </c>
      <c r="M335" s="5">
        <f t="shared" si="555"/>
        <v>0</v>
      </c>
      <c r="N335" s="5">
        <f t="shared" si="555"/>
        <v>3856.26</v>
      </c>
      <c r="O335" s="5">
        <f t="shared" si="555"/>
        <v>0</v>
      </c>
      <c r="P335" s="5">
        <f t="shared" ref="P335" si="556">$C334*P334</f>
        <v>0</v>
      </c>
      <c r="Q335" s="5">
        <f t="shared" ref="Q335" si="557">$C334*Q334</f>
        <v>0</v>
      </c>
      <c r="R335" s="5">
        <f t="shared" ref="R335:AB335" si="558">$C334*R334</f>
        <v>0</v>
      </c>
      <c r="S335" s="5">
        <f t="shared" si="558"/>
        <v>0</v>
      </c>
      <c r="T335" s="5">
        <f t="shared" si="558"/>
        <v>0</v>
      </c>
      <c r="U335" s="5">
        <f t="shared" si="558"/>
        <v>0</v>
      </c>
      <c r="V335" s="5">
        <f t="shared" si="558"/>
        <v>0</v>
      </c>
      <c r="W335" s="5">
        <f t="shared" si="558"/>
        <v>0</v>
      </c>
      <c r="X335" s="5">
        <f t="shared" si="558"/>
        <v>0</v>
      </c>
      <c r="Y335" s="5">
        <f t="shared" si="558"/>
        <v>0</v>
      </c>
      <c r="Z335" s="5">
        <f t="shared" si="558"/>
        <v>0</v>
      </c>
      <c r="AA335" s="5">
        <f t="shared" si="558"/>
        <v>0</v>
      </c>
      <c r="AB335" s="5">
        <f t="shared" si="558"/>
        <v>0</v>
      </c>
      <c r="AC335" s="56"/>
      <c r="AD335" s="23"/>
    </row>
    <row r="336" spans="1:30" s="14" customFormat="1">
      <c r="A336" s="78" t="s">
        <v>84</v>
      </c>
      <c r="B336" s="26">
        <f>92550.14/2</f>
        <v>46275.07</v>
      </c>
      <c r="C336" s="130">
        <f t="shared" si="498"/>
        <v>3856.26</v>
      </c>
      <c r="D336" s="35">
        <v>1.6299999999999999E-2</v>
      </c>
      <c r="E336" s="35">
        <v>0.14269999999999999</v>
      </c>
      <c r="F336" s="35">
        <v>5.8900000000000001E-2</v>
      </c>
      <c r="G336" s="35">
        <v>7.6200000000000004E-2</v>
      </c>
      <c r="H336" s="35">
        <v>3.9600000000000003E-2</v>
      </c>
      <c r="I336" s="35">
        <v>0.12470000000000001</v>
      </c>
      <c r="J336" s="35">
        <v>2.0400000000000001E-2</v>
      </c>
      <c r="K336" s="35">
        <v>3.1199999999999999E-2</v>
      </c>
      <c r="L336" s="35">
        <v>1.6199999999999999E-2</v>
      </c>
      <c r="M336" s="35">
        <v>2.53E-2</v>
      </c>
      <c r="N336" s="35">
        <v>0.14849999999999999</v>
      </c>
      <c r="O336" s="35">
        <v>2.2599999999999999E-2</v>
      </c>
      <c r="P336" s="35">
        <v>0</v>
      </c>
      <c r="Q336" s="35">
        <v>3.78E-2</v>
      </c>
      <c r="R336" s="35">
        <v>1.8100000000000002E-2</v>
      </c>
      <c r="S336" s="35">
        <v>4.1000000000000003E-3</v>
      </c>
      <c r="T336" s="35">
        <v>5.04E-2</v>
      </c>
      <c r="U336" s="35">
        <v>1.7500000000000002E-2</v>
      </c>
      <c r="V336" s="35">
        <v>3.6200000000000003E-2</v>
      </c>
      <c r="W336" s="35">
        <v>4.8500000000000001E-2</v>
      </c>
      <c r="X336" s="35">
        <v>6.1600000000000002E-2</v>
      </c>
      <c r="Y336" s="35">
        <v>2.5000000000000001E-3</v>
      </c>
      <c r="Z336" s="4">
        <v>0</v>
      </c>
      <c r="AA336" s="4">
        <v>6.9999999999999999E-4</v>
      </c>
      <c r="AB336" s="4">
        <v>0</v>
      </c>
      <c r="AC336" s="56"/>
      <c r="AD336" s="23"/>
    </row>
    <row r="337" spans="1:30" s="14" customFormat="1">
      <c r="A337" s="79"/>
      <c r="B337" s="26"/>
      <c r="C337" s="130"/>
      <c r="D337" s="5">
        <f t="shared" ref="D337" si="559">$C336*D336</f>
        <v>62.857037999999996</v>
      </c>
      <c r="E337" s="5">
        <f t="shared" ref="E337" si="560">$C336*E336</f>
        <v>550.28830200000004</v>
      </c>
      <c r="F337" s="5">
        <f t="shared" ref="F337:O337" si="561">$C336*F336</f>
        <v>227.13371400000003</v>
      </c>
      <c r="G337" s="5">
        <f t="shared" si="561"/>
        <v>293.84701200000001</v>
      </c>
      <c r="H337" s="5">
        <f t="shared" si="561"/>
        <v>152.70789600000003</v>
      </c>
      <c r="I337" s="5">
        <f t="shared" si="561"/>
        <v>480.87562200000002</v>
      </c>
      <c r="J337" s="5">
        <f t="shared" si="561"/>
        <v>78.667704000000015</v>
      </c>
      <c r="K337" s="5">
        <f t="shared" si="561"/>
        <v>120.31531200000001</v>
      </c>
      <c r="L337" s="5">
        <f t="shared" si="561"/>
        <v>62.471412000000001</v>
      </c>
      <c r="M337" s="5">
        <f t="shared" si="561"/>
        <v>97.563378</v>
      </c>
      <c r="N337" s="5">
        <f t="shared" si="561"/>
        <v>572.65461000000005</v>
      </c>
      <c r="O337" s="5">
        <f t="shared" si="561"/>
        <v>87.151476000000002</v>
      </c>
      <c r="P337" s="5">
        <f t="shared" ref="P337" si="562">$C336*P336</f>
        <v>0</v>
      </c>
      <c r="Q337" s="5">
        <f t="shared" ref="Q337" si="563">$C336*Q336</f>
        <v>145.766628</v>
      </c>
      <c r="R337" s="5">
        <f t="shared" ref="R337:AB337" si="564">$C336*R336</f>
        <v>69.798306000000011</v>
      </c>
      <c r="S337" s="5">
        <f t="shared" si="564"/>
        <v>15.810666000000003</v>
      </c>
      <c r="T337" s="5">
        <f t="shared" si="564"/>
        <v>194.35550400000002</v>
      </c>
      <c r="U337" s="5">
        <f t="shared" si="564"/>
        <v>67.484550000000013</v>
      </c>
      <c r="V337" s="5">
        <f t="shared" si="564"/>
        <v>139.59661200000002</v>
      </c>
      <c r="W337" s="5">
        <f t="shared" si="564"/>
        <v>187.02861000000001</v>
      </c>
      <c r="X337" s="5">
        <f t="shared" si="564"/>
        <v>237.54561600000002</v>
      </c>
      <c r="Y337" s="5">
        <f t="shared" si="564"/>
        <v>9.6406500000000008</v>
      </c>
      <c r="Z337" s="5">
        <f t="shared" si="564"/>
        <v>0</v>
      </c>
      <c r="AA337" s="5">
        <f t="shared" si="564"/>
        <v>2.6993819999999999</v>
      </c>
      <c r="AB337" s="5">
        <f t="shared" si="564"/>
        <v>0</v>
      </c>
      <c r="AC337" s="56"/>
      <c r="AD337" s="23"/>
    </row>
    <row r="338" spans="1:30" s="14" customFormat="1">
      <c r="A338" s="78" t="s">
        <v>415</v>
      </c>
      <c r="B338" s="26">
        <f>92550.14/2</f>
        <v>46275.07</v>
      </c>
      <c r="C338" s="130">
        <f t="shared" si="498"/>
        <v>3856.26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>
        <v>1</v>
      </c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56"/>
      <c r="AD338" s="23"/>
    </row>
    <row r="339" spans="1:30" s="14" customFormat="1">
      <c r="A339" s="79"/>
      <c r="B339" s="9"/>
      <c r="C339" s="130"/>
      <c r="D339" s="5">
        <f t="shared" ref="D339" si="565">$C338*D338</f>
        <v>0</v>
      </c>
      <c r="E339" s="5">
        <f t="shared" ref="E339" si="566">$C338*E338</f>
        <v>0</v>
      </c>
      <c r="F339" s="5">
        <f t="shared" ref="F339:O339" si="567">$C338*F338</f>
        <v>0</v>
      </c>
      <c r="G339" s="5">
        <f t="shared" si="567"/>
        <v>0</v>
      </c>
      <c r="H339" s="5">
        <f t="shared" si="567"/>
        <v>0</v>
      </c>
      <c r="I339" s="5">
        <f t="shared" si="567"/>
        <v>0</v>
      </c>
      <c r="J339" s="5">
        <f t="shared" si="567"/>
        <v>0</v>
      </c>
      <c r="K339" s="5">
        <f t="shared" si="567"/>
        <v>0</v>
      </c>
      <c r="L339" s="5">
        <f t="shared" si="567"/>
        <v>0</v>
      </c>
      <c r="M339" s="5">
        <f t="shared" si="567"/>
        <v>0</v>
      </c>
      <c r="N339" s="5">
        <f t="shared" si="567"/>
        <v>3856.26</v>
      </c>
      <c r="O339" s="5">
        <f t="shared" si="567"/>
        <v>0</v>
      </c>
      <c r="P339" s="5">
        <f t="shared" ref="P339" si="568">$C338*P338</f>
        <v>0</v>
      </c>
      <c r="Q339" s="5">
        <f t="shared" ref="Q339" si="569">$C338*Q338</f>
        <v>0</v>
      </c>
      <c r="R339" s="5">
        <f t="shared" ref="R339:AB339" si="570">$C338*R338</f>
        <v>0</v>
      </c>
      <c r="S339" s="5">
        <f t="shared" si="570"/>
        <v>0</v>
      </c>
      <c r="T339" s="5">
        <f t="shared" si="570"/>
        <v>0</v>
      </c>
      <c r="U339" s="5">
        <f t="shared" si="570"/>
        <v>0</v>
      </c>
      <c r="V339" s="5">
        <f t="shared" si="570"/>
        <v>0</v>
      </c>
      <c r="W339" s="5">
        <f t="shared" si="570"/>
        <v>0</v>
      </c>
      <c r="X339" s="5">
        <f t="shared" si="570"/>
        <v>0</v>
      </c>
      <c r="Y339" s="5">
        <f t="shared" si="570"/>
        <v>0</v>
      </c>
      <c r="Z339" s="5">
        <f t="shared" si="570"/>
        <v>0</v>
      </c>
      <c r="AA339" s="5">
        <f t="shared" si="570"/>
        <v>0</v>
      </c>
      <c r="AB339" s="5">
        <f t="shared" si="570"/>
        <v>0</v>
      </c>
      <c r="AC339" s="56"/>
      <c r="AD339" s="23"/>
    </row>
    <row r="340" spans="1:30" s="14" customFormat="1">
      <c r="A340" s="78" t="s">
        <v>172</v>
      </c>
      <c r="B340" s="26">
        <v>1918568.1248999999</v>
      </c>
      <c r="C340" s="130">
        <f t="shared" si="498"/>
        <v>159880.68</v>
      </c>
      <c r="D340" s="34">
        <v>2.2000000000000001E-3</v>
      </c>
      <c r="E340" s="34"/>
      <c r="F340" s="34"/>
      <c r="G340" s="34"/>
      <c r="H340" s="34">
        <v>7.9000000000000001E-2</v>
      </c>
      <c r="I340" s="34"/>
      <c r="J340" s="34"/>
      <c r="K340" s="34"/>
      <c r="L340" s="34"/>
      <c r="M340" s="34">
        <v>5.8999999999999999E-3</v>
      </c>
      <c r="N340" s="34">
        <v>0.75580000000000003</v>
      </c>
      <c r="O340" s="34"/>
      <c r="P340" s="34"/>
      <c r="Q340" s="34"/>
      <c r="R340" s="34">
        <v>2.2000000000000001E-3</v>
      </c>
      <c r="S340" s="34"/>
      <c r="T340" s="34">
        <v>7.3000000000000001E-3</v>
      </c>
      <c r="U340" s="34"/>
      <c r="V340" s="34">
        <v>0.14760000000000001</v>
      </c>
      <c r="W340" s="34"/>
      <c r="X340" s="34"/>
      <c r="Y340" s="34"/>
      <c r="Z340" s="34"/>
      <c r="AA340" s="34"/>
      <c r="AB340" s="34"/>
      <c r="AC340" s="56"/>
      <c r="AD340" s="23"/>
    </row>
    <row r="341" spans="1:30" s="14" customFormat="1">
      <c r="A341" s="79"/>
      <c r="B341" s="168"/>
      <c r="C341" s="130"/>
      <c r="D341" s="5">
        <f t="shared" ref="D341" si="571">$C340*D340</f>
        <v>351.73749600000002</v>
      </c>
      <c r="E341" s="5">
        <f t="shared" ref="E341" si="572">$C340*E340</f>
        <v>0</v>
      </c>
      <c r="F341" s="5">
        <f t="shared" ref="F341:AB341" si="573">$C340*F340</f>
        <v>0</v>
      </c>
      <c r="G341" s="5">
        <f t="shared" si="573"/>
        <v>0</v>
      </c>
      <c r="H341" s="5">
        <f t="shared" si="573"/>
        <v>12630.57372</v>
      </c>
      <c r="I341" s="5">
        <f t="shared" si="573"/>
        <v>0</v>
      </c>
      <c r="J341" s="5">
        <f t="shared" si="573"/>
        <v>0</v>
      </c>
      <c r="K341" s="5">
        <f t="shared" si="573"/>
        <v>0</v>
      </c>
      <c r="L341" s="5">
        <f t="shared" si="573"/>
        <v>0</v>
      </c>
      <c r="M341" s="5">
        <f t="shared" si="573"/>
        <v>943.29601199999991</v>
      </c>
      <c r="N341" s="5">
        <f t="shared" si="573"/>
        <v>120837.81794399999</v>
      </c>
      <c r="O341" s="5">
        <f t="shared" si="573"/>
        <v>0</v>
      </c>
      <c r="P341" s="5">
        <f t="shared" si="573"/>
        <v>0</v>
      </c>
      <c r="Q341" s="5">
        <f t="shared" si="573"/>
        <v>0</v>
      </c>
      <c r="R341" s="5">
        <f t="shared" si="573"/>
        <v>351.73749600000002</v>
      </c>
      <c r="S341" s="5">
        <f t="shared" si="573"/>
        <v>0</v>
      </c>
      <c r="T341" s="5">
        <f t="shared" si="573"/>
        <v>1167.128964</v>
      </c>
      <c r="U341" s="5">
        <f t="shared" si="573"/>
        <v>0</v>
      </c>
      <c r="V341" s="5">
        <f t="shared" si="573"/>
        <v>23598.388368</v>
      </c>
      <c r="W341" s="5">
        <f t="shared" si="573"/>
        <v>0</v>
      </c>
      <c r="X341" s="5">
        <f t="shared" si="573"/>
        <v>0</v>
      </c>
      <c r="Y341" s="5">
        <f t="shared" si="573"/>
        <v>0</v>
      </c>
      <c r="Z341" s="5">
        <f t="shared" si="573"/>
        <v>0</v>
      </c>
      <c r="AA341" s="5">
        <f t="shared" si="573"/>
        <v>0</v>
      </c>
      <c r="AB341" s="5">
        <f t="shared" si="573"/>
        <v>0</v>
      </c>
      <c r="AC341" s="56"/>
      <c r="AD341" s="23"/>
    </row>
    <row r="342" spans="1:30" s="14" customFormat="1">
      <c r="A342" s="78" t="s">
        <v>173</v>
      </c>
      <c r="B342" s="26">
        <f>163715.5411/2</f>
        <v>81857.770550000001</v>
      </c>
      <c r="C342" s="130">
        <f t="shared" si="498"/>
        <v>6821.48</v>
      </c>
      <c r="D342" s="35">
        <v>1.6299999999999999E-2</v>
      </c>
      <c r="E342" s="35">
        <v>0.14269999999999999</v>
      </c>
      <c r="F342" s="35">
        <v>5.8900000000000001E-2</v>
      </c>
      <c r="G342" s="35">
        <v>7.6200000000000004E-2</v>
      </c>
      <c r="H342" s="35">
        <v>3.9600000000000003E-2</v>
      </c>
      <c r="I342" s="35">
        <v>0.12470000000000001</v>
      </c>
      <c r="J342" s="35">
        <v>2.0400000000000001E-2</v>
      </c>
      <c r="K342" s="35">
        <v>3.1199999999999999E-2</v>
      </c>
      <c r="L342" s="35">
        <v>1.6199999999999999E-2</v>
      </c>
      <c r="M342" s="35">
        <v>2.53E-2</v>
      </c>
      <c r="N342" s="35">
        <v>0.14849999999999999</v>
      </c>
      <c r="O342" s="35">
        <v>2.2599999999999999E-2</v>
      </c>
      <c r="P342" s="35">
        <v>0</v>
      </c>
      <c r="Q342" s="35">
        <v>3.78E-2</v>
      </c>
      <c r="R342" s="35">
        <v>1.8100000000000002E-2</v>
      </c>
      <c r="S342" s="35">
        <v>4.1000000000000003E-3</v>
      </c>
      <c r="T342" s="35">
        <v>5.04E-2</v>
      </c>
      <c r="U342" s="35">
        <v>1.7500000000000002E-2</v>
      </c>
      <c r="V342" s="35">
        <v>3.6200000000000003E-2</v>
      </c>
      <c r="W342" s="35">
        <v>4.8500000000000001E-2</v>
      </c>
      <c r="X342" s="35">
        <v>6.1600000000000002E-2</v>
      </c>
      <c r="Y342" s="35">
        <v>2.5000000000000001E-3</v>
      </c>
      <c r="Z342" s="4">
        <v>0</v>
      </c>
      <c r="AA342" s="4">
        <v>6.9999999999999999E-4</v>
      </c>
      <c r="AB342" s="4">
        <v>0</v>
      </c>
      <c r="AC342" s="56"/>
      <c r="AD342" s="23"/>
    </row>
    <row r="343" spans="1:30" s="14" customFormat="1">
      <c r="A343" s="79"/>
      <c r="B343" s="27"/>
      <c r="C343" s="130"/>
      <c r="D343" s="5">
        <f t="shared" ref="D343" si="574">$C342*D342</f>
        <v>111.19012399999998</v>
      </c>
      <c r="E343" s="5">
        <f t="shared" ref="E343" si="575">$C342*E342</f>
        <v>973.42519599999991</v>
      </c>
      <c r="F343" s="5">
        <f t="shared" ref="F343:O343" si="576">$C342*F342</f>
        <v>401.78517199999999</v>
      </c>
      <c r="G343" s="5">
        <f t="shared" si="576"/>
        <v>519.79677600000002</v>
      </c>
      <c r="H343" s="5">
        <f t="shared" si="576"/>
        <v>270.130608</v>
      </c>
      <c r="I343" s="5">
        <f t="shared" si="576"/>
        <v>850.63855599999999</v>
      </c>
      <c r="J343" s="5">
        <f t="shared" si="576"/>
        <v>139.15819200000001</v>
      </c>
      <c r="K343" s="5">
        <f t="shared" si="576"/>
        <v>212.83017599999997</v>
      </c>
      <c r="L343" s="5">
        <f t="shared" si="576"/>
        <v>110.50797599999999</v>
      </c>
      <c r="M343" s="5">
        <f t="shared" si="576"/>
        <v>172.58344399999999</v>
      </c>
      <c r="N343" s="5">
        <f t="shared" si="576"/>
        <v>1012.9897799999999</v>
      </c>
      <c r="O343" s="5">
        <f t="shared" si="576"/>
        <v>154.16544799999997</v>
      </c>
      <c r="P343" s="5">
        <f t="shared" ref="P343" si="577">$C342*P342</f>
        <v>0</v>
      </c>
      <c r="Q343" s="5">
        <f t="shared" ref="Q343" si="578">$C342*Q342</f>
        <v>257.851944</v>
      </c>
      <c r="R343" s="5">
        <f t="shared" ref="R343:AB343" si="579">$C342*R342</f>
        <v>123.468788</v>
      </c>
      <c r="S343" s="5">
        <f t="shared" si="579"/>
        <v>27.968067999999999</v>
      </c>
      <c r="T343" s="5">
        <f t="shared" si="579"/>
        <v>343.802592</v>
      </c>
      <c r="U343" s="5">
        <f t="shared" si="579"/>
        <v>119.3759</v>
      </c>
      <c r="V343" s="5">
        <f t="shared" si="579"/>
        <v>246.93757600000001</v>
      </c>
      <c r="W343" s="5">
        <f t="shared" si="579"/>
        <v>330.84177999999997</v>
      </c>
      <c r="X343" s="5">
        <f t="shared" si="579"/>
        <v>420.20316800000001</v>
      </c>
      <c r="Y343" s="5">
        <f t="shared" si="579"/>
        <v>17.053699999999999</v>
      </c>
      <c r="Z343" s="5">
        <f t="shared" si="579"/>
        <v>0</v>
      </c>
      <c r="AA343" s="5">
        <f t="shared" si="579"/>
        <v>4.7750360000000001</v>
      </c>
      <c r="AB343" s="5">
        <f t="shared" si="579"/>
        <v>0</v>
      </c>
      <c r="AC343" s="56"/>
      <c r="AD343" s="23"/>
    </row>
    <row r="344" spans="1:30" s="14" customFormat="1">
      <c r="A344" s="78" t="s">
        <v>416</v>
      </c>
      <c r="B344" s="26">
        <f>163715.5411/2</f>
        <v>81857.770550000001</v>
      </c>
      <c r="C344" s="130">
        <f t="shared" si="498"/>
        <v>6821.48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>
        <v>1</v>
      </c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56"/>
      <c r="AD344" s="23"/>
    </row>
    <row r="345" spans="1:30" s="14" customFormat="1">
      <c r="A345" s="79"/>
      <c r="B345" s="9"/>
      <c r="C345" s="130"/>
      <c r="D345" s="5">
        <f t="shared" ref="D345" si="580">$C344*D344</f>
        <v>0</v>
      </c>
      <c r="E345" s="5">
        <f t="shared" ref="E345" si="581">$C344*E344</f>
        <v>0</v>
      </c>
      <c r="F345" s="5">
        <f t="shared" ref="F345:O345" si="582">$C344*F344</f>
        <v>0</v>
      </c>
      <c r="G345" s="5">
        <f t="shared" si="582"/>
        <v>0</v>
      </c>
      <c r="H345" s="5">
        <f t="shared" si="582"/>
        <v>0</v>
      </c>
      <c r="I345" s="5">
        <f t="shared" si="582"/>
        <v>0</v>
      </c>
      <c r="J345" s="5">
        <f t="shared" si="582"/>
        <v>0</v>
      </c>
      <c r="K345" s="5">
        <f t="shared" si="582"/>
        <v>0</v>
      </c>
      <c r="L345" s="5">
        <f t="shared" si="582"/>
        <v>0</v>
      </c>
      <c r="M345" s="5">
        <f t="shared" si="582"/>
        <v>0</v>
      </c>
      <c r="N345" s="5">
        <f t="shared" si="582"/>
        <v>6821.48</v>
      </c>
      <c r="O345" s="5">
        <f t="shared" si="582"/>
        <v>0</v>
      </c>
      <c r="P345" s="5">
        <f t="shared" ref="P345" si="583">$C344*P344</f>
        <v>0</v>
      </c>
      <c r="Q345" s="5">
        <f t="shared" ref="Q345" si="584">$C344*Q344</f>
        <v>0</v>
      </c>
      <c r="R345" s="5">
        <f t="shared" ref="R345:AB345" si="585">$C344*R344</f>
        <v>0</v>
      </c>
      <c r="S345" s="5">
        <f t="shared" si="585"/>
        <v>0</v>
      </c>
      <c r="T345" s="5">
        <f t="shared" si="585"/>
        <v>0</v>
      </c>
      <c r="U345" s="5">
        <f t="shared" si="585"/>
        <v>0</v>
      </c>
      <c r="V345" s="5">
        <f t="shared" si="585"/>
        <v>0</v>
      </c>
      <c r="W345" s="5">
        <f t="shared" si="585"/>
        <v>0</v>
      </c>
      <c r="X345" s="5">
        <f t="shared" si="585"/>
        <v>0</v>
      </c>
      <c r="Y345" s="5">
        <f t="shared" si="585"/>
        <v>0</v>
      </c>
      <c r="Z345" s="5">
        <f t="shared" si="585"/>
        <v>0</v>
      </c>
      <c r="AA345" s="5">
        <f t="shared" si="585"/>
        <v>0</v>
      </c>
      <c r="AB345" s="5">
        <f t="shared" si="585"/>
        <v>0</v>
      </c>
      <c r="AC345" s="56"/>
      <c r="AD345" s="23"/>
    </row>
    <row r="346" spans="1:30" s="14" customFormat="1">
      <c r="A346" s="81" t="s">
        <v>174</v>
      </c>
      <c r="B346" s="26">
        <v>4367515.9653000003</v>
      </c>
      <c r="C346" s="130">
        <f>ROUND(B346/12,2)</f>
        <v>363959.66</v>
      </c>
      <c r="D346" s="4"/>
      <c r="E346" s="4"/>
      <c r="F346" s="4"/>
      <c r="G346" s="4"/>
      <c r="H346" s="4">
        <v>8.5000000000000006E-3</v>
      </c>
      <c r="I346" s="4"/>
      <c r="J346" s="4"/>
      <c r="K346" s="4"/>
      <c r="L346" s="4"/>
      <c r="M346" s="4"/>
      <c r="N346" s="4">
        <v>0.97960000000000003</v>
      </c>
      <c r="O346" s="4"/>
      <c r="P346" s="4"/>
      <c r="Q346" s="4"/>
      <c r="R346" s="4"/>
      <c r="S346" s="4"/>
      <c r="T346" s="4"/>
      <c r="U346" s="4"/>
      <c r="V346" s="4">
        <v>1.1900000000000001E-2</v>
      </c>
      <c r="W346" s="4"/>
      <c r="X346" s="4"/>
      <c r="Y346" s="4"/>
      <c r="Z346" s="4"/>
      <c r="AA346" s="4"/>
      <c r="AB346" s="4"/>
      <c r="AC346" s="56"/>
      <c r="AD346" s="23"/>
    </row>
    <row r="347" spans="1:30" s="14" customFormat="1">
      <c r="A347" s="79"/>
      <c r="B347" s="168"/>
      <c r="C347" s="130"/>
      <c r="D347" s="5">
        <f>$C346*D346</f>
        <v>0</v>
      </c>
      <c r="E347" s="5">
        <f t="shared" ref="E347" si="586">$C346*E346</f>
        <v>0</v>
      </c>
      <c r="F347" s="5">
        <f t="shared" ref="F347" si="587">$C346*F346</f>
        <v>0</v>
      </c>
      <c r="G347" s="5">
        <f t="shared" ref="G347:AB347" si="588">$C346*G346</f>
        <v>0</v>
      </c>
      <c r="H347" s="5">
        <f t="shared" si="588"/>
        <v>3093.6571100000001</v>
      </c>
      <c r="I347" s="5">
        <f t="shared" si="588"/>
        <v>0</v>
      </c>
      <c r="J347" s="5">
        <f t="shared" si="588"/>
        <v>0</v>
      </c>
      <c r="K347" s="5">
        <f t="shared" si="588"/>
        <v>0</v>
      </c>
      <c r="L347" s="5">
        <f t="shared" si="588"/>
        <v>0</v>
      </c>
      <c r="M347" s="5">
        <f t="shared" si="588"/>
        <v>0</v>
      </c>
      <c r="N347" s="5">
        <f t="shared" si="588"/>
        <v>356534.88293600001</v>
      </c>
      <c r="O347" s="5">
        <f t="shared" si="588"/>
        <v>0</v>
      </c>
      <c r="P347" s="5">
        <f t="shared" si="588"/>
        <v>0</v>
      </c>
      <c r="Q347" s="5">
        <f t="shared" si="588"/>
        <v>0</v>
      </c>
      <c r="R347" s="5">
        <f t="shared" si="588"/>
        <v>0</v>
      </c>
      <c r="S347" s="5">
        <f t="shared" si="588"/>
        <v>0</v>
      </c>
      <c r="T347" s="5">
        <f t="shared" si="588"/>
        <v>0</v>
      </c>
      <c r="U347" s="5">
        <f t="shared" si="588"/>
        <v>0</v>
      </c>
      <c r="V347" s="5">
        <f t="shared" si="588"/>
        <v>4331.1199539999998</v>
      </c>
      <c r="W347" s="5">
        <f t="shared" si="588"/>
        <v>0</v>
      </c>
      <c r="X347" s="5">
        <f t="shared" si="588"/>
        <v>0</v>
      </c>
      <c r="Y347" s="5">
        <f t="shared" si="588"/>
        <v>0</v>
      </c>
      <c r="Z347" s="5">
        <f t="shared" si="588"/>
        <v>0</v>
      </c>
      <c r="AA347" s="5">
        <f t="shared" si="588"/>
        <v>0</v>
      </c>
      <c r="AB347" s="5">
        <f t="shared" si="588"/>
        <v>0</v>
      </c>
      <c r="AC347" s="56"/>
      <c r="AD347" s="23"/>
    </row>
    <row r="348" spans="1:30" s="14" customFormat="1">
      <c r="A348" s="78" t="s">
        <v>175</v>
      </c>
      <c r="B348" s="26">
        <f>455961.0679/2</f>
        <v>227980.53395000001</v>
      </c>
      <c r="C348" s="130">
        <f t="shared" si="498"/>
        <v>18998.38</v>
      </c>
      <c r="D348" s="35">
        <v>1.6299999999999999E-2</v>
      </c>
      <c r="E348" s="35">
        <v>0.14269999999999999</v>
      </c>
      <c r="F348" s="35">
        <v>5.8900000000000001E-2</v>
      </c>
      <c r="G348" s="35">
        <v>7.6200000000000004E-2</v>
      </c>
      <c r="H348" s="35">
        <v>3.9600000000000003E-2</v>
      </c>
      <c r="I348" s="35">
        <v>0.12470000000000001</v>
      </c>
      <c r="J348" s="35">
        <v>2.0400000000000001E-2</v>
      </c>
      <c r="K348" s="35">
        <v>3.1199999999999999E-2</v>
      </c>
      <c r="L348" s="35">
        <v>1.6199999999999999E-2</v>
      </c>
      <c r="M348" s="35">
        <v>2.53E-2</v>
      </c>
      <c r="N348" s="35">
        <v>0.14849999999999999</v>
      </c>
      <c r="O348" s="35">
        <v>2.2599999999999999E-2</v>
      </c>
      <c r="P348" s="35">
        <v>0</v>
      </c>
      <c r="Q348" s="35">
        <v>3.78E-2</v>
      </c>
      <c r="R348" s="35">
        <v>1.8100000000000002E-2</v>
      </c>
      <c r="S348" s="35">
        <v>4.1000000000000003E-3</v>
      </c>
      <c r="T348" s="35">
        <v>5.04E-2</v>
      </c>
      <c r="U348" s="35">
        <v>1.7500000000000002E-2</v>
      </c>
      <c r="V348" s="35">
        <v>3.6200000000000003E-2</v>
      </c>
      <c r="W348" s="35">
        <v>4.8500000000000001E-2</v>
      </c>
      <c r="X348" s="35">
        <v>6.1600000000000002E-2</v>
      </c>
      <c r="Y348" s="35">
        <v>2.5000000000000001E-3</v>
      </c>
      <c r="Z348" s="4">
        <v>0</v>
      </c>
      <c r="AA348" s="4">
        <v>6.9999999999999999E-4</v>
      </c>
      <c r="AB348" s="4">
        <v>0</v>
      </c>
      <c r="AC348" s="56"/>
      <c r="AD348" s="23"/>
    </row>
    <row r="349" spans="1:30" s="14" customFormat="1">
      <c r="A349" s="79"/>
      <c r="B349" s="27"/>
      <c r="C349" s="130"/>
      <c r="D349" s="5">
        <f t="shared" ref="D349" si="589">$C348*D348</f>
        <v>309.67359399999998</v>
      </c>
      <c r="E349" s="5">
        <f t="shared" ref="E349" si="590">$C348*E348</f>
        <v>2711.0688260000002</v>
      </c>
      <c r="F349" s="5">
        <f t="shared" ref="F349:O349" si="591">$C348*F348</f>
        <v>1119.004582</v>
      </c>
      <c r="G349" s="5">
        <f t="shared" si="591"/>
        <v>1447.6765560000001</v>
      </c>
      <c r="H349" s="5">
        <f t="shared" si="591"/>
        <v>752.33584800000006</v>
      </c>
      <c r="I349" s="5">
        <f t="shared" si="591"/>
        <v>2369.0979860000002</v>
      </c>
      <c r="J349" s="5">
        <f t="shared" si="591"/>
        <v>387.56695200000007</v>
      </c>
      <c r="K349" s="5">
        <f t="shared" si="591"/>
        <v>592.74945600000001</v>
      </c>
      <c r="L349" s="5">
        <f t="shared" si="591"/>
        <v>307.77375599999999</v>
      </c>
      <c r="M349" s="5">
        <f t="shared" si="591"/>
        <v>480.65901400000001</v>
      </c>
      <c r="N349" s="5">
        <f t="shared" si="591"/>
        <v>2821.2594300000001</v>
      </c>
      <c r="O349" s="5">
        <f t="shared" si="591"/>
        <v>429.36338799999999</v>
      </c>
      <c r="P349" s="5">
        <f t="shared" ref="P349" si="592">$C348*P348</f>
        <v>0</v>
      </c>
      <c r="Q349" s="5">
        <f t="shared" ref="Q349" si="593">$C348*Q348</f>
        <v>718.13876400000004</v>
      </c>
      <c r="R349" s="5">
        <f t="shared" ref="R349:AB349" si="594">$C348*R348</f>
        <v>343.87067800000005</v>
      </c>
      <c r="S349" s="5">
        <f t="shared" si="594"/>
        <v>77.893358000000006</v>
      </c>
      <c r="T349" s="5">
        <f t="shared" si="594"/>
        <v>957.51835200000005</v>
      </c>
      <c r="U349" s="5">
        <f t="shared" si="594"/>
        <v>332.47165000000007</v>
      </c>
      <c r="V349" s="5">
        <f t="shared" si="594"/>
        <v>687.74135600000011</v>
      </c>
      <c r="W349" s="5">
        <f t="shared" si="594"/>
        <v>921.4214300000001</v>
      </c>
      <c r="X349" s="5">
        <f t="shared" si="594"/>
        <v>1170.3002080000001</v>
      </c>
      <c r="Y349" s="5">
        <f t="shared" si="594"/>
        <v>47.495950000000001</v>
      </c>
      <c r="Z349" s="5">
        <f t="shared" si="594"/>
        <v>0</v>
      </c>
      <c r="AA349" s="5">
        <f t="shared" si="594"/>
        <v>13.298866</v>
      </c>
      <c r="AB349" s="5">
        <f t="shared" si="594"/>
        <v>0</v>
      </c>
      <c r="AC349" s="56"/>
      <c r="AD349" s="23"/>
    </row>
    <row r="350" spans="1:30" s="14" customFormat="1">
      <c r="A350" s="78" t="s">
        <v>417</v>
      </c>
      <c r="B350" s="26">
        <f>455961.0679/2</f>
        <v>227980.53395000001</v>
      </c>
      <c r="C350" s="130">
        <f t="shared" si="498"/>
        <v>18998.38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>
        <v>1</v>
      </c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56"/>
      <c r="AD350" s="23"/>
    </row>
    <row r="351" spans="1:30" s="14" customFormat="1">
      <c r="A351" s="79"/>
      <c r="B351" s="9"/>
      <c r="C351" s="130"/>
      <c r="D351" s="5">
        <f t="shared" ref="D351" si="595">$C350*D350</f>
        <v>0</v>
      </c>
      <c r="E351" s="5">
        <f t="shared" ref="E351" si="596">$C350*E350</f>
        <v>0</v>
      </c>
      <c r="F351" s="5">
        <f t="shared" ref="F351:O351" si="597">$C350*F350</f>
        <v>0</v>
      </c>
      <c r="G351" s="5">
        <f t="shared" si="597"/>
        <v>0</v>
      </c>
      <c r="H351" s="5">
        <f t="shared" si="597"/>
        <v>0</v>
      </c>
      <c r="I351" s="5">
        <f t="shared" si="597"/>
        <v>0</v>
      </c>
      <c r="J351" s="5">
        <f t="shared" si="597"/>
        <v>0</v>
      </c>
      <c r="K351" s="5">
        <f t="shared" si="597"/>
        <v>0</v>
      </c>
      <c r="L351" s="5">
        <f t="shared" si="597"/>
        <v>0</v>
      </c>
      <c r="M351" s="5">
        <f t="shared" si="597"/>
        <v>0</v>
      </c>
      <c r="N351" s="5">
        <f t="shared" si="597"/>
        <v>18998.38</v>
      </c>
      <c r="O351" s="5">
        <f t="shared" si="597"/>
        <v>0</v>
      </c>
      <c r="P351" s="5">
        <f t="shared" ref="P351" si="598">$C350*P350</f>
        <v>0</v>
      </c>
      <c r="Q351" s="5">
        <f t="shared" ref="Q351" si="599">$C350*Q350</f>
        <v>0</v>
      </c>
      <c r="R351" s="5">
        <f t="shared" ref="R351:AB351" si="600">$C350*R350</f>
        <v>0</v>
      </c>
      <c r="S351" s="5">
        <f t="shared" si="600"/>
        <v>0</v>
      </c>
      <c r="T351" s="5">
        <f t="shared" si="600"/>
        <v>0</v>
      </c>
      <c r="U351" s="5">
        <f t="shared" si="600"/>
        <v>0</v>
      </c>
      <c r="V351" s="5">
        <f t="shared" si="600"/>
        <v>0</v>
      </c>
      <c r="W351" s="5">
        <f t="shared" si="600"/>
        <v>0</v>
      </c>
      <c r="X351" s="5">
        <f t="shared" si="600"/>
        <v>0</v>
      </c>
      <c r="Y351" s="5">
        <f t="shared" si="600"/>
        <v>0</v>
      </c>
      <c r="Z351" s="5">
        <f t="shared" si="600"/>
        <v>0</v>
      </c>
      <c r="AA351" s="5">
        <f t="shared" si="600"/>
        <v>0</v>
      </c>
      <c r="AB351" s="5">
        <f t="shared" si="600"/>
        <v>0</v>
      </c>
      <c r="AC351" s="56"/>
      <c r="AD351" s="23"/>
    </row>
    <row r="352" spans="1:30" s="14" customFormat="1">
      <c r="A352" s="78" t="s">
        <v>176</v>
      </c>
      <c r="B352" s="26">
        <f>2027389.6815/2</f>
        <v>1013694.84075</v>
      </c>
      <c r="C352" s="130">
        <f t="shared" si="498"/>
        <v>84474.57</v>
      </c>
      <c r="D352" s="35">
        <v>1.6299999999999999E-2</v>
      </c>
      <c r="E352" s="35">
        <v>0.14269999999999999</v>
      </c>
      <c r="F352" s="35">
        <v>5.8900000000000001E-2</v>
      </c>
      <c r="G352" s="35">
        <v>7.6200000000000004E-2</v>
      </c>
      <c r="H352" s="35">
        <v>3.9600000000000003E-2</v>
      </c>
      <c r="I352" s="35">
        <v>0.12470000000000001</v>
      </c>
      <c r="J352" s="35">
        <v>2.0400000000000001E-2</v>
      </c>
      <c r="K352" s="35">
        <v>3.1199999999999999E-2</v>
      </c>
      <c r="L352" s="35">
        <v>1.6199999999999999E-2</v>
      </c>
      <c r="M352" s="35">
        <v>2.53E-2</v>
      </c>
      <c r="N352" s="35">
        <v>0.14849999999999999</v>
      </c>
      <c r="O352" s="35">
        <v>2.2599999999999999E-2</v>
      </c>
      <c r="P352" s="35">
        <v>0</v>
      </c>
      <c r="Q352" s="35">
        <v>3.78E-2</v>
      </c>
      <c r="R352" s="35">
        <v>1.8100000000000002E-2</v>
      </c>
      <c r="S352" s="35">
        <v>4.1000000000000003E-3</v>
      </c>
      <c r="T352" s="35">
        <v>5.04E-2</v>
      </c>
      <c r="U352" s="35">
        <v>1.7500000000000002E-2</v>
      </c>
      <c r="V352" s="35">
        <v>3.6200000000000003E-2</v>
      </c>
      <c r="W352" s="35">
        <v>4.8500000000000001E-2</v>
      </c>
      <c r="X352" s="35">
        <v>6.1600000000000002E-2</v>
      </c>
      <c r="Y352" s="35">
        <v>2.5000000000000001E-3</v>
      </c>
      <c r="Z352" s="4">
        <v>0</v>
      </c>
      <c r="AA352" s="4">
        <v>6.9999999999999999E-4</v>
      </c>
      <c r="AB352" s="4">
        <v>0</v>
      </c>
      <c r="AC352" s="56"/>
      <c r="AD352" s="23"/>
    </row>
    <row r="353" spans="1:30" s="14" customFormat="1">
      <c r="A353" s="79"/>
      <c r="B353" s="27"/>
      <c r="C353" s="130"/>
      <c r="D353" s="5">
        <f t="shared" ref="D353" si="601">$C352*D352</f>
        <v>1376.935491</v>
      </c>
      <c r="E353" s="5">
        <f t="shared" ref="E353" si="602">$C352*E352</f>
        <v>12054.521139</v>
      </c>
      <c r="F353" s="5">
        <f t="shared" ref="F353:O353" si="603">$C352*F352</f>
        <v>4975.552173</v>
      </c>
      <c r="G353" s="5">
        <f t="shared" si="603"/>
        <v>6436.9622340000005</v>
      </c>
      <c r="H353" s="5">
        <f t="shared" si="603"/>
        <v>3345.1929720000007</v>
      </c>
      <c r="I353" s="5">
        <f t="shared" si="603"/>
        <v>10533.978879000002</v>
      </c>
      <c r="J353" s="5">
        <f t="shared" si="603"/>
        <v>1723.2812280000003</v>
      </c>
      <c r="K353" s="5">
        <f t="shared" si="603"/>
        <v>2635.6065840000001</v>
      </c>
      <c r="L353" s="5">
        <f t="shared" si="603"/>
        <v>1368.488034</v>
      </c>
      <c r="M353" s="5">
        <f t="shared" si="603"/>
        <v>2137.2066210000003</v>
      </c>
      <c r="N353" s="5">
        <f t="shared" si="603"/>
        <v>12544.473645</v>
      </c>
      <c r="O353" s="5">
        <f t="shared" si="603"/>
        <v>1909.125282</v>
      </c>
      <c r="P353" s="5">
        <f t="shared" ref="P353" si="604">$C352*P352</f>
        <v>0</v>
      </c>
      <c r="Q353" s="5">
        <f t="shared" ref="Q353" si="605">$C352*Q352</f>
        <v>3193.1387460000001</v>
      </c>
      <c r="R353" s="5">
        <f t="shared" ref="R353:AB353" si="606">$C352*R352</f>
        <v>1528.9897170000002</v>
      </c>
      <c r="S353" s="5">
        <f t="shared" si="606"/>
        <v>346.34573700000004</v>
      </c>
      <c r="T353" s="5">
        <f t="shared" si="606"/>
        <v>4257.5183280000001</v>
      </c>
      <c r="U353" s="5">
        <f t="shared" si="606"/>
        <v>1478.3049750000002</v>
      </c>
      <c r="V353" s="5">
        <f t="shared" si="606"/>
        <v>3057.9794340000003</v>
      </c>
      <c r="W353" s="5">
        <f t="shared" si="606"/>
        <v>4097.0166450000006</v>
      </c>
      <c r="X353" s="5">
        <f t="shared" si="606"/>
        <v>5203.6335120000003</v>
      </c>
      <c r="Y353" s="5">
        <f t="shared" si="606"/>
        <v>211.18642500000001</v>
      </c>
      <c r="Z353" s="5">
        <f t="shared" si="606"/>
        <v>0</v>
      </c>
      <c r="AA353" s="5">
        <f t="shared" si="606"/>
        <v>59.132199000000007</v>
      </c>
      <c r="AB353" s="5">
        <f t="shared" si="606"/>
        <v>0</v>
      </c>
      <c r="AC353" s="56"/>
      <c r="AD353" s="23"/>
    </row>
    <row r="354" spans="1:30" s="14" customFormat="1">
      <c r="A354" s="78" t="s">
        <v>418</v>
      </c>
      <c r="B354" s="26">
        <f>2027389.6815/2</f>
        <v>1013694.84075</v>
      </c>
      <c r="C354" s="130">
        <f t="shared" si="498"/>
        <v>84474.57</v>
      </c>
      <c r="D354" s="4"/>
      <c r="E354" s="4"/>
      <c r="F354" s="4">
        <v>0</v>
      </c>
      <c r="G354" s="4"/>
      <c r="H354" s="4">
        <v>0</v>
      </c>
      <c r="I354" s="4"/>
      <c r="J354" s="4">
        <v>1.11E-2</v>
      </c>
      <c r="K354" s="4">
        <v>2.41E-2</v>
      </c>
      <c r="L354" s="4"/>
      <c r="M354" s="4"/>
      <c r="N354" s="4">
        <v>6.2199999999999998E-2</v>
      </c>
      <c r="O354" s="4">
        <v>8.3999999999999995E-3</v>
      </c>
      <c r="P354" s="4"/>
      <c r="Q354" s="4"/>
      <c r="R354" s="4"/>
      <c r="S354" s="4"/>
      <c r="T354" s="4"/>
      <c r="U354" s="4"/>
      <c r="V354" s="4">
        <v>0.89400000000000002</v>
      </c>
      <c r="W354" s="4"/>
      <c r="X354" s="4"/>
      <c r="Y354" s="4"/>
      <c r="Z354" s="4"/>
      <c r="AA354" s="4">
        <v>2.0000000000000001E-4</v>
      </c>
      <c r="AB354" s="4"/>
      <c r="AC354" s="56"/>
      <c r="AD354" s="23"/>
    </row>
    <row r="355" spans="1:30" s="14" customFormat="1">
      <c r="A355" s="79"/>
      <c r="B355" s="9"/>
      <c r="C355" s="130"/>
      <c r="D355" s="5">
        <f t="shared" ref="D355" si="607">$C354*D354</f>
        <v>0</v>
      </c>
      <c r="E355" s="5">
        <f t="shared" ref="E355" si="608">$C354*E354</f>
        <v>0</v>
      </c>
      <c r="F355" s="5">
        <f t="shared" ref="F355:O355" si="609">$C354*F354</f>
        <v>0</v>
      </c>
      <c r="G355" s="5">
        <f t="shared" si="609"/>
        <v>0</v>
      </c>
      <c r="H355" s="5">
        <f t="shared" si="609"/>
        <v>0</v>
      </c>
      <c r="I355" s="5">
        <f t="shared" si="609"/>
        <v>0</v>
      </c>
      <c r="J355" s="5">
        <f t="shared" si="609"/>
        <v>937.66772700000013</v>
      </c>
      <c r="K355" s="5">
        <f t="shared" si="609"/>
        <v>2035.8371370000002</v>
      </c>
      <c r="L355" s="5">
        <f t="shared" si="609"/>
        <v>0</v>
      </c>
      <c r="M355" s="5">
        <f t="shared" si="609"/>
        <v>0</v>
      </c>
      <c r="N355" s="5">
        <f t="shared" si="609"/>
        <v>5254.3182540000007</v>
      </c>
      <c r="O355" s="5">
        <f t="shared" si="609"/>
        <v>709.58638800000006</v>
      </c>
      <c r="P355" s="5">
        <f t="shared" ref="P355" si="610">$C354*P354</f>
        <v>0</v>
      </c>
      <c r="Q355" s="5">
        <f t="shared" ref="Q355" si="611">$C354*Q354</f>
        <v>0</v>
      </c>
      <c r="R355" s="5">
        <f t="shared" ref="R355:AB355" si="612">$C354*R354</f>
        <v>0</v>
      </c>
      <c r="S355" s="5">
        <f t="shared" si="612"/>
        <v>0</v>
      </c>
      <c r="T355" s="5">
        <f t="shared" si="612"/>
        <v>0</v>
      </c>
      <c r="U355" s="5">
        <f t="shared" si="612"/>
        <v>0</v>
      </c>
      <c r="V355" s="5">
        <f t="shared" si="612"/>
        <v>75520.265580000007</v>
      </c>
      <c r="W355" s="5">
        <f t="shared" si="612"/>
        <v>0</v>
      </c>
      <c r="X355" s="5">
        <f t="shared" si="612"/>
        <v>0</v>
      </c>
      <c r="Y355" s="5">
        <f t="shared" si="612"/>
        <v>0</v>
      </c>
      <c r="Z355" s="5">
        <f t="shared" si="612"/>
        <v>0</v>
      </c>
      <c r="AA355" s="5">
        <f t="shared" si="612"/>
        <v>16.894914000000004</v>
      </c>
      <c r="AB355" s="5">
        <f t="shared" si="612"/>
        <v>0</v>
      </c>
      <c r="AC355" s="56"/>
      <c r="AD355" s="23"/>
    </row>
    <row r="356" spans="1:30" s="14" customFormat="1">
      <c r="A356" s="78" t="s">
        <v>177</v>
      </c>
      <c r="B356" s="26">
        <f>2393392.0752/2</f>
        <v>1196696.0375999999</v>
      </c>
      <c r="C356" s="130">
        <f t="shared" si="498"/>
        <v>99724.67</v>
      </c>
      <c r="D356" s="35">
        <v>1.6299999999999999E-2</v>
      </c>
      <c r="E356" s="35">
        <v>0.14269999999999999</v>
      </c>
      <c r="F356" s="35">
        <v>5.8900000000000001E-2</v>
      </c>
      <c r="G356" s="35">
        <v>7.6200000000000004E-2</v>
      </c>
      <c r="H356" s="35">
        <v>3.9600000000000003E-2</v>
      </c>
      <c r="I356" s="35">
        <v>0.12470000000000001</v>
      </c>
      <c r="J356" s="35">
        <v>2.0400000000000001E-2</v>
      </c>
      <c r="K356" s="35">
        <v>3.1199999999999999E-2</v>
      </c>
      <c r="L356" s="35">
        <v>1.6199999999999999E-2</v>
      </c>
      <c r="M356" s="35">
        <v>2.53E-2</v>
      </c>
      <c r="N356" s="35">
        <v>0.14849999999999999</v>
      </c>
      <c r="O356" s="35">
        <v>2.2599999999999999E-2</v>
      </c>
      <c r="P356" s="35">
        <v>0</v>
      </c>
      <c r="Q356" s="35">
        <v>3.78E-2</v>
      </c>
      <c r="R356" s="35">
        <v>1.8100000000000002E-2</v>
      </c>
      <c r="S356" s="35">
        <v>4.1000000000000003E-3</v>
      </c>
      <c r="T356" s="35">
        <v>5.04E-2</v>
      </c>
      <c r="U356" s="35">
        <v>1.7500000000000002E-2</v>
      </c>
      <c r="V356" s="35">
        <v>3.6200000000000003E-2</v>
      </c>
      <c r="W356" s="35">
        <v>4.8500000000000001E-2</v>
      </c>
      <c r="X356" s="35">
        <v>6.1600000000000002E-2</v>
      </c>
      <c r="Y356" s="35">
        <v>2.5000000000000001E-3</v>
      </c>
      <c r="Z356" s="4">
        <v>0</v>
      </c>
      <c r="AA356" s="4">
        <v>6.9999999999999999E-4</v>
      </c>
      <c r="AB356" s="4">
        <v>0</v>
      </c>
      <c r="AC356" s="56"/>
      <c r="AD356" s="23"/>
    </row>
    <row r="357" spans="1:30" s="14" customFormat="1">
      <c r="A357" s="79"/>
      <c r="B357" s="27"/>
      <c r="C357" s="130"/>
      <c r="D357" s="5">
        <f t="shared" ref="D357" si="613">$C356*D356</f>
        <v>1625.5121209999998</v>
      </c>
      <c r="E357" s="5">
        <f t="shared" ref="E357" si="614">$C356*E356</f>
        <v>14230.710408999999</v>
      </c>
      <c r="F357" s="5">
        <f t="shared" ref="F357:O357" si="615">$C356*F356</f>
        <v>5873.7830629999999</v>
      </c>
      <c r="G357" s="5">
        <f t="shared" si="615"/>
        <v>7599.0198540000001</v>
      </c>
      <c r="H357" s="5">
        <f t="shared" si="615"/>
        <v>3949.0969320000004</v>
      </c>
      <c r="I357" s="5">
        <f t="shared" si="615"/>
        <v>12435.666349000001</v>
      </c>
      <c r="J357" s="5">
        <f t="shared" si="615"/>
        <v>2034.383268</v>
      </c>
      <c r="K357" s="5">
        <f t="shared" si="615"/>
        <v>3111.4097039999997</v>
      </c>
      <c r="L357" s="5">
        <f t="shared" si="615"/>
        <v>1615.5396539999999</v>
      </c>
      <c r="M357" s="5">
        <f t="shared" si="615"/>
        <v>2523.0341509999998</v>
      </c>
      <c r="N357" s="5">
        <f t="shared" si="615"/>
        <v>14809.113495</v>
      </c>
      <c r="O357" s="5">
        <f t="shared" si="615"/>
        <v>2253.7775419999998</v>
      </c>
      <c r="P357" s="5">
        <f t="shared" ref="P357" si="616">$C356*P356</f>
        <v>0</v>
      </c>
      <c r="Q357" s="5">
        <f t="shared" ref="Q357" si="617">$C356*Q356</f>
        <v>3769.5925259999999</v>
      </c>
      <c r="R357" s="5">
        <f t="shared" ref="R357:AB357" si="618">$C356*R356</f>
        <v>1805.0165270000002</v>
      </c>
      <c r="S357" s="5">
        <f t="shared" si="618"/>
        <v>408.87114700000001</v>
      </c>
      <c r="T357" s="5">
        <f t="shared" si="618"/>
        <v>5026.1233679999996</v>
      </c>
      <c r="U357" s="5">
        <f t="shared" si="618"/>
        <v>1745.1817250000001</v>
      </c>
      <c r="V357" s="5">
        <f t="shared" si="618"/>
        <v>3610.0330540000004</v>
      </c>
      <c r="W357" s="5">
        <f t="shared" si="618"/>
        <v>4836.646495</v>
      </c>
      <c r="X357" s="5">
        <f t="shared" si="618"/>
        <v>6143.0396719999999</v>
      </c>
      <c r="Y357" s="5">
        <f t="shared" si="618"/>
        <v>249.31167500000001</v>
      </c>
      <c r="Z357" s="5">
        <f t="shared" si="618"/>
        <v>0</v>
      </c>
      <c r="AA357" s="5">
        <f t="shared" si="618"/>
        <v>69.807269000000005</v>
      </c>
      <c r="AB357" s="5">
        <f t="shared" si="618"/>
        <v>0</v>
      </c>
      <c r="AC357" s="56"/>
      <c r="AD357" s="23"/>
    </row>
    <row r="358" spans="1:30" s="14" customFormat="1">
      <c r="A358" s="78" t="s">
        <v>419</v>
      </c>
      <c r="B358" s="26">
        <f>2393392.0752/2</f>
        <v>1196696.0375999999</v>
      </c>
      <c r="C358" s="130">
        <f t="shared" si="498"/>
        <v>99724.67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>
        <v>0.89</v>
      </c>
      <c r="O358" s="4"/>
      <c r="P358" s="4"/>
      <c r="Q358" s="4"/>
      <c r="R358" s="4"/>
      <c r="S358" s="4"/>
      <c r="T358" s="4"/>
      <c r="U358" s="4"/>
      <c r="V358" s="4">
        <v>0.11</v>
      </c>
      <c r="W358" s="4"/>
      <c r="X358" s="4"/>
      <c r="Y358" s="4"/>
      <c r="Z358" s="4"/>
      <c r="AA358" s="4"/>
      <c r="AB358" s="4"/>
      <c r="AC358" s="56"/>
      <c r="AD358" s="23"/>
    </row>
    <row r="359" spans="1:30" s="14" customFormat="1">
      <c r="A359" s="79"/>
      <c r="B359" s="9"/>
      <c r="C359" s="130"/>
      <c r="D359" s="5">
        <f t="shared" ref="D359" si="619">$C358*D358</f>
        <v>0</v>
      </c>
      <c r="E359" s="5">
        <f t="shared" ref="E359" si="620">$C358*E358</f>
        <v>0</v>
      </c>
      <c r="F359" s="5">
        <f t="shared" ref="F359:O359" si="621">$C358*F358</f>
        <v>0</v>
      </c>
      <c r="G359" s="5">
        <f t="shared" si="621"/>
        <v>0</v>
      </c>
      <c r="H359" s="5">
        <f t="shared" si="621"/>
        <v>0</v>
      </c>
      <c r="I359" s="5">
        <f t="shared" si="621"/>
        <v>0</v>
      </c>
      <c r="J359" s="5">
        <f t="shared" si="621"/>
        <v>0</v>
      </c>
      <c r="K359" s="5">
        <f t="shared" si="621"/>
        <v>0</v>
      </c>
      <c r="L359" s="5">
        <f t="shared" si="621"/>
        <v>0</v>
      </c>
      <c r="M359" s="5">
        <f t="shared" si="621"/>
        <v>0</v>
      </c>
      <c r="N359" s="5">
        <f t="shared" si="621"/>
        <v>88754.956300000005</v>
      </c>
      <c r="O359" s="5">
        <f t="shared" si="621"/>
        <v>0</v>
      </c>
      <c r="P359" s="5">
        <f t="shared" ref="P359" si="622">$C358*P358</f>
        <v>0</v>
      </c>
      <c r="Q359" s="5">
        <f t="shared" ref="Q359" si="623">$C358*Q358</f>
        <v>0</v>
      </c>
      <c r="R359" s="5">
        <f t="shared" ref="R359:AB359" si="624">$C358*R358</f>
        <v>0</v>
      </c>
      <c r="S359" s="5">
        <f t="shared" si="624"/>
        <v>0</v>
      </c>
      <c r="T359" s="5">
        <f t="shared" si="624"/>
        <v>0</v>
      </c>
      <c r="U359" s="5">
        <f t="shared" si="624"/>
        <v>0</v>
      </c>
      <c r="V359" s="5">
        <f t="shared" si="624"/>
        <v>10969.7137</v>
      </c>
      <c r="W359" s="5">
        <f t="shared" si="624"/>
        <v>0</v>
      </c>
      <c r="X359" s="5">
        <f t="shared" si="624"/>
        <v>0</v>
      </c>
      <c r="Y359" s="5">
        <f t="shared" si="624"/>
        <v>0</v>
      </c>
      <c r="Z359" s="5">
        <f t="shared" si="624"/>
        <v>0</v>
      </c>
      <c r="AA359" s="5">
        <f t="shared" si="624"/>
        <v>0</v>
      </c>
      <c r="AB359" s="5">
        <f t="shared" si="624"/>
        <v>0</v>
      </c>
      <c r="AC359" s="56"/>
      <c r="AD359" s="23"/>
    </row>
    <row r="360" spans="1:30" s="14" customFormat="1">
      <c r="A360" s="78" t="s">
        <v>178</v>
      </c>
      <c r="B360" s="26">
        <f>12462354.3614/2</f>
        <v>6231177.1807000004</v>
      </c>
      <c r="C360" s="130">
        <f t="shared" si="498"/>
        <v>519264.77</v>
      </c>
      <c r="D360" s="35">
        <v>1.6299999999999999E-2</v>
      </c>
      <c r="E360" s="35">
        <v>0.14269999999999999</v>
      </c>
      <c r="F360" s="35">
        <v>5.8900000000000001E-2</v>
      </c>
      <c r="G360" s="35">
        <v>7.6200000000000004E-2</v>
      </c>
      <c r="H360" s="35">
        <v>3.9600000000000003E-2</v>
      </c>
      <c r="I360" s="35">
        <v>0.12470000000000001</v>
      </c>
      <c r="J360" s="35">
        <v>2.0400000000000001E-2</v>
      </c>
      <c r="K360" s="35">
        <v>3.1199999999999999E-2</v>
      </c>
      <c r="L360" s="35">
        <v>1.6199999999999999E-2</v>
      </c>
      <c r="M360" s="35">
        <v>2.53E-2</v>
      </c>
      <c r="N360" s="35">
        <v>0.14849999999999999</v>
      </c>
      <c r="O360" s="35">
        <v>2.2599999999999999E-2</v>
      </c>
      <c r="P360" s="35">
        <v>0</v>
      </c>
      <c r="Q360" s="35">
        <v>3.78E-2</v>
      </c>
      <c r="R360" s="35">
        <v>1.8100000000000002E-2</v>
      </c>
      <c r="S360" s="35">
        <v>4.1000000000000003E-3</v>
      </c>
      <c r="T360" s="35">
        <v>5.04E-2</v>
      </c>
      <c r="U360" s="35">
        <v>1.7500000000000002E-2</v>
      </c>
      <c r="V360" s="35">
        <v>3.6200000000000003E-2</v>
      </c>
      <c r="W360" s="35">
        <v>4.8500000000000001E-2</v>
      </c>
      <c r="X360" s="35">
        <v>6.1600000000000002E-2</v>
      </c>
      <c r="Y360" s="35">
        <v>2.5000000000000001E-3</v>
      </c>
      <c r="Z360" s="4">
        <v>0</v>
      </c>
      <c r="AA360" s="4">
        <v>6.9999999999999999E-4</v>
      </c>
      <c r="AB360" s="4">
        <v>0</v>
      </c>
      <c r="AC360" s="56"/>
      <c r="AD360" s="23"/>
    </row>
    <row r="361" spans="1:30" s="14" customFormat="1">
      <c r="A361" s="79"/>
      <c r="B361" s="27"/>
      <c r="C361" s="130"/>
      <c r="D361" s="5">
        <f t="shared" ref="D361" si="625">$C360*D360</f>
        <v>8464.015750999999</v>
      </c>
      <c r="E361" s="5">
        <f t="shared" ref="E361" si="626">$C360*E360</f>
        <v>74099.082678999999</v>
      </c>
      <c r="F361" s="5">
        <f t="shared" ref="F361:O361" si="627">$C360*F360</f>
        <v>30584.694953000002</v>
      </c>
      <c r="G361" s="5">
        <f t="shared" si="627"/>
        <v>39567.975474000006</v>
      </c>
      <c r="H361" s="5">
        <f t="shared" si="627"/>
        <v>20562.884892000002</v>
      </c>
      <c r="I361" s="5">
        <f t="shared" si="627"/>
        <v>64752.316819000007</v>
      </c>
      <c r="J361" s="5">
        <f t="shared" si="627"/>
        <v>10593.001308000001</v>
      </c>
      <c r="K361" s="5">
        <f t="shared" si="627"/>
        <v>16201.060824</v>
      </c>
      <c r="L361" s="5">
        <f t="shared" si="627"/>
        <v>8412.0892739999999</v>
      </c>
      <c r="M361" s="5">
        <f t="shared" si="627"/>
        <v>13137.398681000001</v>
      </c>
      <c r="N361" s="5">
        <f t="shared" si="627"/>
        <v>77110.818344999992</v>
      </c>
      <c r="O361" s="5">
        <f t="shared" si="627"/>
        <v>11735.383802</v>
      </c>
      <c r="P361" s="5">
        <f t="shared" ref="P361" si="628">$C360*P360</f>
        <v>0</v>
      </c>
      <c r="Q361" s="5">
        <f t="shared" ref="Q361" si="629">$C360*Q360</f>
        <v>19628.208306</v>
      </c>
      <c r="R361" s="5">
        <f t="shared" ref="R361:AB361" si="630">$C360*R360</f>
        <v>9398.6923370000004</v>
      </c>
      <c r="S361" s="5">
        <f t="shared" si="630"/>
        <v>2128.9855570000004</v>
      </c>
      <c r="T361" s="5">
        <f t="shared" si="630"/>
        <v>26170.944407999999</v>
      </c>
      <c r="U361" s="5">
        <f t="shared" si="630"/>
        <v>9087.1334750000005</v>
      </c>
      <c r="V361" s="5">
        <f t="shared" si="630"/>
        <v>18797.384674000001</v>
      </c>
      <c r="W361" s="5">
        <f t="shared" si="630"/>
        <v>25184.341345000001</v>
      </c>
      <c r="X361" s="5">
        <f t="shared" si="630"/>
        <v>31986.709832</v>
      </c>
      <c r="Y361" s="5">
        <f t="shared" si="630"/>
        <v>1298.1619250000001</v>
      </c>
      <c r="Z361" s="5">
        <f t="shared" si="630"/>
        <v>0</v>
      </c>
      <c r="AA361" s="5">
        <f t="shared" si="630"/>
        <v>363.48533900000001</v>
      </c>
      <c r="AB361" s="5">
        <f t="shared" si="630"/>
        <v>0</v>
      </c>
      <c r="AC361" s="56"/>
      <c r="AD361" s="23"/>
    </row>
    <row r="362" spans="1:30" s="14" customFormat="1">
      <c r="A362" s="78" t="s">
        <v>420</v>
      </c>
      <c r="B362" s="26">
        <f>12462354.3614/2</f>
        <v>6231177.1807000004</v>
      </c>
      <c r="C362" s="130">
        <f t="shared" si="498"/>
        <v>519264.77</v>
      </c>
      <c r="D362" s="4"/>
      <c r="E362" s="4"/>
      <c r="F362" s="4">
        <v>0</v>
      </c>
      <c r="G362" s="4"/>
      <c r="H362" s="4">
        <v>0</v>
      </c>
      <c r="I362" s="4"/>
      <c r="J362" s="4"/>
      <c r="K362" s="4"/>
      <c r="L362" s="4"/>
      <c r="M362" s="4"/>
      <c r="N362" s="4">
        <v>1</v>
      </c>
      <c r="O362" s="4"/>
      <c r="P362" s="4"/>
      <c r="Q362" s="4"/>
      <c r="R362" s="4"/>
      <c r="S362" s="4"/>
      <c r="T362" s="4"/>
      <c r="U362" s="4"/>
      <c r="V362" s="4">
        <v>0</v>
      </c>
      <c r="W362" s="4"/>
      <c r="X362" s="4"/>
      <c r="Y362" s="4"/>
      <c r="Z362" s="4"/>
      <c r="AA362" s="4"/>
      <c r="AB362" s="4"/>
      <c r="AC362" s="56"/>
      <c r="AD362" s="23"/>
    </row>
    <row r="363" spans="1:30" s="14" customFormat="1">
      <c r="A363" s="79"/>
      <c r="B363" s="9"/>
      <c r="C363" s="130"/>
      <c r="D363" s="5">
        <f t="shared" ref="D363" si="631">$C362*D362</f>
        <v>0</v>
      </c>
      <c r="E363" s="5">
        <f t="shared" ref="E363" si="632">$C362*E362</f>
        <v>0</v>
      </c>
      <c r="F363" s="5">
        <f t="shared" ref="F363:O363" si="633">$C362*F362</f>
        <v>0</v>
      </c>
      <c r="G363" s="5">
        <f t="shared" si="633"/>
        <v>0</v>
      </c>
      <c r="H363" s="5">
        <f t="shared" si="633"/>
        <v>0</v>
      </c>
      <c r="I363" s="5">
        <f t="shared" si="633"/>
        <v>0</v>
      </c>
      <c r="J363" s="5">
        <f t="shared" si="633"/>
        <v>0</v>
      </c>
      <c r="K363" s="5">
        <f t="shared" si="633"/>
        <v>0</v>
      </c>
      <c r="L363" s="5">
        <f t="shared" si="633"/>
        <v>0</v>
      </c>
      <c r="M363" s="5">
        <f t="shared" si="633"/>
        <v>0</v>
      </c>
      <c r="N363" s="5">
        <f t="shared" si="633"/>
        <v>519264.77</v>
      </c>
      <c r="O363" s="5">
        <f t="shared" si="633"/>
        <v>0</v>
      </c>
      <c r="P363" s="5">
        <f t="shared" ref="P363" si="634">$C362*P362</f>
        <v>0</v>
      </c>
      <c r="Q363" s="5">
        <f t="shared" ref="Q363" si="635">$C362*Q362</f>
        <v>0</v>
      </c>
      <c r="R363" s="5">
        <f t="shared" ref="R363:AB363" si="636">$C362*R362</f>
        <v>0</v>
      </c>
      <c r="S363" s="5">
        <f t="shared" si="636"/>
        <v>0</v>
      </c>
      <c r="T363" s="5">
        <f t="shared" si="636"/>
        <v>0</v>
      </c>
      <c r="U363" s="5">
        <f t="shared" si="636"/>
        <v>0</v>
      </c>
      <c r="V363" s="5">
        <f t="shared" si="636"/>
        <v>0</v>
      </c>
      <c r="W363" s="5">
        <f t="shared" si="636"/>
        <v>0</v>
      </c>
      <c r="X363" s="5">
        <f t="shared" si="636"/>
        <v>0</v>
      </c>
      <c r="Y363" s="5">
        <f t="shared" si="636"/>
        <v>0</v>
      </c>
      <c r="Z363" s="5">
        <f t="shared" si="636"/>
        <v>0</v>
      </c>
      <c r="AA363" s="5">
        <f t="shared" si="636"/>
        <v>0</v>
      </c>
      <c r="AB363" s="5">
        <f t="shared" si="636"/>
        <v>0</v>
      </c>
      <c r="AC363" s="56"/>
      <c r="AD363" s="23"/>
    </row>
    <row r="364" spans="1:30" s="14" customFormat="1">
      <c r="A364" s="78" t="s">
        <v>179</v>
      </c>
      <c r="B364" s="26">
        <f>4151877.0005/2</f>
        <v>2075938.50025</v>
      </c>
      <c r="C364" s="130">
        <f t="shared" si="498"/>
        <v>172994.88</v>
      </c>
      <c r="D364" s="35">
        <v>1.6299999999999999E-2</v>
      </c>
      <c r="E364" s="35">
        <v>0.14269999999999999</v>
      </c>
      <c r="F364" s="35">
        <v>5.8900000000000001E-2</v>
      </c>
      <c r="G364" s="35">
        <v>7.6200000000000004E-2</v>
      </c>
      <c r="H364" s="35">
        <v>3.9600000000000003E-2</v>
      </c>
      <c r="I364" s="35">
        <v>0.12470000000000001</v>
      </c>
      <c r="J364" s="35">
        <v>2.0400000000000001E-2</v>
      </c>
      <c r="K364" s="35">
        <v>3.1199999999999999E-2</v>
      </c>
      <c r="L364" s="35">
        <v>1.6199999999999999E-2</v>
      </c>
      <c r="M364" s="35">
        <v>2.53E-2</v>
      </c>
      <c r="N364" s="35">
        <v>0.14849999999999999</v>
      </c>
      <c r="O364" s="35">
        <v>2.2599999999999999E-2</v>
      </c>
      <c r="P364" s="35">
        <v>0</v>
      </c>
      <c r="Q364" s="35">
        <v>3.78E-2</v>
      </c>
      <c r="R364" s="35">
        <v>1.8100000000000002E-2</v>
      </c>
      <c r="S364" s="35">
        <v>4.1000000000000003E-3</v>
      </c>
      <c r="T364" s="35">
        <v>5.04E-2</v>
      </c>
      <c r="U364" s="35">
        <v>1.7500000000000002E-2</v>
      </c>
      <c r="V364" s="35">
        <v>3.6200000000000003E-2</v>
      </c>
      <c r="W364" s="35">
        <v>4.8500000000000001E-2</v>
      </c>
      <c r="X364" s="35">
        <v>6.1600000000000002E-2</v>
      </c>
      <c r="Y364" s="35">
        <v>2.5000000000000001E-3</v>
      </c>
      <c r="Z364" s="4">
        <v>0</v>
      </c>
      <c r="AA364" s="4">
        <v>6.9999999999999999E-4</v>
      </c>
      <c r="AB364" s="4">
        <v>0</v>
      </c>
      <c r="AC364" s="56"/>
      <c r="AD364" s="23"/>
    </row>
    <row r="365" spans="1:30" s="14" customFormat="1">
      <c r="A365" s="79"/>
      <c r="B365" s="27"/>
      <c r="C365" s="130"/>
      <c r="D365" s="5">
        <f t="shared" ref="D365" si="637">$C364*D364</f>
        <v>2819.8165439999998</v>
      </c>
      <c r="E365" s="5">
        <f t="shared" ref="E365" si="638">$C364*E364</f>
        <v>24686.369375999999</v>
      </c>
      <c r="F365" s="5">
        <f t="shared" ref="F365:O365" si="639">$C364*F364</f>
        <v>10189.398432</v>
      </c>
      <c r="G365" s="5">
        <f t="shared" si="639"/>
        <v>13182.209856000001</v>
      </c>
      <c r="H365" s="5">
        <f t="shared" si="639"/>
        <v>6850.5972480000009</v>
      </c>
      <c r="I365" s="5">
        <f t="shared" si="639"/>
        <v>21572.461536000003</v>
      </c>
      <c r="J365" s="5">
        <f t="shared" si="639"/>
        <v>3529.0955520000002</v>
      </c>
      <c r="K365" s="5">
        <f t="shared" si="639"/>
        <v>5397.4402559999999</v>
      </c>
      <c r="L365" s="5">
        <f t="shared" si="639"/>
        <v>2802.5170560000001</v>
      </c>
      <c r="M365" s="5">
        <f t="shared" si="639"/>
        <v>4376.7704640000002</v>
      </c>
      <c r="N365" s="5">
        <f t="shared" si="639"/>
        <v>25689.739679999999</v>
      </c>
      <c r="O365" s="5">
        <f t="shared" si="639"/>
        <v>3909.6842879999999</v>
      </c>
      <c r="P365" s="5">
        <f t="shared" ref="P365" si="640">$C364*P364</f>
        <v>0</v>
      </c>
      <c r="Q365" s="5">
        <f t="shared" ref="Q365" si="641">$C364*Q364</f>
        <v>6539.2064639999999</v>
      </c>
      <c r="R365" s="5">
        <f t="shared" ref="R365:AB365" si="642">$C364*R364</f>
        <v>3131.2073280000004</v>
      </c>
      <c r="S365" s="5">
        <f t="shared" si="642"/>
        <v>709.27900800000009</v>
      </c>
      <c r="T365" s="5">
        <f t="shared" si="642"/>
        <v>8718.941952000001</v>
      </c>
      <c r="U365" s="5">
        <f t="shared" si="642"/>
        <v>3027.4104000000002</v>
      </c>
      <c r="V365" s="5">
        <f t="shared" si="642"/>
        <v>6262.4146560000008</v>
      </c>
      <c r="W365" s="5">
        <f t="shared" si="642"/>
        <v>8390.2516800000012</v>
      </c>
      <c r="X365" s="5">
        <f t="shared" si="642"/>
        <v>10656.484608000001</v>
      </c>
      <c r="Y365" s="5">
        <f t="shared" si="642"/>
        <v>432.48720000000003</v>
      </c>
      <c r="Z365" s="5">
        <f t="shared" si="642"/>
        <v>0</v>
      </c>
      <c r="AA365" s="5">
        <f t="shared" si="642"/>
        <v>121.096416</v>
      </c>
      <c r="AB365" s="5">
        <f t="shared" si="642"/>
        <v>0</v>
      </c>
      <c r="AC365" s="56"/>
      <c r="AD365" s="23"/>
    </row>
    <row r="366" spans="1:30" s="14" customFormat="1">
      <c r="A366" s="78" t="s">
        <v>421</v>
      </c>
      <c r="B366" s="26">
        <f>4151877.0005/2</f>
        <v>2075938.50025</v>
      </c>
      <c r="C366" s="130">
        <f t="shared" si="498"/>
        <v>172994.88</v>
      </c>
      <c r="D366" s="4"/>
      <c r="E366" s="4"/>
      <c r="F366" s="4">
        <v>0.20519999999999999</v>
      </c>
      <c r="G366" s="4"/>
      <c r="H366" s="4">
        <v>0.13769999999999999</v>
      </c>
      <c r="I366" s="4"/>
      <c r="J366" s="4"/>
      <c r="K366" s="4"/>
      <c r="L366" s="4"/>
      <c r="M366" s="4"/>
      <c r="N366" s="4">
        <v>0.46189999999999998</v>
      </c>
      <c r="O366" s="4"/>
      <c r="P366" s="4"/>
      <c r="Q366" s="4"/>
      <c r="R366" s="4"/>
      <c r="S366" s="4"/>
      <c r="T366" s="4"/>
      <c r="U366" s="4"/>
      <c r="V366" s="4">
        <v>0.19520000000000001</v>
      </c>
      <c r="W366" s="4"/>
      <c r="X366" s="4"/>
      <c r="Y366" s="4"/>
      <c r="Z366" s="4"/>
      <c r="AA366" s="4"/>
      <c r="AB366" s="4"/>
      <c r="AC366" s="56"/>
      <c r="AD366" s="23"/>
    </row>
    <row r="367" spans="1:30" s="14" customFormat="1">
      <c r="A367" s="79"/>
      <c r="B367" s="9"/>
      <c r="C367" s="130"/>
      <c r="D367" s="5">
        <f t="shared" ref="D367" si="643">$C366*D366</f>
        <v>0</v>
      </c>
      <c r="E367" s="5">
        <f t="shared" ref="E367" si="644">$C366*E366</f>
        <v>0</v>
      </c>
      <c r="F367" s="5">
        <f t="shared" ref="F367:O367" si="645">$C366*F366</f>
        <v>35498.549376000003</v>
      </c>
      <c r="G367" s="5">
        <f t="shared" si="645"/>
        <v>0</v>
      </c>
      <c r="H367" s="5">
        <f t="shared" si="645"/>
        <v>23821.394976</v>
      </c>
      <c r="I367" s="5">
        <f t="shared" si="645"/>
        <v>0</v>
      </c>
      <c r="J367" s="5">
        <f t="shared" si="645"/>
        <v>0</v>
      </c>
      <c r="K367" s="5">
        <f t="shared" si="645"/>
        <v>0</v>
      </c>
      <c r="L367" s="5">
        <f t="shared" si="645"/>
        <v>0</v>
      </c>
      <c r="M367" s="5">
        <f t="shared" si="645"/>
        <v>0</v>
      </c>
      <c r="N367" s="5">
        <f t="shared" si="645"/>
        <v>79906.335072000002</v>
      </c>
      <c r="O367" s="5">
        <f t="shared" si="645"/>
        <v>0</v>
      </c>
      <c r="P367" s="5">
        <f t="shared" ref="P367" si="646">$C366*P366</f>
        <v>0</v>
      </c>
      <c r="Q367" s="5">
        <f t="shared" ref="Q367" si="647">$C366*Q366</f>
        <v>0</v>
      </c>
      <c r="R367" s="5">
        <f t="shared" ref="R367:AB367" si="648">$C366*R366</f>
        <v>0</v>
      </c>
      <c r="S367" s="5">
        <f t="shared" si="648"/>
        <v>0</v>
      </c>
      <c r="T367" s="5">
        <f t="shared" si="648"/>
        <v>0</v>
      </c>
      <c r="U367" s="5">
        <f t="shared" si="648"/>
        <v>0</v>
      </c>
      <c r="V367" s="5">
        <f t="shared" si="648"/>
        <v>33768.600576000004</v>
      </c>
      <c r="W367" s="5">
        <f t="shared" si="648"/>
        <v>0</v>
      </c>
      <c r="X367" s="5">
        <f t="shared" si="648"/>
        <v>0</v>
      </c>
      <c r="Y367" s="5">
        <f t="shared" si="648"/>
        <v>0</v>
      </c>
      <c r="Z367" s="5">
        <f t="shared" si="648"/>
        <v>0</v>
      </c>
      <c r="AA367" s="5">
        <f t="shared" si="648"/>
        <v>0</v>
      </c>
      <c r="AB367" s="5">
        <f t="shared" si="648"/>
        <v>0</v>
      </c>
      <c r="AC367" s="56"/>
      <c r="AD367" s="23"/>
    </row>
    <row r="368" spans="1:30" s="14" customFormat="1">
      <c r="A368" s="81" t="s">
        <v>222</v>
      </c>
      <c r="B368" s="26">
        <v>7364914.8521999996</v>
      </c>
      <c r="C368" s="130">
        <f t="shared" si="498"/>
        <v>613742.9</v>
      </c>
      <c r="D368" s="7"/>
      <c r="E368" s="7"/>
      <c r="F368" s="7">
        <v>0.3705</v>
      </c>
      <c r="G368" s="7"/>
      <c r="H368" s="7"/>
      <c r="I368" s="7"/>
      <c r="J368" s="7"/>
      <c r="K368" s="7"/>
      <c r="L368" s="7"/>
      <c r="M368" s="7"/>
      <c r="N368" s="7">
        <v>0.62949999999999995</v>
      </c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56"/>
      <c r="AD368" s="23"/>
    </row>
    <row r="369" spans="1:30" s="14" customFormat="1">
      <c r="A369" s="79"/>
      <c r="B369" s="168"/>
      <c r="C369" s="130"/>
      <c r="D369" s="5">
        <f t="shared" ref="D369" si="649">$C368*D368</f>
        <v>0</v>
      </c>
      <c r="E369" s="5">
        <f t="shared" ref="E369" si="650">$C368*E368</f>
        <v>0</v>
      </c>
      <c r="F369" s="5">
        <f t="shared" ref="F369:AB369" si="651">$C368*F368</f>
        <v>227391.74445</v>
      </c>
      <c r="G369" s="5">
        <f t="shared" si="651"/>
        <v>0</v>
      </c>
      <c r="H369" s="5">
        <f t="shared" si="651"/>
        <v>0</v>
      </c>
      <c r="I369" s="5">
        <f t="shared" si="651"/>
        <v>0</v>
      </c>
      <c r="J369" s="5">
        <f t="shared" si="651"/>
        <v>0</v>
      </c>
      <c r="K369" s="5">
        <f t="shared" si="651"/>
        <v>0</v>
      </c>
      <c r="L369" s="5">
        <f t="shared" si="651"/>
        <v>0</v>
      </c>
      <c r="M369" s="5">
        <f t="shared" si="651"/>
        <v>0</v>
      </c>
      <c r="N369" s="5">
        <f t="shared" si="651"/>
        <v>386351.15554999997</v>
      </c>
      <c r="O369" s="5">
        <f t="shared" si="651"/>
        <v>0</v>
      </c>
      <c r="P369" s="5">
        <f t="shared" si="651"/>
        <v>0</v>
      </c>
      <c r="Q369" s="5">
        <f t="shared" si="651"/>
        <v>0</v>
      </c>
      <c r="R369" s="5">
        <f t="shared" si="651"/>
        <v>0</v>
      </c>
      <c r="S369" s="5">
        <f t="shared" si="651"/>
        <v>0</v>
      </c>
      <c r="T369" s="5">
        <f t="shared" si="651"/>
        <v>0</v>
      </c>
      <c r="U369" s="5">
        <f t="shared" si="651"/>
        <v>0</v>
      </c>
      <c r="V369" s="5">
        <f t="shared" si="651"/>
        <v>0</v>
      </c>
      <c r="W369" s="5">
        <f t="shared" si="651"/>
        <v>0</v>
      </c>
      <c r="X369" s="5">
        <f t="shared" si="651"/>
        <v>0</v>
      </c>
      <c r="Y369" s="5">
        <f t="shared" si="651"/>
        <v>0</v>
      </c>
      <c r="Z369" s="5">
        <f t="shared" si="651"/>
        <v>0</v>
      </c>
      <c r="AA369" s="5">
        <f t="shared" si="651"/>
        <v>0</v>
      </c>
      <c r="AB369" s="5">
        <f t="shared" si="651"/>
        <v>0</v>
      </c>
      <c r="AC369" s="56"/>
      <c r="AD369" s="23"/>
    </row>
    <row r="370" spans="1:30" s="14" customFormat="1">
      <c r="A370" s="81" t="s">
        <v>223</v>
      </c>
      <c r="B370" s="26">
        <v>1348980.6754000001</v>
      </c>
      <c r="C370" s="130">
        <f t="shared" si="498"/>
        <v>112415.06</v>
      </c>
      <c r="D370" s="35"/>
      <c r="E370" s="35"/>
      <c r="F370" s="35">
        <v>0.3705</v>
      </c>
      <c r="G370" s="35"/>
      <c r="H370" s="35"/>
      <c r="I370" s="35"/>
      <c r="J370" s="35"/>
      <c r="K370" s="35"/>
      <c r="L370" s="35"/>
      <c r="M370" s="35"/>
      <c r="N370" s="35">
        <v>0.62949999999999995</v>
      </c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4"/>
      <c r="AA370" s="4"/>
      <c r="AB370" s="4"/>
      <c r="AC370" s="56"/>
      <c r="AD370" s="23"/>
    </row>
    <row r="371" spans="1:30" s="14" customFormat="1">
      <c r="A371" s="79"/>
      <c r="B371" s="168"/>
      <c r="C371" s="130"/>
      <c r="D371" s="5">
        <f t="shared" ref="D371" si="652">$C370*D370</f>
        <v>0</v>
      </c>
      <c r="E371" s="5">
        <f t="shared" ref="E371" si="653">$C370*E370</f>
        <v>0</v>
      </c>
      <c r="F371" s="5">
        <f t="shared" ref="F371:AB371" si="654">$C370*F370</f>
        <v>41649.779730000002</v>
      </c>
      <c r="G371" s="5">
        <f t="shared" si="654"/>
        <v>0</v>
      </c>
      <c r="H371" s="5">
        <f t="shared" si="654"/>
        <v>0</v>
      </c>
      <c r="I371" s="5">
        <f t="shared" si="654"/>
        <v>0</v>
      </c>
      <c r="J371" s="5">
        <f t="shared" si="654"/>
        <v>0</v>
      </c>
      <c r="K371" s="5">
        <f t="shared" si="654"/>
        <v>0</v>
      </c>
      <c r="L371" s="5">
        <f t="shared" si="654"/>
        <v>0</v>
      </c>
      <c r="M371" s="5">
        <f t="shared" si="654"/>
        <v>0</v>
      </c>
      <c r="N371" s="5">
        <f t="shared" si="654"/>
        <v>70765.280269999988</v>
      </c>
      <c r="O371" s="5">
        <f t="shared" si="654"/>
        <v>0</v>
      </c>
      <c r="P371" s="5">
        <f t="shared" si="654"/>
        <v>0</v>
      </c>
      <c r="Q371" s="5">
        <f t="shared" si="654"/>
        <v>0</v>
      </c>
      <c r="R371" s="5">
        <f t="shared" si="654"/>
        <v>0</v>
      </c>
      <c r="S371" s="5">
        <f t="shared" si="654"/>
        <v>0</v>
      </c>
      <c r="T371" s="5">
        <f t="shared" si="654"/>
        <v>0</v>
      </c>
      <c r="U371" s="5">
        <f t="shared" si="654"/>
        <v>0</v>
      </c>
      <c r="V371" s="5">
        <f t="shared" si="654"/>
        <v>0</v>
      </c>
      <c r="W371" s="5">
        <f t="shared" si="654"/>
        <v>0</v>
      </c>
      <c r="X371" s="5">
        <f t="shared" si="654"/>
        <v>0</v>
      </c>
      <c r="Y371" s="5">
        <f t="shared" si="654"/>
        <v>0</v>
      </c>
      <c r="Z371" s="5">
        <f t="shared" si="654"/>
        <v>0</v>
      </c>
      <c r="AA371" s="5">
        <f t="shared" si="654"/>
        <v>0</v>
      </c>
      <c r="AB371" s="5">
        <f t="shared" si="654"/>
        <v>0</v>
      </c>
      <c r="AC371" s="56"/>
      <c r="AD371" s="23"/>
    </row>
    <row r="372" spans="1:30" s="14" customFormat="1">
      <c r="A372" s="81" t="s">
        <v>224</v>
      </c>
      <c r="B372" s="26">
        <v>4955836.4072000002</v>
      </c>
      <c r="C372" s="130">
        <f t="shared" si="498"/>
        <v>412986.37</v>
      </c>
      <c r="D372" s="7"/>
      <c r="E372" s="7">
        <v>1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56"/>
      <c r="AD372" s="23"/>
    </row>
    <row r="373" spans="1:30" s="14" customFormat="1">
      <c r="A373" s="79"/>
      <c r="B373" s="168"/>
      <c r="C373" s="130"/>
      <c r="D373" s="5">
        <f t="shared" ref="D373" si="655">$C372*D372</f>
        <v>0</v>
      </c>
      <c r="E373" s="5">
        <f t="shared" ref="E373" si="656">$C372*E372</f>
        <v>412986.37</v>
      </c>
      <c r="F373" s="5">
        <f t="shared" ref="F373:AB373" si="657">$C372*F372</f>
        <v>0</v>
      </c>
      <c r="G373" s="5">
        <f t="shared" si="657"/>
        <v>0</v>
      </c>
      <c r="H373" s="5">
        <f t="shared" si="657"/>
        <v>0</v>
      </c>
      <c r="I373" s="5">
        <f t="shared" si="657"/>
        <v>0</v>
      </c>
      <c r="J373" s="5">
        <f t="shared" si="657"/>
        <v>0</v>
      </c>
      <c r="K373" s="5">
        <f t="shared" si="657"/>
        <v>0</v>
      </c>
      <c r="L373" s="5">
        <f t="shared" si="657"/>
        <v>0</v>
      </c>
      <c r="M373" s="5">
        <f t="shared" si="657"/>
        <v>0</v>
      </c>
      <c r="N373" s="5">
        <f t="shared" si="657"/>
        <v>0</v>
      </c>
      <c r="O373" s="5">
        <f t="shared" si="657"/>
        <v>0</v>
      </c>
      <c r="P373" s="5">
        <f t="shared" si="657"/>
        <v>0</v>
      </c>
      <c r="Q373" s="5">
        <f t="shared" si="657"/>
        <v>0</v>
      </c>
      <c r="R373" s="5">
        <f t="shared" si="657"/>
        <v>0</v>
      </c>
      <c r="S373" s="5">
        <f t="shared" si="657"/>
        <v>0</v>
      </c>
      <c r="T373" s="5">
        <f t="shared" si="657"/>
        <v>0</v>
      </c>
      <c r="U373" s="5">
        <f t="shared" si="657"/>
        <v>0</v>
      </c>
      <c r="V373" s="5">
        <f t="shared" si="657"/>
        <v>0</v>
      </c>
      <c r="W373" s="5">
        <f t="shared" si="657"/>
        <v>0</v>
      </c>
      <c r="X373" s="5">
        <f t="shared" si="657"/>
        <v>0</v>
      </c>
      <c r="Y373" s="5">
        <f t="shared" si="657"/>
        <v>0</v>
      </c>
      <c r="Z373" s="5">
        <f t="shared" si="657"/>
        <v>0</v>
      </c>
      <c r="AA373" s="5">
        <f t="shared" si="657"/>
        <v>0</v>
      </c>
      <c r="AB373" s="5">
        <f t="shared" si="657"/>
        <v>0</v>
      </c>
      <c r="AC373" s="56"/>
      <c r="AD373" s="23"/>
    </row>
    <row r="374" spans="1:30" s="14" customFormat="1">
      <c r="A374" s="78" t="s">
        <v>225</v>
      </c>
      <c r="B374" s="26">
        <f>1157012.5346/2</f>
        <v>578506.26729999995</v>
      </c>
      <c r="C374" s="130">
        <f t="shared" si="498"/>
        <v>48208.86</v>
      </c>
      <c r="D374" s="35">
        <v>1.6299999999999999E-2</v>
      </c>
      <c r="E374" s="35">
        <v>0.14269999999999999</v>
      </c>
      <c r="F374" s="35">
        <v>5.8900000000000001E-2</v>
      </c>
      <c r="G374" s="35">
        <v>7.6200000000000004E-2</v>
      </c>
      <c r="H374" s="35">
        <v>3.9600000000000003E-2</v>
      </c>
      <c r="I374" s="35">
        <v>0.12470000000000001</v>
      </c>
      <c r="J374" s="35">
        <v>2.0400000000000001E-2</v>
      </c>
      <c r="K374" s="35">
        <v>3.1199999999999999E-2</v>
      </c>
      <c r="L374" s="35">
        <v>1.6199999999999999E-2</v>
      </c>
      <c r="M374" s="35">
        <v>2.53E-2</v>
      </c>
      <c r="N374" s="35">
        <v>0.14849999999999999</v>
      </c>
      <c r="O374" s="35">
        <v>2.2599999999999999E-2</v>
      </c>
      <c r="P374" s="35">
        <v>0</v>
      </c>
      <c r="Q374" s="35">
        <v>3.78E-2</v>
      </c>
      <c r="R374" s="35">
        <v>1.8100000000000002E-2</v>
      </c>
      <c r="S374" s="35">
        <v>4.1000000000000003E-3</v>
      </c>
      <c r="T374" s="35">
        <v>5.04E-2</v>
      </c>
      <c r="U374" s="35">
        <v>1.7500000000000002E-2</v>
      </c>
      <c r="V374" s="35">
        <v>3.6200000000000003E-2</v>
      </c>
      <c r="W374" s="35">
        <v>4.8500000000000001E-2</v>
      </c>
      <c r="X374" s="35">
        <v>6.1600000000000002E-2</v>
      </c>
      <c r="Y374" s="35">
        <v>2.5000000000000001E-3</v>
      </c>
      <c r="Z374" s="4">
        <v>0</v>
      </c>
      <c r="AA374" s="4">
        <v>6.9999999999999999E-4</v>
      </c>
      <c r="AB374" s="4">
        <v>0</v>
      </c>
      <c r="AC374" s="56"/>
      <c r="AD374" s="23"/>
    </row>
    <row r="375" spans="1:30" s="14" customFormat="1">
      <c r="A375" s="79"/>
      <c r="B375" s="27"/>
      <c r="C375" s="130"/>
      <c r="D375" s="5">
        <f t="shared" ref="D375" si="658">$C374*D374</f>
        <v>785.80441799999994</v>
      </c>
      <c r="E375" s="5">
        <f t="shared" ref="E375" si="659">$C374*E374</f>
        <v>6879.4043219999994</v>
      </c>
      <c r="F375" s="5">
        <f t="shared" ref="F375:AB375" si="660">$C374*F374</f>
        <v>2839.5018540000001</v>
      </c>
      <c r="G375" s="5">
        <f t="shared" si="660"/>
        <v>3673.5151320000004</v>
      </c>
      <c r="H375" s="5">
        <f t="shared" si="660"/>
        <v>1909.0708560000003</v>
      </c>
      <c r="I375" s="5">
        <f t="shared" si="660"/>
        <v>6011.6448420000006</v>
      </c>
      <c r="J375" s="5">
        <f t="shared" si="660"/>
        <v>983.46074400000009</v>
      </c>
      <c r="K375" s="5">
        <f t="shared" si="660"/>
        <v>1504.116432</v>
      </c>
      <c r="L375" s="5">
        <f t="shared" si="660"/>
        <v>780.98353199999997</v>
      </c>
      <c r="M375" s="5">
        <f t="shared" si="660"/>
        <v>1219.684158</v>
      </c>
      <c r="N375" s="5">
        <f t="shared" si="660"/>
        <v>7159.0157099999997</v>
      </c>
      <c r="O375" s="5">
        <f t="shared" si="660"/>
        <v>1089.5202359999998</v>
      </c>
      <c r="P375" s="5">
        <f t="shared" si="660"/>
        <v>0</v>
      </c>
      <c r="Q375" s="5">
        <f t="shared" si="660"/>
        <v>1822.2949080000001</v>
      </c>
      <c r="R375" s="5">
        <f t="shared" si="660"/>
        <v>872.58036600000003</v>
      </c>
      <c r="S375" s="5">
        <f t="shared" si="660"/>
        <v>197.65632600000001</v>
      </c>
      <c r="T375" s="5">
        <f t="shared" si="660"/>
        <v>2429.7265440000001</v>
      </c>
      <c r="U375" s="5">
        <f t="shared" si="660"/>
        <v>843.65505000000007</v>
      </c>
      <c r="V375" s="5">
        <f t="shared" si="660"/>
        <v>1745.1607320000001</v>
      </c>
      <c r="W375" s="5">
        <f t="shared" si="660"/>
        <v>2338.1297100000002</v>
      </c>
      <c r="X375" s="5">
        <f t="shared" si="660"/>
        <v>2969.6657760000003</v>
      </c>
      <c r="Y375" s="5">
        <f t="shared" si="660"/>
        <v>120.52215000000001</v>
      </c>
      <c r="Z375" s="5">
        <f t="shared" si="660"/>
        <v>0</v>
      </c>
      <c r="AA375" s="5">
        <f t="shared" si="660"/>
        <v>33.746201999999997</v>
      </c>
      <c r="AB375" s="5">
        <f t="shared" si="660"/>
        <v>0</v>
      </c>
      <c r="AC375" s="56"/>
      <c r="AD375" s="23"/>
    </row>
    <row r="376" spans="1:30" s="14" customFormat="1">
      <c r="A376" s="78" t="s">
        <v>422</v>
      </c>
      <c r="B376" s="26">
        <f>1157012.5346/2</f>
        <v>578506.26729999995</v>
      </c>
      <c r="C376" s="130">
        <f t="shared" si="498"/>
        <v>48208.86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>
        <v>1</v>
      </c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56"/>
      <c r="AD376" s="23"/>
    </row>
    <row r="377" spans="1:30" s="14" customFormat="1">
      <c r="A377" s="79"/>
      <c r="B377" s="9"/>
      <c r="C377" s="130"/>
      <c r="D377" s="5">
        <f t="shared" ref="D377" si="661">$C376*D376</f>
        <v>0</v>
      </c>
      <c r="E377" s="5">
        <f t="shared" ref="E377" si="662">$C376*E376</f>
        <v>0</v>
      </c>
      <c r="F377" s="5">
        <f t="shared" ref="F377:O377" si="663">$C376*F376</f>
        <v>0</v>
      </c>
      <c r="G377" s="5">
        <f t="shared" si="663"/>
        <v>0</v>
      </c>
      <c r="H377" s="5">
        <f t="shared" si="663"/>
        <v>0</v>
      </c>
      <c r="I377" s="5">
        <f t="shared" si="663"/>
        <v>0</v>
      </c>
      <c r="J377" s="5">
        <f t="shared" si="663"/>
        <v>0</v>
      </c>
      <c r="K377" s="5">
        <f t="shared" si="663"/>
        <v>0</v>
      </c>
      <c r="L377" s="5">
        <f t="shared" si="663"/>
        <v>0</v>
      </c>
      <c r="M377" s="5">
        <f t="shared" si="663"/>
        <v>0</v>
      </c>
      <c r="N377" s="5">
        <f t="shared" si="663"/>
        <v>48208.86</v>
      </c>
      <c r="O377" s="5">
        <f t="shared" si="663"/>
        <v>0</v>
      </c>
      <c r="P377" s="5">
        <f t="shared" ref="P377" si="664">$C376*P376</f>
        <v>0</v>
      </c>
      <c r="Q377" s="5">
        <f t="shared" ref="Q377" si="665">$C376*Q376</f>
        <v>0</v>
      </c>
      <c r="R377" s="5">
        <f t="shared" ref="R377:AB377" si="666">$C376*R376</f>
        <v>0</v>
      </c>
      <c r="S377" s="5">
        <f t="shared" si="666"/>
        <v>0</v>
      </c>
      <c r="T377" s="5">
        <f t="shared" si="666"/>
        <v>0</v>
      </c>
      <c r="U377" s="5">
        <f t="shared" si="666"/>
        <v>0</v>
      </c>
      <c r="V377" s="5">
        <f t="shared" si="666"/>
        <v>0</v>
      </c>
      <c r="W377" s="5">
        <f t="shared" si="666"/>
        <v>0</v>
      </c>
      <c r="X377" s="5">
        <f t="shared" si="666"/>
        <v>0</v>
      </c>
      <c r="Y377" s="5">
        <f t="shared" si="666"/>
        <v>0</v>
      </c>
      <c r="Z377" s="5">
        <f t="shared" si="666"/>
        <v>0</v>
      </c>
      <c r="AA377" s="5">
        <f t="shared" si="666"/>
        <v>0</v>
      </c>
      <c r="AB377" s="5">
        <f t="shared" si="666"/>
        <v>0</v>
      </c>
      <c r="AC377" s="56"/>
      <c r="AD377" s="23"/>
    </row>
    <row r="378" spans="1:30" s="14" customFormat="1">
      <c r="A378" s="78" t="s">
        <v>226</v>
      </c>
      <c r="B378" s="26">
        <f>14685179.0054/2</f>
        <v>7342589.5027000001</v>
      </c>
      <c r="C378" s="130">
        <f t="shared" ref="C378:C440" si="667">ROUND(B378/12,2)</f>
        <v>611882.46</v>
      </c>
      <c r="D378" s="35">
        <v>1.6299999999999999E-2</v>
      </c>
      <c r="E378" s="35">
        <v>0.14269999999999999</v>
      </c>
      <c r="F378" s="35">
        <v>5.8900000000000001E-2</v>
      </c>
      <c r="G378" s="35">
        <v>7.6200000000000004E-2</v>
      </c>
      <c r="H378" s="35">
        <v>3.9600000000000003E-2</v>
      </c>
      <c r="I378" s="35">
        <v>0.12470000000000001</v>
      </c>
      <c r="J378" s="35">
        <v>2.0400000000000001E-2</v>
      </c>
      <c r="K378" s="35">
        <v>3.1199999999999999E-2</v>
      </c>
      <c r="L378" s="35">
        <v>1.6199999999999999E-2</v>
      </c>
      <c r="M378" s="35">
        <v>2.53E-2</v>
      </c>
      <c r="N378" s="35">
        <v>0.14849999999999999</v>
      </c>
      <c r="O378" s="35">
        <v>2.2599999999999999E-2</v>
      </c>
      <c r="P378" s="35">
        <v>0</v>
      </c>
      <c r="Q378" s="35">
        <v>3.78E-2</v>
      </c>
      <c r="R378" s="35">
        <v>1.8100000000000002E-2</v>
      </c>
      <c r="S378" s="35">
        <v>4.1000000000000003E-3</v>
      </c>
      <c r="T378" s="35">
        <v>5.04E-2</v>
      </c>
      <c r="U378" s="35">
        <v>1.7500000000000002E-2</v>
      </c>
      <c r="V378" s="35">
        <v>3.6200000000000003E-2</v>
      </c>
      <c r="W378" s="35">
        <v>4.8500000000000001E-2</v>
      </c>
      <c r="X378" s="35">
        <v>6.1600000000000002E-2</v>
      </c>
      <c r="Y378" s="35">
        <v>2.5000000000000001E-3</v>
      </c>
      <c r="Z378" s="4">
        <v>0</v>
      </c>
      <c r="AA378" s="4">
        <v>6.9999999999999999E-4</v>
      </c>
      <c r="AB378" s="4">
        <v>0</v>
      </c>
      <c r="AC378" s="56"/>
      <c r="AD378" s="23"/>
    </row>
    <row r="379" spans="1:30" s="14" customFormat="1">
      <c r="A379" s="79"/>
      <c r="B379" s="27"/>
      <c r="C379" s="130"/>
      <c r="D379" s="5">
        <f t="shared" ref="D379" si="668">$C378*D378</f>
        <v>9973.6840979999979</v>
      </c>
      <c r="E379" s="5">
        <f t="shared" ref="E379" si="669">$C378*E378</f>
        <v>87315.627041999993</v>
      </c>
      <c r="F379" s="5">
        <f t="shared" ref="F379:AB379" si="670">$C378*F378</f>
        <v>36039.876894000001</v>
      </c>
      <c r="G379" s="5">
        <f t="shared" si="670"/>
        <v>46625.443452</v>
      </c>
      <c r="H379" s="5">
        <f t="shared" si="670"/>
        <v>24230.545416000001</v>
      </c>
      <c r="I379" s="5">
        <f t="shared" si="670"/>
        <v>76301.742761999994</v>
      </c>
      <c r="J379" s="5">
        <f t="shared" si="670"/>
        <v>12482.402184</v>
      </c>
      <c r="K379" s="5">
        <f t="shared" si="670"/>
        <v>19090.732751999996</v>
      </c>
      <c r="L379" s="5">
        <f t="shared" si="670"/>
        <v>9912.4958519999982</v>
      </c>
      <c r="M379" s="5">
        <f t="shared" si="670"/>
        <v>15480.626237999999</v>
      </c>
      <c r="N379" s="5">
        <f t="shared" si="670"/>
        <v>90864.545309999987</v>
      </c>
      <c r="O379" s="5">
        <f t="shared" si="670"/>
        <v>13828.543595999998</v>
      </c>
      <c r="P379" s="5">
        <f t="shared" si="670"/>
        <v>0</v>
      </c>
      <c r="Q379" s="5">
        <f t="shared" si="670"/>
        <v>23129.156987999999</v>
      </c>
      <c r="R379" s="5">
        <f t="shared" si="670"/>
        <v>11075.072526</v>
      </c>
      <c r="S379" s="5">
        <f t="shared" si="670"/>
        <v>2508.7180859999999</v>
      </c>
      <c r="T379" s="5">
        <f t="shared" si="670"/>
        <v>30838.875983999998</v>
      </c>
      <c r="U379" s="5">
        <f t="shared" si="670"/>
        <v>10707.94305</v>
      </c>
      <c r="V379" s="5">
        <f t="shared" si="670"/>
        <v>22150.145052</v>
      </c>
      <c r="W379" s="5">
        <f t="shared" si="670"/>
        <v>29676.299309999999</v>
      </c>
      <c r="X379" s="5">
        <f t="shared" si="670"/>
        <v>37691.959536000002</v>
      </c>
      <c r="Y379" s="5">
        <f t="shared" si="670"/>
        <v>1529.70615</v>
      </c>
      <c r="Z379" s="5">
        <f t="shared" si="670"/>
        <v>0</v>
      </c>
      <c r="AA379" s="5">
        <f t="shared" si="670"/>
        <v>428.31772199999995</v>
      </c>
      <c r="AB379" s="5">
        <f t="shared" si="670"/>
        <v>0</v>
      </c>
      <c r="AC379" s="56"/>
      <c r="AD379" s="23"/>
    </row>
    <row r="380" spans="1:30" s="14" customFormat="1">
      <c r="A380" s="78" t="s">
        <v>423</v>
      </c>
      <c r="B380" s="26">
        <f>14685179.0054/2</f>
        <v>7342589.5027000001</v>
      </c>
      <c r="C380" s="130">
        <f t="shared" si="667"/>
        <v>611882.46</v>
      </c>
      <c r="D380" s="4"/>
      <c r="E380" s="4"/>
      <c r="F380" s="4"/>
      <c r="G380" s="4"/>
      <c r="H380" s="4">
        <v>0</v>
      </c>
      <c r="I380" s="4"/>
      <c r="J380" s="4"/>
      <c r="K380" s="4"/>
      <c r="L380" s="4"/>
      <c r="M380" s="4"/>
      <c r="N380" s="4">
        <v>1</v>
      </c>
      <c r="O380" s="4">
        <v>0</v>
      </c>
      <c r="P380" s="4"/>
      <c r="Q380" s="4"/>
      <c r="R380" s="4"/>
      <c r="S380" s="4"/>
      <c r="T380" s="4"/>
      <c r="U380" s="4"/>
      <c r="V380" s="4">
        <v>0</v>
      </c>
      <c r="W380" s="4"/>
      <c r="X380" s="4"/>
      <c r="Y380" s="4"/>
      <c r="Z380" s="4"/>
      <c r="AA380" s="4"/>
      <c r="AB380" s="4"/>
      <c r="AC380" s="56"/>
      <c r="AD380" s="23"/>
    </row>
    <row r="381" spans="1:30" s="14" customFormat="1">
      <c r="A381" s="79"/>
      <c r="B381" s="9"/>
      <c r="C381" s="130"/>
      <c r="D381" s="5">
        <f t="shared" ref="D381" si="671">$C380*D380</f>
        <v>0</v>
      </c>
      <c r="E381" s="5">
        <f t="shared" ref="E381" si="672">$C380*E380</f>
        <v>0</v>
      </c>
      <c r="F381" s="5">
        <f t="shared" ref="F381:O381" si="673">$C380*F380</f>
        <v>0</v>
      </c>
      <c r="G381" s="5">
        <f t="shared" si="673"/>
        <v>0</v>
      </c>
      <c r="H381" s="5">
        <f t="shared" si="673"/>
        <v>0</v>
      </c>
      <c r="I381" s="5">
        <f t="shared" si="673"/>
        <v>0</v>
      </c>
      <c r="J381" s="5">
        <f t="shared" si="673"/>
        <v>0</v>
      </c>
      <c r="K381" s="5">
        <f t="shared" si="673"/>
        <v>0</v>
      </c>
      <c r="L381" s="5">
        <f t="shared" si="673"/>
        <v>0</v>
      </c>
      <c r="M381" s="5">
        <f t="shared" si="673"/>
        <v>0</v>
      </c>
      <c r="N381" s="5">
        <f t="shared" si="673"/>
        <v>611882.46</v>
      </c>
      <c r="O381" s="5">
        <f t="shared" si="673"/>
        <v>0</v>
      </c>
      <c r="P381" s="5">
        <f t="shared" ref="P381" si="674">$C380*P380</f>
        <v>0</v>
      </c>
      <c r="Q381" s="5">
        <f t="shared" ref="Q381" si="675">$C380*Q380</f>
        <v>0</v>
      </c>
      <c r="R381" s="5">
        <f t="shared" ref="R381:AB381" si="676">$C380*R380</f>
        <v>0</v>
      </c>
      <c r="S381" s="5">
        <f t="shared" si="676"/>
        <v>0</v>
      </c>
      <c r="T381" s="5">
        <f t="shared" si="676"/>
        <v>0</v>
      </c>
      <c r="U381" s="5">
        <f t="shared" si="676"/>
        <v>0</v>
      </c>
      <c r="V381" s="5">
        <f t="shared" si="676"/>
        <v>0</v>
      </c>
      <c r="W381" s="5">
        <f t="shared" si="676"/>
        <v>0</v>
      </c>
      <c r="X381" s="5">
        <f t="shared" si="676"/>
        <v>0</v>
      </c>
      <c r="Y381" s="5">
        <f t="shared" si="676"/>
        <v>0</v>
      </c>
      <c r="Z381" s="5">
        <f t="shared" si="676"/>
        <v>0</v>
      </c>
      <c r="AA381" s="5">
        <f t="shared" si="676"/>
        <v>0</v>
      </c>
      <c r="AB381" s="5">
        <f t="shared" si="676"/>
        <v>0</v>
      </c>
      <c r="AC381" s="56"/>
      <c r="AD381" s="23"/>
    </row>
    <row r="382" spans="1:30" s="14" customFormat="1">
      <c r="A382" s="78" t="s">
        <v>227</v>
      </c>
      <c r="B382" s="26">
        <f>211124.9156/2</f>
        <v>105562.4578</v>
      </c>
      <c r="C382" s="130">
        <f t="shared" si="667"/>
        <v>8796.8700000000008</v>
      </c>
      <c r="D382" s="35">
        <v>1.6299999999999999E-2</v>
      </c>
      <c r="E382" s="35">
        <v>0.14269999999999999</v>
      </c>
      <c r="F382" s="35">
        <v>5.8900000000000001E-2</v>
      </c>
      <c r="G382" s="35">
        <v>7.6200000000000004E-2</v>
      </c>
      <c r="H382" s="35">
        <v>3.9600000000000003E-2</v>
      </c>
      <c r="I382" s="35">
        <v>0.12470000000000001</v>
      </c>
      <c r="J382" s="35">
        <v>2.0400000000000001E-2</v>
      </c>
      <c r="K382" s="35">
        <v>3.1199999999999999E-2</v>
      </c>
      <c r="L382" s="35">
        <v>1.6199999999999999E-2</v>
      </c>
      <c r="M382" s="35">
        <v>2.53E-2</v>
      </c>
      <c r="N382" s="35">
        <v>0.14849999999999999</v>
      </c>
      <c r="O382" s="35">
        <v>2.2599999999999999E-2</v>
      </c>
      <c r="P382" s="35">
        <v>0</v>
      </c>
      <c r="Q382" s="35">
        <v>3.78E-2</v>
      </c>
      <c r="R382" s="35">
        <v>1.8100000000000002E-2</v>
      </c>
      <c r="S382" s="35">
        <v>4.1000000000000003E-3</v>
      </c>
      <c r="T382" s="35">
        <v>5.04E-2</v>
      </c>
      <c r="U382" s="35">
        <v>1.7500000000000002E-2</v>
      </c>
      <c r="V382" s="35">
        <v>3.6200000000000003E-2</v>
      </c>
      <c r="W382" s="35">
        <v>4.8500000000000001E-2</v>
      </c>
      <c r="X382" s="35">
        <v>6.1600000000000002E-2</v>
      </c>
      <c r="Y382" s="35">
        <v>2.5000000000000001E-3</v>
      </c>
      <c r="Z382" s="4">
        <v>0</v>
      </c>
      <c r="AA382" s="4">
        <v>6.9999999999999999E-4</v>
      </c>
      <c r="AB382" s="4">
        <v>0</v>
      </c>
      <c r="AC382" s="56"/>
      <c r="AD382" s="23"/>
    </row>
    <row r="383" spans="1:30" s="14" customFormat="1">
      <c r="A383" s="79"/>
      <c r="B383" s="27"/>
      <c r="C383" s="130"/>
      <c r="D383" s="5">
        <f t="shared" ref="D383" si="677">$C382*D382</f>
        <v>143.388981</v>
      </c>
      <c r="E383" s="5">
        <f t="shared" ref="E383" si="678">$C382*E382</f>
        <v>1255.313349</v>
      </c>
      <c r="F383" s="5">
        <f t="shared" ref="F383:AB383" si="679">$C382*F382</f>
        <v>518.13564300000007</v>
      </c>
      <c r="G383" s="5">
        <f t="shared" si="679"/>
        <v>670.32149400000014</v>
      </c>
      <c r="H383" s="5">
        <f t="shared" si="679"/>
        <v>348.35605200000003</v>
      </c>
      <c r="I383" s="5">
        <f t="shared" si="679"/>
        <v>1096.9696890000002</v>
      </c>
      <c r="J383" s="5">
        <f t="shared" si="679"/>
        <v>179.45614800000004</v>
      </c>
      <c r="K383" s="5">
        <f t="shared" si="679"/>
        <v>274.46234400000003</v>
      </c>
      <c r="L383" s="5">
        <f t="shared" si="679"/>
        <v>142.50929400000001</v>
      </c>
      <c r="M383" s="5">
        <f t="shared" si="679"/>
        <v>222.56081100000003</v>
      </c>
      <c r="N383" s="5">
        <f t="shared" si="679"/>
        <v>1306.3351950000001</v>
      </c>
      <c r="O383" s="5">
        <f t="shared" si="679"/>
        <v>198.80926200000002</v>
      </c>
      <c r="P383" s="5">
        <f t="shared" si="679"/>
        <v>0</v>
      </c>
      <c r="Q383" s="5">
        <f t="shared" si="679"/>
        <v>332.52168600000005</v>
      </c>
      <c r="R383" s="5">
        <f t="shared" si="679"/>
        <v>159.22334700000002</v>
      </c>
      <c r="S383" s="5">
        <f t="shared" si="679"/>
        <v>36.067167000000005</v>
      </c>
      <c r="T383" s="5">
        <f t="shared" si="679"/>
        <v>443.36224800000002</v>
      </c>
      <c r="U383" s="5">
        <f t="shared" si="679"/>
        <v>153.94522500000002</v>
      </c>
      <c r="V383" s="5">
        <f t="shared" si="679"/>
        <v>318.44669400000004</v>
      </c>
      <c r="W383" s="5">
        <f t="shared" si="679"/>
        <v>426.64819500000004</v>
      </c>
      <c r="X383" s="5">
        <f t="shared" si="679"/>
        <v>541.88719200000003</v>
      </c>
      <c r="Y383" s="5">
        <f t="shared" si="679"/>
        <v>21.992175000000003</v>
      </c>
      <c r="Z383" s="5">
        <f t="shared" si="679"/>
        <v>0</v>
      </c>
      <c r="AA383" s="5">
        <f t="shared" si="679"/>
        <v>6.1578090000000003</v>
      </c>
      <c r="AB383" s="5">
        <f t="shared" si="679"/>
        <v>0</v>
      </c>
      <c r="AC383" s="56"/>
      <c r="AD383" s="23"/>
    </row>
    <row r="384" spans="1:30" s="14" customFormat="1">
      <c r="A384" s="78" t="s">
        <v>424</v>
      </c>
      <c r="B384" s="26">
        <f>211124.9156/2</f>
        <v>105562.4578</v>
      </c>
      <c r="C384" s="130">
        <f t="shared" si="667"/>
        <v>8796.8700000000008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>
        <v>1</v>
      </c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56"/>
      <c r="AD384" s="23"/>
    </row>
    <row r="385" spans="1:30" s="14" customFormat="1">
      <c r="A385" s="79"/>
      <c r="B385" s="9"/>
      <c r="C385" s="130"/>
      <c r="D385" s="5">
        <f t="shared" ref="D385" si="680">$C384*D384</f>
        <v>0</v>
      </c>
      <c r="E385" s="5">
        <f t="shared" ref="E385" si="681">$C384*E384</f>
        <v>0</v>
      </c>
      <c r="F385" s="5">
        <f t="shared" ref="F385:O385" si="682">$C384*F384</f>
        <v>0</v>
      </c>
      <c r="G385" s="5">
        <f t="shared" si="682"/>
        <v>0</v>
      </c>
      <c r="H385" s="5">
        <f t="shared" si="682"/>
        <v>0</v>
      </c>
      <c r="I385" s="5">
        <f t="shared" si="682"/>
        <v>0</v>
      </c>
      <c r="J385" s="5">
        <f t="shared" si="682"/>
        <v>0</v>
      </c>
      <c r="K385" s="5">
        <f t="shared" si="682"/>
        <v>0</v>
      </c>
      <c r="L385" s="5">
        <f t="shared" si="682"/>
        <v>0</v>
      </c>
      <c r="M385" s="5">
        <f t="shared" si="682"/>
        <v>0</v>
      </c>
      <c r="N385" s="5">
        <f t="shared" si="682"/>
        <v>8796.8700000000008</v>
      </c>
      <c r="O385" s="5">
        <f t="shared" si="682"/>
        <v>0</v>
      </c>
      <c r="P385" s="5">
        <f t="shared" ref="P385" si="683">$C384*P384</f>
        <v>0</v>
      </c>
      <c r="Q385" s="5">
        <f t="shared" ref="Q385" si="684">$C384*Q384</f>
        <v>0</v>
      </c>
      <c r="R385" s="5">
        <f t="shared" ref="R385:AB385" si="685">$C384*R384</f>
        <v>0</v>
      </c>
      <c r="S385" s="5">
        <f t="shared" si="685"/>
        <v>0</v>
      </c>
      <c r="T385" s="5">
        <f t="shared" si="685"/>
        <v>0</v>
      </c>
      <c r="U385" s="5">
        <f t="shared" si="685"/>
        <v>0</v>
      </c>
      <c r="V385" s="5">
        <f t="shared" si="685"/>
        <v>0</v>
      </c>
      <c r="W385" s="5">
        <f t="shared" si="685"/>
        <v>0</v>
      </c>
      <c r="X385" s="5">
        <f t="shared" si="685"/>
        <v>0</v>
      </c>
      <c r="Y385" s="5">
        <f t="shared" si="685"/>
        <v>0</v>
      </c>
      <c r="Z385" s="5">
        <f t="shared" si="685"/>
        <v>0</v>
      </c>
      <c r="AA385" s="5">
        <f t="shared" si="685"/>
        <v>0</v>
      </c>
      <c r="AB385" s="5">
        <f t="shared" si="685"/>
        <v>0</v>
      </c>
      <c r="AC385" s="56"/>
      <c r="AD385" s="23"/>
    </row>
    <row r="386" spans="1:30" s="14" customFormat="1">
      <c r="A386" s="81" t="s">
        <v>228</v>
      </c>
      <c r="B386" s="26">
        <v>450499.75439999998</v>
      </c>
      <c r="C386" s="130">
        <f>ROUND(B386/12,2)</f>
        <v>37541.65</v>
      </c>
      <c r="D386" s="35">
        <v>6.6E-3</v>
      </c>
      <c r="E386" s="35"/>
      <c r="F386" s="35">
        <v>3.5900000000000001E-2</v>
      </c>
      <c r="G386" s="35"/>
      <c r="H386" s="35"/>
      <c r="I386" s="35"/>
      <c r="J386" s="35"/>
      <c r="K386" s="35"/>
      <c r="L386" s="35"/>
      <c r="M386" s="35">
        <v>9.1000000000000004E-3</v>
      </c>
      <c r="N386" s="35">
        <v>0.9294</v>
      </c>
      <c r="O386" s="35"/>
      <c r="P386" s="35"/>
      <c r="Q386" s="35"/>
      <c r="R386" s="35"/>
      <c r="S386" s="35"/>
      <c r="T386" s="35">
        <v>1.9E-2</v>
      </c>
      <c r="U386" s="35"/>
      <c r="V386" s="35"/>
      <c r="W386" s="35"/>
      <c r="X386" s="35"/>
      <c r="Y386" s="35"/>
      <c r="Z386" s="4"/>
      <c r="AA386" s="4"/>
      <c r="AB386" s="4"/>
      <c r="AC386" s="56"/>
      <c r="AD386" s="23"/>
    </row>
    <row r="387" spans="1:30" s="14" customFormat="1">
      <c r="A387" s="79"/>
      <c r="B387" s="168"/>
      <c r="C387" s="130"/>
      <c r="D387" s="5">
        <f t="shared" ref="D387" si="686">$C386*D386</f>
        <v>247.77489</v>
      </c>
      <c r="E387" s="5">
        <f t="shared" ref="E387" si="687">$C386*E386</f>
        <v>0</v>
      </c>
      <c r="F387" s="5">
        <f t="shared" ref="F387:AB387" si="688">$C386*F386</f>
        <v>1347.7452350000001</v>
      </c>
      <c r="G387" s="5">
        <f t="shared" si="688"/>
        <v>0</v>
      </c>
      <c r="H387" s="5">
        <f t="shared" si="688"/>
        <v>0</v>
      </c>
      <c r="I387" s="5">
        <f t="shared" si="688"/>
        <v>0</v>
      </c>
      <c r="J387" s="5">
        <f t="shared" si="688"/>
        <v>0</v>
      </c>
      <c r="K387" s="5">
        <f t="shared" si="688"/>
        <v>0</v>
      </c>
      <c r="L387" s="5">
        <f t="shared" si="688"/>
        <v>0</v>
      </c>
      <c r="M387" s="5">
        <f t="shared" si="688"/>
        <v>341.62901500000004</v>
      </c>
      <c r="N387" s="5">
        <f t="shared" si="688"/>
        <v>34891.209510000001</v>
      </c>
      <c r="O387" s="5">
        <f t="shared" si="688"/>
        <v>0</v>
      </c>
      <c r="P387" s="5">
        <f t="shared" si="688"/>
        <v>0</v>
      </c>
      <c r="Q387" s="5">
        <f t="shared" si="688"/>
        <v>0</v>
      </c>
      <c r="R387" s="5">
        <f t="shared" si="688"/>
        <v>0</v>
      </c>
      <c r="S387" s="5">
        <f t="shared" si="688"/>
        <v>0</v>
      </c>
      <c r="T387" s="5">
        <f t="shared" si="688"/>
        <v>713.29134999999997</v>
      </c>
      <c r="U387" s="5">
        <f t="shared" si="688"/>
        <v>0</v>
      </c>
      <c r="V387" s="5">
        <f t="shared" si="688"/>
        <v>0</v>
      </c>
      <c r="W387" s="5">
        <f t="shared" si="688"/>
        <v>0</v>
      </c>
      <c r="X387" s="5">
        <f t="shared" si="688"/>
        <v>0</v>
      </c>
      <c r="Y387" s="5">
        <f t="shared" si="688"/>
        <v>0</v>
      </c>
      <c r="Z387" s="5">
        <f t="shared" si="688"/>
        <v>0</v>
      </c>
      <c r="AA387" s="5">
        <f t="shared" si="688"/>
        <v>0</v>
      </c>
      <c r="AB387" s="5">
        <f t="shared" si="688"/>
        <v>0</v>
      </c>
      <c r="AC387" s="56"/>
      <c r="AD387" s="23"/>
    </row>
    <row r="388" spans="1:30" s="14" customFormat="1">
      <c r="A388" s="81" t="s">
        <v>262</v>
      </c>
      <c r="B388" s="26">
        <v>2472391.3895999999</v>
      </c>
      <c r="C388" s="130">
        <f t="shared" si="667"/>
        <v>206032.62</v>
      </c>
      <c r="D388" s="35"/>
      <c r="E388" s="35"/>
      <c r="F388" s="35">
        <v>4.2099999999999999E-2</v>
      </c>
      <c r="G388" s="35"/>
      <c r="H388" s="35">
        <v>0.1328</v>
      </c>
      <c r="I388" s="35"/>
      <c r="J388" s="35"/>
      <c r="K388" s="35"/>
      <c r="L388" s="35"/>
      <c r="M388" s="35">
        <v>1.09E-2</v>
      </c>
      <c r="N388" s="35">
        <v>0.59379999999999999</v>
      </c>
      <c r="O388" s="35"/>
      <c r="P388" s="35"/>
      <c r="Q388" s="35"/>
      <c r="R388" s="35"/>
      <c r="S388" s="35"/>
      <c r="T388" s="35"/>
      <c r="U388" s="35"/>
      <c r="V388" s="35">
        <v>0.22040000000000001</v>
      </c>
      <c r="W388" s="35"/>
      <c r="X388" s="35"/>
      <c r="Y388" s="35"/>
      <c r="Z388" s="4"/>
      <c r="AA388" s="4"/>
      <c r="AB388" s="4"/>
      <c r="AC388" s="56"/>
      <c r="AD388" s="23"/>
    </row>
    <row r="389" spans="1:30" s="14" customFormat="1">
      <c r="A389" s="79"/>
      <c r="B389" s="168"/>
      <c r="C389" s="130"/>
      <c r="D389" s="5">
        <f t="shared" ref="D389" si="689">$C388*D388</f>
        <v>0</v>
      </c>
      <c r="E389" s="5">
        <f t="shared" ref="E389" si="690">$C388*E388</f>
        <v>0</v>
      </c>
      <c r="F389" s="5">
        <f t="shared" ref="F389:AB389" si="691">$C388*F388</f>
        <v>8673.9733020000003</v>
      </c>
      <c r="G389" s="5">
        <f t="shared" si="691"/>
        <v>0</v>
      </c>
      <c r="H389" s="5">
        <f t="shared" si="691"/>
        <v>27361.131935999998</v>
      </c>
      <c r="I389" s="5">
        <f t="shared" si="691"/>
        <v>0</v>
      </c>
      <c r="J389" s="5">
        <f t="shared" si="691"/>
        <v>0</v>
      </c>
      <c r="K389" s="5">
        <f t="shared" si="691"/>
        <v>0</v>
      </c>
      <c r="L389" s="5">
        <f t="shared" si="691"/>
        <v>0</v>
      </c>
      <c r="M389" s="5">
        <f t="shared" si="691"/>
        <v>2245.7555579999998</v>
      </c>
      <c r="N389" s="5">
        <f t="shared" si="691"/>
        <v>122342.169756</v>
      </c>
      <c r="O389" s="5">
        <f t="shared" si="691"/>
        <v>0</v>
      </c>
      <c r="P389" s="5">
        <f t="shared" si="691"/>
        <v>0</v>
      </c>
      <c r="Q389" s="5">
        <f t="shared" si="691"/>
        <v>0</v>
      </c>
      <c r="R389" s="5">
        <f t="shared" si="691"/>
        <v>0</v>
      </c>
      <c r="S389" s="5">
        <f t="shared" si="691"/>
        <v>0</v>
      </c>
      <c r="T389" s="5">
        <f t="shared" si="691"/>
        <v>0</v>
      </c>
      <c r="U389" s="5">
        <f t="shared" si="691"/>
        <v>0</v>
      </c>
      <c r="V389" s="5">
        <f t="shared" si="691"/>
        <v>45409.589447999999</v>
      </c>
      <c r="W389" s="5">
        <f t="shared" si="691"/>
        <v>0</v>
      </c>
      <c r="X389" s="5">
        <f t="shared" si="691"/>
        <v>0</v>
      </c>
      <c r="Y389" s="5">
        <f t="shared" si="691"/>
        <v>0</v>
      </c>
      <c r="Z389" s="5">
        <f t="shared" si="691"/>
        <v>0</v>
      </c>
      <c r="AA389" s="5">
        <f t="shared" si="691"/>
        <v>0</v>
      </c>
      <c r="AB389" s="5">
        <f t="shared" si="691"/>
        <v>0</v>
      </c>
      <c r="AC389" s="56"/>
      <c r="AD389" s="23"/>
    </row>
    <row r="390" spans="1:30" s="14" customFormat="1">
      <c r="A390" s="81" t="s">
        <v>263</v>
      </c>
      <c r="B390" s="26">
        <v>2174111.5082</v>
      </c>
      <c r="C390" s="130">
        <f t="shared" si="667"/>
        <v>181175.96</v>
      </c>
      <c r="D390" s="35"/>
      <c r="E390" s="35"/>
      <c r="F390" s="35">
        <v>5.8299999999999998E-2</v>
      </c>
      <c r="G390" s="35"/>
      <c r="H390" s="35">
        <v>4.7399999999999998E-2</v>
      </c>
      <c r="I390" s="35"/>
      <c r="J390" s="35"/>
      <c r="K390" s="35"/>
      <c r="L390" s="35"/>
      <c r="M390" s="35"/>
      <c r="N390" s="35">
        <v>0.81789999999999996</v>
      </c>
      <c r="O390" s="35"/>
      <c r="P390" s="35"/>
      <c r="Q390" s="35"/>
      <c r="R390" s="35"/>
      <c r="S390" s="35"/>
      <c r="T390" s="35"/>
      <c r="U390" s="35"/>
      <c r="V390" s="35">
        <v>7.6399999999999996E-2</v>
      </c>
      <c r="W390" s="35"/>
      <c r="X390" s="35"/>
      <c r="Y390" s="35"/>
      <c r="Z390" s="4"/>
      <c r="AA390" s="4"/>
      <c r="AB390" s="4"/>
      <c r="AC390" s="56"/>
      <c r="AD390" s="23"/>
    </row>
    <row r="391" spans="1:30" s="14" customFormat="1">
      <c r="A391" s="79"/>
      <c r="B391" s="168"/>
      <c r="C391" s="130"/>
      <c r="D391" s="5">
        <f t="shared" ref="D391" si="692">$C390*D390</f>
        <v>0</v>
      </c>
      <c r="E391" s="5">
        <f t="shared" ref="E391" si="693">$C390*E390</f>
        <v>0</v>
      </c>
      <c r="F391" s="5">
        <f t="shared" ref="F391:AB391" si="694">$C390*F390</f>
        <v>10562.558467999999</v>
      </c>
      <c r="G391" s="5">
        <f t="shared" si="694"/>
        <v>0</v>
      </c>
      <c r="H391" s="5">
        <f t="shared" si="694"/>
        <v>8587.7405039999994</v>
      </c>
      <c r="I391" s="5">
        <f t="shared" si="694"/>
        <v>0</v>
      </c>
      <c r="J391" s="5">
        <f t="shared" si="694"/>
        <v>0</v>
      </c>
      <c r="K391" s="5">
        <f t="shared" si="694"/>
        <v>0</v>
      </c>
      <c r="L391" s="5">
        <f t="shared" si="694"/>
        <v>0</v>
      </c>
      <c r="M391" s="5">
        <f t="shared" si="694"/>
        <v>0</v>
      </c>
      <c r="N391" s="5">
        <f t="shared" si="694"/>
        <v>148183.81768399998</v>
      </c>
      <c r="O391" s="5">
        <f t="shared" si="694"/>
        <v>0</v>
      </c>
      <c r="P391" s="5">
        <f t="shared" si="694"/>
        <v>0</v>
      </c>
      <c r="Q391" s="5">
        <f t="shared" si="694"/>
        <v>0</v>
      </c>
      <c r="R391" s="5">
        <f t="shared" si="694"/>
        <v>0</v>
      </c>
      <c r="S391" s="5">
        <f t="shared" si="694"/>
        <v>0</v>
      </c>
      <c r="T391" s="5">
        <f t="shared" si="694"/>
        <v>0</v>
      </c>
      <c r="U391" s="5">
        <f t="shared" si="694"/>
        <v>0</v>
      </c>
      <c r="V391" s="5">
        <f t="shared" si="694"/>
        <v>13841.843343999999</v>
      </c>
      <c r="W391" s="5">
        <f t="shared" si="694"/>
        <v>0</v>
      </c>
      <c r="X391" s="5">
        <f t="shared" si="694"/>
        <v>0</v>
      </c>
      <c r="Y391" s="5">
        <f t="shared" si="694"/>
        <v>0</v>
      </c>
      <c r="Z391" s="5">
        <f t="shared" si="694"/>
        <v>0</v>
      </c>
      <c r="AA391" s="5">
        <f t="shared" si="694"/>
        <v>0</v>
      </c>
      <c r="AB391" s="5">
        <f t="shared" si="694"/>
        <v>0</v>
      </c>
      <c r="AC391" s="56"/>
      <c r="AD391" s="23"/>
    </row>
    <row r="392" spans="1:30" s="14" customFormat="1">
      <c r="A392" s="81" t="s">
        <v>264</v>
      </c>
      <c r="B392" s="26">
        <v>395419.53899999999</v>
      </c>
      <c r="C392" s="130">
        <f t="shared" si="667"/>
        <v>32951.629999999997</v>
      </c>
      <c r="D392" s="35"/>
      <c r="E392" s="35"/>
      <c r="F392" s="35">
        <v>6.3100000000000003E-2</v>
      </c>
      <c r="G392" s="35"/>
      <c r="H392" s="35">
        <v>3.8100000000000002E-2</v>
      </c>
      <c r="I392" s="35"/>
      <c r="J392" s="35"/>
      <c r="K392" s="35"/>
      <c r="L392" s="35"/>
      <c r="M392" s="35"/>
      <c r="N392" s="35">
        <v>0.81899999999999995</v>
      </c>
      <c r="O392" s="35"/>
      <c r="P392" s="35"/>
      <c r="Q392" s="35"/>
      <c r="R392" s="35"/>
      <c r="S392" s="35"/>
      <c r="T392" s="35"/>
      <c r="U392" s="35"/>
      <c r="V392" s="35">
        <v>7.9799999999999996E-2</v>
      </c>
      <c r="W392" s="35"/>
      <c r="X392" s="35"/>
      <c r="Y392" s="35"/>
      <c r="Z392" s="4"/>
      <c r="AA392" s="4"/>
      <c r="AB392" s="4"/>
      <c r="AC392" s="56"/>
      <c r="AD392" s="23"/>
    </row>
    <row r="393" spans="1:30" s="14" customFormat="1">
      <c r="A393" s="79"/>
      <c r="B393" s="168"/>
      <c r="C393" s="130"/>
      <c r="D393" s="5">
        <f t="shared" ref="D393" si="695">$C392*D392</f>
        <v>0</v>
      </c>
      <c r="E393" s="5">
        <f t="shared" ref="E393" si="696">$C392*E392</f>
        <v>0</v>
      </c>
      <c r="F393" s="5">
        <f t="shared" ref="F393:AB393" si="697">$C392*F392</f>
        <v>2079.2478529999998</v>
      </c>
      <c r="G393" s="5">
        <f t="shared" si="697"/>
        <v>0</v>
      </c>
      <c r="H393" s="5">
        <f t="shared" si="697"/>
        <v>1255.457103</v>
      </c>
      <c r="I393" s="5">
        <f t="shared" si="697"/>
        <v>0</v>
      </c>
      <c r="J393" s="5">
        <f t="shared" si="697"/>
        <v>0</v>
      </c>
      <c r="K393" s="5">
        <f t="shared" si="697"/>
        <v>0</v>
      </c>
      <c r="L393" s="5">
        <f t="shared" si="697"/>
        <v>0</v>
      </c>
      <c r="M393" s="5">
        <f t="shared" si="697"/>
        <v>0</v>
      </c>
      <c r="N393" s="5">
        <f t="shared" si="697"/>
        <v>26987.384969999996</v>
      </c>
      <c r="O393" s="5">
        <f t="shared" si="697"/>
        <v>0</v>
      </c>
      <c r="P393" s="5">
        <f t="shared" si="697"/>
        <v>0</v>
      </c>
      <c r="Q393" s="5">
        <f t="shared" si="697"/>
        <v>0</v>
      </c>
      <c r="R393" s="5">
        <f t="shared" si="697"/>
        <v>0</v>
      </c>
      <c r="S393" s="5">
        <f t="shared" si="697"/>
        <v>0</v>
      </c>
      <c r="T393" s="5">
        <f t="shared" si="697"/>
        <v>0</v>
      </c>
      <c r="U393" s="5">
        <f t="shared" si="697"/>
        <v>0</v>
      </c>
      <c r="V393" s="5">
        <f t="shared" si="697"/>
        <v>2629.5400739999995</v>
      </c>
      <c r="W393" s="5">
        <f t="shared" si="697"/>
        <v>0</v>
      </c>
      <c r="X393" s="5">
        <f t="shared" si="697"/>
        <v>0</v>
      </c>
      <c r="Y393" s="5">
        <f t="shared" si="697"/>
        <v>0</v>
      </c>
      <c r="Z393" s="5">
        <f t="shared" si="697"/>
        <v>0</v>
      </c>
      <c r="AA393" s="5">
        <f t="shared" si="697"/>
        <v>0</v>
      </c>
      <c r="AB393" s="5">
        <f t="shared" si="697"/>
        <v>0</v>
      </c>
      <c r="AC393" s="56"/>
      <c r="AD393" s="23"/>
    </row>
    <row r="394" spans="1:30" s="14" customFormat="1">
      <c r="A394" s="81" t="s">
        <v>265</v>
      </c>
      <c r="B394" s="26">
        <v>11649642.328500001</v>
      </c>
      <c r="C394" s="130">
        <f t="shared" si="667"/>
        <v>970803.53</v>
      </c>
      <c r="D394" s="35"/>
      <c r="E394" s="35"/>
      <c r="F394" s="35"/>
      <c r="G394" s="35"/>
      <c r="H394" s="35"/>
      <c r="I394" s="35"/>
      <c r="J394" s="35"/>
      <c r="K394" s="35">
        <v>4.5999999999999999E-3</v>
      </c>
      <c r="L394" s="35"/>
      <c r="M394" s="35"/>
      <c r="N394" s="35">
        <v>0.99539999999999995</v>
      </c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4"/>
      <c r="AA394" s="4"/>
      <c r="AB394" s="4"/>
      <c r="AC394" s="56"/>
      <c r="AD394" s="23"/>
    </row>
    <row r="395" spans="1:30" s="14" customFormat="1">
      <c r="A395" s="79"/>
      <c r="B395" s="168"/>
      <c r="C395" s="130"/>
      <c r="D395" s="5">
        <f t="shared" ref="D395" si="698">$C394*D394</f>
        <v>0</v>
      </c>
      <c r="E395" s="5">
        <f t="shared" ref="E395" si="699">$C394*E394</f>
        <v>0</v>
      </c>
      <c r="F395" s="5">
        <f t="shared" ref="F395:AB395" si="700">$C394*F394</f>
        <v>0</v>
      </c>
      <c r="G395" s="5">
        <f t="shared" si="700"/>
        <v>0</v>
      </c>
      <c r="H395" s="5">
        <f t="shared" si="700"/>
        <v>0</v>
      </c>
      <c r="I395" s="5">
        <f t="shared" si="700"/>
        <v>0</v>
      </c>
      <c r="J395" s="5">
        <f t="shared" si="700"/>
        <v>0</v>
      </c>
      <c r="K395" s="5">
        <f t="shared" si="700"/>
        <v>4465.6962380000004</v>
      </c>
      <c r="L395" s="5">
        <f t="shared" si="700"/>
        <v>0</v>
      </c>
      <c r="M395" s="5">
        <f t="shared" si="700"/>
        <v>0</v>
      </c>
      <c r="N395" s="5">
        <f t="shared" si="700"/>
        <v>966337.83376199997</v>
      </c>
      <c r="O395" s="5">
        <f t="shared" si="700"/>
        <v>0</v>
      </c>
      <c r="P395" s="5">
        <f t="shared" si="700"/>
        <v>0</v>
      </c>
      <c r="Q395" s="5">
        <f t="shared" si="700"/>
        <v>0</v>
      </c>
      <c r="R395" s="5">
        <f t="shared" si="700"/>
        <v>0</v>
      </c>
      <c r="S395" s="5">
        <f t="shared" si="700"/>
        <v>0</v>
      </c>
      <c r="T395" s="5">
        <f t="shared" si="700"/>
        <v>0</v>
      </c>
      <c r="U395" s="5">
        <f t="shared" si="700"/>
        <v>0</v>
      </c>
      <c r="V395" s="5">
        <f t="shared" si="700"/>
        <v>0</v>
      </c>
      <c r="W395" s="5">
        <f t="shared" si="700"/>
        <v>0</v>
      </c>
      <c r="X395" s="5">
        <f t="shared" si="700"/>
        <v>0</v>
      </c>
      <c r="Y395" s="5">
        <f t="shared" si="700"/>
        <v>0</v>
      </c>
      <c r="Z395" s="5">
        <f t="shared" si="700"/>
        <v>0</v>
      </c>
      <c r="AA395" s="5">
        <f t="shared" si="700"/>
        <v>0</v>
      </c>
      <c r="AB395" s="5">
        <f t="shared" si="700"/>
        <v>0</v>
      </c>
      <c r="AC395" s="56"/>
      <c r="AD395" s="23"/>
    </row>
    <row r="396" spans="1:30" s="14" customFormat="1">
      <c r="A396" s="81" t="s">
        <v>266</v>
      </c>
      <c r="B396" s="26">
        <v>377357.5428</v>
      </c>
      <c r="C396" s="130">
        <f t="shared" si="667"/>
        <v>31446.46</v>
      </c>
      <c r="D396" s="35"/>
      <c r="E396" s="35"/>
      <c r="F396" s="35">
        <v>8.6599999999999996E-2</v>
      </c>
      <c r="G396" s="35"/>
      <c r="H396" s="35">
        <v>0.1095</v>
      </c>
      <c r="I396" s="35"/>
      <c r="J396" s="35"/>
      <c r="K396" s="35"/>
      <c r="L396" s="35"/>
      <c r="M396" s="35"/>
      <c r="N396" s="35">
        <v>0.63300000000000001</v>
      </c>
      <c r="O396" s="35"/>
      <c r="P396" s="35"/>
      <c r="Q396" s="35"/>
      <c r="R396" s="35"/>
      <c r="S396" s="35"/>
      <c r="T396" s="35"/>
      <c r="U396" s="35"/>
      <c r="V396" s="35">
        <v>0.1709</v>
      </c>
      <c r="W396" s="35"/>
      <c r="X396" s="35"/>
      <c r="Y396" s="35"/>
      <c r="Z396" s="4"/>
      <c r="AA396" s="4"/>
      <c r="AB396" s="4"/>
      <c r="AC396" s="56"/>
      <c r="AD396" s="23"/>
    </row>
    <row r="397" spans="1:30" s="14" customFormat="1">
      <c r="A397" s="79"/>
      <c r="B397" s="168"/>
      <c r="C397" s="130"/>
      <c r="D397" s="5">
        <f t="shared" ref="D397" si="701">$C396*D396</f>
        <v>0</v>
      </c>
      <c r="E397" s="5">
        <f t="shared" ref="E397" si="702">$C396*E396</f>
        <v>0</v>
      </c>
      <c r="F397" s="5">
        <f t="shared" ref="F397:AB397" si="703">$C396*F396</f>
        <v>2723.2634359999997</v>
      </c>
      <c r="G397" s="5">
        <f t="shared" si="703"/>
        <v>0</v>
      </c>
      <c r="H397" s="5">
        <f t="shared" si="703"/>
        <v>3443.3873699999999</v>
      </c>
      <c r="I397" s="5">
        <f t="shared" si="703"/>
        <v>0</v>
      </c>
      <c r="J397" s="5">
        <f t="shared" si="703"/>
        <v>0</v>
      </c>
      <c r="K397" s="5">
        <f t="shared" si="703"/>
        <v>0</v>
      </c>
      <c r="L397" s="5">
        <f t="shared" si="703"/>
        <v>0</v>
      </c>
      <c r="M397" s="5">
        <f t="shared" si="703"/>
        <v>0</v>
      </c>
      <c r="N397" s="5">
        <f t="shared" si="703"/>
        <v>19905.609179999999</v>
      </c>
      <c r="O397" s="5">
        <f t="shared" si="703"/>
        <v>0</v>
      </c>
      <c r="P397" s="5">
        <f t="shared" si="703"/>
        <v>0</v>
      </c>
      <c r="Q397" s="5">
        <f t="shared" si="703"/>
        <v>0</v>
      </c>
      <c r="R397" s="5">
        <f t="shared" si="703"/>
        <v>0</v>
      </c>
      <c r="S397" s="5">
        <f t="shared" si="703"/>
        <v>0</v>
      </c>
      <c r="T397" s="5">
        <f t="shared" si="703"/>
        <v>0</v>
      </c>
      <c r="U397" s="5">
        <f t="shared" si="703"/>
        <v>0</v>
      </c>
      <c r="V397" s="5">
        <f t="shared" si="703"/>
        <v>5374.200014</v>
      </c>
      <c r="W397" s="5">
        <f t="shared" si="703"/>
        <v>0</v>
      </c>
      <c r="X397" s="5">
        <f t="shared" si="703"/>
        <v>0</v>
      </c>
      <c r="Y397" s="5">
        <f t="shared" si="703"/>
        <v>0</v>
      </c>
      <c r="Z397" s="5">
        <f t="shared" si="703"/>
        <v>0</v>
      </c>
      <c r="AA397" s="5">
        <f t="shared" si="703"/>
        <v>0</v>
      </c>
      <c r="AB397" s="5">
        <f t="shared" si="703"/>
        <v>0</v>
      </c>
      <c r="AC397" s="56"/>
      <c r="AD397" s="23"/>
    </row>
    <row r="398" spans="1:30" s="14" customFormat="1">
      <c r="A398" s="81" t="s">
        <v>273</v>
      </c>
      <c r="B398" s="26">
        <v>298274.04450000002</v>
      </c>
      <c r="C398" s="130">
        <f t="shared" si="667"/>
        <v>24856.17</v>
      </c>
      <c r="D398" s="35"/>
      <c r="E398" s="35"/>
      <c r="F398" s="35">
        <v>5.8299999999999998E-2</v>
      </c>
      <c r="G398" s="35"/>
      <c r="H398" s="35">
        <v>6.25E-2</v>
      </c>
      <c r="I398" s="35"/>
      <c r="J398" s="35"/>
      <c r="K398" s="35"/>
      <c r="L398" s="35"/>
      <c r="M398" s="35"/>
      <c r="N398" s="35">
        <v>0.78380000000000005</v>
      </c>
      <c r="O398" s="35"/>
      <c r="P398" s="35"/>
      <c r="Q398" s="35"/>
      <c r="R398" s="35"/>
      <c r="S398" s="35"/>
      <c r="T398" s="35"/>
      <c r="U398" s="35"/>
      <c r="V398" s="35">
        <v>9.5399999999999999E-2</v>
      </c>
      <c r="W398" s="35"/>
      <c r="X398" s="35"/>
      <c r="Y398" s="35"/>
      <c r="Z398" s="4"/>
      <c r="AA398" s="4"/>
      <c r="AB398" s="4"/>
      <c r="AC398" s="56"/>
      <c r="AD398" s="23"/>
    </row>
    <row r="399" spans="1:30" s="14" customFormat="1">
      <c r="A399" s="79"/>
      <c r="B399" s="168"/>
      <c r="C399" s="130"/>
      <c r="D399" s="5">
        <f t="shared" ref="D399" si="704">$C398*D398</f>
        <v>0</v>
      </c>
      <c r="E399" s="5">
        <f t="shared" ref="E399" si="705">$C398*E398</f>
        <v>0</v>
      </c>
      <c r="F399" s="5">
        <f t="shared" ref="F399:AB399" si="706">$C398*F398</f>
        <v>1449.1147109999999</v>
      </c>
      <c r="G399" s="5">
        <f t="shared" si="706"/>
        <v>0</v>
      </c>
      <c r="H399" s="5">
        <f t="shared" si="706"/>
        <v>1553.5106249999999</v>
      </c>
      <c r="I399" s="5">
        <f t="shared" si="706"/>
        <v>0</v>
      </c>
      <c r="J399" s="5">
        <f t="shared" si="706"/>
        <v>0</v>
      </c>
      <c r="K399" s="5">
        <f t="shared" si="706"/>
        <v>0</v>
      </c>
      <c r="L399" s="5">
        <f t="shared" si="706"/>
        <v>0</v>
      </c>
      <c r="M399" s="5">
        <f t="shared" si="706"/>
        <v>0</v>
      </c>
      <c r="N399" s="5">
        <f t="shared" si="706"/>
        <v>19482.266046000001</v>
      </c>
      <c r="O399" s="5">
        <f t="shared" si="706"/>
        <v>0</v>
      </c>
      <c r="P399" s="5">
        <f t="shared" si="706"/>
        <v>0</v>
      </c>
      <c r="Q399" s="5">
        <f t="shared" si="706"/>
        <v>0</v>
      </c>
      <c r="R399" s="5">
        <f t="shared" si="706"/>
        <v>0</v>
      </c>
      <c r="S399" s="5">
        <f t="shared" si="706"/>
        <v>0</v>
      </c>
      <c r="T399" s="5">
        <f t="shared" si="706"/>
        <v>0</v>
      </c>
      <c r="U399" s="5">
        <f t="shared" si="706"/>
        <v>0</v>
      </c>
      <c r="V399" s="5">
        <f t="shared" si="706"/>
        <v>2371.2786179999998</v>
      </c>
      <c r="W399" s="5">
        <f t="shared" si="706"/>
        <v>0</v>
      </c>
      <c r="X399" s="5">
        <f t="shared" si="706"/>
        <v>0</v>
      </c>
      <c r="Y399" s="5">
        <f t="shared" si="706"/>
        <v>0</v>
      </c>
      <c r="Z399" s="5">
        <f t="shared" si="706"/>
        <v>0</v>
      </c>
      <c r="AA399" s="5">
        <f t="shared" si="706"/>
        <v>0</v>
      </c>
      <c r="AB399" s="5">
        <f t="shared" si="706"/>
        <v>0</v>
      </c>
      <c r="AC399" s="56"/>
      <c r="AD399" s="23"/>
    </row>
    <row r="400" spans="1:30" s="14" customFormat="1">
      <c r="A400" s="78" t="s">
        <v>267</v>
      </c>
      <c r="B400" s="26">
        <f>5468930.4298/2</f>
        <v>2734465.2149</v>
      </c>
      <c r="C400" s="130">
        <f t="shared" si="667"/>
        <v>227872.1</v>
      </c>
      <c r="D400" s="35">
        <v>1.6299999999999999E-2</v>
      </c>
      <c r="E400" s="35">
        <v>0.14269999999999999</v>
      </c>
      <c r="F400" s="35">
        <v>5.8900000000000001E-2</v>
      </c>
      <c r="G400" s="35">
        <v>7.6200000000000004E-2</v>
      </c>
      <c r="H400" s="35">
        <v>3.9600000000000003E-2</v>
      </c>
      <c r="I400" s="35">
        <v>0.12470000000000001</v>
      </c>
      <c r="J400" s="35">
        <v>2.0400000000000001E-2</v>
      </c>
      <c r="K400" s="35">
        <v>3.1199999999999999E-2</v>
      </c>
      <c r="L400" s="35">
        <v>1.6199999999999999E-2</v>
      </c>
      <c r="M400" s="35">
        <v>2.53E-2</v>
      </c>
      <c r="N400" s="35">
        <v>0.14849999999999999</v>
      </c>
      <c r="O400" s="35">
        <v>2.2599999999999999E-2</v>
      </c>
      <c r="P400" s="35">
        <v>0</v>
      </c>
      <c r="Q400" s="35">
        <v>3.78E-2</v>
      </c>
      <c r="R400" s="35">
        <v>1.8100000000000002E-2</v>
      </c>
      <c r="S400" s="35">
        <v>4.1000000000000003E-3</v>
      </c>
      <c r="T400" s="35">
        <v>5.04E-2</v>
      </c>
      <c r="U400" s="35">
        <v>1.7500000000000002E-2</v>
      </c>
      <c r="V400" s="35">
        <v>3.6200000000000003E-2</v>
      </c>
      <c r="W400" s="35">
        <v>4.8500000000000001E-2</v>
      </c>
      <c r="X400" s="35">
        <v>6.1600000000000002E-2</v>
      </c>
      <c r="Y400" s="35">
        <v>2.5000000000000001E-3</v>
      </c>
      <c r="Z400" s="4">
        <v>0</v>
      </c>
      <c r="AA400" s="4">
        <v>6.9999999999999999E-4</v>
      </c>
      <c r="AB400" s="4">
        <v>0</v>
      </c>
      <c r="AC400" s="56"/>
      <c r="AD400" s="23"/>
    </row>
    <row r="401" spans="1:30" s="14" customFormat="1">
      <c r="A401" s="79"/>
      <c r="B401" s="27"/>
      <c r="C401" s="130"/>
      <c r="D401" s="5">
        <f t="shared" ref="D401" si="707">$C400*D400</f>
        <v>3714.3152299999997</v>
      </c>
      <c r="E401" s="5">
        <f t="shared" ref="E401" si="708">$C400*E400</f>
        <v>32517.348669999999</v>
      </c>
      <c r="F401" s="5">
        <f t="shared" ref="F401:AB401" si="709">$C400*F400</f>
        <v>13421.66669</v>
      </c>
      <c r="G401" s="5">
        <f t="shared" si="709"/>
        <v>17363.854020000002</v>
      </c>
      <c r="H401" s="5">
        <f t="shared" si="709"/>
        <v>9023.7351600000002</v>
      </c>
      <c r="I401" s="5">
        <f t="shared" si="709"/>
        <v>28415.650870000001</v>
      </c>
      <c r="J401" s="5">
        <f t="shared" si="709"/>
        <v>4648.5908400000008</v>
      </c>
      <c r="K401" s="5">
        <f t="shared" si="709"/>
        <v>7109.60952</v>
      </c>
      <c r="L401" s="5">
        <f t="shared" si="709"/>
        <v>3691.5280199999997</v>
      </c>
      <c r="M401" s="5">
        <f t="shared" si="709"/>
        <v>5765.1641300000001</v>
      </c>
      <c r="N401" s="5">
        <f t="shared" si="709"/>
        <v>33839.006849999998</v>
      </c>
      <c r="O401" s="5">
        <f t="shared" si="709"/>
        <v>5149.9094599999999</v>
      </c>
      <c r="P401" s="5">
        <f t="shared" si="709"/>
        <v>0</v>
      </c>
      <c r="Q401" s="5">
        <f t="shared" si="709"/>
        <v>8613.56538</v>
      </c>
      <c r="R401" s="5">
        <f t="shared" si="709"/>
        <v>4124.4850100000003</v>
      </c>
      <c r="S401" s="5">
        <f t="shared" si="709"/>
        <v>934.27561000000014</v>
      </c>
      <c r="T401" s="5">
        <f t="shared" si="709"/>
        <v>11484.753840000001</v>
      </c>
      <c r="U401" s="5">
        <f t="shared" si="709"/>
        <v>3987.7617500000006</v>
      </c>
      <c r="V401" s="5">
        <f t="shared" si="709"/>
        <v>8248.9700200000007</v>
      </c>
      <c r="W401" s="5">
        <f t="shared" si="709"/>
        <v>11051.796850000001</v>
      </c>
      <c r="X401" s="5">
        <f t="shared" si="709"/>
        <v>14036.92136</v>
      </c>
      <c r="Y401" s="5">
        <f t="shared" si="709"/>
        <v>569.68025</v>
      </c>
      <c r="Z401" s="5">
        <f t="shared" si="709"/>
        <v>0</v>
      </c>
      <c r="AA401" s="5">
        <f t="shared" si="709"/>
        <v>159.51047</v>
      </c>
      <c r="AB401" s="5">
        <f t="shared" si="709"/>
        <v>0</v>
      </c>
      <c r="AC401" s="56"/>
      <c r="AD401" s="23"/>
    </row>
    <row r="402" spans="1:30" s="14" customFormat="1">
      <c r="A402" s="78" t="s">
        <v>425</v>
      </c>
      <c r="B402" s="26">
        <f>5468930.4298/2</f>
        <v>2734465.2149</v>
      </c>
      <c r="C402" s="130">
        <f t="shared" si="667"/>
        <v>227872.1</v>
      </c>
      <c r="D402" s="4"/>
      <c r="E402" s="4"/>
      <c r="F402" s="4">
        <v>0</v>
      </c>
      <c r="G402" s="4"/>
      <c r="H402" s="4"/>
      <c r="I402" s="4"/>
      <c r="J402" s="4"/>
      <c r="K402" s="4"/>
      <c r="L402" s="4"/>
      <c r="M402" s="4"/>
      <c r="N402" s="4">
        <v>1</v>
      </c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56"/>
      <c r="AD402" s="23"/>
    </row>
    <row r="403" spans="1:30" s="14" customFormat="1">
      <c r="A403" s="79"/>
      <c r="B403" s="9"/>
      <c r="C403" s="130"/>
      <c r="D403" s="5">
        <f t="shared" ref="D403" si="710">$C402*D402</f>
        <v>0</v>
      </c>
      <c r="E403" s="5">
        <f t="shared" ref="E403" si="711">$C402*E402</f>
        <v>0</v>
      </c>
      <c r="F403" s="5">
        <f t="shared" ref="F403:O403" si="712">$C402*F402</f>
        <v>0</v>
      </c>
      <c r="G403" s="5">
        <f t="shared" si="712"/>
        <v>0</v>
      </c>
      <c r="H403" s="5">
        <f t="shared" si="712"/>
        <v>0</v>
      </c>
      <c r="I403" s="5">
        <f t="shared" si="712"/>
        <v>0</v>
      </c>
      <c r="J403" s="5">
        <f t="shared" si="712"/>
        <v>0</v>
      </c>
      <c r="K403" s="5">
        <f t="shared" si="712"/>
        <v>0</v>
      </c>
      <c r="L403" s="5">
        <f t="shared" si="712"/>
        <v>0</v>
      </c>
      <c r="M403" s="5">
        <f t="shared" si="712"/>
        <v>0</v>
      </c>
      <c r="N403" s="5">
        <f t="shared" si="712"/>
        <v>227872.1</v>
      </c>
      <c r="O403" s="5">
        <f t="shared" si="712"/>
        <v>0</v>
      </c>
      <c r="P403" s="5">
        <f t="shared" ref="P403" si="713">$C402*P402</f>
        <v>0</v>
      </c>
      <c r="Q403" s="5">
        <f t="shared" ref="Q403" si="714">$C402*Q402</f>
        <v>0</v>
      </c>
      <c r="R403" s="5">
        <f t="shared" ref="R403:AB403" si="715">$C402*R402</f>
        <v>0</v>
      </c>
      <c r="S403" s="5">
        <f t="shared" si="715"/>
        <v>0</v>
      </c>
      <c r="T403" s="5">
        <f t="shared" si="715"/>
        <v>0</v>
      </c>
      <c r="U403" s="5">
        <f t="shared" si="715"/>
        <v>0</v>
      </c>
      <c r="V403" s="5">
        <f t="shared" si="715"/>
        <v>0</v>
      </c>
      <c r="W403" s="5">
        <f t="shared" si="715"/>
        <v>0</v>
      </c>
      <c r="X403" s="5">
        <f t="shared" si="715"/>
        <v>0</v>
      </c>
      <c r="Y403" s="5">
        <f t="shared" si="715"/>
        <v>0</v>
      </c>
      <c r="Z403" s="5">
        <f t="shared" si="715"/>
        <v>0</v>
      </c>
      <c r="AA403" s="5">
        <f t="shared" si="715"/>
        <v>0</v>
      </c>
      <c r="AB403" s="5">
        <f t="shared" si="715"/>
        <v>0</v>
      </c>
      <c r="AC403" s="56"/>
      <c r="AD403" s="23"/>
    </row>
    <row r="404" spans="1:30" s="14" customFormat="1">
      <c r="A404" s="81" t="s">
        <v>268</v>
      </c>
      <c r="B404" s="26">
        <v>2577762.1348000001</v>
      </c>
      <c r="C404" s="130">
        <f t="shared" si="667"/>
        <v>214813.51</v>
      </c>
      <c r="D404" s="35"/>
      <c r="E404" s="35"/>
      <c r="F404" s="35">
        <v>0.14849999999999999</v>
      </c>
      <c r="G404" s="35"/>
      <c r="H404" s="35">
        <v>3.1E-2</v>
      </c>
      <c r="I404" s="35"/>
      <c r="J404" s="35"/>
      <c r="K404" s="35"/>
      <c r="L404" s="35"/>
      <c r="M404" s="35"/>
      <c r="N404" s="35">
        <v>0.74119999999999997</v>
      </c>
      <c r="O404" s="35"/>
      <c r="P404" s="35"/>
      <c r="Q404" s="35"/>
      <c r="R404" s="35"/>
      <c r="S404" s="35"/>
      <c r="T404" s="35"/>
      <c r="U404" s="35"/>
      <c r="V404" s="35">
        <v>7.9299999999999995E-2</v>
      </c>
      <c r="W404" s="35"/>
      <c r="X404" s="35"/>
      <c r="Y404" s="35"/>
      <c r="Z404" s="4"/>
      <c r="AA404" s="4"/>
      <c r="AB404" s="4"/>
      <c r="AC404" s="56"/>
      <c r="AD404" s="23"/>
    </row>
    <row r="405" spans="1:30" s="14" customFormat="1">
      <c r="A405" s="79"/>
      <c r="B405" s="168"/>
      <c r="C405" s="130"/>
      <c r="D405" s="5">
        <f t="shared" ref="D405" si="716">$C404*D404</f>
        <v>0</v>
      </c>
      <c r="E405" s="5">
        <f t="shared" ref="E405" si="717">$C404*E404</f>
        <v>0</v>
      </c>
      <c r="F405" s="5">
        <f t="shared" ref="F405:AB405" si="718">$C404*F404</f>
        <v>31899.806235</v>
      </c>
      <c r="G405" s="5">
        <f t="shared" si="718"/>
        <v>0</v>
      </c>
      <c r="H405" s="5">
        <f t="shared" si="718"/>
        <v>6659.2188100000003</v>
      </c>
      <c r="I405" s="5">
        <f t="shared" si="718"/>
        <v>0</v>
      </c>
      <c r="J405" s="5">
        <f t="shared" si="718"/>
        <v>0</v>
      </c>
      <c r="K405" s="5">
        <f t="shared" si="718"/>
        <v>0</v>
      </c>
      <c r="L405" s="5">
        <f t="shared" si="718"/>
        <v>0</v>
      </c>
      <c r="M405" s="5">
        <f t="shared" si="718"/>
        <v>0</v>
      </c>
      <c r="N405" s="5">
        <f t="shared" si="718"/>
        <v>159219.77361199999</v>
      </c>
      <c r="O405" s="5">
        <f t="shared" si="718"/>
        <v>0</v>
      </c>
      <c r="P405" s="5">
        <f t="shared" si="718"/>
        <v>0</v>
      </c>
      <c r="Q405" s="5">
        <f t="shared" si="718"/>
        <v>0</v>
      </c>
      <c r="R405" s="5">
        <f t="shared" si="718"/>
        <v>0</v>
      </c>
      <c r="S405" s="5">
        <f t="shared" si="718"/>
        <v>0</v>
      </c>
      <c r="T405" s="5">
        <f t="shared" si="718"/>
        <v>0</v>
      </c>
      <c r="U405" s="5">
        <f t="shared" si="718"/>
        <v>0</v>
      </c>
      <c r="V405" s="5">
        <f t="shared" si="718"/>
        <v>17034.711342999999</v>
      </c>
      <c r="W405" s="5">
        <f t="shared" si="718"/>
        <v>0</v>
      </c>
      <c r="X405" s="5">
        <f t="shared" si="718"/>
        <v>0</v>
      </c>
      <c r="Y405" s="5">
        <f t="shared" si="718"/>
        <v>0</v>
      </c>
      <c r="Z405" s="5">
        <f t="shared" si="718"/>
        <v>0</v>
      </c>
      <c r="AA405" s="5">
        <f t="shared" si="718"/>
        <v>0</v>
      </c>
      <c r="AB405" s="5">
        <f t="shared" si="718"/>
        <v>0</v>
      </c>
      <c r="AC405" s="56"/>
      <c r="AD405" s="23"/>
    </row>
    <row r="406" spans="1:30" s="14" customFormat="1">
      <c r="A406" s="81" t="s">
        <v>270</v>
      </c>
      <c r="B406" s="26">
        <f>914671.7615/2</f>
        <v>457335.88075000001</v>
      </c>
      <c r="C406" s="130">
        <f t="shared" si="667"/>
        <v>38111.32</v>
      </c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>
        <v>1</v>
      </c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4"/>
      <c r="AA406" s="4"/>
      <c r="AB406" s="4"/>
      <c r="AC406" s="56"/>
      <c r="AD406" s="23"/>
    </row>
    <row r="407" spans="1:30" s="14" customFormat="1">
      <c r="A407" s="79"/>
      <c r="B407" s="168"/>
      <c r="C407" s="130"/>
      <c r="D407" s="5">
        <f t="shared" ref="D407" si="719">$C406*D406</f>
        <v>0</v>
      </c>
      <c r="E407" s="5">
        <f t="shared" ref="E407" si="720">$C406*E406</f>
        <v>0</v>
      </c>
      <c r="F407" s="5">
        <f t="shared" ref="F407:AB407" si="721">$C406*F406</f>
        <v>0</v>
      </c>
      <c r="G407" s="5">
        <f t="shared" si="721"/>
        <v>0</v>
      </c>
      <c r="H407" s="5">
        <f t="shared" si="721"/>
        <v>0</v>
      </c>
      <c r="I407" s="5">
        <f t="shared" si="721"/>
        <v>0</v>
      </c>
      <c r="J407" s="5">
        <f t="shared" si="721"/>
        <v>0</v>
      </c>
      <c r="K407" s="5">
        <f t="shared" si="721"/>
        <v>0</v>
      </c>
      <c r="L407" s="5">
        <f t="shared" si="721"/>
        <v>0</v>
      </c>
      <c r="M407" s="5">
        <f t="shared" si="721"/>
        <v>0</v>
      </c>
      <c r="N407" s="5">
        <f t="shared" si="721"/>
        <v>38111.32</v>
      </c>
      <c r="O407" s="5">
        <f t="shared" si="721"/>
        <v>0</v>
      </c>
      <c r="P407" s="5">
        <f t="shared" si="721"/>
        <v>0</v>
      </c>
      <c r="Q407" s="5">
        <f t="shared" si="721"/>
        <v>0</v>
      </c>
      <c r="R407" s="5">
        <f t="shared" si="721"/>
        <v>0</v>
      </c>
      <c r="S407" s="5">
        <f t="shared" si="721"/>
        <v>0</v>
      </c>
      <c r="T407" s="5">
        <f t="shared" si="721"/>
        <v>0</v>
      </c>
      <c r="U407" s="5">
        <f t="shared" si="721"/>
        <v>0</v>
      </c>
      <c r="V407" s="5">
        <f t="shared" si="721"/>
        <v>0</v>
      </c>
      <c r="W407" s="5">
        <f t="shared" si="721"/>
        <v>0</v>
      </c>
      <c r="X407" s="5">
        <f t="shared" si="721"/>
        <v>0</v>
      </c>
      <c r="Y407" s="5">
        <f t="shared" si="721"/>
        <v>0</v>
      </c>
      <c r="Z407" s="5">
        <f t="shared" si="721"/>
        <v>0</v>
      </c>
      <c r="AA407" s="5">
        <f t="shared" si="721"/>
        <v>0</v>
      </c>
      <c r="AB407" s="5">
        <f t="shared" si="721"/>
        <v>0</v>
      </c>
      <c r="AC407" s="56"/>
      <c r="AD407" s="23"/>
    </row>
    <row r="408" spans="1:30" s="14" customFormat="1">
      <c r="A408" s="81" t="s">
        <v>269</v>
      </c>
      <c r="B408" s="26">
        <f>914671.7615/2</f>
        <v>457335.88075000001</v>
      </c>
      <c r="C408" s="130">
        <f t="shared" si="667"/>
        <v>38111.32</v>
      </c>
      <c r="D408" s="35">
        <v>1.6299999999999999E-2</v>
      </c>
      <c r="E408" s="35">
        <v>0.14269999999999999</v>
      </c>
      <c r="F408" s="35">
        <v>5.8900000000000001E-2</v>
      </c>
      <c r="G408" s="35">
        <v>7.6200000000000004E-2</v>
      </c>
      <c r="H408" s="35">
        <v>3.9600000000000003E-2</v>
      </c>
      <c r="I408" s="35">
        <v>0.12470000000000001</v>
      </c>
      <c r="J408" s="35">
        <v>2.0400000000000001E-2</v>
      </c>
      <c r="K408" s="35">
        <v>3.1199999999999999E-2</v>
      </c>
      <c r="L408" s="35">
        <v>1.6199999999999999E-2</v>
      </c>
      <c r="M408" s="35">
        <v>2.53E-2</v>
      </c>
      <c r="N408" s="35">
        <v>0.14849999999999999</v>
      </c>
      <c r="O408" s="35">
        <v>2.2599999999999999E-2</v>
      </c>
      <c r="P408" s="35">
        <v>0</v>
      </c>
      <c r="Q408" s="35">
        <v>3.78E-2</v>
      </c>
      <c r="R408" s="35">
        <v>1.8100000000000002E-2</v>
      </c>
      <c r="S408" s="35">
        <v>4.1000000000000003E-3</v>
      </c>
      <c r="T408" s="35">
        <v>5.04E-2</v>
      </c>
      <c r="U408" s="35">
        <v>1.7500000000000002E-2</v>
      </c>
      <c r="V408" s="35">
        <v>3.6200000000000003E-2</v>
      </c>
      <c r="W408" s="35">
        <v>4.8500000000000001E-2</v>
      </c>
      <c r="X408" s="35">
        <v>6.1600000000000002E-2</v>
      </c>
      <c r="Y408" s="35">
        <v>2.5000000000000001E-3</v>
      </c>
      <c r="Z408" s="4">
        <v>0</v>
      </c>
      <c r="AA408" s="4">
        <v>6.9999999999999999E-4</v>
      </c>
      <c r="AB408" s="4">
        <v>0</v>
      </c>
      <c r="AC408" s="56"/>
      <c r="AD408" s="23"/>
    </row>
    <row r="409" spans="1:30" s="14" customFormat="1">
      <c r="A409" s="79"/>
      <c r="B409" s="168"/>
      <c r="C409" s="130"/>
      <c r="D409" s="5">
        <f t="shared" ref="D409" si="722">$C408*D408</f>
        <v>621.21451599999989</v>
      </c>
      <c r="E409" s="5">
        <f t="shared" ref="E409" si="723">$C408*E408</f>
        <v>5438.4853640000001</v>
      </c>
      <c r="F409" s="5">
        <f t="shared" ref="F409:AB409" si="724">$C408*F408</f>
        <v>2244.7567480000002</v>
      </c>
      <c r="G409" s="5">
        <f t="shared" si="724"/>
        <v>2904.0825840000002</v>
      </c>
      <c r="H409" s="5">
        <f t="shared" si="724"/>
        <v>1509.2082720000001</v>
      </c>
      <c r="I409" s="5">
        <f t="shared" si="724"/>
        <v>4752.4816040000005</v>
      </c>
      <c r="J409" s="5">
        <f t="shared" si="724"/>
        <v>777.47092800000007</v>
      </c>
      <c r="K409" s="5">
        <f t="shared" si="724"/>
        <v>1189.0731839999999</v>
      </c>
      <c r="L409" s="5">
        <f t="shared" si="724"/>
        <v>617.40338399999996</v>
      </c>
      <c r="M409" s="5">
        <f t="shared" si="724"/>
        <v>964.21639600000003</v>
      </c>
      <c r="N409" s="5">
        <f t="shared" si="724"/>
        <v>5659.5310199999994</v>
      </c>
      <c r="O409" s="5">
        <f t="shared" si="724"/>
        <v>861.31583199999989</v>
      </c>
      <c r="P409" s="5">
        <f t="shared" si="724"/>
        <v>0</v>
      </c>
      <c r="Q409" s="5">
        <f t="shared" si="724"/>
        <v>1440.607896</v>
      </c>
      <c r="R409" s="5">
        <f t="shared" si="724"/>
        <v>689.8148920000001</v>
      </c>
      <c r="S409" s="5">
        <f t="shared" si="724"/>
        <v>156.25641200000001</v>
      </c>
      <c r="T409" s="5">
        <f t="shared" si="724"/>
        <v>1920.810528</v>
      </c>
      <c r="U409" s="5">
        <f t="shared" si="724"/>
        <v>666.94810000000007</v>
      </c>
      <c r="V409" s="5">
        <f t="shared" si="724"/>
        <v>1379.6297840000002</v>
      </c>
      <c r="W409" s="5">
        <f t="shared" si="724"/>
        <v>1848.3990200000001</v>
      </c>
      <c r="X409" s="5">
        <f t="shared" si="724"/>
        <v>2347.6573120000003</v>
      </c>
      <c r="Y409" s="5">
        <f t="shared" si="724"/>
        <v>95.278300000000002</v>
      </c>
      <c r="Z409" s="5">
        <f t="shared" si="724"/>
        <v>0</v>
      </c>
      <c r="AA409" s="5">
        <f t="shared" si="724"/>
        <v>26.677924000000001</v>
      </c>
      <c r="AB409" s="5">
        <f t="shared" si="724"/>
        <v>0</v>
      </c>
      <c r="AC409" s="56"/>
      <c r="AD409" s="23"/>
    </row>
    <row r="410" spans="1:30" s="14" customFormat="1">
      <c r="A410" s="78" t="s">
        <v>299</v>
      </c>
      <c r="B410" s="26">
        <f>31311582.5616/2</f>
        <v>15655791.2808</v>
      </c>
      <c r="C410" s="130">
        <f t="shared" si="667"/>
        <v>1304649.27</v>
      </c>
      <c r="D410" s="35">
        <v>1.6299999999999999E-2</v>
      </c>
      <c r="E410" s="35">
        <v>0.14269999999999999</v>
      </c>
      <c r="F410" s="35">
        <v>5.8900000000000001E-2</v>
      </c>
      <c r="G410" s="35">
        <v>7.6200000000000004E-2</v>
      </c>
      <c r="H410" s="35">
        <v>3.9600000000000003E-2</v>
      </c>
      <c r="I410" s="35">
        <v>0.12470000000000001</v>
      </c>
      <c r="J410" s="35">
        <v>2.0400000000000001E-2</v>
      </c>
      <c r="K410" s="35">
        <v>3.1199999999999999E-2</v>
      </c>
      <c r="L410" s="35">
        <v>1.6199999999999999E-2</v>
      </c>
      <c r="M410" s="35">
        <v>2.53E-2</v>
      </c>
      <c r="N410" s="35">
        <v>0.14849999999999999</v>
      </c>
      <c r="O410" s="35">
        <v>2.2599999999999999E-2</v>
      </c>
      <c r="P410" s="35">
        <v>0</v>
      </c>
      <c r="Q410" s="35">
        <v>3.78E-2</v>
      </c>
      <c r="R410" s="35">
        <v>1.8100000000000002E-2</v>
      </c>
      <c r="S410" s="35">
        <v>4.1000000000000003E-3</v>
      </c>
      <c r="T410" s="35">
        <v>5.04E-2</v>
      </c>
      <c r="U410" s="35">
        <v>1.7500000000000002E-2</v>
      </c>
      <c r="V410" s="35">
        <v>3.6200000000000003E-2</v>
      </c>
      <c r="W410" s="35">
        <v>4.8500000000000001E-2</v>
      </c>
      <c r="X410" s="35">
        <v>6.1600000000000002E-2</v>
      </c>
      <c r="Y410" s="35">
        <v>2.5000000000000001E-3</v>
      </c>
      <c r="Z410" s="4">
        <v>0</v>
      </c>
      <c r="AA410" s="4">
        <v>6.9999999999999999E-4</v>
      </c>
      <c r="AB410" s="4">
        <v>0</v>
      </c>
      <c r="AC410" s="56"/>
      <c r="AD410" s="23"/>
    </row>
    <row r="411" spans="1:30" s="14" customFormat="1">
      <c r="A411" s="79"/>
      <c r="B411" s="27"/>
      <c r="C411" s="130"/>
      <c r="D411" s="5">
        <f t="shared" ref="D411" si="725">$C410*D410</f>
        <v>21265.783100999997</v>
      </c>
      <c r="E411" s="5">
        <f t="shared" ref="E411" si="726">$C410*E410</f>
        <v>186173.45082900001</v>
      </c>
      <c r="F411" s="5">
        <f t="shared" ref="F411:AB411" si="727">$C410*F410</f>
        <v>76843.842002999998</v>
      </c>
      <c r="G411" s="5">
        <f t="shared" si="727"/>
        <v>99414.274374000001</v>
      </c>
      <c r="H411" s="5">
        <f t="shared" si="727"/>
        <v>51664.111092000006</v>
      </c>
      <c r="I411" s="5">
        <f t="shared" si="727"/>
        <v>162689.76396900002</v>
      </c>
      <c r="J411" s="5">
        <f t="shared" si="727"/>
        <v>26614.845108000001</v>
      </c>
      <c r="K411" s="5">
        <f t="shared" si="727"/>
        <v>40705.057223999996</v>
      </c>
      <c r="L411" s="5">
        <f t="shared" si="727"/>
        <v>21135.318174</v>
      </c>
      <c r="M411" s="5">
        <f t="shared" si="727"/>
        <v>33007.626531000002</v>
      </c>
      <c r="N411" s="5">
        <f t="shared" si="727"/>
        <v>193740.41659499999</v>
      </c>
      <c r="O411" s="5">
        <f t="shared" si="727"/>
        <v>29485.073501999999</v>
      </c>
      <c r="P411" s="5">
        <f t="shared" si="727"/>
        <v>0</v>
      </c>
      <c r="Q411" s="5">
        <f t="shared" si="727"/>
        <v>49315.742405999998</v>
      </c>
      <c r="R411" s="5">
        <f t="shared" si="727"/>
        <v>23614.151787000003</v>
      </c>
      <c r="S411" s="5">
        <f t="shared" si="727"/>
        <v>5349.0620070000004</v>
      </c>
      <c r="T411" s="5">
        <f t="shared" si="727"/>
        <v>65754.323208000002</v>
      </c>
      <c r="U411" s="5">
        <f t="shared" si="727"/>
        <v>22831.362225000001</v>
      </c>
      <c r="V411" s="5">
        <f t="shared" si="727"/>
        <v>47228.303574000005</v>
      </c>
      <c r="W411" s="5">
        <f t="shared" si="727"/>
        <v>63275.489595000006</v>
      </c>
      <c r="X411" s="5">
        <f t="shared" si="727"/>
        <v>80366.395032</v>
      </c>
      <c r="Y411" s="5">
        <f t="shared" si="727"/>
        <v>3261.6231750000002</v>
      </c>
      <c r="Z411" s="5">
        <f t="shared" si="727"/>
        <v>0</v>
      </c>
      <c r="AA411" s="5">
        <f t="shared" si="727"/>
        <v>913.25448900000004</v>
      </c>
      <c r="AB411" s="5">
        <f t="shared" si="727"/>
        <v>0</v>
      </c>
      <c r="AC411" s="56"/>
      <c r="AD411" s="23"/>
    </row>
    <row r="412" spans="1:30" s="14" customFormat="1">
      <c r="A412" s="78" t="s">
        <v>426</v>
      </c>
      <c r="B412" s="26">
        <f>31311582.5616/2</f>
        <v>15655791.2808</v>
      </c>
      <c r="C412" s="130">
        <f t="shared" si="667"/>
        <v>1304649.27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>
        <v>1</v>
      </c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56"/>
      <c r="AD412" s="23"/>
    </row>
    <row r="413" spans="1:30" s="14" customFormat="1">
      <c r="A413" s="79"/>
      <c r="B413" s="9"/>
      <c r="C413" s="130"/>
      <c r="D413" s="5">
        <f t="shared" ref="D413" si="728">$C412*D412</f>
        <v>0</v>
      </c>
      <c r="E413" s="5">
        <f t="shared" ref="E413" si="729">$C412*E412</f>
        <v>0</v>
      </c>
      <c r="F413" s="5">
        <f t="shared" ref="F413:O413" si="730">$C412*F412</f>
        <v>0</v>
      </c>
      <c r="G413" s="5">
        <f t="shared" si="730"/>
        <v>0</v>
      </c>
      <c r="H413" s="5">
        <f t="shared" si="730"/>
        <v>0</v>
      </c>
      <c r="I413" s="5">
        <f t="shared" si="730"/>
        <v>0</v>
      </c>
      <c r="J413" s="5">
        <f t="shared" si="730"/>
        <v>0</v>
      </c>
      <c r="K413" s="5">
        <f t="shared" si="730"/>
        <v>0</v>
      </c>
      <c r="L413" s="5">
        <f t="shared" si="730"/>
        <v>0</v>
      </c>
      <c r="M413" s="5">
        <f t="shared" si="730"/>
        <v>0</v>
      </c>
      <c r="N413" s="5">
        <f t="shared" si="730"/>
        <v>1304649.27</v>
      </c>
      <c r="O413" s="5">
        <f t="shared" si="730"/>
        <v>0</v>
      </c>
      <c r="P413" s="5">
        <f t="shared" ref="P413" si="731">$C412*P412</f>
        <v>0</v>
      </c>
      <c r="Q413" s="5">
        <f t="shared" ref="Q413" si="732">$C412*Q412</f>
        <v>0</v>
      </c>
      <c r="R413" s="5">
        <f t="shared" ref="R413:AB413" si="733">$C412*R412</f>
        <v>0</v>
      </c>
      <c r="S413" s="5">
        <f t="shared" si="733"/>
        <v>0</v>
      </c>
      <c r="T413" s="5">
        <f t="shared" si="733"/>
        <v>0</v>
      </c>
      <c r="U413" s="5">
        <f t="shared" si="733"/>
        <v>0</v>
      </c>
      <c r="V413" s="5">
        <f t="shared" si="733"/>
        <v>0</v>
      </c>
      <c r="W413" s="5">
        <f t="shared" si="733"/>
        <v>0</v>
      </c>
      <c r="X413" s="5">
        <f t="shared" si="733"/>
        <v>0</v>
      </c>
      <c r="Y413" s="5">
        <f t="shared" si="733"/>
        <v>0</v>
      </c>
      <c r="Z413" s="5">
        <f t="shared" si="733"/>
        <v>0</v>
      </c>
      <c r="AA413" s="5">
        <f t="shared" si="733"/>
        <v>0</v>
      </c>
      <c r="AB413" s="5">
        <f t="shared" si="733"/>
        <v>0</v>
      </c>
      <c r="AC413" s="56"/>
      <c r="AD413" s="23"/>
    </row>
    <row r="414" spans="1:30" s="14" customFormat="1">
      <c r="A414" s="81" t="s">
        <v>300</v>
      </c>
      <c r="B414" s="26">
        <v>623581.12269999995</v>
      </c>
      <c r="C414" s="130">
        <f>ROUND(B414/12,2)</f>
        <v>51965.09</v>
      </c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>
        <v>0.99839999999999995</v>
      </c>
      <c r="O414" s="35"/>
      <c r="P414" s="35"/>
      <c r="Q414" s="35"/>
      <c r="R414" s="35"/>
      <c r="S414" s="35"/>
      <c r="T414" s="35"/>
      <c r="U414" s="35"/>
      <c r="V414" s="35">
        <v>1.6000000000000001E-3</v>
      </c>
      <c r="W414" s="35"/>
      <c r="X414" s="35"/>
      <c r="Y414" s="35"/>
      <c r="Z414" s="4"/>
      <c r="AA414" s="4"/>
      <c r="AB414" s="4"/>
      <c r="AC414" s="56"/>
      <c r="AD414" s="23"/>
    </row>
    <row r="415" spans="1:30" s="14" customFormat="1">
      <c r="A415" s="79"/>
      <c r="B415" s="168"/>
      <c r="C415" s="130"/>
      <c r="D415" s="5">
        <f t="shared" ref="D415" si="734">$C414*D414</f>
        <v>0</v>
      </c>
      <c r="E415" s="5">
        <f t="shared" ref="E415" si="735">$C414*E414</f>
        <v>0</v>
      </c>
      <c r="F415" s="5">
        <f t="shared" ref="F415:AB415" si="736">$C414*F414</f>
        <v>0</v>
      </c>
      <c r="G415" s="5">
        <f t="shared" si="736"/>
        <v>0</v>
      </c>
      <c r="H415" s="5">
        <f t="shared" si="736"/>
        <v>0</v>
      </c>
      <c r="I415" s="5">
        <f t="shared" si="736"/>
        <v>0</v>
      </c>
      <c r="J415" s="5">
        <f t="shared" si="736"/>
        <v>0</v>
      </c>
      <c r="K415" s="5">
        <f t="shared" si="736"/>
        <v>0</v>
      </c>
      <c r="L415" s="5">
        <f t="shared" si="736"/>
        <v>0</v>
      </c>
      <c r="M415" s="5">
        <f t="shared" si="736"/>
        <v>0</v>
      </c>
      <c r="N415" s="5">
        <f t="shared" si="736"/>
        <v>51881.945855999991</v>
      </c>
      <c r="O415" s="5">
        <f t="shared" si="736"/>
        <v>0</v>
      </c>
      <c r="P415" s="5">
        <f t="shared" si="736"/>
        <v>0</v>
      </c>
      <c r="Q415" s="5">
        <f t="shared" si="736"/>
        <v>0</v>
      </c>
      <c r="R415" s="5">
        <f t="shared" si="736"/>
        <v>0</v>
      </c>
      <c r="S415" s="5">
        <f t="shared" si="736"/>
        <v>0</v>
      </c>
      <c r="T415" s="5">
        <f t="shared" si="736"/>
        <v>0</v>
      </c>
      <c r="U415" s="5">
        <f t="shared" si="736"/>
        <v>0</v>
      </c>
      <c r="V415" s="5">
        <f t="shared" si="736"/>
        <v>83.144143999999997</v>
      </c>
      <c r="W415" s="5">
        <f t="shared" si="736"/>
        <v>0</v>
      </c>
      <c r="X415" s="5">
        <f t="shared" si="736"/>
        <v>0</v>
      </c>
      <c r="Y415" s="5">
        <f t="shared" si="736"/>
        <v>0</v>
      </c>
      <c r="Z415" s="5">
        <f t="shared" si="736"/>
        <v>0</v>
      </c>
      <c r="AA415" s="5">
        <f t="shared" si="736"/>
        <v>0</v>
      </c>
      <c r="AB415" s="5">
        <f t="shared" si="736"/>
        <v>0</v>
      </c>
      <c r="AC415" s="56"/>
      <c r="AD415" s="23"/>
    </row>
    <row r="416" spans="1:30" s="14" customFormat="1">
      <c r="A416" s="81" t="s">
        <v>301</v>
      </c>
      <c r="B416" s="26">
        <v>17474147.680399999</v>
      </c>
      <c r="C416" s="130">
        <f t="shared" si="667"/>
        <v>1456178.97</v>
      </c>
      <c r="D416" s="35">
        <v>4.5999999999999999E-3</v>
      </c>
      <c r="E416" s="35"/>
      <c r="F416" s="35">
        <v>4.1799999999999997E-2</v>
      </c>
      <c r="G416" s="35"/>
      <c r="H416" s="35">
        <v>2.0199999999999999E-2</v>
      </c>
      <c r="I416" s="35"/>
      <c r="J416" s="35"/>
      <c r="K416" s="35"/>
      <c r="L416" s="35"/>
      <c r="M416" s="35">
        <v>8.0000000000000002E-3</v>
      </c>
      <c r="N416" s="35">
        <v>0.88449999999999995</v>
      </c>
      <c r="O416" s="35"/>
      <c r="P416" s="35"/>
      <c r="Q416" s="35">
        <v>6.4000000000000003E-3</v>
      </c>
      <c r="R416" s="35">
        <v>5.0000000000000001E-3</v>
      </c>
      <c r="S416" s="35">
        <v>5.9999999999999995E-4</v>
      </c>
      <c r="T416" s="35">
        <v>1.55E-2</v>
      </c>
      <c r="U416" s="35"/>
      <c r="V416" s="35">
        <v>1.34E-2</v>
      </c>
      <c r="W416" s="35"/>
      <c r="X416" s="35"/>
      <c r="Y416" s="35"/>
      <c r="Z416" s="4"/>
      <c r="AA416" s="4"/>
      <c r="AB416" s="4"/>
      <c r="AC416" s="56"/>
      <c r="AD416" s="23"/>
    </row>
    <row r="417" spans="1:30" s="14" customFormat="1">
      <c r="A417" s="79"/>
      <c r="B417" s="168"/>
      <c r="C417" s="130"/>
      <c r="D417" s="5">
        <f t="shared" ref="D417" si="737">$C416*D416</f>
        <v>6698.4232619999993</v>
      </c>
      <c r="E417" s="5">
        <f t="shared" ref="E417" si="738">$C416*E416</f>
        <v>0</v>
      </c>
      <c r="F417" s="5">
        <f t="shared" ref="F417:AB417" si="739">$C416*F416</f>
        <v>60868.280945999992</v>
      </c>
      <c r="G417" s="5">
        <f t="shared" si="739"/>
        <v>0</v>
      </c>
      <c r="H417" s="5">
        <f t="shared" si="739"/>
        <v>29414.815193999999</v>
      </c>
      <c r="I417" s="5">
        <f t="shared" si="739"/>
        <v>0</v>
      </c>
      <c r="J417" s="5">
        <f t="shared" si="739"/>
        <v>0</v>
      </c>
      <c r="K417" s="5">
        <f t="shared" si="739"/>
        <v>0</v>
      </c>
      <c r="L417" s="5">
        <f t="shared" si="739"/>
        <v>0</v>
      </c>
      <c r="M417" s="5">
        <f t="shared" si="739"/>
        <v>11649.431759999999</v>
      </c>
      <c r="N417" s="5">
        <f t="shared" si="739"/>
        <v>1287990.2989649998</v>
      </c>
      <c r="O417" s="5">
        <f t="shared" si="739"/>
        <v>0</v>
      </c>
      <c r="P417" s="5">
        <f t="shared" si="739"/>
        <v>0</v>
      </c>
      <c r="Q417" s="5">
        <f t="shared" si="739"/>
        <v>9319.545408</v>
      </c>
      <c r="R417" s="5">
        <f t="shared" si="739"/>
        <v>7280.8948499999997</v>
      </c>
      <c r="S417" s="5">
        <f t="shared" si="739"/>
        <v>873.70738199999994</v>
      </c>
      <c r="T417" s="5">
        <f t="shared" si="739"/>
        <v>22570.774034999999</v>
      </c>
      <c r="U417" s="5">
        <f t="shared" si="739"/>
        <v>0</v>
      </c>
      <c r="V417" s="5">
        <f t="shared" si="739"/>
        <v>19512.798198</v>
      </c>
      <c r="W417" s="5">
        <f t="shared" si="739"/>
        <v>0</v>
      </c>
      <c r="X417" s="5">
        <f t="shared" si="739"/>
        <v>0</v>
      </c>
      <c r="Y417" s="5">
        <f t="shared" si="739"/>
        <v>0</v>
      </c>
      <c r="Z417" s="5">
        <f t="shared" si="739"/>
        <v>0</v>
      </c>
      <c r="AA417" s="5">
        <f t="shared" si="739"/>
        <v>0</v>
      </c>
      <c r="AB417" s="5">
        <f t="shared" si="739"/>
        <v>0</v>
      </c>
      <c r="AC417" s="56"/>
      <c r="AD417" s="23"/>
    </row>
    <row r="418" spans="1:30" s="14" customFormat="1">
      <c r="A418" s="81" t="s">
        <v>302</v>
      </c>
      <c r="B418" s="26">
        <f>5195743.2657/2</f>
        <v>2597871.6328500002</v>
      </c>
      <c r="C418" s="130">
        <f t="shared" si="667"/>
        <v>216489.3</v>
      </c>
      <c r="D418" s="35">
        <v>1.6299999999999999E-2</v>
      </c>
      <c r="E418" s="35">
        <v>0.14269999999999999</v>
      </c>
      <c r="F418" s="35">
        <v>5.8900000000000001E-2</v>
      </c>
      <c r="G418" s="35">
        <v>7.6200000000000004E-2</v>
      </c>
      <c r="H418" s="35">
        <v>3.9600000000000003E-2</v>
      </c>
      <c r="I418" s="35">
        <v>0.12470000000000001</v>
      </c>
      <c r="J418" s="35">
        <v>2.0400000000000001E-2</v>
      </c>
      <c r="K418" s="35">
        <v>3.1199999999999999E-2</v>
      </c>
      <c r="L418" s="35">
        <v>1.6199999999999999E-2</v>
      </c>
      <c r="M418" s="35">
        <v>2.53E-2</v>
      </c>
      <c r="N418" s="35">
        <v>0.14849999999999999</v>
      </c>
      <c r="O418" s="35">
        <v>2.2599999999999999E-2</v>
      </c>
      <c r="P418" s="35">
        <v>0</v>
      </c>
      <c r="Q418" s="35">
        <v>3.78E-2</v>
      </c>
      <c r="R418" s="35">
        <v>1.8100000000000002E-2</v>
      </c>
      <c r="S418" s="35">
        <v>4.1000000000000003E-3</v>
      </c>
      <c r="T418" s="35">
        <v>5.04E-2</v>
      </c>
      <c r="U418" s="35">
        <v>1.7500000000000002E-2</v>
      </c>
      <c r="V418" s="35">
        <v>3.6200000000000003E-2</v>
      </c>
      <c r="W418" s="35">
        <v>4.8500000000000001E-2</v>
      </c>
      <c r="X418" s="35">
        <v>6.1600000000000002E-2</v>
      </c>
      <c r="Y418" s="35">
        <v>2.5000000000000001E-3</v>
      </c>
      <c r="Z418" s="4">
        <v>0</v>
      </c>
      <c r="AA418" s="4">
        <v>6.9999999999999999E-4</v>
      </c>
      <c r="AB418" s="4">
        <v>0</v>
      </c>
      <c r="AC418" s="56"/>
      <c r="AD418" s="23"/>
    </row>
    <row r="419" spans="1:30" s="14" customFormat="1">
      <c r="A419" s="79"/>
      <c r="B419" s="168"/>
      <c r="C419" s="130"/>
      <c r="D419" s="5">
        <f t="shared" ref="D419" si="740">$C418*D418</f>
        <v>3528.7755899999993</v>
      </c>
      <c r="E419" s="5">
        <f t="shared" ref="E419" si="741">$C418*E418</f>
        <v>30893.023109999998</v>
      </c>
      <c r="F419" s="5">
        <f t="shared" ref="F419:AB419" si="742">$C418*F418</f>
        <v>12751.21977</v>
      </c>
      <c r="G419" s="5">
        <f t="shared" si="742"/>
        <v>16496.484659999998</v>
      </c>
      <c r="H419" s="5">
        <f t="shared" si="742"/>
        <v>8572.9762800000008</v>
      </c>
      <c r="I419" s="5">
        <f t="shared" si="742"/>
        <v>26996.21571</v>
      </c>
      <c r="J419" s="5">
        <f t="shared" si="742"/>
        <v>4416.3817200000003</v>
      </c>
      <c r="K419" s="5">
        <f t="shared" si="742"/>
        <v>6754.466159999999</v>
      </c>
      <c r="L419" s="5">
        <f t="shared" si="742"/>
        <v>3507.1266599999994</v>
      </c>
      <c r="M419" s="5">
        <f t="shared" si="742"/>
        <v>5477.17929</v>
      </c>
      <c r="N419" s="5">
        <f t="shared" si="742"/>
        <v>32148.661049999995</v>
      </c>
      <c r="O419" s="5">
        <f t="shared" si="742"/>
        <v>4892.6581799999994</v>
      </c>
      <c r="P419" s="5">
        <f t="shared" si="742"/>
        <v>0</v>
      </c>
      <c r="Q419" s="5">
        <f t="shared" si="742"/>
        <v>8183.2955399999992</v>
      </c>
      <c r="R419" s="5">
        <f t="shared" si="742"/>
        <v>3918.45633</v>
      </c>
      <c r="S419" s="5">
        <f t="shared" si="742"/>
        <v>887.60613000000001</v>
      </c>
      <c r="T419" s="5">
        <f t="shared" si="742"/>
        <v>10911.060719999999</v>
      </c>
      <c r="U419" s="5">
        <f t="shared" si="742"/>
        <v>3788.5627500000001</v>
      </c>
      <c r="V419" s="5">
        <f t="shared" si="742"/>
        <v>7836.91266</v>
      </c>
      <c r="W419" s="5">
        <f t="shared" si="742"/>
        <v>10499.73105</v>
      </c>
      <c r="X419" s="5">
        <f t="shared" si="742"/>
        <v>13335.740879999999</v>
      </c>
      <c r="Y419" s="5">
        <f t="shared" si="742"/>
        <v>541.22325000000001</v>
      </c>
      <c r="Z419" s="5">
        <f t="shared" si="742"/>
        <v>0</v>
      </c>
      <c r="AA419" s="5">
        <f t="shared" si="742"/>
        <v>151.54250999999999</v>
      </c>
      <c r="AB419" s="5">
        <f t="shared" si="742"/>
        <v>0</v>
      </c>
      <c r="AC419" s="56"/>
      <c r="AD419" s="23"/>
    </row>
    <row r="420" spans="1:30" s="14" customFormat="1">
      <c r="A420" s="81" t="s">
        <v>461</v>
      </c>
      <c r="B420" s="26">
        <f>5195743.2657/2</f>
        <v>2597871.6328500002</v>
      </c>
      <c r="C420" s="130">
        <f t="shared" si="667"/>
        <v>216489.3</v>
      </c>
      <c r="D420" s="35"/>
      <c r="E420" s="35"/>
      <c r="F420" s="35">
        <v>0</v>
      </c>
      <c r="G420" s="35"/>
      <c r="H420" s="35"/>
      <c r="I420" s="35"/>
      <c r="J420" s="35"/>
      <c r="K420" s="35"/>
      <c r="L420" s="35"/>
      <c r="M420" s="35"/>
      <c r="N420" s="35">
        <v>0.83330000000000004</v>
      </c>
      <c r="O420" s="35"/>
      <c r="P420" s="35"/>
      <c r="Q420" s="35"/>
      <c r="R420" s="35"/>
      <c r="S420" s="35"/>
      <c r="T420" s="35"/>
      <c r="U420" s="35"/>
      <c r="V420" s="35">
        <v>0.16669999999999999</v>
      </c>
      <c r="W420" s="35"/>
      <c r="X420" s="35"/>
      <c r="Y420" s="35"/>
      <c r="Z420" s="4"/>
      <c r="AA420" s="4"/>
      <c r="AB420" s="4"/>
      <c r="AC420" s="56"/>
      <c r="AD420" s="23"/>
    </row>
    <row r="421" spans="1:30" s="14" customFormat="1">
      <c r="A421" s="79"/>
      <c r="B421" s="168"/>
      <c r="C421" s="130"/>
      <c r="D421" s="5">
        <f t="shared" ref="D421" si="743">$C420*D420</f>
        <v>0</v>
      </c>
      <c r="E421" s="5">
        <f t="shared" ref="E421" si="744">$C420*E420</f>
        <v>0</v>
      </c>
      <c r="F421" s="5">
        <f t="shared" ref="F421:AB421" si="745">$C420*F420</f>
        <v>0</v>
      </c>
      <c r="G421" s="5">
        <f t="shared" si="745"/>
        <v>0</v>
      </c>
      <c r="H421" s="5">
        <f t="shared" si="745"/>
        <v>0</v>
      </c>
      <c r="I421" s="5">
        <f t="shared" si="745"/>
        <v>0</v>
      </c>
      <c r="J421" s="5">
        <f t="shared" si="745"/>
        <v>0</v>
      </c>
      <c r="K421" s="5">
        <f t="shared" si="745"/>
        <v>0</v>
      </c>
      <c r="L421" s="5">
        <f t="shared" si="745"/>
        <v>0</v>
      </c>
      <c r="M421" s="5">
        <f t="shared" si="745"/>
        <v>0</v>
      </c>
      <c r="N421" s="5">
        <f t="shared" si="745"/>
        <v>180400.53369000001</v>
      </c>
      <c r="O421" s="5">
        <f t="shared" si="745"/>
        <v>0</v>
      </c>
      <c r="P421" s="5">
        <f t="shared" si="745"/>
        <v>0</v>
      </c>
      <c r="Q421" s="5">
        <f t="shared" si="745"/>
        <v>0</v>
      </c>
      <c r="R421" s="5">
        <f t="shared" si="745"/>
        <v>0</v>
      </c>
      <c r="S421" s="5">
        <f t="shared" si="745"/>
        <v>0</v>
      </c>
      <c r="T421" s="5">
        <f t="shared" si="745"/>
        <v>0</v>
      </c>
      <c r="U421" s="5">
        <f t="shared" si="745"/>
        <v>0</v>
      </c>
      <c r="V421" s="5">
        <f t="shared" si="745"/>
        <v>36088.766309999992</v>
      </c>
      <c r="W421" s="5">
        <f t="shared" si="745"/>
        <v>0</v>
      </c>
      <c r="X421" s="5">
        <f t="shared" si="745"/>
        <v>0</v>
      </c>
      <c r="Y421" s="5">
        <f t="shared" si="745"/>
        <v>0</v>
      </c>
      <c r="Z421" s="5">
        <f t="shared" si="745"/>
        <v>0</v>
      </c>
      <c r="AA421" s="5">
        <f t="shared" si="745"/>
        <v>0</v>
      </c>
      <c r="AB421" s="5">
        <f t="shared" si="745"/>
        <v>0</v>
      </c>
      <c r="AC421" s="56"/>
      <c r="AD421" s="23"/>
    </row>
    <row r="422" spans="1:30" s="14" customFormat="1">
      <c r="A422" s="81" t="s">
        <v>376</v>
      </c>
      <c r="B422" s="26">
        <v>13923434.2882</v>
      </c>
      <c r="C422" s="130">
        <f t="shared" si="667"/>
        <v>1160286.19</v>
      </c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>
        <v>0.99839999999999995</v>
      </c>
      <c r="O422" s="35"/>
      <c r="P422" s="35"/>
      <c r="Q422" s="35"/>
      <c r="R422" s="35"/>
      <c r="S422" s="35"/>
      <c r="T422" s="35"/>
      <c r="U422" s="35"/>
      <c r="V422" s="35">
        <v>1.6000000000000001E-3</v>
      </c>
      <c r="W422" s="35"/>
      <c r="X422" s="35"/>
      <c r="Y422" s="35"/>
      <c r="Z422" s="4"/>
      <c r="AA422" s="4"/>
      <c r="AB422" s="4"/>
      <c r="AC422" s="56"/>
      <c r="AD422" s="23"/>
    </row>
    <row r="423" spans="1:30" s="14" customFormat="1">
      <c r="A423" s="79"/>
      <c r="B423" s="168"/>
      <c r="C423" s="130"/>
      <c r="D423" s="5">
        <f t="shared" ref="D423" si="746">$C422*D422</f>
        <v>0</v>
      </c>
      <c r="E423" s="5">
        <f t="shared" ref="E423" si="747">$C422*E422</f>
        <v>0</v>
      </c>
      <c r="F423" s="5">
        <f t="shared" ref="F423:AB423" si="748">$C422*F422</f>
        <v>0</v>
      </c>
      <c r="G423" s="5">
        <f t="shared" si="748"/>
        <v>0</v>
      </c>
      <c r="H423" s="5">
        <f t="shared" si="748"/>
        <v>0</v>
      </c>
      <c r="I423" s="5">
        <f t="shared" si="748"/>
        <v>0</v>
      </c>
      <c r="J423" s="5">
        <f t="shared" si="748"/>
        <v>0</v>
      </c>
      <c r="K423" s="5">
        <f t="shared" si="748"/>
        <v>0</v>
      </c>
      <c r="L423" s="5">
        <f t="shared" si="748"/>
        <v>0</v>
      </c>
      <c r="M423" s="5">
        <f t="shared" si="748"/>
        <v>0</v>
      </c>
      <c r="N423" s="5">
        <f t="shared" si="748"/>
        <v>1158429.7320959999</v>
      </c>
      <c r="O423" s="5">
        <f t="shared" si="748"/>
        <v>0</v>
      </c>
      <c r="P423" s="5">
        <f t="shared" si="748"/>
        <v>0</v>
      </c>
      <c r="Q423" s="5">
        <f t="shared" si="748"/>
        <v>0</v>
      </c>
      <c r="R423" s="5">
        <f t="shared" si="748"/>
        <v>0</v>
      </c>
      <c r="S423" s="5">
        <f t="shared" si="748"/>
        <v>0</v>
      </c>
      <c r="T423" s="5">
        <f t="shared" si="748"/>
        <v>0</v>
      </c>
      <c r="U423" s="5">
        <f t="shared" si="748"/>
        <v>0</v>
      </c>
      <c r="V423" s="5">
        <f t="shared" si="748"/>
        <v>1856.4579040000001</v>
      </c>
      <c r="W423" s="5">
        <f t="shared" si="748"/>
        <v>0</v>
      </c>
      <c r="X423" s="5">
        <f t="shared" si="748"/>
        <v>0</v>
      </c>
      <c r="Y423" s="5">
        <f t="shared" si="748"/>
        <v>0</v>
      </c>
      <c r="Z423" s="5">
        <f t="shared" si="748"/>
        <v>0</v>
      </c>
      <c r="AA423" s="5">
        <f t="shared" si="748"/>
        <v>0</v>
      </c>
      <c r="AB423" s="5">
        <f t="shared" si="748"/>
        <v>0</v>
      </c>
      <c r="AC423" s="56"/>
      <c r="AD423" s="23"/>
    </row>
    <row r="424" spans="1:30" s="14" customFormat="1">
      <c r="A424" s="81" t="s">
        <v>377</v>
      </c>
      <c r="B424" s="26">
        <v>10312283.8356</v>
      </c>
      <c r="C424" s="130">
        <f t="shared" si="667"/>
        <v>859356.99</v>
      </c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>
        <v>0.99839999999999995</v>
      </c>
      <c r="O424" s="35"/>
      <c r="P424" s="35"/>
      <c r="Q424" s="35"/>
      <c r="R424" s="35"/>
      <c r="S424" s="35"/>
      <c r="T424" s="35"/>
      <c r="U424" s="35"/>
      <c r="V424" s="35">
        <v>1.6000000000000001E-3</v>
      </c>
      <c r="W424" s="35"/>
      <c r="X424" s="35"/>
      <c r="Y424" s="35"/>
      <c r="Z424" s="4"/>
      <c r="AA424" s="4"/>
      <c r="AB424" s="4"/>
      <c r="AC424" s="56"/>
      <c r="AD424" s="23"/>
    </row>
    <row r="425" spans="1:30" s="14" customFormat="1">
      <c r="A425" s="79"/>
      <c r="B425" s="168"/>
      <c r="C425" s="130"/>
      <c r="D425" s="5">
        <f t="shared" ref="D425" si="749">$C424*D424</f>
        <v>0</v>
      </c>
      <c r="E425" s="5">
        <f t="shared" ref="E425" si="750">$C424*E424</f>
        <v>0</v>
      </c>
      <c r="F425" s="5">
        <f t="shared" ref="F425:AB425" si="751">$C424*F424</f>
        <v>0</v>
      </c>
      <c r="G425" s="5">
        <f t="shared" si="751"/>
        <v>0</v>
      </c>
      <c r="H425" s="5">
        <f t="shared" si="751"/>
        <v>0</v>
      </c>
      <c r="I425" s="5">
        <f t="shared" si="751"/>
        <v>0</v>
      </c>
      <c r="J425" s="5">
        <f t="shared" si="751"/>
        <v>0</v>
      </c>
      <c r="K425" s="5">
        <f t="shared" si="751"/>
        <v>0</v>
      </c>
      <c r="L425" s="5">
        <f t="shared" si="751"/>
        <v>0</v>
      </c>
      <c r="M425" s="5">
        <f t="shared" si="751"/>
        <v>0</v>
      </c>
      <c r="N425" s="5">
        <f t="shared" si="751"/>
        <v>857982.01881599997</v>
      </c>
      <c r="O425" s="5">
        <f t="shared" si="751"/>
        <v>0</v>
      </c>
      <c r="P425" s="5">
        <f t="shared" si="751"/>
        <v>0</v>
      </c>
      <c r="Q425" s="5">
        <f t="shared" si="751"/>
        <v>0</v>
      </c>
      <c r="R425" s="5">
        <f t="shared" si="751"/>
        <v>0</v>
      </c>
      <c r="S425" s="5">
        <f t="shared" si="751"/>
        <v>0</v>
      </c>
      <c r="T425" s="5">
        <f t="shared" si="751"/>
        <v>0</v>
      </c>
      <c r="U425" s="5">
        <f t="shared" si="751"/>
        <v>0</v>
      </c>
      <c r="V425" s="5">
        <f t="shared" si="751"/>
        <v>1374.971184</v>
      </c>
      <c r="W425" s="5">
        <f t="shared" si="751"/>
        <v>0</v>
      </c>
      <c r="X425" s="5">
        <f t="shared" si="751"/>
        <v>0</v>
      </c>
      <c r="Y425" s="5">
        <f t="shared" si="751"/>
        <v>0</v>
      </c>
      <c r="Z425" s="5">
        <f t="shared" si="751"/>
        <v>0</v>
      </c>
      <c r="AA425" s="5">
        <f t="shared" si="751"/>
        <v>0</v>
      </c>
      <c r="AB425" s="5">
        <f t="shared" si="751"/>
        <v>0</v>
      </c>
      <c r="AC425" s="56"/>
      <c r="AD425" s="23"/>
    </row>
    <row r="426" spans="1:30" s="14" customFormat="1">
      <c r="A426" s="81" t="s">
        <v>379</v>
      </c>
      <c r="B426" s="26">
        <f>6900843.7977/2</f>
        <v>3450421.89885</v>
      </c>
      <c r="C426" s="130">
        <f t="shared" si="667"/>
        <v>287535.15999999997</v>
      </c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>
        <v>1</v>
      </c>
      <c r="O426" s="35"/>
      <c r="P426" s="35"/>
      <c r="Q426" s="35"/>
      <c r="R426" s="35"/>
      <c r="S426" s="35"/>
      <c r="T426" s="35"/>
      <c r="U426" s="35"/>
      <c r="V426" s="35">
        <v>0</v>
      </c>
      <c r="W426" s="35"/>
      <c r="X426" s="35"/>
      <c r="Y426" s="35"/>
      <c r="Z426" s="4"/>
      <c r="AA426" s="4"/>
      <c r="AB426" s="4"/>
      <c r="AC426" s="56"/>
      <c r="AD426" s="23"/>
    </row>
    <row r="427" spans="1:30" s="14" customFormat="1">
      <c r="A427" s="79"/>
      <c r="B427" s="168"/>
      <c r="C427" s="130"/>
      <c r="D427" s="5">
        <f t="shared" ref="D427" si="752">$C426*D426</f>
        <v>0</v>
      </c>
      <c r="E427" s="5">
        <f t="shared" ref="E427" si="753">$C426*E426</f>
        <v>0</v>
      </c>
      <c r="F427" s="5">
        <f t="shared" ref="F427:AB427" si="754">$C426*F426</f>
        <v>0</v>
      </c>
      <c r="G427" s="5">
        <f t="shared" si="754"/>
        <v>0</v>
      </c>
      <c r="H427" s="5">
        <f t="shared" si="754"/>
        <v>0</v>
      </c>
      <c r="I427" s="5">
        <f t="shared" si="754"/>
        <v>0</v>
      </c>
      <c r="J427" s="5">
        <f t="shared" si="754"/>
        <v>0</v>
      </c>
      <c r="K427" s="5">
        <f t="shared" si="754"/>
        <v>0</v>
      </c>
      <c r="L427" s="5">
        <f t="shared" si="754"/>
        <v>0</v>
      </c>
      <c r="M427" s="5">
        <f t="shared" si="754"/>
        <v>0</v>
      </c>
      <c r="N427" s="5">
        <f t="shared" si="754"/>
        <v>287535.15999999997</v>
      </c>
      <c r="O427" s="5">
        <f t="shared" si="754"/>
        <v>0</v>
      </c>
      <c r="P427" s="5">
        <f t="shared" si="754"/>
        <v>0</v>
      </c>
      <c r="Q427" s="5">
        <f t="shared" si="754"/>
        <v>0</v>
      </c>
      <c r="R427" s="5">
        <f t="shared" si="754"/>
        <v>0</v>
      </c>
      <c r="S427" s="5">
        <f t="shared" si="754"/>
        <v>0</v>
      </c>
      <c r="T427" s="5">
        <f t="shared" si="754"/>
        <v>0</v>
      </c>
      <c r="U427" s="5">
        <f t="shared" si="754"/>
        <v>0</v>
      </c>
      <c r="V427" s="5">
        <f t="shared" si="754"/>
        <v>0</v>
      </c>
      <c r="W427" s="5">
        <f t="shared" si="754"/>
        <v>0</v>
      </c>
      <c r="X427" s="5">
        <f t="shared" si="754"/>
        <v>0</v>
      </c>
      <c r="Y427" s="5">
        <f t="shared" si="754"/>
        <v>0</v>
      </c>
      <c r="Z427" s="5">
        <f t="shared" si="754"/>
        <v>0</v>
      </c>
      <c r="AA427" s="5">
        <f t="shared" si="754"/>
        <v>0</v>
      </c>
      <c r="AB427" s="5">
        <f t="shared" si="754"/>
        <v>0</v>
      </c>
      <c r="AC427" s="56"/>
      <c r="AD427" s="23"/>
    </row>
    <row r="428" spans="1:30" s="14" customFormat="1">
      <c r="A428" s="81" t="s">
        <v>378</v>
      </c>
      <c r="B428" s="26">
        <f>6900843.7977/2</f>
        <v>3450421.89885</v>
      </c>
      <c r="C428" s="130">
        <f t="shared" si="667"/>
        <v>287535.15999999997</v>
      </c>
      <c r="D428" s="35">
        <v>1.6299999999999999E-2</v>
      </c>
      <c r="E428" s="35">
        <v>0.14269999999999999</v>
      </c>
      <c r="F428" s="35">
        <v>5.8900000000000001E-2</v>
      </c>
      <c r="G428" s="35">
        <v>7.6200000000000004E-2</v>
      </c>
      <c r="H428" s="35">
        <v>3.9600000000000003E-2</v>
      </c>
      <c r="I428" s="35">
        <v>0.12470000000000001</v>
      </c>
      <c r="J428" s="35">
        <v>2.0400000000000001E-2</v>
      </c>
      <c r="K428" s="35">
        <v>3.1199999999999999E-2</v>
      </c>
      <c r="L428" s="35">
        <v>1.6199999999999999E-2</v>
      </c>
      <c r="M428" s="35">
        <v>2.53E-2</v>
      </c>
      <c r="N428" s="35">
        <v>0.14849999999999999</v>
      </c>
      <c r="O428" s="35">
        <v>2.2599999999999999E-2</v>
      </c>
      <c r="P428" s="35">
        <v>0</v>
      </c>
      <c r="Q428" s="35">
        <v>3.78E-2</v>
      </c>
      <c r="R428" s="35">
        <v>1.8100000000000002E-2</v>
      </c>
      <c r="S428" s="35">
        <v>4.1000000000000003E-3</v>
      </c>
      <c r="T428" s="35">
        <v>5.04E-2</v>
      </c>
      <c r="U428" s="35">
        <v>1.7500000000000002E-2</v>
      </c>
      <c r="V428" s="35">
        <v>3.6200000000000003E-2</v>
      </c>
      <c r="W428" s="35">
        <v>4.8500000000000001E-2</v>
      </c>
      <c r="X428" s="35">
        <v>6.1600000000000002E-2</v>
      </c>
      <c r="Y428" s="35">
        <v>2.5000000000000001E-3</v>
      </c>
      <c r="Z428" s="4">
        <v>0</v>
      </c>
      <c r="AA428" s="4">
        <v>6.9999999999999999E-4</v>
      </c>
      <c r="AB428" s="4">
        <v>0</v>
      </c>
      <c r="AC428" s="56"/>
      <c r="AD428" s="23"/>
    </row>
    <row r="429" spans="1:30" s="14" customFormat="1">
      <c r="A429" s="79"/>
      <c r="B429" s="67"/>
      <c r="C429" s="130"/>
      <c r="D429" s="5">
        <f t="shared" ref="D429" si="755">$C428*D428</f>
        <v>4686.8231079999996</v>
      </c>
      <c r="E429" s="5">
        <f t="shared" ref="E429" si="756">$C428*E428</f>
        <v>41031.267331999996</v>
      </c>
      <c r="F429" s="5">
        <f t="shared" ref="F429:AB429" si="757">$C428*F428</f>
        <v>16935.820924</v>
      </c>
      <c r="G429" s="5">
        <f t="shared" si="757"/>
        <v>21910.179192</v>
      </c>
      <c r="H429" s="5">
        <f t="shared" si="757"/>
        <v>11386.392336000001</v>
      </c>
      <c r="I429" s="5">
        <f t="shared" si="757"/>
        <v>35855.634451999998</v>
      </c>
      <c r="J429" s="5">
        <f t="shared" si="757"/>
        <v>5865.7172639999999</v>
      </c>
      <c r="K429" s="5">
        <f t="shared" si="757"/>
        <v>8971.0969919999989</v>
      </c>
      <c r="L429" s="5">
        <f t="shared" si="757"/>
        <v>4658.0695919999989</v>
      </c>
      <c r="M429" s="5">
        <f t="shared" si="757"/>
        <v>7274.6395479999992</v>
      </c>
      <c r="N429" s="5">
        <f t="shared" si="757"/>
        <v>42698.971259999991</v>
      </c>
      <c r="O429" s="5">
        <f t="shared" si="757"/>
        <v>6498.2946159999992</v>
      </c>
      <c r="P429" s="5">
        <f t="shared" si="757"/>
        <v>0</v>
      </c>
      <c r="Q429" s="5">
        <f t="shared" si="757"/>
        <v>10868.829048</v>
      </c>
      <c r="R429" s="5">
        <f t="shared" si="757"/>
        <v>5204.3863959999999</v>
      </c>
      <c r="S429" s="5">
        <f t="shared" si="757"/>
        <v>1178.8941560000001</v>
      </c>
      <c r="T429" s="5">
        <f t="shared" si="757"/>
        <v>14491.772063999999</v>
      </c>
      <c r="U429" s="5">
        <f t="shared" si="757"/>
        <v>5031.8653000000004</v>
      </c>
      <c r="V429" s="5">
        <f t="shared" si="757"/>
        <v>10408.772792</v>
      </c>
      <c r="W429" s="5">
        <f t="shared" si="757"/>
        <v>13945.455259999999</v>
      </c>
      <c r="X429" s="5">
        <f t="shared" si="757"/>
        <v>17712.165856</v>
      </c>
      <c r="Y429" s="5">
        <f t="shared" si="757"/>
        <v>718.83789999999999</v>
      </c>
      <c r="Z429" s="5">
        <f t="shared" si="757"/>
        <v>0</v>
      </c>
      <c r="AA429" s="5">
        <f t="shared" si="757"/>
        <v>201.27461199999999</v>
      </c>
      <c r="AB429" s="5">
        <f t="shared" si="757"/>
        <v>0</v>
      </c>
      <c r="AC429" s="56"/>
      <c r="AD429" s="23"/>
    </row>
    <row r="430" spans="1:30" s="14" customFormat="1">
      <c r="A430" s="81" t="s">
        <v>468</v>
      </c>
      <c r="B430" s="26">
        <v>171328.87359999999</v>
      </c>
      <c r="C430" s="130">
        <f t="shared" si="667"/>
        <v>14277.41</v>
      </c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>
        <v>0.99839999999999995</v>
      </c>
      <c r="O430" s="35"/>
      <c r="P430" s="35"/>
      <c r="Q430" s="35"/>
      <c r="R430" s="35"/>
      <c r="S430" s="35"/>
      <c r="T430" s="35"/>
      <c r="U430" s="35"/>
      <c r="V430" s="35">
        <v>1.6000000000000001E-3</v>
      </c>
      <c r="W430" s="35"/>
      <c r="X430" s="35"/>
      <c r="Y430" s="35"/>
      <c r="Z430" s="4"/>
      <c r="AA430" s="4"/>
      <c r="AB430" s="4"/>
      <c r="AC430" s="56"/>
      <c r="AD430" s="23"/>
    </row>
    <row r="431" spans="1:30" s="14" customFormat="1">
      <c r="A431" s="79"/>
      <c r="B431" s="168"/>
      <c r="C431" s="130"/>
      <c r="D431" s="5">
        <f t="shared" ref="D431" si="758">$C430*D430</f>
        <v>0</v>
      </c>
      <c r="E431" s="5">
        <f t="shared" ref="E431" si="759">$C430*E430</f>
        <v>0</v>
      </c>
      <c r="F431" s="5">
        <f t="shared" ref="F431:AB431" si="760">$C430*F430</f>
        <v>0</v>
      </c>
      <c r="G431" s="5">
        <f t="shared" si="760"/>
        <v>0</v>
      </c>
      <c r="H431" s="5">
        <f t="shared" si="760"/>
        <v>0</v>
      </c>
      <c r="I431" s="5">
        <f t="shared" si="760"/>
        <v>0</v>
      </c>
      <c r="J431" s="5">
        <f t="shared" si="760"/>
        <v>0</v>
      </c>
      <c r="K431" s="5">
        <f t="shared" si="760"/>
        <v>0</v>
      </c>
      <c r="L431" s="5">
        <f t="shared" si="760"/>
        <v>0</v>
      </c>
      <c r="M431" s="5">
        <f t="shared" si="760"/>
        <v>0</v>
      </c>
      <c r="N431" s="5">
        <f t="shared" si="760"/>
        <v>14254.566143999999</v>
      </c>
      <c r="O431" s="5">
        <f t="shared" si="760"/>
        <v>0</v>
      </c>
      <c r="P431" s="5">
        <f t="shared" si="760"/>
        <v>0</v>
      </c>
      <c r="Q431" s="5">
        <f t="shared" si="760"/>
        <v>0</v>
      </c>
      <c r="R431" s="5">
        <f t="shared" si="760"/>
        <v>0</v>
      </c>
      <c r="S431" s="5">
        <f t="shared" si="760"/>
        <v>0</v>
      </c>
      <c r="T431" s="5">
        <f t="shared" si="760"/>
        <v>0</v>
      </c>
      <c r="U431" s="5">
        <f t="shared" si="760"/>
        <v>0</v>
      </c>
      <c r="V431" s="5">
        <f t="shared" si="760"/>
        <v>22.843856000000002</v>
      </c>
      <c r="W431" s="5">
        <f t="shared" si="760"/>
        <v>0</v>
      </c>
      <c r="X431" s="5">
        <f t="shared" si="760"/>
        <v>0</v>
      </c>
      <c r="Y431" s="5">
        <f t="shared" si="760"/>
        <v>0</v>
      </c>
      <c r="Z431" s="5">
        <f t="shared" si="760"/>
        <v>0</v>
      </c>
      <c r="AA431" s="5">
        <f t="shared" si="760"/>
        <v>0</v>
      </c>
      <c r="AB431" s="5">
        <f t="shared" si="760"/>
        <v>0</v>
      </c>
      <c r="AC431" s="56"/>
      <c r="AD431" s="23"/>
    </row>
    <row r="432" spans="1:30" s="14" customFormat="1">
      <c r="A432" s="81" t="s">
        <v>469</v>
      </c>
      <c r="B432" s="26">
        <v>13408.7189</v>
      </c>
      <c r="C432" s="130">
        <f t="shared" si="667"/>
        <v>1117.3900000000001</v>
      </c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>
        <v>0.99839999999999995</v>
      </c>
      <c r="O432" s="35"/>
      <c r="P432" s="35"/>
      <c r="Q432" s="35"/>
      <c r="R432" s="35"/>
      <c r="S432" s="35"/>
      <c r="T432" s="35"/>
      <c r="U432" s="35"/>
      <c r="V432" s="35">
        <v>1.6000000000000001E-3</v>
      </c>
      <c r="W432" s="35"/>
      <c r="X432" s="35"/>
      <c r="Y432" s="35"/>
      <c r="Z432" s="4"/>
      <c r="AA432" s="4"/>
      <c r="AB432" s="4"/>
      <c r="AC432" s="56"/>
      <c r="AD432" s="23"/>
    </row>
    <row r="433" spans="1:30" s="14" customFormat="1">
      <c r="A433" s="79"/>
      <c r="B433" s="168"/>
      <c r="C433" s="130"/>
      <c r="D433" s="5">
        <f t="shared" ref="D433" si="761">$C432*D432</f>
        <v>0</v>
      </c>
      <c r="E433" s="5">
        <f t="shared" ref="E433" si="762">$C432*E432</f>
        <v>0</v>
      </c>
      <c r="F433" s="5">
        <f t="shared" ref="F433:AB433" si="763">$C432*F432</f>
        <v>0</v>
      </c>
      <c r="G433" s="5">
        <f t="shared" si="763"/>
        <v>0</v>
      </c>
      <c r="H433" s="5">
        <f t="shared" si="763"/>
        <v>0</v>
      </c>
      <c r="I433" s="5">
        <f t="shared" si="763"/>
        <v>0</v>
      </c>
      <c r="J433" s="5">
        <f t="shared" si="763"/>
        <v>0</v>
      </c>
      <c r="K433" s="5">
        <f t="shared" si="763"/>
        <v>0</v>
      </c>
      <c r="L433" s="5">
        <f t="shared" si="763"/>
        <v>0</v>
      </c>
      <c r="M433" s="5">
        <f t="shared" si="763"/>
        <v>0</v>
      </c>
      <c r="N433" s="5">
        <f t="shared" si="763"/>
        <v>1115.6021760000001</v>
      </c>
      <c r="O433" s="5">
        <f t="shared" si="763"/>
        <v>0</v>
      </c>
      <c r="P433" s="5">
        <f t="shared" si="763"/>
        <v>0</v>
      </c>
      <c r="Q433" s="5">
        <f t="shared" si="763"/>
        <v>0</v>
      </c>
      <c r="R433" s="5">
        <f t="shared" si="763"/>
        <v>0</v>
      </c>
      <c r="S433" s="5">
        <f t="shared" si="763"/>
        <v>0</v>
      </c>
      <c r="T433" s="5">
        <f t="shared" si="763"/>
        <v>0</v>
      </c>
      <c r="U433" s="5">
        <f t="shared" si="763"/>
        <v>0</v>
      </c>
      <c r="V433" s="5">
        <f t="shared" si="763"/>
        <v>1.7878240000000003</v>
      </c>
      <c r="W433" s="5">
        <f t="shared" si="763"/>
        <v>0</v>
      </c>
      <c r="X433" s="5">
        <f t="shared" si="763"/>
        <v>0</v>
      </c>
      <c r="Y433" s="5">
        <f t="shared" si="763"/>
        <v>0</v>
      </c>
      <c r="Z433" s="5">
        <f t="shared" si="763"/>
        <v>0</v>
      </c>
      <c r="AA433" s="5">
        <f t="shared" si="763"/>
        <v>0</v>
      </c>
      <c r="AB433" s="5">
        <f t="shared" si="763"/>
        <v>0</v>
      </c>
      <c r="AC433" s="56"/>
      <c r="AD433" s="23"/>
    </row>
    <row r="434" spans="1:30" s="14" customFormat="1">
      <c r="A434" s="81" t="s">
        <v>470</v>
      </c>
      <c r="B434" s="26">
        <v>10712.9647</v>
      </c>
      <c r="C434" s="130">
        <f t="shared" si="667"/>
        <v>892.75</v>
      </c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>
        <v>0.99839999999999995</v>
      </c>
      <c r="O434" s="35"/>
      <c r="P434" s="35"/>
      <c r="Q434" s="35"/>
      <c r="R434" s="35"/>
      <c r="S434" s="35"/>
      <c r="T434" s="35"/>
      <c r="U434" s="35"/>
      <c r="V434" s="35">
        <v>1.6000000000000001E-3</v>
      </c>
      <c r="W434" s="35"/>
      <c r="X434" s="35"/>
      <c r="Y434" s="35"/>
      <c r="Z434" s="4"/>
      <c r="AA434" s="4"/>
      <c r="AB434" s="4"/>
      <c r="AC434" s="56"/>
      <c r="AD434" s="23"/>
    </row>
    <row r="435" spans="1:30" s="14" customFormat="1">
      <c r="A435" s="79"/>
      <c r="B435" s="168"/>
      <c r="C435" s="130"/>
      <c r="D435" s="5">
        <f t="shared" ref="D435" si="764">$C434*D434</f>
        <v>0</v>
      </c>
      <c r="E435" s="5">
        <f t="shared" ref="E435" si="765">$C434*E434</f>
        <v>0</v>
      </c>
      <c r="F435" s="5">
        <f t="shared" ref="F435:AB435" si="766">$C434*F434</f>
        <v>0</v>
      </c>
      <c r="G435" s="5">
        <f t="shared" si="766"/>
        <v>0</v>
      </c>
      <c r="H435" s="5">
        <f t="shared" si="766"/>
        <v>0</v>
      </c>
      <c r="I435" s="5">
        <f t="shared" si="766"/>
        <v>0</v>
      </c>
      <c r="J435" s="5">
        <f t="shared" si="766"/>
        <v>0</v>
      </c>
      <c r="K435" s="5">
        <f t="shared" si="766"/>
        <v>0</v>
      </c>
      <c r="L435" s="5">
        <f t="shared" si="766"/>
        <v>0</v>
      </c>
      <c r="M435" s="5">
        <f t="shared" si="766"/>
        <v>0</v>
      </c>
      <c r="N435" s="5">
        <f t="shared" si="766"/>
        <v>891.32159999999999</v>
      </c>
      <c r="O435" s="5">
        <f t="shared" si="766"/>
        <v>0</v>
      </c>
      <c r="P435" s="5">
        <f t="shared" si="766"/>
        <v>0</v>
      </c>
      <c r="Q435" s="5">
        <f t="shared" si="766"/>
        <v>0</v>
      </c>
      <c r="R435" s="5">
        <f t="shared" si="766"/>
        <v>0</v>
      </c>
      <c r="S435" s="5">
        <f t="shared" si="766"/>
        <v>0</v>
      </c>
      <c r="T435" s="5">
        <f t="shared" si="766"/>
        <v>0</v>
      </c>
      <c r="U435" s="5">
        <f t="shared" si="766"/>
        <v>0</v>
      </c>
      <c r="V435" s="5">
        <f t="shared" si="766"/>
        <v>1.4284000000000001</v>
      </c>
      <c r="W435" s="5">
        <f t="shared" si="766"/>
        <v>0</v>
      </c>
      <c r="X435" s="5">
        <f t="shared" si="766"/>
        <v>0</v>
      </c>
      <c r="Y435" s="5">
        <f t="shared" si="766"/>
        <v>0</v>
      </c>
      <c r="Z435" s="5">
        <f t="shared" si="766"/>
        <v>0</v>
      </c>
      <c r="AA435" s="5">
        <f t="shared" si="766"/>
        <v>0</v>
      </c>
      <c r="AB435" s="5">
        <f t="shared" si="766"/>
        <v>0</v>
      </c>
      <c r="AC435" s="56"/>
      <c r="AD435" s="23"/>
    </row>
    <row r="436" spans="1:30" s="14" customFormat="1">
      <c r="A436" s="81" t="s">
        <v>471</v>
      </c>
      <c r="B436" s="26">
        <f>11315951.8553/2</f>
        <v>5657975.92765</v>
      </c>
      <c r="C436" s="130">
        <f t="shared" si="667"/>
        <v>471497.99</v>
      </c>
      <c r="D436" s="35">
        <v>1.6299999999999999E-2</v>
      </c>
      <c r="E436" s="35">
        <v>0.14269999999999999</v>
      </c>
      <c r="F436" s="35">
        <v>5.8900000000000001E-2</v>
      </c>
      <c r="G436" s="35">
        <v>7.6200000000000004E-2</v>
      </c>
      <c r="H436" s="35">
        <v>3.9600000000000003E-2</v>
      </c>
      <c r="I436" s="35">
        <v>0.12470000000000001</v>
      </c>
      <c r="J436" s="35">
        <v>2.0400000000000001E-2</v>
      </c>
      <c r="K436" s="35">
        <v>3.1199999999999999E-2</v>
      </c>
      <c r="L436" s="35">
        <v>1.6199999999999999E-2</v>
      </c>
      <c r="M436" s="35">
        <v>2.53E-2</v>
      </c>
      <c r="N436" s="35">
        <v>0.14849999999999999</v>
      </c>
      <c r="O436" s="35">
        <v>2.2599999999999999E-2</v>
      </c>
      <c r="P436" s="35">
        <v>0</v>
      </c>
      <c r="Q436" s="35">
        <v>3.78E-2</v>
      </c>
      <c r="R436" s="35">
        <v>1.8100000000000002E-2</v>
      </c>
      <c r="S436" s="35">
        <v>4.1000000000000003E-3</v>
      </c>
      <c r="T436" s="35">
        <v>5.04E-2</v>
      </c>
      <c r="U436" s="35">
        <v>1.7500000000000002E-2</v>
      </c>
      <c r="V436" s="35">
        <v>3.6200000000000003E-2</v>
      </c>
      <c r="W436" s="35">
        <v>4.8500000000000001E-2</v>
      </c>
      <c r="X436" s="35">
        <v>6.1600000000000002E-2</v>
      </c>
      <c r="Y436" s="35">
        <v>2.5000000000000001E-3</v>
      </c>
      <c r="Z436" s="4">
        <v>0</v>
      </c>
      <c r="AA436" s="4">
        <v>6.9999999999999999E-4</v>
      </c>
      <c r="AB436" s="4">
        <v>0</v>
      </c>
      <c r="AC436" s="56"/>
      <c r="AD436" s="23"/>
    </row>
    <row r="437" spans="1:30" s="14" customFormat="1">
      <c r="A437" s="82"/>
      <c r="B437" s="168"/>
      <c r="C437" s="130"/>
      <c r="D437" s="36">
        <f t="shared" ref="D437" si="767">$C436*D436</f>
        <v>7685.4172369999987</v>
      </c>
      <c r="E437" s="36">
        <f t="shared" ref="E437" si="768">$C436*E436</f>
        <v>67282.763172999999</v>
      </c>
      <c r="F437" s="36">
        <f t="shared" ref="F437:AA437" si="769">$C436*F436</f>
        <v>27771.231610999999</v>
      </c>
      <c r="G437" s="36">
        <f t="shared" si="769"/>
        <v>35928.146838000001</v>
      </c>
      <c r="H437" s="36">
        <f t="shared" si="769"/>
        <v>18671.320404000002</v>
      </c>
      <c r="I437" s="36">
        <f t="shared" si="769"/>
        <v>58795.799353000002</v>
      </c>
      <c r="J437" s="36">
        <f t="shared" si="769"/>
        <v>9618.5589959999998</v>
      </c>
      <c r="K437" s="36">
        <f t="shared" si="769"/>
        <v>14710.737287999998</v>
      </c>
      <c r="L437" s="36">
        <f t="shared" si="769"/>
        <v>7638.2674379999999</v>
      </c>
      <c r="M437" s="36">
        <f t="shared" si="769"/>
        <v>11928.899147</v>
      </c>
      <c r="N437" s="36">
        <f t="shared" si="769"/>
        <v>70017.451514999993</v>
      </c>
      <c r="O437" s="36">
        <f t="shared" si="769"/>
        <v>10655.854573999999</v>
      </c>
      <c r="P437" s="36">
        <f t="shared" si="769"/>
        <v>0</v>
      </c>
      <c r="Q437" s="36">
        <f t="shared" si="769"/>
        <v>17822.624022</v>
      </c>
      <c r="R437" s="36">
        <f t="shared" si="769"/>
        <v>8534.1136189999997</v>
      </c>
      <c r="S437" s="36">
        <f t="shared" si="769"/>
        <v>1933.1417590000001</v>
      </c>
      <c r="T437" s="36">
        <f t="shared" si="769"/>
        <v>23763.498695999999</v>
      </c>
      <c r="U437" s="36">
        <f t="shared" si="769"/>
        <v>8251.2148250000009</v>
      </c>
      <c r="V437" s="36">
        <f t="shared" si="769"/>
        <v>17068.227237999999</v>
      </c>
      <c r="W437" s="36">
        <f t="shared" si="769"/>
        <v>22867.652515000002</v>
      </c>
      <c r="X437" s="36">
        <f t="shared" si="769"/>
        <v>29044.276184000002</v>
      </c>
      <c r="Y437" s="36">
        <f t="shared" si="769"/>
        <v>1178.7449750000001</v>
      </c>
      <c r="Z437" s="36">
        <f t="shared" si="769"/>
        <v>0</v>
      </c>
      <c r="AA437" s="36">
        <f t="shared" si="769"/>
        <v>330.04859299999998</v>
      </c>
      <c r="AB437" s="36">
        <f t="shared" ref="AB437" si="770">$C436*AB436</f>
        <v>0</v>
      </c>
      <c r="AC437" s="56"/>
      <c r="AD437" s="23"/>
    </row>
    <row r="438" spans="1:30" s="14" customFormat="1">
      <c r="A438" s="81" t="s">
        <v>541</v>
      </c>
      <c r="B438" s="26">
        <f>11315951.8553/2</f>
        <v>5657975.92765</v>
      </c>
      <c r="C438" s="130">
        <f t="shared" si="667"/>
        <v>471497.99</v>
      </c>
      <c r="D438" s="35"/>
      <c r="E438" s="35"/>
      <c r="F438" s="35">
        <v>0</v>
      </c>
      <c r="G438" s="35"/>
      <c r="H438" s="35">
        <v>4.9700000000000001E-2</v>
      </c>
      <c r="I438" s="35"/>
      <c r="J438" s="35"/>
      <c r="K438" s="35"/>
      <c r="L438" s="35"/>
      <c r="M438" s="35"/>
      <c r="N438" s="35">
        <v>0.88160000000000005</v>
      </c>
      <c r="O438" s="35"/>
      <c r="P438" s="35"/>
      <c r="Q438" s="35"/>
      <c r="R438" s="35"/>
      <c r="S438" s="35"/>
      <c r="T438" s="35"/>
      <c r="U438" s="35"/>
      <c r="V438" s="35">
        <v>6.8699999999999997E-2</v>
      </c>
      <c r="W438" s="35"/>
      <c r="X438" s="35"/>
      <c r="Y438" s="35"/>
      <c r="Z438" s="37"/>
      <c r="AA438" s="37"/>
      <c r="AB438" s="37"/>
      <c r="AC438" s="56"/>
      <c r="AD438" s="23"/>
    </row>
    <row r="439" spans="1:30" s="14" customFormat="1">
      <c r="A439" s="82"/>
      <c r="B439" s="168"/>
      <c r="C439" s="130"/>
      <c r="D439" s="36">
        <f t="shared" ref="D439" si="771">$C438*D438</f>
        <v>0</v>
      </c>
      <c r="E439" s="36">
        <f t="shared" ref="E439" si="772">$C438*E438</f>
        <v>0</v>
      </c>
      <c r="F439" s="36">
        <f t="shared" ref="F439:AB439" si="773">$C438*F438</f>
        <v>0</v>
      </c>
      <c r="G439" s="36">
        <f t="shared" si="773"/>
        <v>0</v>
      </c>
      <c r="H439" s="36">
        <f t="shared" si="773"/>
        <v>23433.450102999999</v>
      </c>
      <c r="I439" s="36">
        <f t="shared" si="773"/>
        <v>0</v>
      </c>
      <c r="J439" s="36">
        <f t="shared" si="773"/>
        <v>0</v>
      </c>
      <c r="K439" s="36">
        <f t="shared" si="773"/>
        <v>0</v>
      </c>
      <c r="L439" s="36">
        <f t="shared" si="773"/>
        <v>0</v>
      </c>
      <c r="M439" s="36">
        <f t="shared" si="773"/>
        <v>0</v>
      </c>
      <c r="N439" s="36">
        <f t="shared" si="773"/>
        <v>415672.62798400002</v>
      </c>
      <c r="O439" s="36">
        <f t="shared" si="773"/>
        <v>0</v>
      </c>
      <c r="P439" s="36">
        <f t="shared" si="773"/>
        <v>0</v>
      </c>
      <c r="Q439" s="36">
        <f t="shared" si="773"/>
        <v>0</v>
      </c>
      <c r="R439" s="36">
        <f t="shared" si="773"/>
        <v>0</v>
      </c>
      <c r="S439" s="36">
        <f t="shared" si="773"/>
        <v>0</v>
      </c>
      <c r="T439" s="36">
        <f t="shared" si="773"/>
        <v>0</v>
      </c>
      <c r="U439" s="36">
        <f t="shared" si="773"/>
        <v>0</v>
      </c>
      <c r="V439" s="36">
        <f t="shared" si="773"/>
        <v>32391.911912999996</v>
      </c>
      <c r="W439" s="36">
        <f t="shared" si="773"/>
        <v>0</v>
      </c>
      <c r="X439" s="36">
        <f t="shared" si="773"/>
        <v>0</v>
      </c>
      <c r="Y439" s="36">
        <f t="shared" si="773"/>
        <v>0</v>
      </c>
      <c r="Z439" s="36">
        <f t="shared" si="773"/>
        <v>0</v>
      </c>
      <c r="AA439" s="36">
        <f t="shared" si="773"/>
        <v>0</v>
      </c>
      <c r="AB439" s="36">
        <f t="shared" si="773"/>
        <v>0</v>
      </c>
      <c r="AC439" s="56"/>
      <c r="AD439" s="23"/>
    </row>
    <row r="440" spans="1:30" s="14" customFormat="1">
      <c r="A440" s="81" t="s">
        <v>578</v>
      </c>
      <c r="B440" s="26">
        <v>20972169.487599999</v>
      </c>
      <c r="C440" s="130">
        <f t="shared" si="667"/>
        <v>1747680.79</v>
      </c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>
        <v>0.97109999999999996</v>
      </c>
      <c r="O440" s="35"/>
      <c r="P440" s="35"/>
      <c r="Q440" s="35"/>
      <c r="R440" s="35">
        <v>1.8E-3</v>
      </c>
      <c r="S440" s="35"/>
      <c r="T440" s="35"/>
      <c r="U440" s="35"/>
      <c r="V440" s="35">
        <v>2.7099999999999999E-2</v>
      </c>
      <c r="W440" s="35"/>
      <c r="X440" s="35"/>
      <c r="Y440" s="35"/>
      <c r="Z440" s="4"/>
      <c r="AA440" s="4"/>
      <c r="AB440" s="4"/>
      <c r="AC440" s="56"/>
      <c r="AD440" s="23"/>
    </row>
    <row r="441" spans="1:30" s="14" customFormat="1">
      <c r="A441" s="82"/>
      <c r="B441" s="168"/>
      <c r="C441" s="130"/>
      <c r="D441" s="36">
        <f t="shared" ref="D441" si="774">$C440*D440</f>
        <v>0</v>
      </c>
      <c r="E441" s="36">
        <f t="shared" ref="E441" si="775">$C440*E440</f>
        <v>0</v>
      </c>
      <c r="F441" s="36">
        <f t="shared" ref="F441:AA441" si="776">$C440*F440</f>
        <v>0</v>
      </c>
      <c r="G441" s="36">
        <f t="shared" si="776"/>
        <v>0</v>
      </c>
      <c r="H441" s="36">
        <f t="shared" si="776"/>
        <v>0</v>
      </c>
      <c r="I441" s="36">
        <f t="shared" si="776"/>
        <v>0</v>
      </c>
      <c r="J441" s="36">
        <f t="shared" si="776"/>
        <v>0</v>
      </c>
      <c r="K441" s="36">
        <f t="shared" si="776"/>
        <v>0</v>
      </c>
      <c r="L441" s="36">
        <f t="shared" si="776"/>
        <v>0</v>
      </c>
      <c r="M441" s="36">
        <f t="shared" si="776"/>
        <v>0</v>
      </c>
      <c r="N441" s="36">
        <f t="shared" si="776"/>
        <v>1697172.8151690001</v>
      </c>
      <c r="O441" s="36">
        <f t="shared" si="776"/>
        <v>0</v>
      </c>
      <c r="P441" s="36">
        <f t="shared" si="776"/>
        <v>0</v>
      </c>
      <c r="Q441" s="36">
        <f t="shared" si="776"/>
        <v>0</v>
      </c>
      <c r="R441" s="36">
        <f t="shared" si="776"/>
        <v>3145.8254219999999</v>
      </c>
      <c r="S441" s="36">
        <f t="shared" si="776"/>
        <v>0</v>
      </c>
      <c r="T441" s="36">
        <f t="shared" si="776"/>
        <v>0</v>
      </c>
      <c r="U441" s="36">
        <f t="shared" si="776"/>
        <v>0</v>
      </c>
      <c r="V441" s="36">
        <f t="shared" si="776"/>
        <v>47362.149408999998</v>
      </c>
      <c r="W441" s="36">
        <f t="shared" si="776"/>
        <v>0</v>
      </c>
      <c r="X441" s="36">
        <f t="shared" si="776"/>
        <v>0</v>
      </c>
      <c r="Y441" s="36">
        <f t="shared" si="776"/>
        <v>0</v>
      </c>
      <c r="Z441" s="36">
        <f t="shared" si="776"/>
        <v>0</v>
      </c>
      <c r="AA441" s="36">
        <f t="shared" si="776"/>
        <v>0</v>
      </c>
      <c r="AB441" s="36">
        <f t="shared" ref="AB441" si="777">$C440*AB440</f>
        <v>0</v>
      </c>
      <c r="AC441" s="56"/>
      <c r="AD441" s="23"/>
    </row>
    <row r="442" spans="1:30" s="14" customFormat="1">
      <c r="A442" s="81" t="s">
        <v>472</v>
      </c>
      <c r="B442" s="26">
        <f>9741908.5183/2</f>
        <v>4870954.2591500003</v>
      </c>
      <c r="C442" s="130">
        <f t="shared" ref="C442:C486" si="778">ROUND(B442/12,2)</f>
        <v>405912.85</v>
      </c>
      <c r="D442" s="35">
        <v>1.6299999999999999E-2</v>
      </c>
      <c r="E442" s="35">
        <v>0.14269999999999999</v>
      </c>
      <c r="F442" s="35">
        <v>5.8900000000000001E-2</v>
      </c>
      <c r="G442" s="35">
        <v>7.6200000000000004E-2</v>
      </c>
      <c r="H442" s="35">
        <v>3.9600000000000003E-2</v>
      </c>
      <c r="I442" s="35">
        <v>0.12470000000000001</v>
      </c>
      <c r="J442" s="35">
        <v>2.0400000000000001E-2</v>
      </c>
      <c r="K442" s="35">
        <v>3.1199999999999999E-2</v>
      </c>
      <c r="L442" s="35">
        <v>1.6199999999999999E-2</v>
      </c>
      <c r="M442" s="35">
        <v>2.53E-2</v>
      </c>
      <c r="N442" s="35">
        <v>0.14849999999999999</v>
      </c>
      <c r="O442" s="35">
        <v>2.2599999999999999E-2</v>
      </c>
      <c r="P442" s="35">
        <v>0</v>
      </c>
      <c r="Q442" s="35">
        <v>3.78E-2</v>
      </c>
      <c r="R442" s="35">
        <v>1.8100000000000002E-2</v>
      </c>
      <c r="S442" s="35">
        <v>4.1000000000000003E-3</v>
      </c>
      <c r="T442" s="35">
        <v>5.04E-2</v>
      </c>
      <c r="U442" s="35">
        <v>1.7500000000000002E-2</v>
      </c>
      <c r="V442" s="35">
        <v>3.6200000000000003E-2</v>
      </c>
      <c r="W442" s="35">
        <v>4.8500000000000001E-2</v>
      </c>
      <c r="X442" s="35">
        <v>6.1600000000000002E-2</v>
      </c>
      <c r="Y442" s="35">
        <v>2.5000000000000001E-3</v>
      </c>
      <c r="Z442" s="4">
        <v>0</v>
      </c>
      <c r="AA442" s="4">
        <v>6.9999999999999999E-4</v>
      </c>
      <c r="AB442" s="4">
        <v>0</v>
      </c>
      <c r="AC442" s="56"/>
      <c r="AD442" s="23"/>
    </row>
    <row r="443" spans="1:30" s="14" customFormat="1">
      <c r="A443" s="82"/>
      <c r="B443" s="168"/>
      <c r="C443" s="130"/>
      <c r="D443" s="36">
        <f t="shared" ref="D443" si="779">$C442*D442</f>
        <v>6616.3794549999993</v>
      </c>
      <c r="E443" s="36">
        <f t="shared" ref="E443" si="780">$C442*E442</f>
        <v>57923.763694999994</v>
      </c>
      <c r="F443" s="36">
        <f t="shared" ref="F443:AB443" si="781">$C442*F442</f>
        <v>23908.266864999998</v>
      </c>
      <c r="G443" s="36">
        <f t="shared" si="781"/>
        <v>30930.55917</v>
      </c>
      <c r="H443" s="36">
        <f t="shared" si="781"/>
        <v>16074.148860000001</v>
      </c>
      <c r="I443" s="36">
        <f t="shared" si="781"/>
        <v>50617.332394999998</v>
      </c>
      <c r="J443" s="36">
        <f t="shared" si="781"/>
        <v>8280.6221399999995</v>
      </c>
      <c r="K443" s="36">
        <f t="shared" si="781"/>
        <v>12664.480919999998</v>
      </c>
      <c r="L443" s="36">
        <f t="shared" si="781"/>
        <v>6575.7881699999989</v>
      </c>
      <c r="M443" s="36">
        <f t="shared" si="781"/>
        <v>10269.595104999999</v>
      </c>
      <c r="N443" s="36">
        <f t="shared" si="781"/>
        <v>60278.058224999993</v>
      </c>
      <c r="O443" s="36">
        <f t="shared" si="781"/>
        <v>9173.6304099999998</v>
      </c>
      <c r="P443" s="36">
        <f t="shared" si="781"/>
        <v>0</v>
      </c>
      <c r="Q443" s="36">
        <f t="shared" si="781"/>
        <v>15343.505729999999</v>
      </c>
      <c r="R443" s="36">
        <f t="shared" si="781"/>
        <v>7347.0225850000006</v>
      </c>
      <c r="S443" s="36">
        <f t="shared" si="781"/>
        <v>1664.2426849999999</v>
      </c>
      <c r="T443" s="36">
        <f t="shared" si="781"/>
        <v>20458.00764</v>
      </c>
      <c r="U443" s="36">
        <f t="shared" si="781"/>
        <v>7103.4748749999999</v>
      </c>
      <c r="V443" s="36">
        <f t="shared" si="781"/>
        <v>14694.045170000001</v>
      </c>
      <c r="W443" s="36">
        <f t="shared" si="781"/>
        <v>19686.773225000001</v>
      </c>
      <c r="X443" s="36">
        <f t="shared" si="781"/>
        <v>25004.23156</v>
      </c>
      <c r="Y443" s="36">
        <f t="shared" si="781"/>
        <v>1014.782125</v>
      </c>
      <c r="Z443" s="36">
        <f t="shared" si="781"/>
        <v>0</v>
      </c>
      <c r="AA443" s="36">
        <f t="shared" si="781"/>
        <v>284.13899499999997</v>
      </c>
      <c r="AB443" s="36">
        <f t="shared" si="781"/>
        <v>0</v>
      </c>
      <c r="AC443" s="56"/>
      <c r="AD443" s="23"/>
    </row>
    <row r="444" spans="1:30">
      <c r="A444" s="81" t="s">
        <v>542</v>
      </c>
      <c r="B444" s="26">
        <f>9741908.5183/2</f>
        <v>4870954.2591500003</v>
      </c>
      <c r="C444" s="130">
        <f t="shared" si="778"/>
        <v>405912.85</v>
      </c>
      <c r="D444" s="35"/>
      <c r="E444" s="35"/>
      <c r="F444" s="35">
        <v>0</v>
      </c>
      <c r="G444" s="35"/>
      <c r="H444" s="35">
        <v>0</v>
      </c>
      <c r="I444" s="35"/>
      <c r="J444" s="35"/>
      <c r="K444" s="35"/>
      <c r="L444" s="35"/>
      <c r="M444" s="35"/>
      <c r="N444" s="35">
        <v>0.86240000000000006</v>
      </c>
      <c r="O444" s="35"/>
      <c r="P444" s="35"/>
      <c r="Q444" s="35"/>
      <c r="R444" s="35"/>
      <c r="S444" s="35"/>
      <c r="T444" s="35"/>
      <c r="U444" s="35"/>
      <c r="V444" s="35">
        <v>0.1376</v>
      </c>
      <c r="W444" s="35"/>
      <c r="X444" s="35"/>
      <c r="Y444" s="35"/>
      <c r="Z444" s="37"/>
      <c r="AA444" s="37"/>
      <c r="AB444" s="37"/>
      <c r="AC444" s="56"/>
      <c r="AD444" s="118"/>
    </row>
    <row r="445" spans="1:30">
      <c r="A445" s="82"/>
      <c r="B445" s="168"/>
      <c r="C445" s="130"/>
      <c r="D445" s="36">
        <f t="shared" ref="D445" si="782">$C444*D444</f>
        <v>0</v>
      </c>
      <c r="E445" s="36">
        <f t="shared" ref="E445" si="783">$C444*E444</f>
        <v>0</v>
      </c>
      <c r="F445" s="36">
        <f t="shared" ref="F445:AB445" si="784">$C444*F444</f>
        <v>0</v>
      </c>
      <c r="G445" s="36">
        <f t="shared" si="784"/>
        <v>0</v>
      </c>
      <c r="H445" s="36">
        <f t="shared" si="784"/>
        <v>0</v>
      </c>
      <c r="I445" s="36">
        <f t="shared" si="784"/>
        <v>0</v>
      </c>
      <c r="J445" s="36">
        <f t="shared" si="784"/>
        <v>0</v>
      </c>
      <c r="K445" s="36">
        <f t="shared" si="784"/>
        <v>0</v>
      </c>
      <c r="L445" s="36">
        <f t="shared" si="784"/>
        <v>0</v>
      </c>
      <c r="M445" s="36">
        <f t="shared" si="784"/>
        <v>0</v>
      </c>
      <c r="N445" s="36">
        <f t="shared" si="784"/>
        <v>350059.24184000003</v>
      </c>
      <c r="O445" s="36">
        <f t="shared" si="784"/>
        <v>0</v>
      </c>
      <c r="P445" s="36">
        <f t="shared" si="784"/>
        <v>0</v>
      </c>
      <c r="Q445" s="36">
        <f t="shared" si="784"/>
        <v>0</v>
      </c>
      <c r="R445" s="36">
        <f t="shared" si="784"/>
        <v>0</v>
      </c>
      <c r="S445" s="36">
        <f t="shared" si="784"/>
        <v>0</v>
      </c>
      <c r="T445" s="36">
        <f t="shared" si="784"/>
        <v>0</v>
      </c>
      <c r="U445" s="36">
        <f t="shared" si="784"/>
        <v>0</v>
      </c>
      <c r="V445" s="36">
        <f t="shared" si="784"/>
        <v>55853.608159999996</v>
      </c>
      <c r="W445" s="36">
        <f t="shared" si="784"/>
        <v>0</v>
      </c>
      <c r="X445" s="36">
        <f t="shared" si="784"/>
        <v>0</v>
      </c>
      <c r="Y445" s="36">
        <f t="shared" si="784"/>
        <v>0</v>
      </c>
      <c r="Z445" s="36">
        <f t="shared" si="784"/>
        <v>0</v>
      </c>
      <c r="AA445" s="36">
        <f t="shared" si="784"/>
        <v>0</v>
      </c>
      <c r="AB445" s="36">
        <f t="shared" si="784"/>
        <v>0</v>
      </c>
      <c r="AC445" s="56"/>
      <c r="AD445" s="118"/>
    </row>
    <row r="446" spans="1:30" s="14" customFormat="1" ht="15.6" customHeight="1">
      <c r="A446" s="81" t="s">
        <v>473</v>
      </c>
      <c r="B446" s="26">
        <f>7145846.7004/2</f>
        <v>3572923.3502000002</v>
      </c>
      <c r="C446" s="130">
        <f t="shared" si="778"/>
        <v>297743.61</v>
      </c>
      <c r="D446" s="35">
        <v>1.6299999999999999E-2</v>
      </c>
      <c r="E446" s="35">
        <v>0.14269999999999999</v>
      </c>
      <c r="F446" s="35">
        <v>5.8900000000000001E-2</v>
      </c>
      <c r="G446" s="35">
        <v>7.6200000000000004E-2</v>
      </c>
      <c r="H446" s="35">
        <v>3.9600000000000003E-2</v>
      </c>
      <c r="I446" s="35">
        <v>0.12470000000000001</v>
      </c>
      <c r="J446" s="35">
        <v>2.0400000000000001E-2</v>
      </c>
      <c r="K446" s="35">
        <v>3.1199999999999999E-2</v>
      </c>
      <c r="L446" s="35">
        <v>1.6199999999999999E-2</v>
      </c>
      <c r="M446" s="35">
        <v>2.53E-2</v>
      </c>
      <c r="N446" s="35">
        <v>0.14849999999999999</v>
      </c>
      <c r="O446" s="35">
        <v>2.2599999999999999E-2</v>
      </c>
      <c r="P446" s="35">
        <v>0</v>
      </c>
      <c r="Q446" s="35">
        <v>3.78E-2</v>
      </c>
      <c r="R446" s="35">
        <v>1.8100000000000002E-2</v>
      </c>
      <c r="S446" s="35">
        <v>4.1000000000000003E-3</v>
      </c>
      <c r="T446" s="35">
        <v>5.04E-2</v>
      </c>
      <c r="U446" s="35">
        <v>1.7500000000000002E-2</v>
      </c>
      <c r="V446" s="35">
        <v>3.6200000000000003E-2</v>
      </c>
      <c r="W446" s="35">
        <v>4.8500000000000001E-2</v>
      </c>
      <c r="X446" s="35">
        <v>6.1600000000000002E-2</v>
      </c>
      <c r="Y446" s="35">
        <v>2.5000000000000001E-3</v>
      </c>
      <c r="Z446" s="4">
        <v>0</v>
      </c>
      <c r="AA446" s="4">
        <v>6.9999999999999999E-4</v>
      </c>
      <c r="AB446" s="4">
        <v>0</v>
      </c>
      <c r="AC446" s="56"/>
      <c r="AD446" s="23"/>
    </row>
    <row r="447" spans="1:30" s="14" customFormat="1" ht="13.95" customHeight="1">
      <c r="A447" s="82"/>
      <c r="B447" s="168"/>
      <c r="C447" s="130"/>
      <c r="D447" s="36">
        <f t="shared" ref="D447" si="785">$C446*D446</f>
        <v>4853.2208429999991</v>
      </c>
      <c r="E447" s="36">
        <f t="shared" ref="E447" si="786">$C446*E446</f>
        <v>42488.013146999998</v>
      </c>
      <c r="F447" s="36">
        <f t="shared" ref="F447:AB447" si="787">$C446*F446</f>
        <v>17537.098629</v>
      </c>
      <c r="G447" s="36">
        <f t="shared" si="787"/>
        <v>22688.063082000001</v>
      </c>
      <c r="H447" s="36">
        <f t="shared" si="787"/>
        <v>11790.646956000001</v>
      </c>
      <c r="I447" s="36">
        <f t="shared" si="787"/>
        <v>37128.628167000003</v>
      </c>
      <c r="J447" s="36">
        <f t="shared" si="787"/>
        <v>6073.9696439999998</v>
      </c>
      <c r="K447" s="36">
        <f t="shared" si="787"/>
        <v>9289.6006319999997</v>
      </c>
      <c r="L447" s="36">
        <f t="shared" si="787"/>
        <v>4823.4464819999994</v>
      </c>
      <c r="M447" s="36">
        <f t="shared" si="787"/>
        <v>7532.9133329999995</v>
      </c>
      <c r="N447" s="36">
        <f t="shared" si="787"/>
        <v>44214.926084999999</v>
      </c>
      <c r="O447" s="36">
        <f t="shared" si="787"/>
        <v>6729.0055859999993</v>
      </c>
      <c r="P447" s="36">
        <f t="shared" si="787"/>
        <v>0</v>
      </c>
      <c r="Q447" s="36">
        <f t="shared" si="787"/>
        <v>11254.708457999999</v>
      </c>
      <c r="R447" s="36">
        <f t="shared" si="787"/>
        <v>5389.1593410000005</v>
      </c>
      <c r="S447" s="36">
        <f t="shared" si="787"/>
        <v>1220.748801</v>
      </c>
      <c r="T447" s="36">
        <f t="shared" si="787"/>
        <v>15006.277943999999</v>
      </c>
      <c r="U447" s="36">
        <f t="shared" si="787"/>
        <v>5210.513175</v>
      </c>
      <c r="V447" s="36">
        <f t="shared" si="787"/>
        <v>10778.318682000001</v>
      </c>
      <c r="W447" s="36">
        <f t="shared" si="787"/>
        <v>14440.565085</v>
      </c>
      <c r="X447" s="36">
        <f t="shared" si="787"/>
        <v>18341.006376000001</v>
      </c>
      <c r="Y447" s="36">
        <f t="shared" si="787"/>
        <v>744.35902499999997</v>
      </c>
      <c r="Z447" s="36">
        <f t="shared" si="787"/>
        <v>0</v>
      </c>
      <c r="AA447" s="36">
        <f t="shared" si="787"/>
        <v>208.42052699999999</v>
      </c>
      <c r="AB447" s="36">
        <f t="shared" si="787"/>
        <v>0</v>
      </c>
      <c r="AC447" s="56"/>
      <c r="AD447" s="23"/>
    </row>
    <row r="448" spans="1:30" s="14" customFormat="1">
      <c r="A448" s="81" t="s">
        <v>543</v>
      </c>
      <c r="B448" s="26">
        <f>7145846.7004/2</f>
        <v>3572923.3502000002</v>
      </c>
      <c r="C448" s="130">
        <f t="shared" si="778"/>
        <v>297743.61</v>
      </c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>
        <v>1</v>
      </c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7"/>
      <c r="AA448" s="37"/>
      <c r="AB448" s="37"/>
      <c r="AC448" s="56"/>
      <c r="AD448" s="23"/>
    </row>
    <row r="449" spans="1:30" s="14" customFormat="1">
      <c r="A449" s="82"/>
      <c r="B449" s="168"/>
      <c r="C449" s="130"/>
      <c r="D449" s="36">
        <f t="shared" ref="D449" si="788">$C448*D448</f>
        <v>0</v>
      </c>
      <c r="E449" s="36">
        <f t="shared" ref="E449" si="789">$C448*E448</f>
        <v>0</v>
      </c>
      <c r="F449" s="36">
        <f t="shared" ref="F449:AB449" si="790">$C448*F448</f>
        <v>0</v>
      </c>
      <c r="G449" s="36">
        <f t="shared" si="790"/>
        <v>0</v>
      </c>
      <c r="H449" s="36">
        <f t="shared" si="790"/>
        <v>0</v>
      </c>
      <c r="I449" s="36">
        <f t="shared" si="790"/>
        <v>0</v>
      </c>
      <c r="J449" s="36">
        <f t="shared" si="790"/>
        <v>0</v>
      </c>
      <c r="K449" s="36">
        <f t="shared" si="790"/>
        <v>0</v>
      </c>
      <c r="L449" s="36">
        <f t="shared" si="790"/>
        <v>0</v>
      </c>
      <c r="M449" s="36">
        <f t="shared" si="790"/>
        <v>0</v>
      </c>
      <c r="N449" s="36">
        <f t="shared" si="790"/>
        <v>297743.61</v>
      </c>
      <c r="O449" s="36">
        <f t="shared" si="790"/>
        <v>0</v>
      </c>
      <c r="P449" s="36">
        <f t="shared" si="790"/>
        <v>0</v>
      </c>
      <c r="Q449" s="36">
        <f t="shared" si="790"/>
        <v>0</v>
      </c>
      <c r="R449" s="36">
        <f t="shared" si="790"/>
        <v>0</v>
      </c>
      <c r="S449" s="36">
        <f t="shared" si="790"/>
        <v>0</v>
      </c>
      <c r="T449" s="36">
        <f t="shared" si="790"/>
        <v>0</v>
      </c>
      <c r="U449" s="36">
        <f t="shared" si="790"/>
        <v>0</v>
      </c>
      <c r="V449" s="36">
        <f t="shared" si="790"/>
        <v>0</v>
      </c>
      <c r="W449" s="36">
        <f t="shared" si="790"/>
        <v>0</v>
      </c>
      <c r="X449" s="36">
        <f t="shared" si="790"/>
        <v>0</v>
      </c>
      <c r="Y449" s="36">
        <f t="shared" si="790"/>
        <v>0</v>
      </c>
      <c r="Z449" s="36">
        <f t="shared" si="790"/>
        <v>0</v>
      </c>
      <c r="AA449" s="36">
        <f t="shared" si="790"/>
        <v>0</v>
      </c>
      <c r="AB449" s="36">
        <f t="shared" si="790"/>
        <v>0</v>
      </c>
      <c r="AC449" s="56"/>
      <c r="AD449" s="23"/>
    </row>
    <row r="450" spans="1:30" s="14" customFormat="1">
      <c r="A450" s="81" t="s">
        <v>496</v>
      </c>
      <c r="B450" s="26">
        <v>1158562.1265</v>
      </c>
      <c r="C450" s="130">
        <f t="shared" si="778"/>
        <v>96546.84</v>
      </c>
      <c r="D450" s="35">
        <v>1.9599999999999999E-2</v>
      </c>
      <c r="E450" s="35"/>
      <c r="F450" s="35"/>
      <c r="G450" s="35"/>
      <c r="H450" s="35">
        <v>0.14369999999999999</v>
      </c>
      <c r="I450" s="35"/>
      <c r="J450" s="35"/>
      <c r="K450" s="35"/>
      <c r="L450" s="35"/>
      <c r="M450" s="35">
        <v>3.7600000000000001E-2</v>
      </c>
      <c r="N450" s="35">
        <v>0.35110000000000002</v>
      </c>
      <c r="O450" s="35"/>
      <c r="P450" s="35">
        <v>3.3999999999999998E-3</v>
      </c>
      <c r="Q450" s="35">
        <v>3.3099999999999997E-2</v>
      </c>
      <c r="R450" s="35">
        <v>2.5100000000000001E-2</v>
      </c>
      <c r="S450" s="35">
        <v>6.3E-3</v>
      </c>
      <c r="T450" s="35">
        <v>6.2600000000000003E-2</v>
      </c>
      <c r="U450" s="35"/>
      <c r="V450" s="35">
        <v>0.20230000000000001</v>
      </c>
      <c r="W450" s="35">
        <v>3.9399999999999998E-2</v>
      </c>
      <c r="X450" s="35">
        <v>7.2900000000000006E-2</v>
      </c>
      <c r="Y450" s="35"/>
      <c r="Z450" s="37">
        <v>2.8999999999999998E-3</v>
      </c>
      <c r="AA450" s="37"/>
      <c r="AB450" s="37"/>
      <c r="AC450" s="56"/>
      <c r="AD450" s="23"/>
    </row>
    <row r="451" spans="1:30" s="14" customFormat="1">
      <c r="A451" s="82"/>
      <c r="B451" s="67"/>
      <c r="C451" s="130"/>
      <c r="D451" s="36">
        <f t="shared" ref="D451" si="791">$C450*D450</f>
        <v>1892.3180639999998</v>
      </c>
      <c r="E451" s="36">
        <f t="shared" ref="E451" si="792">$C450*E450</f>
        <v>0</v>
      </c>
      <c r="F451" s="36">
        <f t="shared" ref="F451:AB451" si="793">$C450*F450</f>
        <v>0</v>
      </c>
      <c r="G451" s="36">
        <f t="shared" si="793"/>
        <v>0</v>
      </c>
      <c r="H451" s="36">
        <f t="shared" si="793"/>
        <v>13873.780907999999</v>
      </c>
      <c r="I451" s="36">
        <f t="shared" si="793"/>
        <v>0</v>
      </c>
      <c r="J451" s="36">
        <f t="shared" si="793"/>
        <v>0</v>
      </c>
      <c r="K451" s="36">
        <f t="shared" si="793"/>
        <v>0</v>
      </c>
      <c r="L451" s="36">
        <f t="shared" si="793"/>
        <v>0</v>
      </c>
      <c r="M451" s="36">
        <f t="shared" si="793"/>
        <v>3630.161184</v>
      </c>
      <c r="N451" s="36">
        <f t="shared" si="793"/>
        <v>33897.595524000004</v>
      </c>
      <c r="O451" s="36">
        <f t="shared" si="793"/>
        <v>0</v>
      </c>
      <c r="P451" s="36">
        <f t="shared" si="793"/>
        <v>328.25925599999999</v>
      </c>
      <c r="Q451" s="36">
        <f t="shared" si="793"/>
        <v>3195.7004039999997</v>
      </c>
      <c r="R451" s="36">
        <f t="shared" si="793"/>
        <v>2423.3256839999999</v>
      </c>
      <c r="S451" s="36">
        <f t="shared" si="793"/>
        <v>608.245092</v>
      </c>
      <c r="T451" s="36">
        <f t="shared" si="793"/>
        <v>6043.8321839999999</v>
      </c>
      <c r="U451" s="36">
        <f t="shared" si="793"/>
        <v>0</v>
      </c>
      <c r="V451" s="36">
        <f t="shared" si="793"/>
        <v>19531.425732</v>
      </c>
      <c r="W451" s="36">
        <f t="shared" si="793"/>
        <v>3803.9454959999998</v>
      </c>
      <c r="X451" s="36">
        <f t="shared" si="793"/>
        <v>7038.2646360000008</v>
      </c>
      <c r="Y451" s="36">
        <f t="shared" si="793"/>
        <v>0</v>
      </c>
      <c r="Z451" s="36">
        <f t="shared" si="793"/>
        <v>279.98583599999995</v>
      </c>
      <c r="AA451" s="36">
        <f t="shared" si="793"/>
        <v>0</v>
      </c>
      <c r="AB451" s="36">
        <f t="shared" si="793"/>
        <v>0</v>
      </c>
      <c r="AC451" s="56"/>
      <c r="AD451" s="23"/>
    </row>
    <row r="452" spans="1:30" s="14" customFormat="1">
      <c r="A452" s="81" t="s">
        <v>544</v>
      </c>
      <c r="B452" s="26">
        <f>3974408.5057/2</f>
        <v>1987204.25285</v>
      </c>
      <c r="C452" s="130">
        <f t="shared" si="778"/>
        <v>165600.35</v>
      </c>
      <c r="D452" s="35">
        <v>1.6299999999999999E-2</v>
      </c>
      <c r="E452" s="35">
        <v>0.14269999999999999</v>
      </c>
      <c r="F452" s="35">
        <v>5.8900000000000001E-2</v>
      </c>
      <c r="G452" s="35">
        <v>7.6200000000000004E-2</v>
      </c>
      <c r="H452" s="35">
        <v>3.9600000000000003E-2</v>
      </c>
      <c r="I452" s="35">
        <v>0.12470000000000001</v>
      </c>
      <c r="J452" s="35">
        <v>2.0400000000000001E-2</v>
      </c>
      <c r="K452" s="35">
        <v>3.1199999999999999E-2</v>
      </c>
      <c r="L452" s="35">
        <v>1.6199999999999999E-2</v>
      </c>
      <c r="M452" s="35">
        <v>2.53E-2</v>
      </c>
      <c r="N452" s="35">
        <v>0.14849999999999999</v>
      </c>
      <c r="O452" s="35">
        <v>2.2599999999999999E-2</v>
      </c>
      <c r="P452" s="35">
        <v>0</v>
      </c>
      <c r="Q452" s="35">
        <v>3.78E-2</v>
      </c>
      <c r="R452" s="35">
        <v>1.8100000000000002E-2</v>
      </c>
      <c r="S452" s="35">
        <v>4.1000000000000003E-3</v>
      </c>
      <c r="T452" s="35">
        <v>5.04E-2</v>
      </c>
      <c r="U452" s="35">
        <v>1.7500000000000002E-2</v>
      </c>
      <c r="V452" s="35">
        <v>3.6200000000000003E-2</v>
      </c>
      <c r="W452" s="35">
        <v>4.8500000000000001E-2</v>
      </c>
      <c r="X452" s="35">
        <v>6.1600000000000002E-2</v>
      </c>
      <c r="Y452" s="35">
        <v>2.5000000000000001E-3</v>
      </c>
      <c r="Z452" s="4">
        <v>0</v>
      </c>
      <c r="AA452" s="4">
        <v>6.9999999999999999E-4</v>
      </c>
      <c r="AB452" s="4">
        <v>0</v>
      </c>
      <c r="AC452" s="56"/>
      <c r="AD452" s="23"/>
    </row>
    <row r="453" spans="1:30" s="14" customFormat="1">
      <c r="A453" s="82"/>
      <c r="B453" s="67"/>
      <c r="C453" s="130"/>
      <c r="D453" s="36">
        <f t="shared" ref="D453" si="794">$C452*D452</f>
        <v>2699.2857049999998</v>
      </c>
      <c r="E453" s="36">
        <f t="shared" ref="E453" si="795">$C452*E452</f>
        <v>23631.169945000001</v>
      </c>
      <c r="F453" s="36">
        <f t="shared" ref="F453:AB453" si="796">$C452*F452</f>
        <v>9753.8606149999996</v>
      </c>
      <c r="G453" s="36">
        <f t="shared" si="796"/>
        <v>12618.74667</v>
      </c>
      <c r="H453" s="36">
        <f t="shared" si="796"/>
        <v>6557.7738600000012</v>
      </c>
      <c r="I453" s="36">
        <f t="shared" si="796"/>
        <v>20650.363645000001</v>
      </c>
      <c r="J453" s="36">
        <f t="shared" si="796"/>
        <v>3378.2471400000004</v>
      </c>
      <c r="K453" s="36">
        <f t="shared" si="796"/>
        <v>5166.73092</v>
      </c>
      <c r="L453" s="36">
        <f t="shared" si="796"/>
        <v>2682.7256699999998</v>
      </c>
      <c r="M453" s="36">
        <f t="shared" si="796"/>
        <v>4189.6888550000003</v>
      </c>
      <c r="N453" s="36">
        <f t="shared" si="796"/>
        <v>24591.651975000001</v>
      </c>
      <c r="O453" s="36">
        <f t="shared" si="796"/>
        <v>3742.5679099999998</v>
      </c>
      <c r="P453" s="36">
        <f t="shared" si="796"/>
        <v>0</v>
      </c>
      <c r="Q453" s="36">
        <f t="shared" si="796"/>
        <v>6259.6932299999999</v>
      </c>
      <c r="R453" s="36">
        <f t="shared" si="796"/>
        <v>2997.3663350000002</v>
      </c>
      <c r="S453" s="36">
        <f t="shared" si="796"/>
        <v>678.96143500000005</v>
      </c>
      <c r="T453" s="36">
        <f t="shared" si="796"/>
        <v>8346.2576399999998</v>
      </c>
      <c r="U453" s="36">
        <f t="shared" si="796"/>
        <v>2898.0061250000003</v>
      </c>
      <c r="V453" s="36">
        <f t="shared" si="796"/>
        <v>5994.7326700000003</v>
      </c>
      <c r="W453" s="36">
        <f t="shared" si="796"/>
        <v>8031.6169750000008</v>
      </c>
      <c r="X453" s="36">
        <f t="shared" si="796"/>
        <v>10200.98156</v>
      </c>
      <c r="Y453" s="36">
        <f t="shared" si="796"/>
        <v>414.00087500000001</v>
      </c>
      <c r="Z453" s="36">
        <f t="shared" si="796"/>
        <v>0</v>
      </c>
      <c r="AA453" s="36">
        <f t="shared" si="796"/>
        <v>115.92024500000001</v>
      </c>
      <c r="AB453" s="36">
        <f t="shared" si="796"/>
        <v>0</v>
      </c>
      <c r="AC453" s="56"/>
      <c r="AD453" s="23"/>
    </row>
    <row r="454" spans="1:30" s="14" customFormat="1">
      <c r="A454" s="81" t="s">
        <v>545</v>
      </c>
      <c r="B454" s="26">
        <f>3974408.5057/2</f>
        <v>1987204.25285</v>
      </c>
      <c r="C454" s="130">
        <f t="shared" si="778"/>
        <v>165600.35</v>
      </c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>
        <v>1</v>
      </c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7"/>
      <c r="AA454" s="37"/>
      <c r="AB454" s="37"/>
      <c r="AC454" s="56"/>
      <c r="AD454" s="23"/>
    </row>
    <row r="455" spans="1:30" s="14" customFormat="1">
      <c r="A455" s="82"/>
      <c r="B455" s="67"/>
      <c r="C455" s="130"/>
      <c r="D455" s="36">
        <f t="shared" ref="D455" si="797">$C454*D454</f>
        <v>0</v>
      </c>
      <c r="E455" s="36">
        <f t="shared" ref="E455" si="798">$C454*E454</f>
        <v>0</v>
      </c>
      <c r="F455" s="36">
        <f t="shared" ref="F455:AB455" si="799">$C454*F454</f>
        <v>0</v>
      </c>
      <c r="G455" s="36">
        <f t="shared" si="799"/>
        <v>0</v>
      </c>
      <c r="H455" s="36">
        <f t="shared" si="799"/>
        <v>0</v>
      </c>
      <c r="I455" s="36">
        <f t="shared" si="799"/>
        <v>0</v>
      </c>
      <c r="J455" s="36">
        <f t="shared" si="799"/>
        <v>0</v>
      </c>
      <c r="K455" s="36">
        <f t="shared" si="799"/>
        <v>0</v>
      </c>
      <c r="L455" s="36">
        <f t="shared" si="799"/>
        <v>0</v>
      </c>
      <c r="M455" s="36">
        <f t="shared" si="799"/>
        <v>0</v>
      </c>
      <c r="N455" s="36">
        <f t="shared" si="799"/>
        <v>165600.35</v>
      </c>
      <c r="O455" s="36">
        <f t="shared" si="799"/>
        <v>0</v>
      </c>
      <c r="P455" s="36">
        <f t="shared" si="799"/>
        <v>0</v>
      </c>
      <c r="Q455" s="36">
        <f t="shared" si="799"/>
        <v>0</v>
      </c>
      <c r="R455" s="36">
        <f t="shared" si="799"/>
        <v>0</v>
      </c>
      <c r="S455" s="36">
        <f t="shared" si="799"/>
        <v>0</v>
      </c>
      <c r="T455" s="36">
        <f t="shared" si="799"/>
        <v>0</v>
      </c>
      <c r="U455" s="36">
        <f t="shared" si="799"/>
        <v>0</v>
      </c>
      <c r="V455" s="36">
        <f t="shared" si="799"/>
        <v>0</v>
      </c>
      <c r="W455" s="36">
        <f t="shared" si="799"/>
        <v>0</v>
      </c>
      <c r="X455" s="36">
        <f t="shared" si="799"/>
        <v>0</v>
      </c>
      <c r="Y455" s="36">
        <f t="shared" si="799"/>
        <v>0</v>
      </c>
      <c r="Z455" s="36">
        <f t="shared" si="799"/>
        <v>0</v>
      </c>
      <c r="AA455" s="36">
        <f t="shared" si="799"/>
        <v>0</v>
      </c>
      <c r="AB455" s="36">
        <f t="shared" si="799"/>
        <v>0</v>
      </c>
      <c r="AC455" s="56"/>
      <c r="AD455" s="23"/>
    </row>
    <row r="456" spans="1:30" s="14" customFormat="1">
      <c r="A456" s="81" t="s">
        <v>546</v>
      </c>
      <c r="B456" s="26">
        <f>2218862.2558/2</f>
        <v>1109431.1279</v>
      </c>
      <c r="C456" s="130">
        <f t="shared" si="778"/>
        <v>92452.59</v>
      </c>
      <c r="D456" s="35">
        <v>1.6299999999999999E-2</v>
      </c>
      <c r="E456" s="35">
        <v>0.14269999999999999</v>
      </c>
      <c r="F456" s="35">
        <v>5.8900000000000001E-2</v>
      </c>
      <c r="G456" s="35">
        <v>7.6200000000000004E-2</v>
      </c>
      <c r="H456" s="35">
        <v>3.9600000000000003E-2</v>
      </c>
      <c r="I456" s="35">
        <v>0.12470000000000001</v>
      </c>
      <c r="J456" s="35">
        <v>2.0400000000000001E-2</v>
      </c>
      <c r="K456" s="35">
        <v>3.1199999999999999E-2</v>
      </c>
      <c r="L456" s="35">
        <v>1.6199999999999999E-2</v>
      </c>
      <c r="M456" s="35">
        <v>2.53E-2</v>
      </c>
      <c r="N456" s="35">
        <v>0.14849999999999999</v>
      </c>
      <c r="O456" s="35">
        <v>2.2599999999999999E-2</v>
      </c>
      <c r="P456" s="35">
        <v>0</v>
      </c>
      <c r="Q456" s="35">
        <v>3.78E-2</v>
      </c>
      <c r="R456" s="35">
        <v>1.8100000000000002E-2</v>
      </c>
      <c r="S456" s="35">
        <v>4.1000000000000003E-3</v>
      </c>
      <c r="T456" s="35">
        <v>5.04E-2</v>
      </c>
      <c r="U456" s="35">
        <v>1.7500000000000002E-2</v>
      </c>
      <c r="V456" s="35">
        <v>3.6200000000000003E-2</v>
      </c>
      <c r="W456" s="35">
        <v>4.8500000000000001E-2</v>
      </c>
      <c r="X456" s="35">
        <v>6.1600000000000002E-2</v>
      </c>
      <c r="Y456" s="35">
        <v>2.5000000000000001E-3</v>
      </c>
      <c r="Z456" s="4">
        <v>0</v>
      </c>
      <c r="AA456" s="4">
        <v>6.9999999999999999E-4</v>
      </c>
      <c r="AB456" s="4">
        <v>0</v>
      </c>
      <c r="AC456" s="56"/>
      <c r="AD456" s="23"/>
    </row>
    <row r="457" spans="1:30" s="14" customFormat="1">
      <c r="A457" s="82"/>
      <c r="B457" s="67"/>
      <c r="C457" s="130"/>
      <c r="D457" s="36">
        <f t="shared" ref="D457" si="800">$C456*D456</f>
        <v>1506.9772169999999</v>
      </c>
      <c r="E457" s="36">
        <f t="shared" ref="E457" si="801">$C456*E456</f>
        <v>13192.984592999999</v>
      </c>
      <c r="F457" s="36">
        <f t="shared" ref="F457:AB457" si="802">$C456*F456</f>
        <v>5445.4575509999995</v>
      </c>
      <c r="G457" s="36">
        <f t="shared" si="802"/>
        <v>7044.8873579999999</v>
      </c>
      <c r="H457" s="36">
        <f t="shared" si="802"/>
        <v>3661.1225640000002</v>
      </c>
      <c r="I457" s="36">
        <f t="shared" si="802"/>
        <v>11528.837973</v>
      </c>
      <c r="J457" s="36">
        <f t="shared" si="802"/>
        <v>1886.0328360000001</v>
      </c>
      <c r="K457" s="36">
        <f t="shared" si="802"/>
        <v>2884.5208079999998</v>
      </c>
      <c r="L457" s="36">
        <f t="shared" si="802"/>
        <v>1497.7319579999998</v>
      </c>
      <c r="M457" s="36">
        <f t="shared" si="802"/>
        <v>2339.0505269999999</v>
      </c>
      <c r="N457" s="36">
        <f t="shared" si="802"/>
        <v>13729.209614999998</v>
      </c>
      <c r="O457" s="36">
        <f t="shared" si="802"/>
        <v>2089.4285339999997</v>
      </c>
      <c r="P457" s="36">
        <f t="shared" si="802"/>
        <v>0</v>
      </c>
      <c r="Q457" s="36">
        <f t="shared" si="802"/>
        <v>3494.7079020000001</v>
      </c>
      <c r="R457" s="36">
        <f t="shared" si="802"/>
        <v>1673.391879</v>
      </c>
      <c r="S457" s="36">
        <f t="shared" si="802"/>
        <v>379.05561900000004</v>
      </c>
      <c r="T457" s="36">
        <f t="shared" si="802"/>
        <v>4659.6105360000001</v>
      </c>
      <c r="U457" s="36">
        <f t="shared" si="802"/>
        <v>1617.920325</v>
      </c>
      <c r="V457" s="36">
        <f t="shared" si="802"/>
        <v>3346.783758</v>
      </c>
      <c r="W457" s="36">
        <f t="shared" si="802"/>
        <v>4483.9506149999997</v>
      </c>
      <c r="X457" s="36">
        <f t="shared" si="802"/>
        <v>5695.0795440000002</v>
      </c>
      <c r="Y457" s="36">
        <f t="shared" si="802"/>
        <v>231.13147499999999</v>
      </c>
      <c r="Z457" s="36">
        <f t="shared" si="802"/>
        <v>0</v>
      </c>
      <c r="AA457" s="36">
        <f t="shared" si="802"/>
        <v>64.716813000000002</v>
      </c>
      <c r="AB457" s="36">
        <f t="shared" si="802"/>
        <v>0</v>
      </c>
      <c r="AC457" s="56"/>
      <c r="AD457" s="23"/>
    </row>
    <row r="458" spans="1:30" s="14" customFormat="1">
      <c r="A458" s="81" t="s">
        <v>547</v>
      </c>
      <c r="B458" s="26">
        <f>2218862.2558/2</f>
        <v>1109431.1279</v>
      </c>
      <c r="C458" s="130">
        <f t="shared" si="778"/>
        <v>92452.59</v>
      </c>
      <c r="D458" s="35"/>
      <c r="E458" s="35"/>
      <c r="F458" s="35"/>
      <c r="G458" s="35"/>
      <c r="H458" s="35"/>
      <c r="I458" s="35"/>
      <c r="J458" s="35"/>
      <c r="K458" s="35">
        <v>0</v>
      </c>
      <c r="L458" s="35"/>
      <c r="M458" s="35"/>
      <c r="N458" s="35">
        <v>1</v>
      </c>
      <c r="O458" s="35">
        <v>0</v>
      </c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7"/>
      <c r="AA458" s="37"/>
      <c r="AB458" s="37"/>
      <c r="AC458" s="56"/>
      <c r="AD458" s="23"/>
    </row>
    <row r="459" spans="1:30" s="14" customFormat="1">
      <c r="A459" s="82"/>
      <c r="B459" s="67"/>
      <c r="C459" s="130"/>
      <c r="D459" s="36">
        <f t="shared" ref="D459" si="803">$C458*D458</f>
        <v>0</v>
      </c>
      <c r="E459" s="36">
        <f t="shared" ref="E459" si="804">$C458*E458</f>
        <v>0</v>
      </c>
      <c r="F459" s="36">
        <f t="shared" ref="F459:AB459" si="805">$C458*F458</f>
        <v>0</v>
      </c>
      <c r="G459" s="36">
        <f t="shared" si="805"/>
        <v>0</v>
      </c>
      <c r="H459" s="36">
        <f t="shared" si="805"/>
        <v>0</v>
      </c>
      <c r="I459" s="36">
        <f t="shared" si="805"/>
        <v>0</v>
      </c>
      <c r="J459" s="36">
        <f t="shared" si="805"/>
        <v>0</v>
      </c>
      <c r="K459" s="36">
        <f t="shared" si="805"/>
        <v>0</v>
      </c>
      <c r="L459" s="36">
        <f t="shared" si="805"/>
        <v>0</v>
      </c>
      <c r="M459" s="36">
        <f t="shared" si="805"/>
        <v>0</v>
      </c>
      <c r="N459" s="36">
        <f t="shared" si="805"/>
        <v>92452.59</v>
      </c>
      <c r="O459" s="36">
        <f t="shared" si="805"/>
        <v>0</v>
      </c>
      <c r="P459" s="36">
        <f t="shared" si="805"/>
        <v>0</v>
      </c>
      <c r="Q459" s="36">
        <f t="shared" si="805"/>
        <v>0</v>
      </c>
      <c r="R459" s="36">
        <f t="shared" si="805"/>
        <v>0</v>
      </c>
      <c r="S459" s="36">
        <f t="shared" si="805"/>
        <v>0</v>
      </c>
      <c r="T459" s="36">
        <f t="shared" si="805"/>
        <v>0</v>
      </c>
      <c r="U459" s="36">
        <f t="shared" si="805"/>
        <v>0</v>
      </c>
      <c r="V459" s="36">
        <f t="shared" si="805"/>
        <v>0</v>
      </c>
      <c r="W459" s="36">
        <f t="shared" si="805"/>
        <v>0</v>
      </c>
      <c r="X459" s="36">
        <f t="shared" si="805"/>
        <v>0</v>
      </c>
      <c r="Y459" s="36">
        <f t="shared" si="805"/>
        <v>0</v>
      </c>
      <c r="Z459" s="36">
        <f t="shared" si="805"/>
        <v>0</v>
      </c>
      <c r="AA459" s="36">
        <f t="shared" si="805"/>
        <v>0</v>
      </c>
      <c r="AB459" s="36">
        <f t="shared" si="805"/>
        <v>0</v>
      </c>
      <c r="AC459" s="56"/>
      <c r="AD459" s="23"/>
    </row>
    <row r="460" spans="1:30" s="14" customFormat="1">
      <c r="A460" s="81" t="s">
        <v>548</v>
      </c>
      <c r="B460" s="26">
        <f>2315219.0729/2</f>
        <v>1157609.53645</v>
      </c>
      <c r="C460" s="130">
        <f t="shared" si="778"/>
        <v>96467.46</v>
      </c>
      <c r="D460" s="35">
        <v>1.6299999999999999E-2</v>
      </c>
      <c r="E460" s="35">
        <v>0.14269999999999999</v>
      </c>
      <c r="F460" s="35">
        <v>5.8900000000000001E-2</v>
      </c>
      <c r="G460" s="35">
        <v>7.6200000000000004E-2</v>
      </c>
      <c r="H460" s="35">
        <v>3.9600000000000003E-2</v>
      </c>
      <c r="I460" s="35">
        <v>0.12470000000000001</v>
      </c>
      <c r="J460" s="35">
        <v>2.0400000000000001E-2</v>
      </c>
      <c r="K460" s="35">
        <v>3.1199999999999999E-2</v>
      </c>
      <c r="L460" s="35">
        <v>1.6199999999999999E-2</v>
      </c>
      <c r="M460" s="35">
        <v>2.53E-2</v>
      </c>
      <c r="N460" s="35">
        <v>0.14849999999999999</v>
      </c>
      <c r="O460" s="35">
        <v>2.2599999999999999E-2</v>
      </c>
      <c r="P460" s="35">
        <v>0</v>
      </c>
      <c r="Q460" s="35">
        <v>3.78E-2</v>
      </c>
      <c r="R460" s="35">
        <v>1.8100000000000002E-2</v>
      </c>
      <c r="S460" s="35">
        <v>4.1000000000000003E-3</v>
      </c>
      <c r="T460" s="35">
        <v>5.04E-2</v>
      </c>
      <c r="U460" s="35">
        <v>1.7500000000000002E-2</v>
      </c>
      <c r="V460" s="35">
        <v>3.6200000000000003E-2</v>
      </c>
      <c r="W460" s="35">
        <v>4.8500000000000001E-2</v>
      </c>
      <c r="X460" s="35">
        <v>6.1600000000000002E-2</v>
      </c>
      <c r="Y460" s="35">
        <v>2.5000000000000001E-3</v>
      </c>
      <c r="Z460" s="4">
        <v>0</v>
      </c>
      <c r="AA460" s="4">
        <v>6.9999999999999999E-4</v>
      </c>
      <c r="AB460" s="4">
        <v>0</v>
      </c>
      <c r="AC460" s="56"/>
      <c r="AD460" s="23"/>
    </row>
    <row r="461" spans="1:30" s="14" customFormat="1">
      <c r="A461" s="82"/>
      <c r="B461" s="67"/>
      <c r="C461" s="130"/>
      <c r="D461" s="36">
        <f t="shared" ref="D461" si="806">$C460*D460</f>
        <v>1572.419598</v>
      </c>
      <c r="E461" s="36">
        <f t="shared" ref="E461" si="807">$C460*E460</f>
        <v>13765.906542000001</v>
      </c>
      <c r="F461" s="36">
        <f t="shared" ref="F461:AB461" si="808">$C460*F460</f>
        <v>5681.9333940000006</v>
      </c>
      <c r="G461" s="36">
        <f t="shared" si="808"/>
        <v>7350.8204520000008</v>
      </c>
      <c r="H461" s="36">
        <f t="shared" si="808"/>
        <v>3820.1114160000006</v>
      </c>
      <c r="I461" s="36">
        <f t="shared" si="808"/>
        <v>12029.492262000002</v>
      </c>
      <c r="J461" s="36">
        <f t="shared" si="808"/>
        <v>1967.9361840000004</v>
      </c>
      <c r="K461" s="36">
        <f t="shared" si="808"/>
        <v>3009.784752</v>
      </c>
      <c r="L461" s="36">
        <f t="shared" si="808"/>
        <v>1562.7728520000001</v>
      </c>
      <c r="M461" s="36">
        <f t="shared" si="808"/>
        <v>2440.6267379999999</v>
      </c>
      <c r="N461" s="36">
        <f t="shared" si="808"/>
        <v>14325.417810000001</v>
      </c>
      <c r="O461" s="36">
        <f t="shared" si="808"/>
        <v>2180.1645960000001</v>
      </c>
      <c r="P461" s="36">
        <f t="shared" si="808"/>
        <v>0</v>
      </c>
      <c r="Q461" s="36">
        <f t="shared" si="808"/>
        <v>3646.4699880000003</v>
      </c>
      <c r="R461" s="36">
        <f t="shared" si="808"/>
        <v>1746.0610260000003</v>
      </c>
      <c r="S461" s="36">
        <f t="shared" si="808"/>
        <v>395.51658600000007</v>
      </c>
      <c r="T461" s="36">
        <f t="shared" si="808"/>
        <v>4861.9599840000001</v>
      </c>
      <c r="U461" s="36">
        <f t="shared" si="808"/>
        <v>1688.1805500000003</v>
      </c>
      <c r="V461" s="36">
        <f t="shared" si="808"/>
        <v>3492.1220520000006</v>
      </c>
      <c r="W461" s="36">
        <f t="shared" si="808"/>
        <v>4678.6718100000007</v>
      </c>
      <c r="X461" s="36">
        <f t="shared" si="808"/>
        <v>5942.3955360000009</v>
      </c>
      <c r="Y461" s="36">
        <f t="shared" si="808"/>
        <v>241.16865000000001</v>
      </c>
      <c r="Z461" s="36">
        <f t="shared" si="808"/>
        <v>0</v>
      </c>
      <c r="AA461" s="36">
        <f t="shared" si="808"/>
        <v>67.527222000000009</v>
      </c>
      <c r="AB461" s="36">
        <f t="shared" si="808"/>
        <v>0</v>
      </c>
      <c r="AC461" s="56"/>
      <c r="AD461" s="23"/>
    </row>
    <row r="462" spans="1:30" s="14" customFormat="1">
      <c r="A462" s="81" t="s">
        <v>549</v>
      </c>
      <c r="B462" s="26">
        <f>2315219.0729/2</f>
        <v>1157609.53645</v>
      </c>
      <c r="C462" s="130">
        <f t="shared" si="778"/>
        <v>96467.46</v>
      </c>
      <c r="D462" s="35"/>
      <c r="E462" s="35"/>
      <c r="F462" s="35"/>
      <c r="G462" s="35"/>
      <c r="H462" s="35"/>
      <c r="I462" s="35"/>
      <c r="J462" s="35"/>
      <c r="K462" s="35">
        <v>0</v>
      </c>
      <c r="L462" s="35"/>
      <c r="M462" s="35"/>
      <c r="N462" s="35">
        <v>1</v>
      </c>
      <c r="O462" s="35">
        <v>0</v>
      </c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7"/>
      <c r="AA462" s="37"/>
      <c r="AB462" s="37"/>
      <c r="AC462" s="56"/>
      <c r="AD462" s="23"/>
    </row>
    <row r="463" spans="1:30" s="14" customFormat="1">
      <c r="A463" s="82"/>
      <c r="B463" s="67"/>
      <c r="C463" s="130"/>
      <c r="D463" s="36">
        <f t="shared" ref="D463" si="809">$C462*D462</f>
        <v>0</v>
      </c>
      <c r="E463" s="36">
        <f t="shared" ref="E463" si="810">$C462*E462</f>
        <v>0</v>
      </c>
      <c r="F463" s="36">
        <f t="shared" ref="F463:AB463" si="811">$C462*F462</f>
        <v>0</v>
      </c>
      <c r="G463" s="36">
        <f t="shared" si="811"/>
        <v>0</v>
      </c>
      <c r="H463" s="36">
        <f t="shared" si="811"/>
        <v>0</v>
      </c>
      <c r="I463" s="36">
        <f t="shared" si="811"/>
        <v>0</v>
      </c>
      <c r="J463" s="36">
        <f t="shared" si="811"/>
        <v>0</v>
      </c>
      <c r="K463" s="36">
        <f t="shared" si="811"/>
        <v>0</v>
      </c>
      <c r="L463" s="36">
        <f t="shared" si="811"/>
        <v>0</v>
      </c>
      <c r="M463" s="36">
        <f t="shared" si="811"/>
        <v>0</v>
      </c>
      <c r="N463" s="36">
        <f t="shared" si="811"/>
        <v>96467.46</v>
      </c>
      <c r="O463" s="36">
        <f t="shared" si="811"/>
        <v>0</v>
      </c>
      <c r="P463" s="36">
        <f t="shared" si="811"/>
        <v>0</v>
      </c>
      <c r="Q463" s="36">
        <f t="shared" si="811"/>
        <v>0</v>
      </c>
      <c r="R463" s="36">
        <f t="shared" si="811"/>
        <v>0</v>
      </c>
      <c r="S463" s="36">
        <f t="shared" si="811"/>
        <v>0</v>
      </c>
      <c r="T463" s="36">
        <f t="shared" si="811"/>
        <v>0</v>
      </c>
      <c r="U463" s="36">
        <f t="shared" si="811"/>
        <v>0</v>
      </c>
      <c r="V463" s="36">
        <f t="shared" si="811"/>
        <v>0</v>
      </c>
      <c r="W463" s="36">
        <f t="shared" si="811"/>
        <v>0</v>
      </c>
      <c r="X463" s="36">
        <f t="shared" si="811"/>
        <v>0</v>
      </c>
      <c r="Y463" s="36">
        <f t="shared" si="811"/>
        <v>0</v>
      </c>
      <c r="Z463" s="36">
        <f t="shared" si="811"/>
        <v>0</v>
      </c>
      <c r="AA463" s="36">
        <f t="shared" si="811"/>
        <v>0</v>
      </c>
      <c r="AB463" s="36">
        <f t="shared" si="811"/>
        <v>0</v>
      </c>
      <c r="AC463" s="56"/>
      <c r="AD463" s="23"/>
    </row>
    <row r="464" spans="1:30" s="14" customFormat="1">
      <c r="A464" s="81" t="s">
        <v>573</v>
      </c>
      <c r="B464" s="26">
        <f>13110204.3727/2</f>
        <v>6555102.1863500001</v>
      </c>
      <c r="C464" s="130">
        <f t="shared" si="778"/>
        <v>546258.52</v>
      </c>
      <c r="D464" s="35">
        <v>1.6299999999999999E-2</v>
      </c>
      <c r="E464" s="35">
        <v>0.14269999999999999</v>
      </c>
      <c r="F464" s="35">
        <v>5.8900000000000001E-2</v>
      </c>
      <c r="G464" s="35">
        <v>7.6200000000000004E-2</v>
      </c>
      <c r="H464" s="35">
        <v>3.9600000000000003E-2</v>
      </c>
      <c r="I464" s="35">
        <v>0.12470000000000001</v>
      </c>
      <c r="J464" s="35">
        <v>2.0400000000000001E-2</v>
      </c>
      <c r="K464" s="35">
        <v>3.1199999999999999E-2</v>
      </c>
      <c r="L464" s="35">
        <v>1.6199999999999999E-2</v>
      </c>
      <c r="M464" s="35">
        <v>2.53E-2</v>
      </c>
      <c r="N464" s="35">
        <v>0.14849999999999999</v>
      </c>
      <c r="O464" s="35">
        <v>2.2599999999999999E-2</v>
      </c>
      <c r="P464" s="35">
        <v>0</v>
      </c>
      <c r="Q464" s="35">
        <v>3.78E-2</v>
      </c>
      <c r="R464" s="35">
        <v>1.8100000000000002E-2</v>
      </c>
      <c r="S464" s="35">
        <v>4.1000000000000003E-3</v>
      </c>
      <c r="T464" s="35">
        <v>5.04E-2</v>
      </c>
      <c r="U464" s="35">
        <v>1.7500000000000002E-2</v>
      </c>
      <c r="V464" s="35">
        <v>3.6200000000000003E-2</v>
      </c>
      <c r="W464" s="35">
        <v>4.8500000000000001E-2</v>
      </c>
      <c r="X464" s="35">
        <v>6.1600000000000002E-2</v>
      </c>
      <c r="Y464" s="35">
        <v>2.5000000000000001E-3</v>
      </c>
      <c r="Z464" s="4">
        <v>0</v>
      </c>
      <c r="AA464" s="4">
        <v>6.9999999999999999E-4</v>
      </c>
      <c r="AB464" s="4">
        <v>0</v>
      </c>
      <c r="AC464" s="56"/>
      <c r="AD464" s="23"/>
    </row>
    <row r="465" spans="1:30" s="14" customFormat="1">
      <c r="A465" s="82"/>
      <c r="B465" s="67"/>
      <c r="C465" s="130"/>
      <c r="D465" s="36">
        <f t="shared" ref="D465" si="812">$C464*D464</f>
        <v>8904.0138759999991</v>
      </c>
      <c r="E465" s="36">
        <f t="shared" ref="E465" si="813">$C464*E464</f>
        <v>77951.090803999992</v>
      </c>
      <c r="F465" s="36">
        <f t="shared" ref="F465:AB465" si="814">$C464*F464</f>
        <v>32174.626828</v>
      </c>
      <c r="G465" s="36">
        <f t="shared" si="814"/>
        <v>41624.899224000001</v>
      </c>
      <c r="H465" s="36">
        <f t="shared" si="814"/>
        <v>21631.837392000001</v>
      </c>
      <c r="I465" s="36">
        <f t="shared" si="814"/>
        <v>68118.43744400001</v>
      </c>
      <c r="J465" s="36">
        <f t="shared" si="814"/>
        <v>11143.673808000001</v>
      </c>
      <c r="K465" s="36">
        <f t="shared" si="814"/>
        <v>17043.265823999998</v>
      </c>
      <c r="L465" s="36">
        <f t="shared" si="814"/>
        <v>8849.3880239999999</v>
      </c>
      <c r="M465" s="36">
        <f t="shared" si="814"/>
        <v>13820.340556000001</v>
      </c>
      <c r="N465" s="36">
        <f t="shared" si="814"/>
        <v>81119.390220000001</v>
      </c>
      <c r="O465" s="36">
        <f t="shared" si="814"/>
        <v>12345.442552</v>
      </c>
      <c r="P465" s="36">
        <f t="shared" si="814"/>
        <v>0</v>
      </c>
      <c r="Q465" s="36">
        <f t="shared" si="814"/>
        <v>20648.572056000001</v>
      </c>
      <c r="R465" s="36">
        <f t="shared" si="814"/>
        <v>9887.2792120000013</v>
      </c>
      <c r="S465" s="36">
        <f t="shared" si="814"/>
        <v>2239.6599320000005</v>
      </c>
      <c r="T465" s="36">
        <f t="shared" si="814"/>
        <v>27531.429408</v>
      </c>
      <c r="U465" s="36">
        <f t="shared" si="814"/>
        <v>9559.5241000000005</v>
      </c>
      <c r="V465" s="36">
        <f t="shared" si="814"/>
        <v>19774.558424000003</v>
      </c>
      <c r="W465" s="36">
        <f t="shared" si="814"/>
        <v>26493.538220000002</v>
      </c>
      <c r="X465" s="36">
        <f t="shared" si="814"/>
        <v>33649.524832000003</v>
      </c>
      <c r="Y465" s="36">
        <f t="shared" si="814"/>
        <v>1365.6463000000001</v>
      </c>
      <c r="Z465" s="36">
        <f t="shared" si="814"/>
        <v>0</v>
      </c>
      <c r="AA465" s="36">
        <f t="shared" si="814"/>
        <v>382.38096400000001</v>
      </c>
      <c r="AB465" s="36">
        <f t="shared" si="814"/>
        <v>0</v>
      </c>
      <c r="AC465" s="56"/>
      <c r="AD465" s="23"/>
    </row>
    <row r="466" spans="1:30" s="14" customFormat="1">
      <c r="A466" s="81" t="s">
        <v>575</v>
      </c>
      <c r="B466" s="26">
        <f>13110204.3727/2</f>
        <v>6555102.1863500001</v>
      </c>
      <c r="C466" s="130">
        <f t="shared" si="778"/>
        <v>546258.52</v>
      </c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>
        <v>1</v>
      </c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7"/>
      <c r="AA466" s="37"/>
      <c r="AB466" s="37"/>
      <c r="AC466" s="56"/>
      <c r="AD466" s="23"/>
    </row>
    <row r="467" spans="1:30" s="14" customFormat="1">
      <c r="A467" s="82"/>
      <c r="B467" s="67"/>
      <c r="C467" s="130"/>
      <c r="D467" s="36">
        <f t="shared" ref="D467" si="815">$C466*D466</f>
        <v>0</v>
      </c>
      <c r="E467" s="36">
        <f t="shared" ref="E467" si="816">$C466*E466</f>
        <v>0</v>
      </c>
      <c r="F467" s="36">
        <f t="shared" ref="F467:AB467" si="817">$C466*F466</f>
        <v>0</v>
      </c>
      <c r="G467" s="36">
        <f t="shared" si="817"/>
        <v>0</v>
      </c>
      <c r="H467" s="36">
        <f t="shared" si="817"/>
        <v>0</v>
      </c>
      <c r="I467" s="36">
        <f t="shared" si="817"/>
        <v>0</v>
      </c>
      <c r="J467" s="36">
        <f t="shared" si="817"/>
        <v>0</v>
      </c>
      <c r="K467" s="36">
        <f t="shared" si="817"/>
        <v>0</v>
      </c>
      <c r="L467" s="36">
        <f t="shared" si="817"/>
        <v>0</v>
      </c>
      <c r="M467" s="36">
        <f t="shared" si="817"/>
        <v>0</v>
      </c>
      <c r="N467" s="36">
        <f t="shared" si="817"/>
        <v>546258.52</v>
      </c>
      <c r="O467" s="36">
        <f t="shared" si="817"/>
        <v>0</v>
      </c>
      <c r="P467" s="36">
        <f t="shared" si="817"/>
        <v>0</v>
      </c>
      <c r="Q467" s="36">
        <f t="shared" si="817"/>
        <v>0</v>
      </c>
      <c r="R467" s="36">
        <f t="shared" si="817"/>
        <v>0</v>
      </c>
      <c r="S467" s="36">
        <f t="shared" si="817"/>
        <v>0</v>
      </c>
      <c r="T467" s="36">
        <f t="shared" si="817"/>
        <v>0</v>
      </c>
      <c r="U467" s="36">
        <f t="shared" si="817"/>
        <v>0</v>
      </c>
      <c r="V467" s="36">
        <f t="shared" si="817"/>
        <v>0</v>
      </c>
      <c r="W467" s="36">
        <f t="shared" si="817"/>
        <v>0</v>
      </c>
      <c r="X467" s="36">
        <f t="shared" si="817"/>
        <v>0</v>
      </c>
      <c r="Y467" s="36">
        <f t="shared" si="817"/>
        <v>0</v>
      </c>
      <c r="Z467" s="36">
        <f t="shared" si="817"/>
        <v>0</v>
      </c>
      <c r="AA467" s="36">
        <f t="shared" si="817"/>
        <v>0</v>
      </c>
      <c r="AB467" s="36">
        <f t="shared" si="817"/>
        <v>0</v>
      </c>
      <c r="AC467" s="56"/>
      <c r="AD467" s="23"/>
    </row>
    <row r="468" spans="1:30" s="14" customFormat="1">
      <c r="A468" s="81" t="s">
        <v>574</v>
      </c>
      <c r="B468" s="26">
        <f>78169373.4662/2</f>
        <v>39084686.733099997</v>
      </c>
      <c r="C468" s="130">
        <f t="shared" si="778"/>
        <v>3257057.23</v>
      </c>
      <c r="D468" s="35">
        <v>1.6299999999999999E-2</v>
      </c>
      <c r="E468" s="35">
        <v>0.14269999999999999</v>
      </c>
      <c r="F468" s="35">
        <v>5.8900000000000001E-2</v>
      </c>
      <c r="G468" s="35">
        <v>7.6200000000000004E-2</v>
      </c>
      <c r="H468" s="35">
        <v>3.9600000000000003E-2</v>
      </c>
      <c r="I468" s="35">
        <v>0.12470000000000001</v>
      </c>
      <c r="J468" s="35">
        <v>2.0400000000000001E-2</v>
      </c>
      <c r="K468" s="35">
        <v>3.1199999999999999E-2</v>
      </c>
      <c r="L468" s="35">
        <v>1.6199999999999999E-2</v>
      </c>
      <c r="M468" s="35">
        <v>2.53E-2</v>
      </c>
      <c r="N468" s="35">
        <v>0.14849999999999999</v>
      </c>
      <c r="O468" s="35">
        <v>2.2599999999999999E-2</v>
      </c>
      <c r="P468" s="35">
        <v>0</v>
      </c>
      <c r="Q468" s="35">
        <v>3.78E-2</v>
      </c>
      <c r="R468" s="35">
        <v>1.8100000000000002E-2</v>
      </c>
      <c r="S468" s="35">
        <v>4.1000000000000003E-3</v>
      </c>
      <c r="T468" s="35">
        <v>5.04E-2</v>
      </c>
      <c r="U468" s="35">
        <v>1.7500000000000002E-2</v>
      </c>
      <c r="V468" s="35">
        <v>3.6200000000000003E-2</v>
      </c>
      <c r="W468" s="35">
        <v>4.8500000000000001E-2</v>
      </c>
      <c r="X468" s="35">
        <v>6.1600000000000002E-2</v>
      </c>
      <c r="Y468" s="35">
        <v>2.5000000000000001E-3</v>
      </c>
      <c r="Z468" s="4">
        <v>0</v>
      </c>
      <c r="AA468" s="4">
        <v>6.9999999999999999E-4</v>
      </c>
      <c r="AB468" s="4">
        <v>0</v>
      </c>
      <c r="AC468" s="56"/>
      <c r="AD468" s="23"/>
    </row>
    <row r="469" spans="1:30" s="14" customFormat="1">
      <c r="A469" s="82"/>
      <c r="B469" s="67"/>
      <c r="C469" s="130"/>
      <c r="D469" s="36">
        <f t="shared" ref="D469" si="818">$C468*D468</f>
        <v>53090.032848999996</v>
      </c>
      <c r="E469" s="36">
        <f t="shared" ref="E469" si="819">$C468*E468</f>
        <v>464782.06672099995</v>
      </c>
      <c r="F469" s="36">
        <f t="shared" ref="F469:AB469" si="820">$C468*F468</f>
        <v>191840.670847</v>
      </c>
      <c r="G469" s="36">
        <f t="shared" si="820"/>
        <v>248187.76092600002</v>
      </c>
      <c r="H469" s="36">
        <f t="shared" si="820"/>
        <v>128979.466308</v>
      </c>
      <c r="I469" s="36">
        <f t="shared" si="820"/>
        <v>406155.03658100002</v>
      </c>
      <c r="J469" s="36">
        <f t="shared" si="820"/>
        <v>66443.967492000011</v>
      </c>
      <c r="K469" s="36">
        <f t="shared" si="820"/>
        <v>101620.18557599999</v>
      </c>
      <c r="L469" s="36">
        <f t="shared" si="820"/>
        <v>52764.327125999996</v>
      </c>
      <c r="M469" s="36">
        <f t="shared" si="820"/>
        <v>82403.547919000004</v>
      </c>
      <c r="N469" s="36">
        <f t="shared" si="820"/>
        <v>483672.998655</v>
      </c>
      <c r="O469" s="36">
        <f t="shared" si="820"/>
        <v>73609.493397999991</v>
      </c>
      <c r="P469" s="36">
        <f t="shared" si="820"/>
        <v>0</v>
      </c>
      <c r="Q469" s="36">
        <f t="shared" si="820"/>
        <v>123116.763294</v>
      </c>
      <c r="R469" s="36">
        <f t="shared" si="820"/>
        <v>58952.735863000002</v>
      </c>
      <c r="S469" s="36">
        <f t="shared" si="820"/>
        <v>13353.934643000001</v>
      </c>
      <c r="T469" s="36">
        <f t="shared" si="820"/>
        <v>164155.684392</v>
      </c>
      <c r="U469" s="36">
        <f t="shared" si="820"/>
        <v>56998.501525000007</v>
      </c>
      <c r="V469" s="36">
        <f t="shared" si="820"/>
        <v>117905.471726</v>
      </c>
      <c r="W469" s="36">
        <f t="shared" si="820"/>
        <v>157967.275655</v>
      </c>
      <c r="X469" s="36">
        <f t="shared" si="820"/>
        <v>200634.72536800001</v>
      </c>
      <c r="Y469" s="36">
        <f t="shared" si="820"/>
        <v>8142.643075</v>
      </c>
      <c r="Z469" s="36">
        <f t="shared" si="820"/>
        <v>0</v>
      </c>
      <c r="AA469" s="36">
        <f t="shared" si="820"/>
        <v>2279.9400609999998</v>
      </c>
      <c r="AB469" s="36">
        <f t="shared" si="820"/>
        <v>0</v>
      </c>
      <c r="AC469" s="56"/>
      <c r="AD469" s="23"/>
    </row>
    <row r="470" spans="1:30" s="14" customFormat="1">
      <c r="A470" s="81" t="s">
        <v>576</v>
      </c>
      <c r="B470" s="26">
        <f>78169373.4662/2</f>
        <v>39084686.733099997</v>
      </c>
      <c r="C470" s="130">
        <f t="shared" si="778"/>
        <v>3257057.23</v>
      </c>
      <c r="D470" s="35"/>
      <c r="E470" s="35"/>
      <c r="F470" s="35">
        <v>0.95569999999999999</v>
      </c>
      <c r="G470" s="35"/>
      <c r="H470" s="35"/>
      <c r="I470" s="35"/>
      <c r="J470" s="35"/>
      <c r="K470" s="35"/>
      <c r="L470" s="35">
        <v>4.4000000000000003E-3</v>
      </c>
      <c r="M470" s="35"/>
      <c r="N470" s="35">
        <v>3.9899999999999998E-2</v>
      </c>
      <c r="O470" s="35">
        <v>0</v>
      </c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7"/>
      <c r="AA470" s="37"/>
      <c r="AB470" s="37"/>
      <c r="AC470" s="56"/>
      <c r="AD470" s="23"/>
    </row>
    <row r="471" spans="1:30" s="14" customFormat="1">
      <c r="A471" s="82"/>
      <c r="B471" s="67"/>
      <c r="C471" s="130"/>
      <c r="D471" s="36">
        <f t="shared" ref="D471" si="821">$C470*D470</f>
        <v>0</v>
      </c>
      <c r="E471" s="36">
        <f t="shared" ref="E471" si="822">$C470*E470</f>
        <v>0</v>
      </c>
      <c r="F471" s="36">
        <f t="shared" ref="F471:AB471" si="823">$C470*F470</f>
        <v>3112769.5947110001</v>
      </c>
      <c r="G471" s="36">
        <f t="shared" si="823"/>
        <v>0</v>
      </c>
      <c r="H471" s="36">
        <f t="shared" si="823"/>
        <v>0</v>
      </c>
      <c r="I471" s="36">
        <f t="shared" si="823"/>
        <v>0</v>
      </c>
      <c r="J471" s="36">
        <f t="shared" si="823"/>
        <v>0</v>
      </c>
      <c r="K471" s="36">
        <f t="shared" si="823"/>
        <v>0</v>
      </c>
      <c r="L471" s="36">
        <f t="shared" si="823"/>
        <v>14331.051812000002</v>
      </c>
      <c r="M471" s="36">
        <f t="shared" si="823"/>
        <v>0</v>
      </c>
      <c r="N471" s="36">
        <f t="shared" si="823"/>
        <v>129956.58347699999</v>
      </c>
      <c r="O471" s="36">
        <f t="shared" si="823"/>
        <v>0</v>
      </c>
      <c r="P471" s="36">
        <f t="shared" si="823"/>
        <v>0</v>
      </c>
      <c r="Q471" s="36">
        <f t="shared" si="823"/>
        <v>0</v>
      </c>
      <c r="R471" s="36">
        <f t="shared" si="823"/>
        <v>0</v>
      </c>
      <c r="S471" s="36">
        <f t="shared" si="823"/>
        <v>0</v>
      </c>
      <c r="T471" s="36">
        <f t="shared" si="823"/>
        <v>0</v>
      </c>
      <c r="U471" s="36">
        <f t="shared" si="823"/>
        <v>0</v>
      </c>
      <c r="V471" s="36">
        <f t="shared" si="823"/>
        <v>0</v>
      </c>
      <c r="W471" s="36">
        <f t="shared" si="823"/>
        <v>0</v>
      </c>
      <c r="X471" s="36">
        <f t="shared" si="823"/>
        <v>0</v>
      </c>
      <c r="Y471" s="36">
        <f t="shared" si="823"/>
        <v>0</v>
      </c>
      <c r="Z471" s="36">
        <f t="shared" si="823"/>
        <v>0</v>
      </c>
      <c r="AA471" s="36">
        <f t="shared" si="823"/>
        <v>0</v>
      </c>
      <c r="AB471" s="36">
        <f t="shared" si="823"/>
        <v>0</v>
      </c>
      <c r="AC471" s="56"/>
      <c r="AD471" s="23"/>
    </row>
    <row r="472" spans="1:30" s="14" customFormat="1">
      <c r="A472" s="81" t="s">
        <v>572</v>
      </c>
      <c r="B472" s="26">
        <v>3246852.0388000002</v>
      </c>
      <c r="C472" s="130">
        <f>ROUND(B472/12,2)</f>
        <v>270571</v>
      </c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>
        <v>1</v>
      </c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7"/>
      <c r="AA472" s="37"/>
      <c r="AB472" s="37"/>
      <c r="AC472" s="56"/>
      <c r="AD472" s="23"/>
    </row>
    <row r="473" spans="1:30" s="14" customFormat="1">
      <c r="A473" s="82"/>
      <c r="B473" s="67"/>
      <c r="C473" s="130"/>
      <c r="D473" s="36">
        <f t="shared" ref="D473:AB473" si="824">$C472*D472</f>
        <v>0</v>
      </c>
      <c r="E473" s="36">
        <f t="shared" si="824"/>
        <v>0</v>
      </c>
      <c r="F473" s="36">
        <f t="shared" si="824"/>
        <v>0</v>
      </c>
      <c r="G473" s="36">
        <f t="shared" si="824"/>
        <v>0</v>
      </c>
      <c r="H473" s="36">
        <f t="shared" si="824"/>
        <v>0</v>
      </c>
      <c r="I473" s="36">
        <f t="shared" si="824"/>
        <v>0</v>
      </c>
      <c r="J473" s="36">
        <f t="shared" si="824"/>
        <v>0</v>
      </c>
      <c r="K473" s="36">
        <f t="shared" si="824"/>
        <v>0</v>
      </c>
      <c r="L473" s="36">
        <f t="shared" si="824"/>
        <v>0</v>
      </c>
      <c r="M473" s="36">
        <f t="shared" si="824"/>
        <v>0</v>
      </c>
      <c r="N473" s="36">
        <f t="shared" si="824"/>
        <v>270571</v>
      </c>
      <c r="O473" s="36">
        <f t="shared" si="824"/>
        <v>0</v>
      </c>
      <c r="P473" s="36">
        <f t="shared" si="824"/>
        <v>0</v>
      </c>
      <c r="Q473" s="36">
        <f t="shared" si="824"/>
        <v>0</v>
      </c>
      <c r="R473" s="36">
        <f t="shared" si="824"/>
        <v>0</v>
      </c>
      <c r="S473" s="36">
        <f t="shared" si="824"/>
        <v>0</v>
      </c>
      <c r="T473" s="36">
        <f t="shared" si="824"/>
        <v>0</v>
      </c>
      <c r="U473" s="36">
        <f t="shared" si="824"/>
        <v>0</v>
      </c>
      <c r="V473" s="36">
        <f t="shared" si="824"/>
        <v>0</v>
      </c>
      <c r="W473" s="36">
        <f t="shared" si="824"/>
        <v>0</v>
      </c>
      <c r="X473" s="36">
        <f t="shared" si="824"/>
        <v>0</v>
      </c>
      <c r="Y473" s="36">
        <f t="shared" si="824"/>
        <v>0</v>
      </c>
      <c r="Z473" s="36">
        <f t="shared" si="824"/>
        <v>0</v>
      </c>
      <c r="AA473" s="36">
        <f t="shared" si="824"/>
        <v>0</v>
      </c>
      <c r="AB473" s="36">
        <f t="shared" si="824"/>
        <v>0</v>
      </c>
      <c r="AC473" s="56"/>
      <c r="AD473" s="23"/>
    </row>
    <row r="474" spans="1:30" s="14" customFormat="1">
      <c r="A474" s="81" t="s">
        <v>589</v>
      </c>
      <c r="B474" s="26">
        <f>8430073.1722/2</f>
        <v>4215036.5861</v>
      </c>
      <c r="C474" s="130">
        <f t="shared" si="778"/>
        <v>351253.05</v>
      </c>
      <c r="D474" s="35">
        <v>1.6299999999999999E-2</v>
      </c>
      <c r="E474" s="35">
        <v>0.14269999999999999</v>
      </c>
      <c r="F474" s="35">
        <v>5.8900000000000001E-2</v>
      </c>
      <c r="G474" s="35">
        <v>7.6200000000000004E-2</v>
      </c>
      <c r="H474" s="35">
        <v>3.9600000000000003E-2</v>
      </c>
      <c r="I474" s="35">
        <v>0.12470000000000001</v>
      </c>
      <c r="J474" s="35">
        <v>2.0400000000000001E-2</v>
      </c>
      <c r="K474" s="35">
        <v>3.1199999999999999E-2</v>
      </c>
      <c r="L474" s="35">
        <v>1.6199999999999999E-2</v>
      </c>
      <c r="M474" s="35">
        <v>2.53E-2</v>
      </c>
      <c r="N474" s="35">
        <v>0.14849999999999999</v>
      </c>
      <c r="O474" s="35">
        <v>2.2599999999999999E-2</v>
      </c>
      <c r="P474" s="35">
        <v>0</v>
      </c>
      <c r="Q474" s="35">
        <v>3.78E-2</v>
      </c>
      <c r="R474" s="35">
        <v>1.8100000000000002E-2</v>
      </c>
      <c r="S474" s="35">
        <v>4.1000000000000003E-3</v>
      </c>
      <c r="T474" s="35">
        <v>5.04E-2</v>
      </c>
      <c r="U474" s="35">
        <v>1.7500000000000002E-2</v>
      </c>
      <c r="V474" s="35">
        <v>3.6200000000000003E-2</v>
      </c>
      <c r="W474" s="35">
        <v>4.8500000000000001E-2</v>
      </c>
      <c r="X474" s="35">
        <v>6.1600000000000002E-2</v>
      </c>
      <c r="Y474" s="35">
        <v>2.5000000000000001E-3</v>
      </c>
      <c r="Z474" s="4">
        <v>0</v>
      </c>
      <c r="AA474" s="4">
        <v>6.9999999999999999E-4</v>
      </c>
      <c r="AB474" s="4">
        <v>0</v>
      </c>
      <c r="AC474" s="56"/>
      <c r="AD474" s="23"/>
    </row>
    <row r="475" spans="1:30" s="14" customFormat="1">
      <c r="A475" s="82"/>
      <c r="B475" s="67"/>
      <c r="C475" s="130"/>
      <c r="D475" s="36">
        <f t="shared" ref="D475:S475" si="825">$C474*D474</f>
        <v>5725.4247149999992</v>
      </c>
      <c r="E475" s="36">
        <f t="shared" si="825"/>
        <v>50123.810234999997</v>
      </c>
      <c r="F475" s="36">
        <f t="shared" si="825"/>
        <v>20688.804645</v>
      </c>
      <c r="G475" s="36">
        <f t="shared" si="825"/>
        <v>26765.482410000001</v>
      </c>
      <c r="H475" s="36">
        <f t="shared" si="825"/>
        <v>13909.620780000001</v>
      </c>
      <c r="I475" s="36">
        <f t="shared" si="825"/>
        <v>43801.255335000002</v>
      </c>
      <c r="J475" s="36">
        <f t="shared" si="825"/>
        <v>7165.5622200000007</v>
      </c>
      <c r="K475" s="36">
        <f t="shared" si="825"/>
        <v>10959.095159999999</v>
      </c>
      <c r="L475" s="36">
        <f t="shared" si="825"/>
        <v>5690.2994099999996</v>
      </c>
      <c r="M475" s="36">
        <f t="shared" si="825"/>
        <v>8886.7021649999988</v>
      </c>
      <c r="N475" s="36">
        <f t="shared" si="825"/>
        <v>52161.077924999998</v>
      </c>
      <c r="O475" s="36">
        <f t="shared" si="825"/>
        <v>7938.3189299999995</v>
      </c>
      <c r="P475" s="36">
        <f t="shared" si="825"/>
        <v>0</v>
      </c>
      <c r="Q475" s="36">
        <f t="shared" si="825"/>
        <v>13277.36529</v>
      </c>
      <c r="R475" s="36">
        <f t="shared" si="825"/>
        <v>6357.6802050000006</v>
      </c>
      <c r="S475" s="36">
        <f t="shared" si="825"/>
        <v>1440.1375050000001</v>
      </c>
      <c r="T475" s="36">
        <f t="shared" ref="T475" si="826">$C474*T474</f>
        <v>17703.153719999998</v>
      </c>
      <c r="U475" s="36">
        <f t="shared" ref="U475:AB475" si="827">$C474*U474</f>
        <v>6146.9283750000004</v>
      </c>
      <c r="V475" s="36">
        <f t="shared" si="827"/>
        <v>12715.360410000001</v>
      </c>
      <c r="W475" s="36">
        <f t="shared" si="827"/>
        <v>17035.772925000001</v>
      </c>
      <c r="X475" s="36">
        <f t="shared" si="827"/>
        <v>21637.187880000001</v>
      </c>
      <c r="Y475" s="36">
        <f t="shared" si="827"/>
        <v>878.13262499999996</v>
      </c>
      <c r="Z475" s="36">
        <f t="shared" si="827"/>
        <v>0</v>
      </c>
      <c r="AA475" s="36">
        <f t="shared" si="827"/>
        <v>245.87713499999998</v>
      </c>
      <c r="AB475" s="36">
        <f t="shared" si="827"/>
        <v>0</v>
      </c>
      <c r="AC475" s="56"/>
      <c r="AD475" s="23"/>
    </row>
    <row r="476" spans="1:30" s="14" customFormat="1">
      <c r="A476" s="81" t="s">
        <v>590</v>
      </c>
      <c r="B476" s="26">
        <f>8430073.1722/2</f>
        <v>4215036.5861</v>
      </c>
      <c r="C476" s="130">
        <f t="shared" si="778"/>
        <v>351253.05</v>
      </c>
      <c r="D476" s="35"/>
      <c r="E476" s="35"/>
      <c r="F476" s="35">
        <v>0</v>
      </c>
      <c r="G476" s="35"/>
      <c r="H476" s="35"/>
      <c r="I476" s="35"/>
      <c r="J476" s="35"/>
      <c r="K476" s="35"/>
      <c r="L476" s="35"/>
      <c r="M476" s="35"/>
      <c r="N476" s="35">
        <v>1</v>
      </c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7"/>
      <c r="AA476" s="37"/>
      <c r="AB476" s="37"/>
      <c r="AC476" s="56"/>
      <c r="AD476" s="23"/>
    </row>
    <row r="477" spans="1:30" s="14" customFormat="1">
      <c r="A477" s="82"/>
      <c r="B477" s="67"/>
      <c r="C477" s="130"/>
      <c r="D477" s="36">
        <f t="shared" ref="D477" si="828">$C476*D476</f>
        <v>0</v>
      </c>
      <c r="E477" s="36">
        <f t="shared" ref="E477:AB477" si="829">$C476*E476</f>
        <v>0</v>
      </c>
      <c r="F477" s="36">
        <f t="shared" si="829"/>
        <v>0</v>
      </c>
      <c r="G477" s="36">
        <f t="shared" si="829"/>
        <v>0</v>
      </c>
      <c r="H477" s="36">
        <f t="shared" si="829"/>
        <v>0</v>
      </c>
      <c r="I477" s="36">
        <f t="shared" si="829"/>
        <v>0</v>
      </c>
      <c r="J477" s="36">
        <f t="shared" si="829"/>
        <v>0</v>
      </c>
      <c r="K477" s="36">
        <f t="shared" si="829"/>
        <v>0</v>
      </c>
      <c r="L477" s="36">
        <f t="shared" si="829"/>
        <v>0</v>
      </c>
      <c r="M477" s="36">
        <f t="shared" si="829"/>
        <v>0</v>
      </c>
      <c r="N477" s="36">
        <f t="shared" si="829"/>
        <v>351253.05</v>
      </c>
      <c r="O477" s="36">
        <f t="shared" si="829"/>
        <v>0</v>
      </c>
      <c r="P477" s="36">
        <f t="shared" si="829"/>
        <v>0</v>
      </c>
      <c r="Q477" s="36">
        <f t="shared" si="829"/>
        <v>0</v>
      </c>
      <c r="R477" s="36">
        <f t="shared" si="829"/>
        <v>0</v>
      </c>
      <c r="S477" s="36">
        <f t="shared" si="829"/>
        <v>0</v>
      </c>
      <c r="T477" s="36">
        <f t="shared" si="829"/>
        <v>0</v>
      </c>
      <c r="U477" s="36">
        <f t="shared" si="829"/>
        <v>0</v>
      </c>
      <c r="V477" s="36">
        <f t="shared" si="829"/>
        <v>0</v>
      </c>
      <c r="W477" s="36">
        <f t="shared" si="829"/>
        <v>0</v>
      </c>
      <c r="X477" s="36">
        <f t="shared" si="829"/>
        <v>0</v>
      </c>
      <c r="Y477" s="36">
        <f t="shared" si="829"/>
        <v>0</v>
      </c>
      <c r="Z477" s="36">
        <f t="shared" si="829"/>
        <v>0</v>
      </c>
      <c r="AA477" s="36">
        <f t="shared" si="829"/>
        <v>0</v>
      </c>
      <c r="AB477" s="36">
        <f t="shared" si="829"/>
        <v>0</v>
      </c>
      <c r="AC477" s="56"/>
      <c r="AD477" s="23"/>
    </row>
    <row r="478" spans="1:30" s="14" customFormat="1">
      <c r="A478" s="81" t="s">
        <v>604</v>
      </c>
      <c r="B478" s="26">
        <f>10256644.3613/2</f>
        <v>5128322.1806500005</v>
      </c>
      <c r="C478" s="130">
        <f t="shared" si="778"/>
        <v>427360.18</v>
      </c>
      <c r="D478" s="35">
        <v>1.6299999999999999E-2</v>
      </c>
      <c r="E478" s="35">
        <v>0.14269999999999999</v>
      </c>
      <c r="F478" s="35">
        <v>5.8900000000000001E-2</v>
      </c>
      <c r="G478" s="35">
        <v>7.6200000000000004E-2</v>
      </c>
      <c r="H478" s="35">
        <v>3.9600000000000003E-2</v>
      </c>
      <c r="I478" s="35">
        <v>0.12470000000000001</v>
      </c>
      <c r="J478" s="35">
        <v>2.0400000000000001E-2</v>
      </c>
      <c r="K478" s="35">
        <v>3.1199999999999999E-2</v>
      </c>
      <c r="L478" s="35">
        <v>1.6199999999999999E-2</v>
      </c>
      <c r="M478" s="35">
        <v>2.53E-2</v>
      </c>
      <c r="N478" s="35">
        <v>0.14849999999999999</v>
      </c>
      <c r="O478" s="35">
        <v>2.2599999999999999E-2</v>
      </c>
      <c r="P478" s="35">
        <v>0</v>
      </c>
      <c r="Q478" s="35">
        <v>3.78E-2</v>
      </c>
      <c r="R478" s="35">
        <v>1.8100000000000002E-2</v>
      </c>
      <c r="S478" s="35">
        <v>4.1000000000000003E-3</v>
      </c>
      <c r="T478" s="35">
        <v>5.04E-2</v>
      </c>
      <c r="U478" s="35">
        <v>1.7500000000000002E-2</v>
      </c>
      <c r="V478" s="35">
        <v>3.6200000000000003E-2</v>
      </c>
      <c r="W478" s="35">
        <v>4.8500000000000001E-2</v>
      </c>
      <c r="X478" s="35">
        <v>6.1600000000000002E-2</v>
      </c>
      <c r="Y478" s="35">
        <v>2.5000000000000001E-3</v>
      </c>
      <c r="Z478" s="4">
        <v>0</v>
      </c>
      <c r="AA478" s="4">
        <v>6.9999999999999999E-4</v>
      </c>
      <c r="AB478" s="4">
        <v>0</v>
      </c>
      <c r="AC478" s="56"/>
      <c r="AD478" s="23"/>
    </row>
    <row r="479" spans="1:30" s="14" customFormat="1">
      <c r="A479" s="82"/>
      <c r="B479" s="67"/>
      <c r="C479" s="130"/>
      <c r="D479" s="36">
        <f t="shared" ref="D479:AB479" si="830">$C478*D478</f>
        <v>6965.970933999999</v>
      </c>
      <c r="E479" s="36">
        <f t="shared" si="830"/>
        <v>60984.297685999998</v>
      </c>
      <c r="F479" s="36">
        <f t="shared" si="830"/>
        <v>25171.514601999999</v>
      </c>
      <c r="G479" s="36">
        <f t="shared" si="830"/>
        <v>32564.845716</v>
      </c>
      <c r="H479" s="36">
        <f t="shared" si="830"/>
        <v>16923.463127999999</v>
      </c>
      <c r="I479" s="36">
        <f t="shared" si="830"/>
        <v>53291.814446000004</v>
      </c>
      <c r="J479" s="36">
        <f t="shared" si="830"/>
        <v>8718.147672000001</v>
      </c>
      <c r="K479" s="36">
        <f t="shared" si="830"/>
        <v>13333.637616</v>
      </c>
      <c r="L479" s="36">
        <f t="shared" si="830"/>
        <v>6923.2349159999994</v>
      </c>
      <c r="M479" s="36">
        <f t="shared" si="830"/>
        <v>10812.212554</v>
      </c>
      <c r="N479" s="36">
        <f t="shared" si="830"/>
        <v>63462.986729999997</v>
      </c>
      <c r="O479" s="36">
        <f t="shared" si="830"/>
        <v>9658.3400679999995</v>
      </c>
      <c r="P479" s="36">
        <f t="shared" si="830"/>
        <v>0</v>
      </c>
      <c r="Q479" s="36">
        <f t="shared" si="830"/>
        <v>16154.214803999999</v>
      </c>
      <c r="R479" s="36">
        <f t="shared" si="830"/>
        <v>7735.2192580000001</v>
      </c>
      <c r="S479" s="36">
        <f t="shared" si="830"/>
        <v>1752.1767380000001</v>
      </c>
      <c r="T479" s="36">
        <f t="shared" si="830"/>
        <v>21538.953072</v>
      </c>
      <c r="U479" s="36">
        <f t="shared" si="830"/>
        <v>7478.8031500000006</v>
      </c>
      <c r="V479" s="36">
        <f t="shared" si="830"/>
        <v>15470.438516</v>
      </c>
      <c r="W479" s="36">
        <f t="shared" si="830"/>
        <v>20726.968730000001</v>
      </c>
      <c r="X479" s="36">
        <f t="shared" si="830"/>
        <v>26325.387087999999</v>
      </c>
      <c r="Y479" s="36">
        <f t="shared" si="830"/>
        <v>1068.4004500000001</v>
      </c>
      <c r="Z479" s="36">
        <f t="shared" si="830"/>
        <v>0</v>
      </c>
      <c r="AA479" s="36">
        <f t="shared" si="830"/>
        <v>299.15212600000001</v>
      </c>
      <c r="AB479" s="36">
        <f t="shared" si="830"/>
        <v>0</v>
      </c>
      <c r="AC479" s="56"/>
      <c r="AD479" s="23"/>
    </row>
    <row r="480" spans="1:30" s="14" customFormat="1">
      <c r="A480" s="81" t="s">
        <v>607</v>
      </c>
      <c r="B480" s="26">
        <f>10256644.3613/2</f>
        <v>5128322.1806500005</v>
      </c>
      <c r="C480" s="130">
        <f t="shared" si="778"/>
        <v>427360.18</v>
      </c>
      <c r="D480" s="35"/>
      <c r="E480" s="35"/>
      <c r="F480" s="35">
        <v>0</v>
      </c>
      <c r="G480" s="35"/>
      <c r="H480" s="35">
        <v>6.9199999999999998E-2</v>
      </c>
      <c r="I480" s="35"/>
      <c r="J480" s="35"/>
      <c r="K480" s="35">
        <v>0</v>
      </c>
      <c r="L480" s="35"/>
      <c r="M480" s="35"/>
      <c r="N480" s="35">
        <v>0.8448</v>
      </c>
      <c r="O480" s="35">
        <v>0</v>
      </c>
      <c r="P480" s="35"/>
      <c r="Q480" s="35"/>
      <c r="R480" s="35"/>
      <c r="S480" s="35"/>
      <c r="T480" s="35"/>
      <c r="U480" s="35"/>
      <c r="V480" s="35">
        <v>8.5999999999999993E-2</v>
      </c>
      <c r="W480" s="35"/>
      <c r="X480" s="35"/>
      <c r="Y480" s="35"/>
      <c r="Z480" s="4"/>
      <c r="AA480" s="4"/>
      <c r="AB480" s="4"/>
      <c r="AC480" s="56"/>
      <c r="AD480" s="23"/>
    </row>
    <row r="481" spans="1:30" s="14" customFormat="1">
      <c r="A481" s="82"/>
      <c r="B481" s="67"/>
      <c r="C481" s="130"/>
      <c r="D481" s="36">
        <f t="shared" ref="D481:AB481" si="831">$C480*D480</f>
        <v>0</v>
      </c>
      <c r="E481" s="36">
        <f t="shared" si="831"/>
        <v>0</v>
      </c>
      <c r="F481" s="36">
        <f t="shared" si="831"/>
        <v>0</v>
      </c>
      <c r="G481" s="36">
        <f t="shared" si="831"/>
        <v>0</v>
      </c>
      <c r="H481" s="36">
        <f t="shared" si="831"/>
        <v>29573.324455999998</v>
      </c>
      <c r="I481" s="36">
        <f t="shared" si="831"/>
        <v>0</v>
      </c>
      <c r="J481" s="36">
        <f t="shared" si="831"/>
        <v>0</v>
      </c>
      <c r="K481" s="36">
        <f t="shared" si="831"/>
        <v>0</v>
      </c>
      <c r="L481" s="36">
        <f t="shared" si="831"/>
        <v>0</v>
      </c>
      <c r="M481" s="36">
        <f t="shared" si="831"/>
        <v>0</v>
      </c>
      <c r="N481" s="36">
        <f t="shared" si="831"/>
        <v>361033.88006399997</v>
      </c>
      <c r="O481" s="36">
        <f t="shared" si="831"/>
        <v>0</v>
      </c>
      <c r="P481" s="36">
        <f t="shared" si="831"/>
        <v>0</v>
      </c>
      <c r="Q481" s="36">
        <f t="shared" si="831"/>
        <v>0</v>
      </c>
      <c r="R481" s="36">
        <f t="shared" si="831"/>
        <v>0</v>
      </c>
      <c r="S481" s="36">
        <f t="shared" si="831"/>
        <v>0</v>
      </c>
      <c r="T481" s="36">
        <f t="shared" si="831"/>
        <v>0</v>
      </c>
      <c r="U481" s="36">
        <f t="shared" si="831"/>
        <v>0</v>
      </c>
      <c r="V481" s="36">
        <f t="shared" si="831"/>
        <v>36752.975479999994</v>
      </c>
      <c r="W481" s="36">
        <f t="shared" si="831"/>
        <v>0</v>
      </c>
      <c r="X481" s="36">
        <f t="shared" si="831"/>
        <v>0</v>
      </c>
      <c r="Y481" s="36">
        <f t="shared" si="831"/>
        <v>0</v>
      </c>
      <c r="Z481" s="36">
        <f t="shared" si="831"/>
        <v>0</v>
      </c>
      <c r="AA481" s="36">
        <f t="shared" si="831"/>
        <v>0</v>
      </c>
      <c r="AB481" s="36">
        <f t="shared" si="831"/>
        <v>0</v>
      </c>
      <c r="AC481" s="56"/>
      <c r="AD481" s="23"/>
    </row>
    <row r="482" spans="1:30" s="14" customFormat="1">
      <c r="A482" s="81" t="s">
        <v>603</v>
      </c>
      <c r="B482" s="26">
        <f>7613351.1441/2</f>
        <v>3806675.5720500001</v>
      </c>
      <c r="C482" s="130">
        <f t="shared" si="778"/>
        <v>317222.96000000002</v>
      </c>
      <c r="D482" s="35">
        <v>1.6299999999999999E-2</v>
      </c>
      <c r="E482" s="35">
        <v>0.14269999999999999</v>
      </c>
      <c r="F482" s="35">
        <v>5.8900000000000001E-2</v>
      </c>
      <c r="G482" s="35">
        <v>7.6200000000000004E-2</v>
      </c>
      <c r="H482" s="35">
        <v>3.9600000000000003E-2</v>
      </c>
      <c r="I482" s="35">
        <v>0.12470000000000001</v>
      </c>
      <c r="J482" s="35">
        <v>2.0400000000000001E-2</v>
      </c>
      <c r="K482" s="35">
        <v>3.1199999999999999E-2</v>
      </c>
      <c r="L482" s="35">
        <v>1.6199999999999999E-2</v>
      </c>
      <c r="M482" s="35">
        <v>2.53E-2</v>
      </c>
      <c r="N482" s="35">
        <v>0.14849999999999999</v>
      </c>
      <c r="O482" s="35">
        <v>2.2599999999999999E-2</v>
      </c>
      <c r="P482" s="35">
        <v>0</v>
      </c>
      <c r="Q482" s="35">
        <v>3.78E-2</v>
      </c>
      <c r="R482" s="35">
        <v>1.8100000000000002E-2</v>
      </c>
      <c r="S482" s="35">
        <v>4.1000000000000003E-3</v>
      </c>
      <c r="T482" s="35">
        <v>5.04E-2</v>
      </c>
      <c r="U482" s="35">
        <v>1.7500000000000002E-2</v>
      </c>
      <c r="V482" s="35">
        <v>3.6200000000000003E-2</v>
      </c>
      <c r="W482" s="35">
        <v>4.8500000000000001E-2</v>
      </c>
      <c r="X482" s="35">
        <v>6.1600000000000002E-2</v>
      </c>
      <c r="Y482" s="35">
        <v>2.5000000000000001E-3</v>
      </c>
      <c r="Z482" s="4">
        <v>0</v>
      </c>
      <c r="AA482" s="4">
        <v>6.9999999999999999E-4</v>
      </c>
      <c r="AB482" s="4">
        <v>0</v>
      </c>
      <c r="AC482" s="56"/>
      <c r="AD482" s="23"/>
    </row>
    <row r="483" spans="1:30" s="14" customFormat="1">
      <c r="A483" s="82"/>
      <c r="B483" s="67"/>
      <c r="C483" s="130"/>
      <c r="D483" s="36">
        <f t="shared" ref="D483:AB483" si="832">$C482*D482</f>
        <v>5170.7342479999998</v>
      </c>
      <c r="E483" s="36">
        <f t="shared" si="832"/>
        <v>45267.716392000002</v>
      </c>
      <c r="F483" s="36">
        <f t="shared" si="832"/>
        <v>18684.432344000001</v>
      </c>
      <c r="G483" s="36">
        <f t="shared" si="832"/>
        <v>24172.389552000004</v>
      </c>
      <c r="H483" s="36">
        <f t="shared" si="832"/>
        <v>12562.029216000003</v>
      </c>
      <c r="I483" s="36">
        <f t="shared" si="832"/>
        <v>39557.703112000003</v>
      </c>
      <c r="J483" s="36">
        <f t="shared" si="832"/>
        <v>6471.3483840000008</v>
      </c>
      <c r="K483" s="36">
        <f t="shared" si="832"/>
        <v>9897.3563520000007</v>
      </c>
      <c r="L483" s="36">
        <f t="shared" si="832"/>
        <v>5139.0119519999998</v>
      </c>
      <c r="M483" s="36">
        <f t="shared" si="832"/>
        <v>8025.7408880000003</v>
      </c>
      <c r="N483" s="36">
        <f t="shared" si="832"/>
        <v>47107.609560000004</v>
      </c>
      <c r="O483" s="36">
        <f t="shared" si="832"/>
        <v>7169.2388959999998</v>
      </c>
      <c r="P483" s="36">
        <f t="shared" si="832"/>
        <v>0</v>
      </c>
      <c r="Q483" s="36">
        <f t="shared" si="832"/>
        <v>11991.027888000001</v>
      </c>
      <c r="R483" s="36">
        <f t="shared" si="832"/>
        <v>5741.7355760000009</v>
      </c>
      <c r="S483" s="36">
        <f t="shared" si="832"/>
        <v>1300.6141360000001</v>
      </c>
      <c r="T483" s="36">
        <f t="shared" si="832"/>
        <v>15988.037184000001</v>
      </c>
      <c r="U483" s="36">
        <f t="shared" si="832"/>
        <v>5551.4018000000005</v>
      </c>
      <c r="V483" s="36">
        <f t="shared" si="832"/>
        <v>11483.471152000002</v>
      </c>
      <c r="W483" s="36">
        <f t="shared" si="832"/>
        <v>15385.313560000002</v>
      </c>
      <c r="X483" s="36">
        <f t="shared" si="832"/>
        <v>19540.934336000002</v>
      </c>
      <c r="Y483" s="36">
        <f t="shared" si="832"/>
        <v>793.05740000000003</v>
      </c>
      <c r="Z483" s="36">
        <f t="shared" si="832"/>
        <v>0</v>
      </c>
      <c r="AA483" s="36">
        <f t="shared" si="832"/>
        <v>222.056072</v>
      </c>
      <c r="AB483" s="36">
        <f t="shared" si="832"/>
        <v>0</v>
      </c>
      <c r="AC483" s="56"/>
      <c r="AD483" s="23"/>
    </row>
    <row r="484" spans="1:30" s="14" customFormat="1">
      <c r="A484" s="81" t="s">
        <v>606</v>
      </c>
      <c r="B484" s="26">
        <f>7613351.1441/2</f>
        <v>3806675.5720500001</v>
      </c>
      <c r="C484" s="130">
        <f t="shared" si="778"/>
        <v>317222.96000000002</v>
      </c>
      <c r="D484" s="35"/>
      <c r="E484" s="35"/>
      <c r="F484" s="35">
        <v>0</v>
      </c>
      <c r="G484" s="35"/>
      <c r="H484" s="35"/>
      <c r="I484" s="35"/>
      <c r="J484" s="35"/>
      <c r="K484" s="35"/>
      <c r="L484" s="35"/>
      <c r="M484" s="35"/>
      <c r="N484" s="35">
        <v>1</v>
      </c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7"/>
      <c r="AA484" s="37"/>
      <c r="AB484" s="37"/>
      <c r="AC484" s="56"/>
      <c r="AD484" s="23"/>
    </row>
    <row r="485" spans="1:30" s="14" customFormat="1">
      <c r="A485" s="82"/>
      <c r="B485" s="67"/>
      <c r="C485" s="130"/>
      <c r="D485" s="36">
        <f t="shared" ref="D485:AB485" si="833">$C484*D484</f>
        <v>0</v>
      </c>
      <c r="E485" s="36">
        <f t="shared" si="833"/>
        <v>0</v>
      </c>
      <c r="F485" s="36">
        <f t="shared" si="833"/>
        <v>0</v>
      </c>
      <c r="G485" s="36">
        <f t="shared" si="833"/>
        <v>0</v>
      </c>
      <c r="H485" s="36">
        <f t="shared" si="833"/>
        <v>0</v>
      </c>
      <c r="I485" s="36">
        <f t="shared" si="833"/>
        <v>0</v>
      </c>
      <c r="J485" s="36">
        <f t="shared" si="833"/>
        <v>0</v>
      </c>
      <c r="K485" s="36">
        <f t="shared" si="833"/>
        <v>0</v>
      </c>
      <c r="L485" s="36">
        <f t="shared" si="833"/>
        <v>0</v>
      </c>
      <c r="M485" s="36">
        <f t="shared" si="833"/>
        <v>0</v>
      </c>
      <c r="N485" s="36">
        <f t="shared" si="833"/>
        <v>317222.96000000002</v>
      </c>
      <c r="O485" s="36">
        <f t="shared" si="833"/>
        <v>0</v>
      </c>
      <c r="P485" s="36">
        <f t="shared" si="833"/>
        <v>0</v>
      </c>
      <c r="Q485" s="36">
        <f t="shared" si="833"/>
        <v>0</v>
      </c>
      <c r="R485" s="36">
        <f t="shared" si="833"/>
        <v>0</v>
      </c>
      <c r="S485" s="36">
        <f t="shared" si="833"/>
        <v>0</v>
      </c>
      <c r="T485" s="36">
        <f t="shared" si="833"/>
        <v>0</v>
      </c>
      <c r="U485" s="36">
        <f t="shared" si="833"/>
        <v>0</v>
      </c>
      <c r="V485" s="36">
        <f t="shared" si="833"/>
        <v>0</v>
      </c>
      <c r="W485" s="36">
        <f t="shared" si="833"/>
        <v>0</v>
      </c>
      <c r="X485" s="36">
        <f t="shared" si="833"/>
        <v>0</v>
      </c>
      <c r="Y485" s="36">
        <f t="shared" si="833"/>
        <v>0</v>
      </c>
      <c r="Z485" s="36">
        <f t="shared" si="833"/>
        <v>0</v>
      </c>
      <c r="AA485" s="36">
        <f t="shared" si="833"/>
        <v>0</v>
      </c>
      <c r="AB485" s="36">
        <f t="shared" si="833"/>
        <v>0</v>
      </c>
      <c r="AC485" s="56"/>
      <c r="AD485" s="23"/>
    </row>
    <row r="486" spans="1:30" s="14" customFormat="1">
      <c r="A486" s="81" t="s">
        <v>605</v>
      </c>
      <c r="B486" s="26">
        <v>0</v>
      </c>
      <c r="C486" s="130">
        <f t="shared" si="778"/>
        <v>0</v>
      </c>
      <c r="D486" s="35">
        <v>1.5900000000000001E-2</v>
      </c>
      <c r="E486" s="35"/>
      <c r="F486" s="35">
        <v>8.8499999999999995E-2</v>
      </c>
      <c r="G486" s="35">
        <v>5.5399999999999998E-2</v>
      </c>
      <c r="H486" s="35">
        <v>0.1079</v>
      </c>
      <c r="I486" s="35">
        <v>1.8599999999999998E-2</v>
      </c>
      <c r="J486" s="35">
        <v>2.0999999999999999E-3</v>
      </c>
      <c r="K486" s="35">
        <v>1.1599999999999999E-2</v>
      </c>
      <c r="L486" s="35">
        <v>1.1599999999999999E-2</v>
      </c>
      <c r="M486" s="35">
        <v>3.6799999999999999E-2</v>
      </c>
      <c r="N486" s="35">
        <v>0.18990000000000001</v>
      </c>
      <c r="O486" s="35"/>
      <c r="P486" s="35">
        <v>2.2000000000000001E-3</v>
      </c>
      <c r="Q486" s="35">
        <v>4.53E-2</v>
      </c>
      <c r="R486" s="35">
        <v>1.7299999999999999E-2</v>
      </c>
      <c r="S486" s="35">
        <v>6.7999999999999996E-3</v>
      </c>
      <c r="T486" s="35">
        <v>6.9500000000000006E-2</v>
      </c>
      <c r="U486" s="35">
        <v>4.7500000000000001E-2</v>
      </c>
      <c r="V486" s="35">
        <v>9.69E-2</v>
      </c>
      <c r="W486" s="35">
        <v>9.7799999999999998E-2</v>
      </c>
      <c r="X486" s="35">
        <v>7.2800000000000004E-2</v>
      </c>
      <c r="Y486" s="35">
        <v>2.8999999999999998E-3</v>
      </c>
      <c r="Z486" s="37">
        <v>2.7000000000000001E-3</v>
      </c>
      <c r="AA486" s="37"/>
      <c r="AB486" s="37"/>
      <c r="AC486" s="56"/>
      <c r="AD486" s="23"/>
    </row>
    <row r="487" spans="1:30" s="14" customFormat="1">
      <c r="A487" s="82"/>
      <c r="B487" s="67"/>
      <c r="C487" s="130"/>
      <c r="D487" s="36">
        <f t="shared" ref="D487:AB487" si="834">$C486*D486</f>
        <v>0</v>
      </c>
      <c r="E487" s="36">
        <f t="shared" si="834"/>
        <v>0</v>
      </c>
      <c r="F487" s="36">
        <f t="shared" si="834"/>
        <v>0</v>
      </c>
      <c r="G487" s="36">
        <f t="shared" si="834"/>
        <v>0</v>
      </c>
      <c r="H487" s="36">
        <f t="shared" si="834"/>
        <v>0</v>
      </c>
      <c r="I487" s="36">
        <f t="shared" si="834"/>
        <v>0</v>
      </c>
      <c r="J487" s="36">
        <f t="shared" si="834"/>
        <v>0</v>
      </c>
      <c r="K487" s="36">
        <f t="shared" si="834"/>
        <v>0</v>
      </c>
      <c r="L487" s="36">
        <f t="shared" si="834"/>
        <v>0</v>
      </c>
      <c r="M487" s="36">
        <f t="shared" si="834"/>
        <v>0</v>
      </c>
      <c r="N487" s="36">
        <f t="shared" si="834"/>
        <v>0</v>
      </c>
      <c r="O487" s="36">
        <f t="shared" si="834"/>
        <v>0</v>
      </c>
      <c r="P487" s="36">
        <f t="shared" si="834"/>
        <v>0</v>
      </c>
      <c r="Q487" s="36">
        <f t="shared" si="834"/>
        <v>0</v>
      </c>
      <c r="R487" s="36">
        <f t="shared" si="834"/>
        <v>0</v>
      </c>
      <c r="S487" s="36">
        <f t="shared" si="834"/>
        <v>0</v>
      </c>
      <c r="T487" s="36">
        <f t="shared" si="834"/>
        <v>0</v>
      </c>
      <c r="U487" s="36">
        <f t="shared" si="834"/>
        <v>0</v>
      </c>
      <c r="V487" s="36">
        <f t="shared" si="834"/>
        <v>0</v>
      </c>
      <c r="W487" s="36">
        <f t="shared" si="834"/>
        <v>0</v>
      </c>
      <c r="X487" s="36">
        <f t="shared" si="834"/>
        <v>0</v>
      </c>
      <c r="Y487" s="36">
        <f t="shared" si="834"/>
        <v>0</v>
      </c>
      <c r="Z487" s="36">
        <f t="shared" si="834"/>
        <v>0</v>
      </c>
      <c r="AA487" s="36">
        <f t="shared" si="834"/>
        <v>0</v>
      </c>
      <c r="AB487" s="36">
        <f t="shared" si="834"/>
        <v>0</v>
      </c>
      <c r="AC487" s="56"/>
      <c r="AD487" s="23"/>
    </row>
    <row r="488" spans="1:30" s="14" customFormat="1">
      <c r="A488" s="81" t="s">
        <v>663</v>
      </c>
      <c r="B488" s="26">
        <f>38792863.4177/2</f>
        <v>19396431.70885</v>
      </c>
      <c r="C488" s="130">
        <f>ROUND(B488/12,2)</f>
        <v>1616369.31</v>
      </c>
      <c r="D488" s="35">
        <v>1.6299999999999999E-2</v>
      </c>
      <c r="E488" s="35">
        <v>0.14269999999999999</v>
      </c>
      <c r="F488" s="35">
        <v>5.8900000000000001E-2</v>
      </c>
      <c r="G488" s="35">
        <v>7.6200000000000004E-2</v>
      </c>
      <c r="H488" s="35">
        <v>3.9600000000000003E-2</v>
      </c>
      <c r="I488" s="35">
        <v>0.12470000000000001</v>
      </c>
      <c r="J488" s="35">
        <v>2.0400000000000001E-2</v>
      </c>
      <c r="K488" s="35">
        <v>3.1199999999999999E-2</v>
      </c>
      <c r="L488" s="35">
        <v>1.6199999999999999E-2</v>
      </c>
      <c r="M488" s="35">
        <v>2.53E-2</v>
      </c>
      <c r="N488" s="35">
        <v>0.14849999999999999</v>
      </c>
      <c r="O488" s="35">
        <v>2.2599999999999999E-2</v>
      </c>
      <c r="P488" s="35">
        <v>0</v>
      </c>
      <c r="Q488" s="35">
        <v>3.78E-2</v>
      </c>
      <c r="R488" s="35">
        <v>1.8100000000000002E-2</v>
      </c>
      <c r="S488" s="35">
        <v>4.1000000000000003E-3</v>
      </c>
      <c r="T488" s="35">
        <v>5.04E-2</v>
      </c>
      <c r="U488" s="35">
        <v>1.7500000000000002E-2</v>
      </c>
      <c r="V488" s="35">
        <v>3.6200000000000003E-2</v>
      </c>
      <c r="W488" s="35">
        <v>4.8500000000000001E-2</v>
      </c>
      <c r="X488" s="35">
        <v>6.1600000000000002E-2</v>
      </c>
      <c r="Y488" s="35">
        <v>2.5000000000000001E-3</v>
      </c>
      <c r="Z488" s="4">
        <v>0</v>
      </c>
      <c r="AA488" s="4">
        <v>6.9999999999999999E-4</v>
      </c>
      <c r="AB488" s="4">
        <v>0</v>
      </c>
      <c r="AC488" s="56"/>
      <c r="AD488" s="23"/>
    </row>
    <row r="489" spans="1:30" s="14" customFormat="1">
      <c r="A489" s="82"/>
      <c r="B489" s="67"/>
      <c r="C489" s="130"/>
      <c r="D489" s="36">
        <f t="shared" ref="D489:AB489" si="835">$C488*D488</f>
        <v>26346.819753</v>
      </c>
      <c r="E489" s="36">
        <f t="shared" si="835"/>
        <v>230655.90053700001</v>
      </c>
      <c r="F489" s="36">
        <f t="shared" si="835"/>
        <v>95204.152359</v>
      </c>
      <c r="G489" s="36">
        <f t="shared" si="835"/>
        <v>123167.34142200001</v>
      </c>
      <c r="H489" s="36">
        <f t="shared" si="835"/>
        <v>64008.224676000005</v>
      </c>
      <c r="I489" s="36">
        <f t="shared" si="835"/>
        <v>201561.25295700002</v>
      </c>
      <c r="J489" s="36">
        <f t="shared" si="835"/>
        <v>32973.933924000004</v>
      </c>
      <c r="K489" s="36">
        <f t="shared" si="835"/>
        <v>50430.722472000001</v>
      </c>
      <c r="L489" s="36">
        <f t="shared" si="835"/>
        <v>26185.182821999999</v>
      </c>
      <c r="M489" s="36">
        <f t="shared" si="835"/>
        <v>40894.143542999998</v>
      </c>
      <c r="N489" s="36">
        <f t="shared" si="835"/>
        <v>240030.842535</v>
      </c>
      <c r="O489" s="36">
        <f t="shared" si="835"/>
        <v>36529.946405999995</v>
      </c>
      <c r="P489" s="36">
        <f t="shared" si="835"/>
        <v>0</v>
      </c>
      <c r="Q489" s="36">
        <f t="shared" si="835"/>
        <v>61098.759918000003</v>
      </c>
      <c r="R489" s="36">
        <f t="shared" si="835"/>
        <v>29256.284511000002</v>
      </c>
      <c r="S489" s="36">
        <f t="shared" si="835"/>
        <v>6627.1141710000011</v>
      </c>
      <c r="T489" s="36">
        <f t="shared" si="835"/>
        <v>81465.013224000009</v>
      </c>
      <c r="U489" s="36">
        <f t="shared" si="835"/>
        <v>28286.462925000003</v>
      </c>
      <c r="V489" s="36">
        <f t="shared" si="835"/>
        <v>58512.569022000003</v>
      </c>
      <c r="W489" s="36">
        <f t="shared" si="835"/>
        <v>78393.911535000007</v>
      </c>
      <c r="X489" s="36">
        <f t="shared" si="835"/>
        <v>99568.34949600001</v>
      </c>
      <c r="Y489" s="36">
        <f t="shared" si="835"/>
        <v>4040.9232750000001</v>
      </c>
      <c r="Z489" s="36">
        <f t="shared" si="835"/>
        <v>0</v>
      </c>
      <c r="AA489" s="36">
        <f t="shared" si="835"/>
        <v>1131.458517</v>
      </c>
      <c r="AB489" s="36">
        <f t="shared" si="835"/>
        <v>0</v>
      </c>
      <c r="AC489" s="56"/>
      <c r="AD489" s="23"/>
    </row>
    <row r="490" spans="1:30" s="14" customFormat="1">
      <c r="A490" s="81" t="s">
        <v>664</v>
      </c>
      <c r="B490" s="26">
        <f>38792863.4177/2</f>
        <v>19396431.70885</v>
      </c>
      <c r="C490" s="130">
        <f>ROUND(B490/12,2)</f>
        <v>1616369.31</v>
      </c>
      <c r="D490" s="35"/>
      <c r="E490" s="35"/>
      <c r="F490" s="35">
        <v>9.0399999999999994E-2</v>
      </c>
      <c r="G490" s="35"/>
      <c r="H490" s="35"/>
      <c r="I490" s="35"/>
      <c r="J490" s="35"/>
      <c r="K490" s="35"/>
      <c r="L490" s="35"/>
      <c r="M490" s="35"/>
      <c r="N490" s="35">
        <v>0.90959999999999996</v>
      </c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7"/>
      <c r="AA490" s="37"/>
      <c r="AB490" s="37"/>
      <c r="AC490" s="56"/>
      <c r="AD490" s="23"/>
    </row>
    <row r="491" spans="1:30" s="14" customFormat="1">
      <c r="A491" s="82"/>
      <c r="B491" s="67"/>
      <c r="C491" s="130"/>
      <c r="D491" s="36">
        <f t="shared" ref="D491:AB491" si="836">$C490*D490</f>
        <v>0</v>
      </c>
      <c r="E491" s="36">
        <f t="shared" si="836"/>
        <v>0</v>
      </c>
      <c r="F491" s="36">
        <f t="shared" si="836"/>
        <v>146119.78562399998</v>
      </c>
      <c r="G491" s="36">
        <f t="shared" si="836"/>
        <v>0</v>
      </c>
      <c r="H491" s="36">
        <f t="shared" si="836"/>
        <v>0</v>
      </c>
      <c r="I491" s="36">
        <f t="shared" si="836"/>
        <v>0</v>
      </c>
      <c r="J491" s="36">
        <f t="shared" si="836"/>
        <v>0</v>
      </c>
      <c r="K491" s="36">
        <f t="shared" si="836"/>
        <v>0</v>
      </c>
      <c r="L491" s="36">
        <f t="shared" si="836"/>
        <v>0</v>
      </c>
      <c r="M491" s="36">
        <f t="shared" si="836"/>
        <v>0</v>
      </c>
      <c r="N491" s="36">
        <f t="shared" si="836"/>
        <v>1470249.524376</v>
      </c>
      <c r="O491" s="36">
        <f t="shared" si="836"/>
        <v>0</v>
      </c>
      <c r="P491" s="36">
        <f t="shared" si="836"/>
        <v>0</v>
      </c>
      <c r="Q491" s="36">
        <f t="shared" si="836"/>
        <v>0</v>
      </c>
      <c r="R491" s="36">
        <f t="shared" si="836"/>
        <v>0</v>
      </c>
      <c r="S491" s="36">
        <f t="shared" si="836"/>
        <v>0</v>
      </c>
      <c r="T491" s="36">
        <f t="shared" si="836"/>
        <v>0</v>
      </c>
      <c r="U491" s="36">
        <f t="shared" si="836"/>
        <v>0</v>
      </c>
      <c r="V491" s="36">
        <f t="shared" si="836"/>
        <v>0</v>
      </c>
      <c r="W491" s="36">
        <f t="shared" si="836"/>
        <v>0</v>
      </c>
      <c r="X491" s="36">
        <f t="shared" si="836"/>
        <v>0</v>
      </c>
      <c r="Y491" s="36">
        <f t="shared" si="836"/>
        <v>0</v>
      </c>
      <c r="Z491" s="36">
        <f t="shared" si="836"/>
        <v>0</v>
      </c>
      <c r="AA491" s="36">
        <f t="shared" si="836"/>
        <v>0</v>
      </c>
      <c r="AB491" s="36">
        <f t="shared" si="836"/>
        <v>0</v>
      </c>
      <c r="AC491" s="56"/>
      <c r="AD491" s="23"/>
    </row>
    <row r="492" spans="1:30" s="14" customFormat="1">
      <c r="A492" s="81" t="s">
        <v>703</v>
      </c>
      <c r="B492" s="26">
        <f>22097.9898/2</f>
        <v>11048.9949</v>
      </c>
      <c r="C492" s="130">
        <f>ROUND(B492/12,2)</f>
        <v>920.75</v>
      </c>
      <c r="D492" s="35">
        <v>1.6299999999999999E-2</v>
      </c>
      <c r="E492" s="35">
        <v>0.14269999999999999</v>
      </c>
      <c r="F492" s="35">
        <v>5.8900000000000001E-2</v>
      </c>
      <c r="G492" s="35">
        <v>7.6200000000000004E-2</v>
      </c>
      <c r="H492" s="35">
        <v>3.9600000000000003E-2</v>
      </c>
      <c r="I492" s="35">
        <v>0.12470000000000001</v>
      </c>
      <c r="J492" s="35">
        <v>2.0400000000000001E-2</v>
      </c>
      <c r="K492" s="35">
        <v>3.1199999999999999E-2</v>
      </c>
      <c r="L492" s="35">
        <v>1.6199999999999999E-2</v>
      </c>
      <c r="M492" s="35">
        <v>2.53E-2</v>
      </c>
      <c r="N492" s="35">
        <v>0.14849999999999999</v>
      </c>
      <c r="O492" s="35">
        <v>2.2599999999999999E-2</v>
      </c>
      <c r="P492" s="35">
        <v>0</v>
      </c>
      <c r="Q492" s="35">
        <v>3.78E-2</v>
      </c>
      <c r="R492" s="35">
        <v>1.8100000000000002E-2</v>
      </c>
      <c r="S492" s="35">
        <v>4.1000000000000003E-3</v>
      </c>
      <c r="T492" s="35">
        <v>5.04E-2</v>
      </c>
      <c r="U492" s="35">
        <v>1.7500000000000002E-2</v>
      </c>
      <c r="V492" s="35">
        <v>3.6200000000000003E-2</v>
      </c>
      <c r="W492" s="35">
        <v>4.8500000000000001E-2</v>
      </c>
      <c r="X492" s="35">
        <v>6.1600000000000002E-2</v>
      </c>
      <c r="Y492" s="35">
        <v>2.5000000000000001E-3</v>
      </c>
      <c r="Z492" s="4">
        <v>0</v>
      </c>
      <c r="AA492" s="4">
        <v>6.9999999999999999E-4</v>
      </c>
      <c r="AB492" s="4">
        <v>0</v>
      </c>
      <c r="AC492" s="56"/>
      <c r="AD492" s="23"/>
    </row>
    <row r="493" spans="1:30" s="14" customFormat="1">
      <c r="A493" s="82"/>
      <c r="B493" s="67"/>
      <c r="C493" s="130"/>
      <c r="D493" s="36">
        <f t="shared" ref="D493:AB493" si="837">$C492*D492</f>
        <v>15.008224999999999</v>
      </c>
      <c r="E493" s="36">
        <f t="shared" si="837"/>
        <v>131.39102499999998</v>
      </c>
      <c r="F493" s="36">
        <f t="shared" si="837"/>
        <v>54.232174999999998</v>
      </c>
      <c r="G493" s="36">
        <f t="shared" si="837"/>
        <v>70.161150000000006</v>
      </c>
      <c r="H493" s="36">
        <f t="shared" si="837"/>
        <v>36.4617</v>
      </c>
      <c r="I493" s="36">
        <f t="shared" si="837"/>
        <v>114.817525</v>
      </c>
      <c r="J493" s="36">
        <f t="shared" si="837"/>
        <v>18.783300000000001</v>
      </c>
      <c r="K493" s="36">
        <f t="shared" si="837"/>
        <v>28.727399999999999</v>
      </c>
      <c r="L493" s="36">
        <f t="shared" si="837"/>
        <v>14.91615</v>
      </c>
      <c r="M493" s="36">
        <f t="shared" si="837"/>
        <v>23.294975000000001</v>
      </c>
      <c r="N493" s="36">
        <f t="shared" si="837"/>
        <v>136.73137499999999</v>
      </c>
      <c r="O493" s="36">
        <f t="shared" si="837"/>
        <v>20.808949999999999</v>
      </c>
      <c r="P493" s="36">
        <f t="shared" si="837"/>
        <v>0</v>
      </c>
      <c r="Q493" s="36">
        <f t="shared" si="837"/>
        <v>34.804349999999999</v>
      </c>
      <c r="R493" s="36">
        <f t="shared" si="837"/>
        <v>16.665575</v>
      </c>
      <c r="S493" s="36">
        <f t="shared" si="837"/>
        <v>3.7750750000000002</v>
      </c>
      <c r="T493" s="36">
        <f t="shared" si="837"/>
        <v>46.405799999999999</v>
      </c>
      <c r="U493" s="36">
        <f t="shared" si="837"/>
        <v>16.113125</v>
      </c>
      <c r="V493" s="36">
        <f t="shared" si="837"/>
        <v>33.331150000000001</v>
      </c>
      <c r="W493" s="36">
        <f t="shared" si="837"/>
        <v>44.656375000000004</v>
      </c>
      <c r="X493" s="36">
        <f t="shared" si="837"/>
        <v>56.718200000000003</v>
      </c>
      <c r="Y493" s="36">
        <f t="shared" si="837"/>
        <v>2.3018749999999999</v>
      </c>
      <c r="Z493" s="36">
        <f t="shared" si="837"/>
        <v>0</v>
      </c>
      <c r="AA493" s="36">
        <f t="shared" si="837"/>
        <v>0.64452500000000001</v>
      </c>
      <c r="AB493" s="36">
        <f t="shared" si="837"/>
        <v>0</v>
      </c>
      <c r="AC493" s="56"/>
      <c r="AD493" s="23"/>
    </row>
    <row r="494" spans="1:30" s="14" customFormat="1">
      <c r="A494" s="81" t="s">
        <v>704</v>
      </c>
      <c r="B494" s="26">
        <f>22097.9898/2</f>
        <v>11048.9949</v>
      </c>
      <c r="C494" s="130">
        <f>ROUND(B494/12,2)</f>
        <v>920.75</v>
      </c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>
        <v>1</v>
      </c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7"/>
      <c r="AA494" s="37"/>
      <c r="AB494" s="37"/>
      <c r="AC494" s="56"/>
      <c r="AD494" s="23"/>
    </row>
    <row r="495" spans="1:30" s="14" customFormat="1">
      <c r="A495" s="82"/>
      <c r="B495" s="67"/>
      <c r="C495" s="130"/>
      <c r="D495" s="36">
        <f t="shared" ref="D495:AB495" si="838">$C494*D494</f>
        <v>0</v>
      </c>
      <c r="E495" s="36">
        <f t="shared" si="838"/>
        <v>0</v>
      </c>
      <c r="F495" s="36">
        <f t="shared" si="838"/>
        <v>0</v>
      </c>
      <c r="G495" s="36">
        <f t="shared" si="838"/>
        <v>0</v>
      </c>
      <c r="H495" s="36">
        <f t="shared" si="838"/>
        <v>0</v>
      </c>
      <c r="I495" s="36">
        <f t="shared" si="838"/>
        <v>0</v>
      </c>
      <c r="J495" s="36">
        <f t="shared" si="838"/>
        <v>0</v>
      </c>
      <c r="K495" s="36">
        <f t="shared" si="838"/>
        <v>0</v>
      </c>
      <c r="L495" s="36">
        <f t="shared" si="838"/>
        <v>0</v>
      </c>
      <c r="M495" s="36">
        <f t="shared" si="838"/>
        <v>0</v>
      </c>
      <c r="N495" s="36">
        <f t="shared" si="838"/>
        <v>920.75</v>
      </c>
      <c r="O495" s="36">
        <f t="shared" si="838"/>
        <v>0</v>
      </c>
      <c r="P495" s="36">
        <f t="shared" si="838"/>
        <v>0</v>
      </c>
      <c r="Q495" s="36">
        <f t="shared" si="838"/>
        <v>0</v>
      </c>
      <c r="R495" s="36">
        <f t="shared" si="838"/>
        <v>0</v>
      </c>
      <c r="S495" s="36">
        <f t="shared" si="838"/>
        <v>0</v>
      </c>
      <c r="T495" s="36">
        <f t="shared" si="838"/>
        <v>0</v>
      </c>
      <c r="U495" s="36">
        <f t="shared" si="838"/>
        <v>0</v>
      </c>
      <c r="V495" s="36">
        <f t="shared" si="838"/>
        <v>0</v>
      </c>
      <c r="W495" s="36">
        <f t="shared" si="838"/>
        <v>0</v>
      </c>
      <c r="X495" s="36">
        <f t="shared" si="838"/>
        <v>0</v>
      </c>
      <c r="Y495" s="36">
        <f t="shared" si="838"/>
        <v>0</v>
      </c>
      <c r="Z495" s="36">
        <f t="shared" si="838"/>
        <v>0</v>
      </c>
      <c r="AA495" s="36">
        <f t="shared" si="838"/>
        <v>0</v>
      </c>
      <c r="AB495" s="36">
        <f t="shared" si="838"/>
        <v>0</v>
      </c>
      <c r="AC495" s="56"/>
      <c r="AD495" s="23"/>
    </row>
    <row r="496" spans="1:30" s="14" customFormat="1">
      <c r="A496" s="81" t="s">
        <v>705</v>
      </c>
      <c r="B496" s="26">
        <f>32845828.5029/2</f>
        <v>16422914.25145</v>
      </c>
      <c r="C496" s="130">
        <f>ROUND(B496/12,2)</f>
        <v>1368576.19</v>
      </c>
      <c r="D496" s="35">
        <v>1.6299999999999999E-2</v>
      </c>
      <c r="E496" s="35">
        <v>0.14269999999999999</v>
      </c>
      <c r="F496" s="35">
        <v>5.8900000000000001E-2</v>
      </c>
      <c r="G496" s="35">
        <v>7.6200000000000004E-2</v>
      </c>
      <c r="H496" s="35">
        <v>3.9600000000000003E-2</v>
      </c>
      <c r="I496" s="35">
        <v>0.12470000000000001</v>
      </c>
      <c r="J496" s="35">
        <v>2.0400000000000001E-2</v>
      </c>
      <c r="K496" s="35">
        <v>3.1199999999999999E-2</v>
      </c>
      <c r="L496" s="35">
        <v>1.6199999999999999E-2</v>
      </c>
      <c r="M496" s="35">
        <v>2.53E-2</v>
      </c>
      <c r="N496" s="35">
        <v>0.14849999999999999</v>
      </c>
      <c r="O496" s="35">
        <v>2.2599999999999999E-2</v>
      </c>
      <c r="P496" s="35">
        <v>0</v>
      </c>
      <c r="Q496" s="35">
        <v>3.78E-2</v>
      </c>
      <c r="R496" s="35">
        <v>1.8100000000000002E-2</v>
      </c>
      <c r="S496" s="35">
        <v>4.1000000000000003E-3</v>
      </c>
      <c r="T496" s="35">
        <v>5.04E-2</v>
      </c>
      <c r="U496" s="35">
        <v>1.7500000000000002E-2</v>
      </c>
      <c r="V496" s="35">
        <v>3.6200000000000003E-2</v>
      </c>
      <c r="W496" s="35">
        <v>4.8500000000000001E-2</v>
      </c>
      <c r="X496" s="35">
        <v>6.1600000000000002E-2</v>
      </c>
      <c r="Y496" s="35">
        <v>2.5000000000000001E-3</v>
      </c>
      <c r="Z496" s="4">
        <v>0</v>
      </c>
      <c r="AA496" s="4">
        <v>6.9999999999999999E-4</v>
      </c>
      <c r="AB496" s="4">
        <v>0</v>
      </c>
      <c r="AC496" s="56"/>
      <c r="AD496" s="23"/>
    </row>
    <row r="497" spans="1:30" s="14" customFormat="1">
      <c r="A497" s="82"/>
      <c r="B497" s="67"/>
      <c r="C497" s="130"/>
      <c r="D497" s="36">
        <f t="shared" ref="D497:AB497" si="839">$C496*D496</f>
        <v>22307.791896999996</v>
      </c>
      <c r="E497" s="36">
        <f t="shared" si="839"/>
        <v>195295.82231299998</v>
      </c>
      <c r="F497" s="36">
        <f t="shared" si="839"/>
        <v>80609.137590999992</v>
      </c>
      <c r="G497" s="36">
        <f t="shared" si="839"/>
        <v>104285.505678</v>
      </c>
      <c r="H497" s="36">
        <f t="shared" si="839"/>
        <v>54195.617124000004</v>
      </c>
      <c r="I497" s="36">
        <f t="shared" si="839"/>
        <v>170661.450893</v>
      </c>
      <c r="J497" s="36">
        <f t="shared" si="839"/>
        <v>27918.954276</v>
      </c>
      <c r="K497" s="36">
        <f t="shared" si="839"/>
        <v>42699.577127999997</v>
      </c>
      <c r="L497" s="36">
        <f t="shared" si="839"/>
        <v>22170.934277999997</v>
      </c>
      <c r="M497" s="36">
        <f t="shared" si="839"/>
        <v>34624.977607000001</v>
      </c>
      <c r="N497" s="36">
        <f t="shared" si="839"/>
        <v>203233.56421499999</v>
      </c>
      <c r="O497" s="36">
        <f t="shared" si="839"/>
        <v>30929.821893999997</v>
      </c>
      <c r="P497" s="36">
        <f t="shared" si="839"/>
        <v>0</v>
      </c>
      <c r="Q497" s="36">
        <f t="shared" si="839"/>
        <v>51732.179982000001</v>
      </c>
      <c r="R497" s="36">
        <f t="shared" si="839"/>
        <v>24771.229039000002</v>
      </c>
      <c r="S497" s="36">
        <f t="shared" si="839"/>
        <v>5611.1623790000003</v>
      </c>
      <c r="T497" s="36">
        <f t="shared" si="839"/>
        <v>68976.239975999997</v>
      </c>
      <c r="U497" s="36">
        <f t="shared" si="839"/>
        <v>23950.083325</v>
      </c>
      <c r="V497" s="36">
        <f t="shared" si="839"/>
        <v>49542.458078000003</v>
      </c>
      <c r="W497" s="36">
        <f t="shared" si="839"/>
        <v>66375.945215</v>
      </c>
      <c r="X497" s="36">
        <f t="shared" si="839"/>
        <v>84304.293304000006</v>
      </c>
      <c r="Y497" s="36">
        <f t="shared" si="839"/>
        <v>3421.4404749999999</v>
      </c>
      <c r="Z497" s="36">
        <f t="shared" si="839"/>
        <v>0</v>
      </c>
      <c r="AA497" s="36">
        <f t="shared" si="839"/>
        <v>958.003333</v>
      </c>
      <c r="AB497" s="36">
        <f t="shared" si="839"/>
        <v>0</v>
      </c>
      <c r="AC497" s="56"/>
      <c r="AD497" s="23"/>
    </row>
    <row r="498" spans="1:30" s="14" customFormat="1">
      <c r="A498" s="81" t="s">
        <v>706</v>
      </c>
      <c r="B498" s="26">
        <f>32845828.5029/2</f>
        <v>16422914.25145</v>
      </c>
      <c r="C498" s="130">
        <f>ROUND(B498/12,2)</f>
        <v>1368576.19</v>
      </c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>
        <v>1</v>
      </c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7"/>
      <c r="AA498" s="37"/>
      <c r="AB498" s="37"/>
      <c r="AC498" s="56"/>
      <c r="AD498" s="23"/>
    </row>
    <row r="499" spans="1:30" s="14" customFormat="1">
      <c r="A499" s="82"/>
      <c r="B499" s="67"/>
      <c r="C499" s="130"/>
      <c r="D499" s="36">
        <f t="shared" ref="D499:AB499" si="840">$C498*D498</f>
        <v>0</v>
      </c>
      <c r="E499" s="36">
        <f t="shared" si="840"/>
        <v>0</v>
      </c>
      <c r="F499" s="36">
        <f t="shared" si="840"/>
        <v>0</v>
      </c>
      <c r="G499" s="36">
        <f t="shared" si="840"/>
        <v>0</v>
      </c>
      <c r="H499" s="36">
        <f t="shared" si="840"/>
        <v>0</v>
      </c>
      <c r="I499" s="36">
        <f t="shared" si="840"/>
        <v>0</v>
      </c>
      <c r="J499" s="36">
        <f t="shared" si="840"/>
        <v>0</v>
      </c>
      <c r="K499" s="36">
        <f t="shared" si="840"/>
        <v>0</v>
      </c>
      <c r="L499" s="36">
        <f t="shared" si="840"/>
        <v>0</v>
      </c>
      <c r="M499" s="36">
        <f t="shared" si="840"/>
        <v>0</v>
      </c>
      <c r="N499" s="36">
        <f t="shared" si="840"/>
        <v>1368576.19</v>
      </c>
      <c r="O499" s="36">
        <f t="shared" si="840"/>
        <v>0</v>
      </c>
      <c r="P499" s="36">
        <f t="shared" si="840"/>
        <v>0</v>
      </c>
      <c r="Q499" s="36">
        <f t="shared" si="840"/>
        <v>0</v>
      </c>
      <c r="R499" s="36">
        <f t="shared" si="840"/>
        <v>0</v>
      </c>
      <c r="S499" s="36">
        <f t="shared" si="840"/>
        <v>0</v>
      </c>
      <c r="T499" s="36">
        <f t="shared" si="840"/>
        <v>0</v>
      </c>
      <c r="U499" s="36">
        <f t="shared" si="840"/>
        <v>0</v>
      </c>
      <c r="V499" s="36">
        <f t="shared" si="840"/>
        <v>0</v>
      </c>
      <c r="W499" s="36">
        <f t="shared" si="840"/>
        <v>0</v>
      </c>
      <c r="X499" s="36">
        <f t="shared" si="840"/>
        <v>0</v>
      </c>
      <c r="Y499" s="36">
        <f t="shared" si="840"/>
        <v>0</v>
      </c>
      <c r="Z499" s="36">
        <f t="shared" si="840"/>
        <v>0</v>
      </c>
      <c r="AA499" s="36">
        <f t="shared" si="840"/>
        <v>0</v>
      </c>
      <c r="AB499" s="36">
        <f t="shared" si="840"/>
        <v>0</v>
      </c>
      <c r="AC499" s="56"/>
      <c r="AD499" s="23"/>
    </row>
    <row r="500" spans="1:30" s="14" customFormat="1">
      <c r="A500" s="81" t="s">
        <v>707</v>
      </c>
      <c r="B500" s="26">
        <f>510731.5552/2</f>
        <v>255365.7776</v>
      </c>
      <c r="C500" s="130">
        <f>ROUND(B500/12,2)</f>
        <v>21280.48</v>
      </c>
      <c r="D500" s="35">
        <v>1.6299999999999999E-2</v>
      </c>
      <c r="E500" s="35">
        <v>0.14269999999999999</v>
      </c>
      <c r="F500" s="35">
        <v>5.8900000000000001E-2</v>
      </c>
      <c r="G500" s="35">
        <v>7.6200000000000004E-2</v>
      </c>
      <c r="H500" s="35">
        <v>3.9600000000000003E-2</v>
      </c>
      <c r="I500" s="35">
        <v>0.12470000000000001</v>
      </c>
      <c r="J500" s="35">
        <v>2.0400000000000001E-2</v>
      </c>
      <c r="K500" s="35">
        <v>3.1199999999999999E-2</v>
      </c>
      <c r="L500" s="35">
        <v>1.6199999999999999E-2</v>
      </c>
      <c r="M500" s="35">
        <v>2.53E-2</v>
      </c>
      <c r="N500" s="35">
        <v>0.14849999999999999</v>
      </c>
      <c r="O500" s="35">
        <v>2.2599999999999999E-2</v>
      </c>
      <c r="P500" s="35">
        <v>0</v>
      </c>
      <c r="Q500" s="35">
        <v>3.78E-2</v>
      </c>
      <c r="R500" s="35">
        <v>1.8100000000000002E-2</v>
      </c>
      <c r="S500" s="35">
        <v>4.1000000000000003E-3</v>
      </c>
      <c r="T500" s="35">
        <v>5.04E-2</v>
      </c>
      <c r="U500" s="35">
        <v>1.7500000000000002E-2</v>
      </c>
      <c r="V500" s="35">
        <v>3.6200000000000003E-2</v>
      </c>
      <c r="W500" s="35">
        <v>4.8500000000000001E-2</v>
      </c>
      <c r="X500" s="35">
        <v>6.1600000000000002E-2</v>
      </c>
      <c r="Y500" s="35">
        <v>2.5000000000000001E-3</v>
      </c>
      <c r="Z500" s="4">
        <v>0</v>
      </c>
      <c r="AA500" s="4">
        <v>6.9999999999999999E-4</v>
      </c>
      <c r="AB500" s="4">
        <v>0</v>
      </c>
      <c r="AC500" s="56"/>
      <c r="AD500" s="23"/>
    </row>
    <row r="501" spans="1:30" s="14" customFormat="1">
      <c r="A501" s="82"/>
      <c r="B501" s="67"/>
      <c r="C501" s="130"/>
      <c r="D501" s="36">
        <f t="shared" ref="D501:AB501" si="841">$C500*D500</f>
        <v>346.87182399999995</v>
      </c>
      <c r="E501" s="36">
        <f t="shared" si="841"/>
        <v>3036.7244959999998</v>
      </c>
      <c r="F501" s="36">
        <f t="shared" si="841"/>
        <v>1253.4202720000001</v>
      </c>
      <c r="G501" s="36">
        <f t="shared" si="841"/>
        <v>1621.572576</v>
      </c>
      <c r="H501" s="36">
        <f t="shared" si="841"/>
        <v>842.70700800000009</v>
      </c>
      <c r="I501" s="36">
        <f t="shared" si="841"/>
        <v>2653.6758559999998</v>
      </c>
      <c r="J501" s="36">
        <f t="shared" si="841"/>
        <v>434.12179200000003</v>
      </c>
      <c r="K501" s="36">
        <f t="shared" si="841"/>
        <v>663.95097599999997</v>
      </c>
      <c r="L501" s="36">
        <f t="shared" si="841"/>
        <v>344.74377599999997</v>
      </c>
      <c r="M501" s="36">
        <f t="shared" si="841"/>
        <v>538.39614399999994</v>
      </c>
      <c r="N501" s="36">
        <f t="shared" si="841"/>
        <v>3160.1512799999996</v>
      </c>
      <c r="O501" s="36">
        <f t="shared" si="841"/>
        <v>480.93884799999995</v>
      </c>
      <c r="P501" s="36">
        <f t="shared" si="841"/>
        <v>0</v>
      </c>
      <c r="Q501" s="36">
        <f t="shared" si="841"/>
        <v>804.40214400000002</v>
      </c>
      <c r="R501" s="36">
        <f t="shared" si="841"/>
        <v>385.17668800000001</v>
      </c>
      <c r="S501" s="36">
        <f t="shared" si="841"/>
        <v>87.24996800000001</v>
      </c>
      <c r="T501" s="36">
        <f t="shared" si="841"/>
        <v>1072.536192</v>
      </c>
      <c r="U501" s="36">
        <f t="shared" si="841"/>
        <v>372.40840000000003</v>
      </c>
      <c r="V501" s="36">
        <f t="shared" si="841"/>
        <v>770.35337600000003</v>
      </c>
      <c r="W501" s="36">
        <f t="shared" si="841"/>
        <v>1032.10328</v>
      </c>
      <c r="X501" s="36">
        <f t="shared" si="841"/>
        <v>1310.8775680000001</v>
      </c>
      <c r="Y501" s="36">
        <f t="shared" si="841"/>
        <v>53.2012</v>
      </c>
      <c r="Z501" s="36">
        <f t="shared" si="841"/>
        <v>0</v>
      </c>
      <c r="AA501" s="36">
        <f t="shared" si="841"/>
        <v>14.896336</v>
      </c>
      <c r="AB501" s="36">
        <f t="shared" si="841"/>
        <v>0</v>
      </c>
      <c r="AC501" s="56"/>
      <c r="AD501" s="23"/>
    </row>
    <row r="502" spans="1:30" s="14" customFormat="1">
      <c r="A502" s="81" t="s">
        <v>708</v>
      </c>
      <c r="B502" s="26">
        <f>510731.5552/2</f>
        <v>255365.7776</v>
      </c>
      <c r="C502" s="130">
        <f>ROUND(B502/12,2)</f>
        <v>21280.48</v>
      </c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>
        <v>1</v>
      </c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7"/>
      <c r="AA502" s="37"/>
      <c r="AB502" s="37"/>
      <c r="AC502" s="56"/>
      <c r="AD502" s="23"/>
    </row>
    <row r="503" spans="1:30" s="14" customFormat="1">
      <c r="A503" s="82"/>
      <c r="B503" s="67"/>
      <c r="C503" s="130"/>
      <c r="D503" s="36">
        <f t="shared" ref="D503:AB503" si="842">$C502*D502</f>
        <v>0</v>
      </c>
      <c r="E503" s="36">
        <f t="shared" si="842"/>
        <v>0</v>
      </c>
      <c r="F503" s="36">
        <f t="shared" si="842"/>
        <v>0</v>
      </c>
      <c r="G503" s="36">
        <f t="shared" si="842"/>
        <v>0</v>
      </c>
      <c r="H503" s="36">
        <f t="shared" si="842"/>
        <v>0</v>
      </c>
      <c r="I503" s="36">
        <f t="shared" si="842"/>
        <v>0</v>
      </c>
      <c r="J503" s="36">
        <f t="shared" si="842"/>
        <v>0</v>
      </c>
      <c r="K503" s="36">
        <f t="shared" si="842"/>
        <v>0</v>
      </c>
      <c r="L503" s="36">
        <f t="shared" si="842"/>
        <v>0</v>
      </c>
      <c r="M503" s="36">
        <f t="shared" si="842"/>
        <v>0</v>
      </c>
      <c r="N503" s="36">
        <f t="shared" si="842"/>
        <v>21280.48</v>
      </c>
      <c r="O503" s="36">
        <f t="shared" si="842"/>
        <v>0</v>
      </c>
      <c r="P503" s="36">
        <f t="shared" si="842"/>
        <v>0</v>
      </c>
      <c r="Q503" s="36">
        <f t="shared" si="842"/>
        <v>0</v>
      </c>
      <c r="R503" s="36">
        <f t="shared" si="842"/>
        <v>0</v>
      </c>
      <c r="S503" s="36">
        <f t="shared" si="842"/>
        <v>0</v>
      </c>
      <c r="T503" s="36">
        <f t="shared" si="842"/>
        <v>0</v>
      </c>
      <c r="U503" s="36">
        <f t="shared" si="842"/>
        <v>0</v>
      </c>
      <c r="V503" s="36">
        <f t="shared" si="842"/>
        <v>0</v>
      </c>
      <c r="W503" s="36">
        <f t="shared" si="842"/>
        <v>0</v>
      </c>
      <c r="X503" s="36">
        <f t="shared" si="842"/>
        <v>0</v>
      </c>
      <c r="Y503" s="36">
        <f t="shared" si="842"/>
        <v>0</v>
      </c>
      <c r="Z503" s="36">
        <f t="shared" si="842"/>
        <v>0</v>
      </c>
      <c r="AA503" s="36">
        <f t="shared" si="842"/>
        <v>0</v>
      </c>
      <c r="AB503" s="36">
        <f t="shared" si="842"/>
        <v>0</v>
      </c>
      <c r="AC503" s="56"/>
      <c r="AD503" s="23"/>
    </row>
    <row r="504" spans="1:30" s="14" customFormat="1">
      <c r="A504" s="13" t="s">
        <v>50</v>
      </c>
      <c r="B504" s="27">
        <f>SUM(B248:B502)</f>
        <v>520564025.71649981</v>
      </c>
      <c r="C504" s="27">
        <f>SUM(C248:C502)</f>
        <v>43380335.489999987</v>
      </c>
      <c r="D504" s="6">
        <f>D249+D251+D253+D255+D257+D259+D261+D263+D265+D267+D269+D271+D273+D275+D277+D279+D281+D283+D285+D287+D289+D291+D293+D295+D297+D299+D301+D303+D305+D307+D309+D311+D313+D315+D317+D319+D321+D323+D325+D327+D329+D331+D333+D335+D337+D339+D341+D343+D345+D347+D349+D351+D353+D355+D357+D359+D361+D363+D365+D367+D369+D371+D373+D375+D377+D379+D381+D383+D385+D387+D389+D391+D393+D395+D397+D399+D401+D403+D405+D407+D409+D411+D413+D415+D417+D419+D421+D423+D425+D427+D429+D431+D433+D435+D437+D439+D441+D443+D445+D447+D449+D451+D453+D455+D457+D459+D461+D463+D465+D467+D469+D471+D473+D475+D477+D479+D481+D483+D485+D487+D489+D491+D493+D495+D497+D499+D501+D503</f>
        <v>279289.69169699994</v>
      </c>
      <c r="E504" s="6">
        <f t="shared" ref="E504:AB504" si="843">E249+E251+E253+E255+E257+E259+E261+E263+E265+E267+E269+E271+E273+E275+E277+E279+E281+E283+E285+E287+E289+E291+E293+E295+E297+E299+E301+E303+E305+E307+E309+E311+E313+E315+E317+E319+E321+E323+E325+E327+E329+E331+E333+E335+E337+E339+E341+E343+E345+E347+E349+E351+E353+E355+E357+E359+E361+E363+E365+E367+E369+E371+E373+E375+E377+E379+E381+E383+E385+E387+E389+E391+E393+E395+E397+E399+E401+E403+E405+E407+E409+E411+E413+E415+E417+E419+E421+E423+E425+E427+E429+E431+E433+E435+E437+E439+E441+E443+E445+E447+E449+E451+E453+E455+E457+E459+E461+E463+E465+E467+E469+E471+E473+E475+E477+E479+E481+E483+E485+E487+E489+E491+E493+E495+E497+E499+E501+E503</f>
        <v>2759434.0338129997</v>
      </c>
      <c r="F504" s="6">
        <f t="shared" si="843"/>
        <v>5026354.9942729995</v>
      </c>
      <c r="G504" s="6">
        <f t="shared" si="843"/>
        <v>1252973.4546780002</v>
      </c>
      <c r="H504" s="6">
        <f t="shared" si="843"/>
        <v>1062432.166487</v>
      </c>
      <c r="I504" s="6">
        <f t="shared" si="843"/>
        <v>2050469.6823930002</v>
      </c>
      <c r="J504" s="6">
        <f t="shared" si="843"/>
        <v>336379.38000300009</v>
      </c>
      <c r="K504" s="6">
        <f t="shared" si="843"/>
        <v>519530.03450300003</v>
      </c>
      <c r="L504" s="6">
        <f t="shared" si="843"/>
        <v>280711.23508999997</v>
      </c>
      <c r="M504" s="6">
        <f t="shared" si="843"/>
        <v>442254.57075300004</v>
      </c>
      <c r="N504" s="6">
        <f t="shared" si="843"/>
        <v>23595169.839861002</v>
      </c>
      <c r="O504" s="6">
        <f t="shared" si="843"/>
        <v>372326.385282</v>
      </c>
      <c r="P504" s="6">
        <f t="shared" si="843"/>
        <v>328.25925599999999</v>
      </c>
      <c r="Q504" s="6">
        <f t="shared" si="843"/>
        <v>634408.78602699994</v>
      </c>
      <c r="R504" s="6">
        <f t="shared" si="843"/>
        <v>314633.13975600002</v>
      </c>
      <c r="S504" s="6">
        <f t="shared" si="843"/>
        <v>68927.873090999987</v>
      </c>
      <c r="T504" s="6">
        <f t="shared" si="843"/>
        <v>867787.56470900006</v>
      </c>
      <c r="U504" s="6">
        <f t="shared" si="843"/>
        <v>287756.37082500005</v>
      </c>
      <c r="V504" s="6">
        <f t="shared" si="843"/>
        <v>1353080.193771</v>
      </c>
      <c r="W504" s="6">
        <f t="shared" si="843"/>
        <v>803231.95523400011</v>
      </c>
      <c r="X504" s="6">
        <f t="shared" si="843"/>
        <v>1019940.68994</v>
      </c>
      <c r="Y504" s="6">
        <f t="shared" si="843"/>
        <v>41108.052975000006</v>
      </c>
      <c r="Z504" s="6">
        <f t="shared" si="843"/>
        <v>279.98583599999995</v>
      </c>
      <c r="AA504" s="6">
        <f t="shared" si="843"/>
        <v>11527.149747000001</v>
      </c>
      <c r="AB504" s="6">
        <f t="shared" si="843"/>
        <v>0</v>
      </c>
      <c r="AC504" s="56"/>
      <c r="AD504" s="23"/>
    </row>
    <row r="505" spans="1:30" s="14" customFormat="1">
      <c r="A505" s="31"/>
      <c r="B505" s="27">
        <f>B504-B506</f>
        <v>517324245.06649983</v>
      </c>
      <c r="C505" s="27">
        <f>C504-C506</f>
        <v>43110353.769999988</v>
      </c>
      <c r="D505" s="2" t="s">
        <v>85</v>
      </c>
      <c r="E505" s="6"/>
      <c r="F505" s="1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19"/>
      <c r="U505" s="19"/>
      <c r="V505" s="19"/>
      <c r="W505" s="19"/>
      <c r="X505" s="19"/>
      <c r="Y505" s="19"/>
      <c r="Z505" s="19"/>
      <c r="AA505" s="19"/>
      <c r="AB505" s="19"/>
      <c r="AC505" s="56"/>
      <c r="AD505" s="23"/>
    </row>
    <row r="506" spans="1:30" s="14" customFormat="1">
      <c r="A506" s="20"/>
      <c r="B506" s="164">
        <v>3239780.65</v>
      </c>
      <c r="C506" s="164">
        <v>269981.71999999997</v>
      </c>
      <c r="D506" s="2" t="s">
        <v>608</v>
      </c>
      <c r="E506" s="22"/>
      <c r="F506" s="12"/>
      <c r="G506" s="11"/>
      <c r="H506" s="12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56"/>
      <c r="AD506" s="23"/>
    </row>
    <row r="507" spans="1:30" s="14" customFormat="1">
      <c r="A507" s="20"/>
      <c r="B507" s="144"/>
      <c r="C507" s="144"/>
      <c r="D507" s="2"/>
      <c r="E507" s="22"/>
      <c r="F507" s="12"/>
      <c r="G507" s="11"/>
      <c r="H507" s="12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56"/>
      <c r="AD507" s="23"/>
    </row>
    <row r="508" spans="1:30" s="14" customFormat="1">
      <c r="A508" s="31"/>
      <c r="B508" s="6"/>
      <c r="C508" s="153"/>
      <c r="D508" s="19"/>
      <c r="E508" s="19"/>
      <c r="F508" s="12"/>
      <c r="G508" s="12"/>
      <c r="H508" s="12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56"/>
      <c r="AD508" s="23"/>
    </row>
    <row r="509" spans="1:30" s="14" customFormat="1" ht="13.8" thickBot="1">
      <c r="A509" s="64" t="s">
        <v>86</v>
      </c>
      <c r="B509" s="65"/>
      <c r="C509" s="152"/>
      <c r="D509" s="65"/>
      <c r="E509" s="65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56"/>
      <c r="AD509" s="23"/>
    </row>
    <row r="510" spans="1:30" s="14" customFormat="1" ht="13.8" thickBot="1">
      <c r="A510" s="93" t="s">
        <v>1</v>
      </c>
      <c r="B510" s="94" t="s">
        <v>2</v>
      </c>
      <c r="C510" s="125" t="s">
        <v>3</v>
      </c>
      <c r="D510" s="211" t="s">
        <v>4</v>
      </c>
      <c r="E510" s="212"/>
      <c r="F510" s="212"/>
      <c r="G510" s="212"/>
      <c r="H510" s="212"/>
      <c r="I510" s="212"/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103"/>
      <c r="AA510" s="103"/>
      <c r="AB510" s="103"/>
      <c r="AC510" s="56"/>
      <c r="AD510" s="23"/>
    </row>
    <row r="511" spans="1:30" s="14" customFormat="1">
      <c r="A511" s="95" t="s">
        <v>5</v>
      </c>
      <c r="B511" s="96" t="s">
        <v>6</v>
      </c>
      <c r="C511" s="126" t="s">
        <v>6</v>
      </c>
      <c r="D511" s="97"/>
      <c r="E511" s="98"/>
      <c r="F511" s="98"/>
      <c r="G511" s="98"/>
      <c r="H511" s="98"/>
      <c r="I511" s="98"/>
      <c r="J511" s="98"/>
      <c r="K511" s="98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6" t="s">
        <v>7</v>
      </c>
      <c r="AA511" s="96"/>
      <c r="AB511" s="96"/>
      <c r="AC511" s="56"/>
      <c r="AD511" s="23"/>
    </row>
    <row r="512" spans="1:30" s="14" customFormat="1">
      <c r="A512" s="95" t="s">
        <v>8</v>
      </c>
      <c r="B512" s="96" t="s">
        <v>9</v>
      </c>
      <c r="C512" s="126" t="s">
        <v>9</v>
      </c>
      <c r="D512" s="100" t="s">
        <v>10</v>
      </c>
      <c r="E512" s="96" t="s">
        <v>11</v>
      </c>
      <c r="F512" s="96" t="s">
        <v>12</v>
      </c>
      <c r="G512" s="96" t="s">
        <v>13</v>
      </c>
      <c r="H512" s="96" t="s">
        <v>14</v>
      </c>
      <c r="I512" s="96" t="s">
        <v>15</v>
      </c>
      <c r="J512" s="96" t="s">
        <v>16</v>
      </c>
      <c r="K512" s="96" t="s">
        <v>17</v>
      </c>
      <c r="L512" s="96" t="s">
        <v>18</v>
      </c>
      <c r="M512" s="96" t="s">
        <v>19</v>
      </c>
      <c r="N512" s="96" t="s">
        <v>20</v>
      </c>
      <c r="O512" s="96" t="s">
        <v>169</v>
      </c>
      <c r="P512" s="96" t="s">
        <v>21</v>
      </c>
      <c r="Q512" s="96" t="s">
        <v>22</v>
      </c>
      <c r="R512" s="96" t="s">
        <v>23</v>
      </c>
      <c r="S512" s="96" t="s">
        <v>24</v>
      </c>
      <c r="T512" s="96" t="s">
        <v>25</v>
      </c>
      <c r="U512" s="96" t="s">
        <v>26</v>
      </c>
      <c r="V512" s="96" t="s">
        <v>27</v>
      </c>
      <c r="W512" s="96" t="s">
        <v>28</v>
      </c>
      <c r="X512" s="96" t="s">
        <v>29</v>
      </c>
      <c r="Y512" s="96" t="s">
        <v>30</v>
      </c>
      <c r="Z512" s="96" t="s">
        <v>31</v>
      </c>
      <c r="AA512" s="96" t="s">
        <v>484</v>
      </c>
      <c r="AB512" s="96" t="s">
        <v>467</v>
      </c>
      <c r="AC512" s="56"/>
      <c r="AD512" s="23"/>
    </row>
    <row r="513" spans="1:30" s="14" customFormat="1">
      <c r="A513" s="95"/>
      <c r="B513" s="98"/>
      <c r="C513" s="185" t="s">
        <v>696</v>
      </c>
      <c r="D513" s="101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56"/>
      <c r="AD513" s="23"/>
    </row>
    <row r="514" spans="1:30" s="14" customFormat="1">
      <c r="A514" s="78" t="s">
        <v>87</v>
      </c>
      <c r="B514" s="186">
        <v>1471408.49</v>
      </c>
      <c r="C514" s="130">
        <f>ROUND(B514/12,2)</f>
        <v>122617.37</v>
      </c>
      <c r="D514" s="4">
        <v>1.3599999999999999E-2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>
        <v>0.47760000000000002</v>
      </c>
      <c r="R514" s="4"/>
      <c r="S514" s="4"/>
      <c r="T514" s="4"/>
      <c r="U514" s="4"/>
      <c r="V514" s="4"/>
      <c r="W514" s="4"/>
      <c r="X514" s="4">
        <v>0.50880000000000003</v>
      </c>
      <c r="Y514" s="4"/>
      <c r="Z514" s="4"/>
      <c r="AA514" s="4"/>
      <c r="AB514" s="4"/>
      <c r="AC514" s="56"/>
      <c r="AD514" s="23"/>
    </row>
    <row r="515" spans="1:30" s="14" customFormat="1">
      <c r="A515" s="79"/>
      <c r="B515" s="9"/>
      <c r="C515" s="130"/>
      <c r="D515" s="5">
        <f t="shared" ref="D515" si="844">$C514*D514</f>
        <v>1667.5962319999999</v>
      </c>
      <c r="E515" s="5">
        <f t="shared" ref="E515" si="845">$C514*E514</f>
        <v>0</v>
      </c>
      <c r="F515" s="5">
        <f t="shared" ref="F515:AB515" si="846">$C514*F514</f>
        <v>0</v>
      </c>
      <c r="G515" s="5">
        <f t="shared" si="846"/>
        <v>0</v>
      </c>
      <c r="H515" s="5">
        <f t="shared" si="846"/>
        <v>0</v>
      </c>
      <c r="I515" s="5">
        <f t="shared" si="846"/>
        <v>0</v>
      </c>
      <c r="J515" s="5">
        <f t="shared" si="846"/>
        <v>0</v>
      </c>
      <c r="K515" s="5">
        <f t="shared" si="846"/>
        <v>0</v>
      </c>
      <c r="L515" s="5">
        <f t="shared" si="846"/>
        <v>0</v>
      </c>
      <c r="M515" s="5">
        <f t="shared" si="846"/>
        <v>0</v>
      </c>
      <c r="N515" s="5">
        <f t="shared" si="846"/>
        <v>0</v>
      </c>
      <c r="O515" s="5">
        <f t="shared" si="846"/>
        <v>0</v>
      </c>
      <c r="P515" s="5">
        <f t="shared" si="846"/>
        <v>0</v>
      </c>
      <c r="Q515" s="5">
        <f t="shared" si="846"/>
        <v>58562.055912000003</v>
      </c>
      <c r="R515" s="5">
        <f t="shared" si="846"/>
        <v>0</v>
      </c>
      <c r="S515" s="5">
        <f t="shared" si="846"/>
        <v>0</v>
      </c>
      <c r="T515" s="5">
        <f t="shared" si="846"/>
        <v>0</v>
      </c>
      <c r="U515" s="5">
        <f t="shared" si="846"/>
        <v>0</v>
      </c>
      <c r="V515" s="5">
        <f t="shared" si="846"/>
        <v>0</v>
      </c>
      <c r="W515" s="5">
        <f t="shared" si="846"/>
        <v>0</v>
      </c>
      <c r="X515" s="5">
        <f t="shared" si="846"/>
        <v>62387.717856000003</v>
      </c>
      <c r="Y515" s="5">
        <f t="shared" si="846"/>
        <v>0</v>
      </c>
      <c r="Z515" s="5">
        <f t="shared" si="846"/>
        <v>0</v>
      </c>
      <c r="AA515" s="5">
        <f t="shared" si="846"/>
        <v>0</v>
      </c>
      <c r="AB515" s="5">
        <f t="shared" si="846"/>
        <v>0</v>
      </c>
      <c r="AC515" s="56"/>
      <c r="AD515" s="23"/>
    </row>
    <row r="516" spans="1:30" s="14" customFormat="1">
      <c r="A516" s="78" t="s">
        <v>88</v>
      </c>
      <c r="B516" s="187">
        <v>606302.85</v>
      </c>
      <c r="C516" s="130">
        <f>ROUND(B516/12,2)</f>
        <v>50525.24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>
        <v>0.5111</v>
      </c>
      <c r="R516" s="4"/>
      <c r="S516" s="4"/>
      <c r="T516" s="4"/>
      <c r="U516" s="4"/>
      <c r="V516" s="4"/>
      <c r="W516" s="4"/>
      <c r="X516" s="4">
        <v>0.45960000000000001</v>
      </c>
      <c r="Y516" s="4">
        <v>2.93E-2</v>
      </c>
      <c r="Z516" s="4"/>
      <c r="AA516" s="4"/>
      <c r="AB516" s="4"/>
      <c r="AC516" s="56"/>
      <c r="AD516" s="23"/>
    </row>
    <row r="517" spans="1:30" s="14" customFormat="1">
      <c r="A517" s="79"/>
      <c r="B517" s="9"/>
      <c r="C517" s="130"/>
      <c r="D517" s="5">
        <f t="shared" ref="D517" si="847">$C516*D516</f>
        <v>0</v>
      </c>
      <c r="E517" s="5">
        <f t="shared" ref="E517" si="848">$C516*E516</f>
        <v>0</v>
      </c>
      <c r="F517" s="5">
        <f t="shared" ref="F517:AB517" si="849">$C516*F516</f>
        <v>0</v>
      </c>
      <c r="G517" s="5">
        <f t="shared" si="849"/>
        <v>0</v>
      </c>
      <c r="H517" s="5">
        <f t="shared" si="849"/>
        <v>0</v>
      </c>
      <c r="I517" s="5">
        <f t="shared" si="849"/>
        <v>0</v>
      </c>
      <c r="J517" s="5">
        <f t="shared" si="849"/>
        <v>0</v>
      </c>
      <c r="K517" s="5">
        <f t="shared" si="849"/>
        <v>0</v>
      </c>
      <c r="L517" s="5">
        <f t="shared" si="849"/>
        <v>0</v>
      </c>
      <c r="M517" s="5">
        <f t="shared" si="849"/>
        <v>0</v>
      </c>
      <c r="N517" s="5">
        <f t="shared" si="849"/>
        <v>0</v>
      </c>
      <c r="O517" s="5">
        <f t="shared" si="849"/>
        <v>0</v>
      </c>
      <c r="P517" s="5">
        <f t="shared" si="849"/>
        <v>0</v>
      </c>
      <c r="Q517" s="5">
        <f t="shared" si="849"/>
        <v>25823.450163999998</v>
      </c>
      <c r="R517" s="5">
        <f t="shared" si="849"/>
        <v>0</v>
      </c>
      <c r="S517" s="5">
        <f t="shared" si="849"/>
        <v>0</v>
      </c>
      <c r="T517" s="5">
        <f t="shared" si="849"/>
        <v>0</v>
      </c>
      <c r="U517" s="5">
        <f t="shared" si="849"/>
        <v>0</v>
      </c>
      <c r="V517" s="5">
        <f t="shared" si="849"/>
        <v>0</v>
      </c>
      <c r="W517" s="5">
        <f t="shared" si="849"/>
        <v>0</v>
      </c>
      <c r="X517" s="5">
        <f t="shared" si="849"/>
        <v>23221.400303999999</v>
      </c>
      <c r="Y517" s="5">
        <f t="shared" si="849"/>
        <v>1480.3895319999999</v>
      </c>
      <c r="Z517" s="5">
        <f t="shared" si="849"/>
        <v>0</v>
      </c>
      <c r="AA517" s="5">
        <f t="shared" si="849"/>
        <v>0</v>
      </c>
      <c r="AB517" s="5">
        <f t="shared" si="849"/>
        <v>0</v>
      </c>
      <c r="AC517" s="56"/>
      <c r="AD517" s="23"/>
    </row>
    <row r="518" spans="1:30" s="14" customFormat="1">
      <c r="A518" s="78" t="s">
        <v>89</v>
      </c>
      <c r="B518" s="187">
        <v>6495228.9000000004</v>
      </c>
      <c r="C518" s="130">
        <f>ROUND(B518/12,2)</f>
        <v>541269.07999999996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>
        <v>0.73450000000000004</v>
      </c>
      <c r="R518" s="4"/>
      <c r="S518" s="4"/>
      <c r="T518" s="4"/>
      <c r="U518" s="4"/>
      <c r="V518" s="4"/>
      <c r="W518" s="4"/>
      <c r="X518" s="4">
        <v>0.21779999999999999</v>
      </c>
      <c r="Y518" s="4">
        <v>4.7699999999999999E-2</v>
      </c>
      <c r="Z518" s="4"/>
      <c r="AA518" s="4"/>
      <c r="AB518" s="4"/>
      <c r="AC518" s="56"/>
      <c r="AD518" s="23"/>
    </row>
    <row r="519" spans="1:30" s="14" customFormat="1">
      <c r="A519" s="79"/>
      <c r="B519" s="9"/>
      <c r="C519" s="130"/>
      <c r="D519" s="5">
        <f t="shared" ref="D519" si="850">$C518*D518</f>
        <v>0</v>
      </c>
      <c r="E519" s="5">
        <f t="shared" ref="E519" si="851">$C518*E518</f>
        <v>0</v>
      </c>
      <c r="F519" s="5">
        <f t="shared" ref="F519:AB519" si="852">$C518*F518</f>
        <v>0</v>
      </c>
      <c r="G519" s="5">
        <f t="shared" si="852"/>
        <v>0</v>
      </c>
      <c r="H519" s="5">
        <f t="shared" si="852"/>
        <v>0</v>
      </c>
      <c r="I519" s="5">
        <f t="shared" si="852"/>
        <v>0</v>
      </c>
      <c r="J519" s="5">
        <f t="shared" si="852"/>
        <v>0</v>
      </c>
      <c r="K519" s="5">
        <f t="shared" si="852"/>
        <v>0</v>
      </c>
      <c r="L519" s="5">
        <f t="shared" si="852"/>
        <v>0</v>
      </c>
      <c r="M519" s="5">
        <f t="shared" si="852"/>
        <v>0</v>
      </c>
      <c r="N519" s="5">
        <f t="shared" si="852"/>
        <v>0</v>
      </c>
      <c r="O519" s="5">
        <f t="shared" si="852"/>
        <v>0</v>
      </c>
      <c r="P519" s="5">
        <f t="shared" si="852"/>
        <v>0</v>
      </c>
      <c r="Q519" s="5">
        <f t="shared" si="852"/>
        <v>397562.13925999997</v>
      </c>
      <c r="R519" s="5">
        <f t="shared" si="852"/>
        <v>0</v>
      </c>
      <c r="S519" s="5">
        <f t="shared" si="852"/>
        <v>0</v>
      </c>
      <c r="T519" s="5">
        <f t="shared" si="852"/>
        <v>0</v>
      </c>
      <c r="U519" s="5">
        <f t="shared" si="852"/>
        <v>0</v>
      </c>
      <c r="V519" s="5">
        <f t="shared" si="852"/>
        <v>0</v>
      </c>
      <c r="W519" s="5">
        <f t="shared" si="852"/>
        <v>0</v>
      </c>
      <c r="X519" s="5">
        <f t="shared" si="852"/>
        <v>117888.40562399999</v>
      </c>
      <c r="Y519" s="5">
        <f t="shared" si="852"/>
        <v>25818.535115999999</v>
      </c>
      <c r="Z519" s="5">
        <f t="shared" si="852"/>
        <v>0</v>
      </c>
      <c r="AA519" s="5">
        <f t="shared" si="852"/>
        <v>0</v>
      </c>
      <c r="AB519" s="5">
        <f t="shared" si="852"/>
        <v>0</v>
      </c>
      <c r="AC519" s="56"/>
      <c r="AD519" s="23"/>
    </row>
    <row r="520" spans="1:30" s="14" customFormat="1">
      <c r="A520" s="78" t="s">
        <v>90</v>
      </c>
      <c r="B520" s="187">
        <v>1641524.64</v>
      </c>
      <c r="C520" s="130">
        <f t="shared" ref="C520:C578" si="853">ROUND(B520/12,2)</f>
        <v>136793.72</v>
      </c>
      <c r="D520" s="4">
        <v>0.47010000000000002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>
        <v>7.0400000000000004E-2</v>
      </c>
      <c r="R520" s="4"/>
      <c r="S520" s="4">
        <v>2.8E-3</v>
      </c>
      <c r="T520" s="4">
        <v>0.2336</v>
      </c>
      <c r="U520" s="4"/>
      <c r="V520" s="4"/>
      <c r="W520" s="4"/>
      <c r="X520" s="4">
        <v>0.22309999999999999</v>
      </c>
      <c r="Y520" s="4"/>
      <c r="Z520" s="4"/>
      <c r="AA520" s="4"/>
      <c r="AB520" s="4"/>
      <c r="AC520" s="56"/>
      <c r="AD520" s="23"/>
    </row>
    <row r="521" spans="1:30" s="14" customFormat="1">
      <c r="A521" s="79"/>
      <c r="B521" s="9"/>
      <c r="C521" s="130"/>
      <c r="D521" s="5">
        <f t="shared" ref="D521" si="854">$C520*D520</f>
        <v>64306.727772000006</v>
      </c>
      <c r="E521" s="5">
        <f t="shared" ref="E521" si="855">$C520*E520</f>
        <v>0</v>
      </c>
      <c r="F521" s="5">
        <f t="shared" ref="F521:AB521" si="856">$C520*F520</f>
        <v>0</v>
      </c>
      <c r="G521" s="5">
        <f t="shared" si="856"/>
        <v>0</v>
      </c>
      <c r="H521" s="5">
        <f t="shared" si="856"/>
        <v>0</v>
      </c>
      <c r="I521" s="5">
        <f t="shared" si="856"/>
        <v>0</v>
      </c>
      <c r="J521" s="5">
        <f t="shared" si="856"/>
        <v>0</v>
      </c>
      <c r="K521" s="5">
        <f t="shared" si="856"/>
        <v>0</v>
      </c>
      <c r="L521" s="5">
        <f t="shared" si="856"/>
        <v>0</v>
      </c>
      <c r="M521" s="5">
        <f t="shared" si="856"/>
        <v>0</v>
      </c>
      <c r="N521" s="5">
        <f t="shared" si="856"/>
        <v>0</v>
      </c>
      <c r="O521" s="5">
        <f t="shared" si="856"/>
        <v>0</v>
      </c>
      <c r="P521" s="5">
        <f t="shared" si="856"/>
        <v>0</v>
      </c>
      <c r="Q521" s="5">
        <f t="shared" si="856"/>
        <v>9630.2778880000005</v>
      </c>
      <c r="R521" s="5">
        <f t="shared" si="856"/>
        <v>0</v>
      </c>
      <c r="S521" s="5">
        <f t="shared" si="856"/>
        <v>383.02241600000002</v>
      </c>
      <c r="T521" s="5">
        <f t="shared" si="856"/>
        <v>31955.012992</v>
      </c>
      <c r="U521" s="5">
        <f t="shared" si="856"/>
        <v>0</v>
      </c>
      <c r="V521" s="5">
        <f t="shared" si="856"/>
        <v>0</v>
      </c>
      <c r="W521" s="5">
        <f t="shared" si="856"/>
        <v>0</v>
      </c>
      <c r="X521" s="5">
        <f t="shared" si="856"/>
        <v>30518.678931999999</v>
      </c>
      <c r="Y521" s="5">
        <f t="shared" si="856"/>
        <v>0</v>
      </c>
      <c r="Z521" s="5">
        <f t="shared" si="856"/>
        <v>0</v>
      </c>
      <c r="AA521" s="5">
        <f t="shared" si="856"/>
        <v>0</v>
      </c>
      <c r="AB521" s="5">
        <f t="shared" si="856"/>
        <v>0</v>
      </c>
      <c r="AC521" s="56"/>
      <c r="AD521" s="23"/>
    </row>
    <row r="522" spans="1:30" s="14" customFormat="1">
      <c r="A522" s="78" t="s">
        <v>91</v>
      </c>
      <c r="B522" s="26">
        <f>2109267.23/2</f>
        <v>1054633.615</v>
      </c>
      <c r="C522" s="130">
        <f t="shared" si="853"/>
        <v>87886.13</v>
      </c>
      <c r="D522" s="35">
        <v>1.6299999999999999E-2</v>
      </c>
      <c r="E522" s="35">
        <v>0.14269999999999999</v>
      </c>
      <c r="F522" s="35">
        <v>5.8900000000000001E-2</v>
      </c>
      <c r="G522" s="35">
        <v>7.6200000000000004E-2</v>
      </c>
      <c r="H522" s="35">
        <v>3.9600000000000003E-2</v>
      </c>
      <c r="I522" s="35">
        <v>0.12470000000000001</v>
      </c>
      <c r="J522" s="35">
        <v>2.0400000000000001E-2</v>
      </c>
      <c r="K522" s="35">
        <v>3.1199999999999999E-2</v>
      </c>
      <c r="L522" s="35">
        <v>1.6199999999999999E-2</v>
      </c>
      <c r="M522" s="35">
        <v>2.53E-2</v>
      </c>
      <c r="N522" s="35">
        <v>0.14849999999999999</v>
      </c>
      <c r="O522" s="35">
        <v>2.2599999999999999E-2</v>
      </c>
      <c r="P522" s="35">
        <v>0</v>
      </c>
      <c r="Q522" s="35">
        <v>3.78E-2</v>
      </c>
      <c r="R522" s="35">
        <v>1.8100000000000002E-2</v>
      </c>
      <c r="S522" s="35">
        <v>4.1000000000000003E-3</v>
      </c>
      <c r="T522" s="35">
        <v>5.04E-2</v>
      </c>
      <c r="U522" s="35">
        <v>1.7500000000000002E-2</v>
      </c>
      <c r="V522" s="35">
        <v>3.6200000000000003E-2</v>
      </c>
      <c r="W522" s="35">
        <v>4.8500000000000001E-2</v>
      </c>
      <c r="X522" s="35">
        <v>6.1600000000000002E-2</v>
      </c>
      <c r="Y522" s="35">
        <v>2.5000000000000001E-3</v>
      </c>
      <c r="Z522" s="4">
        <v>0</v>
      </c>
      <c r="AA522" s="4">
        <v>6.9999999999999999E-4</v>
      </c>
      <c r="AB522" s="4">
        <v>0</v>
      </c>
      <c r="AC522" s="56"/>
      <c r="AD522" s="23"/>
    </row>
    <row r="523" spans="1:30" s="14" customFormat="1">
      <c r="A523" s="79"/>
      <c r="B523" s="27"/>
      <c r="C523" s="130"/>
      <c r="D523" s="5">
        <f t="shared" ref="D523" si="857">$C522*D522</f>
        <v>1432.543919</v>
      </c>
      <c r="E523" s="5">
        <f t="shared" ref="E523" si="858">$C522*E522</f>
        <v>12541.350751</v>
      </c>
      <c r="F523" s="5">
        <f t="shared" ref="F523:O523" si="859">$C522*F522</f>
        <v>5176.4930570000006</v>
      </c>
      <c r="G523" s="5">
        <f t="shared" si="859"/>
        <v>6696.9231060000011</v>
      </c>
      <c r="H523" s="5">
        <f t="shared" si="859"/>
        <v>3480.2907480000003</v>
      </c>
      <c r="I523" s="5">
        <f t="shared" si="859"/>
        <v>10959.400411000001</v>
      </c>
      <c r="J523" s="5">
        <f t="shared" si="859"/>
        <v>1792.8770520000003</v>
      </c>
      <c r="K523" s="5">
        <f t="shared" si="859"/>
        <v>2742.0472559999998</v>
      </c>
      <c r="L523" s="5">
        <f t="shared" si="859"/>
        <v>1423.755306</v>
      </c>
      <c r="M523" s="5">
        <f t="shared" si="859"/>
        <v>2223.5190889999999</v>
      </c>
      <c r="N523" s="5">
        <f t="shared" si="859"/>
        <v>13051.090305</v>
      </c>
      <c r="O523" s="5">
        <f t="shared" si="859"/>
        <v>1986.2265379999999</v>
      </c>
      <c r="P523" s="5">
        <f t="shared" ref="P523" si="860">$C522*P522</f>
        <v>0</v>
      </c>
      <c r="Q523" s="5">
        <f t="shared" ref="Q523" si="861">$C522*Q522</f>
        <v>3322.095714</v>
      </c>
      <c r="R523" s="5">
        <f t="shared" ref="R523:AB523" si="862">$C522*R522</f>
        <v>1590.7389530000003</v>
      </c>
      <c r="S523" s="5">
        <f t="shared" si="862"/>
        <v>360.33313300000003</v>
      </c>
      <c r="T523" s="5">
        <f t="shared" si="862"/>
        <v>4429.4609520000004</v>
      </c>
      <c r="U523" s="5">
        <f t="shared" si="862"/>
        <v>1538.0072750000002</v>
      </c>
      <c r="V523" s="5">
        <f t="shared" si="862"/>
        <v>3181.4779060000005</v>
      </c>
      <c r="W523" s="5">
        <f t="shared" si="862"/>
        <v>4262.4773050000003</v>
      </c>
      <c r="X523" s="5">
        <f t="shared" si="862"/>
        <v>5413.7856080000001</v>
      </c>
      <c r="Y523" s="5">
        <f t="shared" si="862"/>
        <v>219.71532500000001</v>
      </c>
      <c r="Z523" s="5">
        <f t="shared" si="862"/>
        <v>0</v>
      </c>
      <c r="AA523" s="5">
        <f t="shared" si="862"/>
        <v>61.520291</v>
      </c>
      <c r="AB523" s="5">
        <f t="shared" si="862"/>
        <v>0</v>
      </c>
      <c r="AC523" s="56"/>
      <c r="AD523" s="23"/>
    </row>
    <row r="524" spans="1:30" s="14" customFormat="1">
      <c r="A524" s="78" t="s">
        <v>427</v>
      </c>
      <c r="B524" s="26">
        <f>2109267.23/2</f>
        <v>1054633.615</v>
      </c>
      <c r="C524" s="130">
        <f t="shared" si="853"/>
        <v>87886.13</v>
      </c>
      <c r="D524" s="4">
        <v>0.14050000000000001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>
        <v>0.1956</v>
      </c>
      <c r="R524" s="4"/>
      <c r="S524" s="4">
        <v>2.24E-2</v>
      </c>
      <c r="T524" s="4">
        <v>0.17580000000000001</v>
      </c>
      <c r="U524" s="4"/>
      <c r="V524" s="4"/>
      <c r="W524" s="4"/>
      <c r="X524" s="4">
        <v>0.44940000000000002</v>
      </c>
      <c r="Y524" s="4">
        <v>1.6299999999999999E-2</v>
      </c>
      <c r="Z524" s="4"/>
      <c r="AA524" s="4"/>
      <c r="AB524" s="4"/>
      <c r="AC524" s="56"/>
      <c r="AD524" s="23"/>
    </row>
    <row r="525" spans="1:30" s="14" customFormat="1">
      <c r="A525" s="79"/>
      <c r="B525" s="9"/>
      <c r="C525" s="130"/>
      <c r="D525" s="5">
        <f t="shared" ref="D525" si="863">$C524*D524</f>
        <v>12348.001265000003</v>
      </c>
      <c r="E525" s="5">
        <f t="shared" ref="E525" si="864">$C524*E524</f>
        <v>0</v>
      </c>
      <c r="F525" s="5">
        <f t="shared" ref="F525:O525" si="865">$C524*F524</f>
        <v>0</v>
      </c>
      <c r="G525" s="5">
        <f t="shared" si="865"/>
        <v>0</v>
      </c>
      <c r="H525" s="5">
        <f t="shared" si="865"/>
        <v>0</v>
      </c>
      <c r="I525" s="5">
        <f t="shared" si="865"/>
        <v>0</v>
      </c>
      <c r="J525" s="5">
        <f t="shared" si="865"/>
        <v>0</v>
      </c>
      <c r="K525" s="5">
        <f t="shared" si="865"/>
        <v>0</v>
      </c>
      <c r="L525" s="5">
        <f t="shared" si="865"/>
        <v>0</v>
      </c>
      <c r="M525" s="5">
        <f t="shared" si="865"/>
        <v>0</v>
      </c>
      <c r="N525" s="5">
        <f t="shared" si="865"/>
        <v>0</v>
      </c>
      <c r="O525" s="5">
        <f t="shared" si="865"/>
        <v>0</v>
      </c>
      <c r="P525" s="5">
        <f t="shared" ref="P525" si="866">$C524*P524</f>
        <v>0</v>
      </c>
      <c r="Q525" s="5">
        <f t="shared" ref="Q525" si="867">$C524*Q524</f>
        <v>17190.527028</v>
      </c>
      <c r="R525" s="5">
        <f t="shared" ref="R525:AB525" si="868">$C524*R524</f>
        <v>0</v>
      </c>
      <c r="S525" s="5">
        <f t="shared" si="868"/>
        <v>1968.649312</v>
      </c>
      <c r="T525" s="5">
        <f t="shared" si="868"/>
        <v>15450.381654000003</v>
      </c>
      <c r="U525" s="5">
        <f t="shared" si="868"/>
        <v>0</v>
      </c>
      <c r="V525" s="5">
        <f t="shared" si="868"/>
        <v>0</v>
      </c>
      <c r="W525" s="5">
        <f t="shared" si="868"/>
        <v>0</v>
      </c>
      <c r="X525" s="5">
        <f t="shared" si="868"/>
        <v>39496.026822000007</v>
      </c>
      <c r="Y525" s="5">
        <f t="shared" si="868"/>
        <v>1432.543919</v>
      </c>
      <c r="Z525" s="5">
        <f t="shared" si="868"/>
        <v>0</v>
      </c>
      <c r="AA525" s="5">
        <f t="shared" si="868"/>
        <v>0</v>
      </c>
      <c r="AB525" s="5">
        <f t="shared" si="868"/>
        <v>0</v>
      </c>
      <c r="AC525" s="56"/>
      <c r="AD525" s="23"/>
    </row>
    <row r="526" spans="1:30" s="14" customFormat="1">
      <c r="A526" s="78" t="s">
        <v>92</v>
      </c>
      <c r="B526" s="187">
        <v>2041090.28</v>
      </c>
      <c r="C526" s="130">
        <f t="shared" si="853"/>
        <v>170090.86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>
        <v>0.998</v>
      </c>
      <c r="Y526" s="4">
        <v>2E-3</v>
      </c>
      <c r="Z526" s="4"/>
      <c r="AA526" s="4"/>
      <c r="AB526" s="4"/>
      <c r="AC526" s="56"/>
      <c r="AD526" s="23"/>
    </row>
    <row r="527" spans="1:30" s="14" customFormat="1">
      <c r="A527" s="79"/>
      <c r="B527" s="9"/>
      <c r="C527" s="130"/>
      <c r="D527" s="5">
        <f t="shared" ref="D527" si="869">$C526*D526</f>
        <v>0</v>
      </c>
      <c r="E527" s="5">
        <f t="shared" ref="E527" si="870">$C526*E526</f>
        <v>0</v>
      </c>
      <c r="F527" s="5">
        <f t="shared" ref="F527:AB527" si="871">$C526*F526</f>
        <v>0</v>
      </c>
      <c r="G527" s="5">
        <f t="shared" si="871"/>
        <v>0</v>
      </c>
      <c r="H527" s="5">
        <f t="shared" si="871"/>
        <v>0</v>
      </c>
      <c r="I527" s="5">
        <f t="shared" si="871"/>
        <v>0</v>
      </c>
      <c r="J527" s="5">
        <f t="shared" si="871"/>
        <v>0</v>
      </c>
      <c r="K527" s="5">
        <f t="shared" si="871"/>
        <v>0</v>
      </c>
      <c r="L527" s="5">
        <f t="shared" si="871"/>
        <v>0</v>
      </c>
      <c r="M527" s="5">
        <f t="shared" si="871"/>
        <v>0</v>
      </c>
      <c r="N527" s="5">
        <f t="shared" si="871"/>
        <v>0</v>
      </c>
      <c r="O527" s="5">
        <f t="shared" si="871"/>
        <v>0</v>
      </c>
      <c r="P527" s="5">
        <f t="shared" si="871"/>
        <v>0</v>
      </c>
      <c r="Q527" s="5">
        <f t="shared" si="871"/>
        <v>0</v>
      </c>
      <c r="R527" s="5">
        <f t="shared" si="871"/>
        <v>0</v>
      </c>
      <c r="S527" s="5">
        <f t="shared" si="871"/>
        <v>0</v>
      </c>
      <c r="T527" s="5">
        <f t="shared" si="871"/>
        <v>0</v>
      </c>
      <c r="U527" s="5">
        <f t="shared" si="871"/>
        <v>0</v>
      </c>
      <c r="V527" s="5">
        <f t="shared" si="871"/>
        <v>0</v>
      </c>
      <c r="W527" s="5">
        <f t="shared" si="871"/>
        <v>0</v>
      </c>
      <c r="X527" s="5">
        <f t="shared" si="871"/>
        <v>169750.67827999999</v>
      </c>
      <c r="Y527" s="5">
        <f t="shared" si="871"/>
        <v>340.18171999999998</v>
      </c>
      <c r="Z527" s="5">
        <f t="shared" si="871"/>
        <v>0</v>
      </c>
      <c r="AA527" s="5">
        <f t="shared" si="871"/>
        <v>0</v>
      </c>
      <c r="AB527" s="5">
        <f t="shared" si="871"/>
        <v>0</v>
      </c>
      <c r="AC527" s="56"/>
      <c r="AD527" s="23"/>
    </row>
    <row r="528" spans="1:30" s="14" customFormat="1">
      <c r="A528" s="78" t="s">
        <v>93</v>
      </c>
      <c r="B528" s="187">
        <v>1247299.1499999999</v>
      </c>
      <c r="C528" s="130">
        <f t="shared" si="853"/>
        <v>103941.6</v>
      </c>
      <c r="D528" s="37">
        <v>1.72E-2</v>
      </c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>
        <v>0.25940000000000002</v>
      </c>
      <c r="R528" s="37"/>
      <c r="S528" s="37">
        <v>0.1062</v>
      </c>
      <c r="T528" s="37"/>
      <c r="U528" s="37"/>
      <c r="V528" s="37"/>
      <c r="W528" s="37"/>
      <c r="X528" s="37">
        <v>0.59589999999999999</v>
      </c>
      <c r="Y528" s="37"/>
      <c r="Z528" s="37">
        <v>2.1299999999999999E-2</v>
      </c>
      <c r="AA528" s="37">
        <v>0</v>
      </c>
      <c r="AB528" s="37">
        <v>0</v>
      </c>
      <c r="AC528" s="56"/>
      <c r="AD528" s="23"/>
    </row>
    <row r="529" spans="1:30" s="14" customFormat="1">
      <c r="A529" s="79"/>
      <c r="B529" s="9"/>
      <c r="C529" s="130"/>
      <c r="D529" s="36">
        <f t="shared" ref="D529" si="872">$C528*D528</f>
        <v>1787.7955200000001</v>
      </c>
      <c r="E529" s="36">
        <f t="shared" ref="E529" si="873">$C528*E528</f>
        <v>0</v>
      </c>
      <c r="F529" s="36">
        <f t="shared" ref="F529:AB529" si="874">$C528*F528</f>
        <v>0</v>
      </c>
      <c r="G529" s="36">
        <f t="shared" si="874"/>
        <v>0</v>
      </c>
      <c r="H529" s="36">
        <f t="shared" si="874"/>
        <v>0</v>
      </c>
      <c r="I529" s="36">
        <f t="shared" si="874"/>
        <v>0</v>
      </c>
      <c r="J529" s="36">
        <f t="shared" si="874"/>
        <v>0</v>
      </c>
      <c r="K529" s="36">
        <f t="shared" si="874"/>
        <v>0</v>
      </c>
      <c r="L529" s="36">
        <f t="shared" si="874"/>
        <v>0</v>
      </c>
      <c r="M529" s="36">
        <f t="shared" si="874"/>
        <v>0</v>
      </c>
      <c r="N529" s="36">
        <f t="shared" si="874"/>
        <v>0</v>
      </c>
      <c r="O529" s="36">
        <f t="shared" si="874"/>
        <v>0</v>
      </c>
      <c r="P529" s="36">
        <f t="shared" si="874"/>
        <v>0</v>
      </c>
      <c r="Q529" s="36">
        <f t="shared" si="874"/>
        <v>26962.451040000004</v>
      </c>
      <c r="R529" s="36">
        <f t="shared" si="874"/>
        <v>0</v>
      </c>
      <c r="S529" s="36">
        <f t="shared" si="874"/>
        <v>11038.59792</v>
      </c>
      <c r="T529" s="36">
        <f t="shared" si="874"/>
        <v>0</v>
      </c>
      <c r="U529" s="36">
        <f t="shared" si="874"/>
        <v>0</v>
      </c>
      <c r="V529" s="36">
        <f t="shared" si="874"/>
        <v>0</v>
      </c>
      <c r="W529" s="36">
        <f t="shared" si="874"/>
        <v>0</v>
      </c>
      <c r="X529" s="36">
        <f t="shared" si="874"/>
        <v>61938.799440000003</v>
      </c>
      <c r="Y529" s="36">
        <f t="shared" si="874"/>
        <v>0</v>
      </c>
      <c r="Z529" s="36">
        <f t="shared" si="874"/>
        <v>2213.9560799999999</v>
      </c>
      <c r="AA529" s="36">
        <f t="shared" si="874"/>
        <v>0</v>
      </c>
      <c r="AB529" s="36">
        <f t="shared" si="874"/>
        <v>0</v>
      </c>
      <c r="AC529" s="56"/>
      <c r="AD529" s="23"/>
    </row>
    <row r="530" spans="1:30" s="14" customFormat="1">
      <c r="A530" s="78" t="s">
        <v>94</v>
      </c>
      <c r="B530" s="187">
        <v>543487.92000000004</v>
      </c>
      <c r="C530" s="130">
        <f>ROUND(B530/12,2)</f>
        <v>45290.66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>
        <v>0.42949999999999999</v>
      </c>
      <c r="R530" s="4"/>
      <c r="S530" s="4">
        <v>0.17899999999999999</v>
      </c>
      <c r="T530" s="4"/>
      <c r="U530" s="4"/>
      <c r="V530" s="4"/>
      <c r="W530" s="4"/>
      <c r="X530" s="4">
        <v>0.3836</v>
      </c>
      <c r="Y530" s="4">
        <v>7.9000000000000008E-3</v>
      </c>
      <c r="Z530" s="4"/>
      <c r="AA530" s="4"/>
      <c r="AB530" s="4"/>
      <c r="AC530" s="56"/>
      <c r="AD530" s="23"/>
    </row>
    <row r="531" spans="1:30" s="14" customFormat="1">
      <c r="A531" s="79"/>
      <c r="B531" s="9"/>
      <c r="C531" s="130"/>
      <c r="D531" s="5">
        <f t="shared" ref="D531" si="875">$C530*D530</f>
        <v>0</v>
      </c>
      <c r="E531" s="5">
        <f t="shared" ref="E531" si="876">$C530*E530</f>
        <v>0</v>
      </c>
      <c r="F531" s="5">
        <f t="shared" ref="F531:AB531" si="877">$C530*F530</f>
        <v>0</v>
      </c>
      <c r="G531" s="5">
        <f t="shared" si="877"/>
        <v>0</v>
      </c>
      <c r="H531" s="5">
        <f t="shared" si="877"/>
        <v>0</v>
      </c>
      <c r="I531" s="5">
        <f t="shared" si="877"/>
        <v>0</v>
      </c>
      <c r="J531" s="5">
        <f t="shared" si="877"/>
        <v>0</v>
      </c>
      <c r="K531" s="5">
        <f t="shared" si="877"/>
        <v>0</v>
      </c>
      <c r="L531" s="5">
        <f t="shared" si="877"/>
        <v>0</v>
      </c>
      <c r="M531" s="5">
        <f t="shared" si="877"/>
        <v>0</v>
      </c>
      <c r="N531" s="5">
        <f t="shared" si="877"/>
        <v>0</v>
      </c>
      <c r="O531" s="5">
        <f t="shared" si="877"/>
        <v>0</v>
      </c>
      <c r="P531" s="5">
        <f t="shared" si="877"/>
        <v>0</v>
      </c>
      <c r="Q531" s="5">
        <f t="shared" si="877"/>
        <v>19452.338470000002</v>
      </c>
      <c r="R531" s="5">
        <f t="shared" si="877"/>
        <v>0</v>
      </c>
      <c r="S531" s="5">
        <f t="shared" si="877"/>
        <v>8107.0281400000003</v>
      </c>
      <c r="T531" s="5">
        <f t="shared" si="877"/>
        <v>0</v>
      </c>
      <c r="U531" s="5">
        <f t="shared" si="877"/>
        <v>0</v>
      </c>
      <c r="V531" s="5">
        <f t="shared" si="877"/>
        <v>0</v>
      </c>
      <c r="W531" s="5">
        <f t="shared" si="877"/>
        <v>0</v>
      </c>
      <c r="X531" s="5">
        <f t="shared" si="877"/>
        <v>17373.497176000001</v>
      </c>
      <c r="Y531" s="5">
        <f t="shared" si="877"/>
        <v>357.79621400000008</v>
      </c>
      <c r="Z531" s="5">
        <f t="shared" si="877"/>
        <v>0</v>
      </c>
      <c r="AA531" s="5">
        <f t="shared" si="877"/>
        <v>0</v>
      </c>
      <c r="AB531" s="5">
        <f t="shared" si="877"/>
        <v>0</v>
      </c>
      <c r="AC531" s="56"/>
      <c r="AD531" s="23"/>
    </row>
    <row r="532" spans="1:30" s="14" customFormat="1">
      <c r="A532" s="78" t="s">
        <v>95</v>
      </c>
      <c r="B532" s="188">
        <f>70349160.65/2</f>
        <v>35174580.325000003</v>
      </c>
      <c r="C532" s="130">
        <f t="shared" si="853"/>
        <v>2931215.03</v>
      </c>
      <c r="D532" s="35">
        <v>1.6299999999999999E-2</v>
      </c>
      <c r="E532" s="35">
        <v>0.14269999999999999</v>
      </c>
      <c r="F532" s="35">
        <v>5.8900000000000001E-2</v>
      </c>
      <c r="G532" s="35">
        <v>7.6200000000000004E-2</v>
      </c>
      <c r="H532" s="35">
        <v>3.9600000000000003E-2</v>
      </c>
      <c r="I532" s="35">
        <v>0.12470000000000001</v>
      </c>
      <c r="J532" s="35">
        <v>2.0400000000000001E-2</v>
      </c>
      <c r="K532" s="35">
        <v>3.1199999999999999E-2</v>
      </c>
      <c r="L532" s="35">
        <v>1.6199999999999999E-2</v>
      </c>
      <c r="M532" s="35">
        <v>2.53E-2</v>
      </c>
      <c r="N532" s="35">
        <v>0.14849999999999999</v>
      </c>
      <c r="O532" s="35">
        <v>2.2599999999999999E-2</v>
      </c>
      <c r="P532" s="35">
        <v>0</v>
      </c>
      <c r="Q532" s="35">
        <v>3.78E-2</v>
      </c>
      <c r="R532" s="35">
        <v>1.8100000000000002E-2</v>
      </c>
      <c r="S532" s="35">
        <v>4.1000000000000003E-3</v>
      </c>
      <c r="T532" s="35">
        <v>5.04E-2</v>
      </c>
      <c r="U532" s="35">
        <v>1.7500000000000002E-2</v>
      </c>
      <c r="V532" s="35">
        <v>3.6200000000000003E-2</v>
      </c>
      <c r="W532" s="35">
        <v>4.8500000000000001E-2</v>
      </c>
      <c r="X532" s="35">
        <v>6.1600000000000002E-2</v>
      </c>
      <c r="Y532" s="35">
        <v>2.5000000000000001E-3</v>
      </c>
      <c r="Z532" s="4">
        <v>0</v>
      </c>
      <c r="AA532" s="4">
        <v>6.9999999999999999E-4</v>
      </c>
      <c r="AB532" s="4">
        <v>0</v>
      </c>
      <c r="AC532" s="56"/>
      <c r="AD532" s="23"/>
    </row>
    <row r="533" spans="1:30" s="14" customFormat="1">
      <c r="A533" s="79"/>
      <c r="B533" s="27"/>
      <c r="C533" s="130"/>
      <c r="D533" s="5">
        <f t="shared" ref="D533" si="878">$C532*D532</f>
        <v>47778.804988999989</v>
      </c>
      <c r="E533" s="5">
        <f t="shared" ref="E533" si="879">$C532*E532</f>
        <v>418284.38478099997</v>
      </c>
      <c r="F533" s="5">
        <f t="shared" ref="F533:O533" si="880">$C532*F532</f>
        <v>172648.565267</v>
      </c>
      <c r="G533" s="5">
        <f t="shared" si="880"/>
        <v>223358.58528599999</v>
      </c>
      <c r="H533" s="5">
        <f t="shared" si="880"/>
        <v>116076.115188</v>
      </c>
      <c r="I533" s="5">
        <f t="shared" si="880"/>
        <v>365522.514241</v>
      </c>
      <c r="J533" s="5">
        <f t="shared" si="880"/>
        <v>59796.786612000004</v>
      </c>
      <c r="K533" s="5">
        <f t="shared" si="880"/>
        <v>91453.908935999993</v>
      </c>
      <c r="L533" s="5">
        <f t="shared" si="880"/>
        <v>47485.683485999994</v>
      </c>
      <c r="M533" s="5">
        <f t="shared" si="880"/>
        <v>74159.740258999998</v>
      </c>
      <c r="N533" s="5">
        <f t="shared" si="880"/>
        <v>435285.43195499998</v>
      </c>
      <c r="O533" s="5">
        <f t="shared" si="880"/>
        <v>66245.459677999985</v>
      </c>
      <c r="P533" s="5">
        <f t="shared" ref="P533" si="881">$C532*P532</f>
        <v>0</v>
      </c>
      <c r="Q533" s="5">
        <f t="shared" ref="Q533" si="882">$C532*Q532</f>
        <v>110799.92813399999</v>
      </c>
      <c r="R533" s="5">
        <f t="shared" ref="R533:AB533" si="883">$C532*R532</f>
        <v>53054.992042999998</v>
      </c>
      <c r="S533" s="5">
        <f t="shared" si="883"/>
        <v>12017.981623</v>
      </c>
      <c r="T533" s="5">
        <f t="shared" si="883"/>
        <v>147733.23751199999</v>
      </c>
      <c r="U533" s="5">
        <f t="shared" si="883"/>
        <v>51296.263025</v>
      </c>
      <c r="V533" s="5">
        <f t="shared" si="883"/>
        <v>106109.984086</v>
      </c>
      <c r="W533" s="5">
        <f t="shared" si="883"/>
        <v>142163.92895499998</v>
      </c>
      <c r="X533" s="5">
        <f t="shared" si="883"/>
        <v>180562.845848</v>
      </c>
      <c r="Y533" s="5">
        <f t="shared" si="883"/>
        <v>7328.0375749999994</v>
      </c>
      <c r="Z533" s="5">
        <f t="shared" si="883"/>
        <v>0</v>
      </c>
      <c r="AA533" s="5">
        <f t="shared" si="883"/>
        <v>2051.8505209999998</v>
      </c>
      <c r="AB533" s="5">
        <f t="shared" si="883"/>
        <v>0</v>
      </c>
      <c r="AC533" s="56"/>
      <c r="AD533" s="23"/>
    </row>
    <row r="534" spans="1:30" s="14" customFormat="1">
      <c r="A534" s="78" t="s">
        <v>428</v>
      </c>
      <c r="B534" s="188">
        <f>70349160.65/2</f>
        <v>35174580.325000003</v>
      </c>
      <c r="C534" s="130">
        <f t="shared" si="853"/>
        <v>2931215.03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>
        <v>0.26929999999999998</v>
      </c>
      <c r="R534" s="4"/>
      <c r="S534" s="4">
        <v>2.9100000000000001E-2</v>
      </c>
      <c r="T534" s="4"/>
      <c r="U534" s="4"/>
      <c r="V534" s="4"/>
      <c r="W534" s="4"/>
      <c r="X534" s="4">
        <v>0.67700000000000005</v>
      </c>
      <c r="Y534" s="4">
        <v>2.46E-2</v>
      </c>
      <c r="Z534" s="4"/>
      <c r="AA534" s="4"/>
      <c r="AB534" s="4"/>
      <c r="AC534" s="56"/>
      <c r="AD534" s="23"/>
    </row>
    <row r="535" spans="1:30" s="14" customFormat="1">
      <c r="A535" s="79"/>
      <c r="B535" s="9"/>
      <c r="C535" s="130"/>
      <c r="D535" s="5">
        <f t="shared" ref="D535" si="884">$C534*D534</f>
        <v>0</v>
      </c>
      <c r="E535" s="5">
        <f t="shared" ref="E535" si="885">$C534*E534</f>
        <v>0</v>
      </c>
      <c r="F535" s="5">
        <f t="shared" ref="F535:O535" si="886">$C534*F534</f>
        <v>0</v>
      </c>
      <c r="G535" s="5">
        <f t="shared" si="886"/>
        <v>0</v>
      </c>
      <c r="H535" s="5">
        <f t="shared" si="886"/>
        <v>0</v>
      </c>
      <c r="I535" s="5">
        <f t="shared" si="886"/>
        <v>0</v>
      </c>
      <c r="J535" s="5">
        <f t="shared" si="886"/>
        <v>0</v>
      </c>
      <c r="K535" s="5">
        <f t="shared" si="886"/>
        <v>0</v>
      </c>
      <c r="L535" s="5">
        <f t="shared" si="886"/>
        <v>0</v>
      </c>
      <c r="M535" s="5">
        <f t="shared" si="886"/>
        <v>0</v>
      </c>
      <c r="N535" s="5">
        <f t="shared" si="886"/>
        <v>0</v>
      </c>
      <c r="O535" s="5">
        <f t="shared" si="886"/>
        <v>0</v>
      </c>
      <c r="P535" s="5">
        <f t="shared" ref="P535" si="887">$C534*P534</f>
        <v>0</v>
      </c>
      <c r="Q535" s="5">
        <f t="shared" ref="Q535" si="888">$C534*Q534</f>
        <v>789376.20757899992</v>
      </c>
      <c r="R535" s="5">
        <f t="shared" ref="R535:AB535" si="889">$C534*R534</f>
        <v>0</v>
      </c>
      <c r="S535" s="5">
        <f t="shared" si="889"/>
        <v>85298.357372999992</v>
      </c>
      <c r="T535" s="5">
        <f t="shared" si="889"/>
        <v>0</v>
      </c>
      <c r="U535" s="5">
        <f t="shared" si="889"/>
        <v>0</v>
      </c>
      <c r="V535" s="5">
        <f t="shared" si="889"/>
        <v>0</v>
      </c>
      <c r="W535" s="5">
        <f t="shared" si="889"/>
        <v>0</v>
      </c>
      <c r="X535" s="5">
        <f t="shared" si="889"/>
        <v>1984432.57531</v>
      </c>
      <c r="Y535" s="5">
        <f t="shared" si="889"/>
        <v>72107.889737999998</v>
      </c>
      <c r="Z535" s="5">
        <f t="shared" si="889"/>
        <v>0</v>
      </c>
      <c r="AA535" s="5">
        <f t="shared" si="889"/>
        <v>0</v>
      </c>
      <c r="AB535" s="5">
        <f t="shared" si="889"/>
        <v>0</v>
      </c>
      <c r="AC535" s="56"/>
      <c r="AD535" s="23"/>
    </row>
    <row r="536" spans="1:30" s="14" customFormat="1">
      <c r="A536" s="78" t="s">
        <v>96</v>
      </c>
      <c r="B536" s="188">
        <v>3849376.42</v>
      </c>
      <c r="C536" s="130">
        <f t="shared" si="853"/>
        <v>320781.37</v>
      </c>
      <c r="D536" s="37">
        <v>5.0900000000000001E-2</v>
      </c>
      <c r="E536" s="37"/>
      <c r="F536" s="37"/>
      <c r="G536" s="37"/>
      <c r="H536" s="37"/>
      <c r="I536" s="37">
        <v>2.8999999999999998E-3</v>
      </c>
      <c r="J536" s="37">
        <v>2.9999999999999997E-4</v>
      </c>
      <c r="K536" s="37"/>
      <c r="L536" s="37"/>
      <c r="M536" s="37">
        <v>1.7600000000000001E-2</v>
      </c>
      <c r="N536" s="37"/>
      <c r="O536" s="37"/>
      <c r="P536" s="37"/>
      <c r="Q536" s="37">
        <v>0.32729999999999998</v>
      </c>
      <c r="R536" s="37"/>
      <c r="S536" s="37">
        <v>6.3200000000000006E-2</v>
      </c>
      <c r="T536" s="37">
        <v>0.1004</v>
      </c>
      <c r="U536" s="37">
        <v>5.5999999999999999E-3</v>
      </c>
      <c r="V536" s="37"/>
      <c r="W536" s="37"/>
      <c r="X536" s="37">
        <v>0.40710000000000002</v>
      </c>
      <c r="Y536" s="37">
        <v>1.52E-2</v>
      </c>
      <c r="Z536" s="37">
        <v>9.4999999999999998E-3</v>
      </c>
      <c r="AA536" s="37">
        <v>0</v>
      </c>
      <c r="AB536" s="37">
        <v>0</v>
      </c>
      <c r="AC536" s="56"/>
      <c r="AD536" s="23"/>
    </row>
    <row r="537" spans="1:30" s="14" customFormat="1">
      <c r="A537" s="79"/>
      <c r="B537" s="9"/>
      <c r="C537" s="130"/>
      <c r="D537" s="36">
        <f t="shared" ref="D537" si="890">$C536*D536</f>
        <v>16327.771733</v>
      </c>
      <c r="E537" s="36">
        <f t="shared" ref="E537" si="891">$C536*E536</f>
        <v>0</v>
      </c>
      <c r="F537" s="36">
        <f t="shared" ref="F537:AB537" si="892">$C536*F536</f>
        <v>0</v>
      </c>
      <c r="G537" s="36">
        <f t="shared" si="892"/>
        <v>0</v>
      </c>
      <c r="H537" s="36">
        <f t="shared" si="892"/>
        <v>0</v>
      </c>
      <c r="I537" s="36">
        <f t="shared" si="892"/>
        <v>930.26597299999992</v>
      </c>
      <c r="J537" s="36">
        <f t="shared" si="892"/>
        <v>96.234410999999994</v>
      </c>
      <c r="K537" s="36">
        <f t="shared" si="892"/>
        <v>0</v>
      </c>
      <c r="L537" s="36">
        <f t="shared" si="892"/>
        <v>0</v>
      </c>
      <c r="M537" s="36">
        <f t="shared" si="892"/>
        <v>5645.7521120000001</v>
      </c>
      <c r="N537" s="36">
        <f t="shared" si="892"/>
        <v>0</v>
      </c>
      <c r="O537" s="36">
        <f t="shared" si="892"/>
        <v>0</v>
      </c>
      <c r="P537" s="36">
        <f t="shared" si="892"/>
        <v>0</v>
      </c>
      <c r="Q537" s="36">
        <f t="shared" si="892"/>
        <v>104991.742401</v>
      </c>
      <c r="R537" s="36">
        <f t="shared" si="892"/>
        <v>0</v>
      </c>
      <c r="S537" s="36">
        <f t="shared" si="892"/>
        <v>20273.382584000003</v>
      </c>
      <c r="T537" s="36">
        <f t="shared" si="892"/>
        <v>32206.449548000001</v>
      </c>
      <c r="U537" s="36">
        <f t="shared" si="892"/>
        <v>1796.3756719999999</v>
      </c>
      <c r="V537" s="36">
        <f t="shared" si="892"/>
        <v>0</v>
      </c>
      <c r="W537" s="36">
        <f t="shared" si="892"/>
        <v>0</v>
      </c>
      <c r="X537" s="36">
        <f t="shared" si="892"/>
        <v>130590.09572700001</v>
      </c>
      <c r="Y537" s="36">
        <f t="shared" si="892"/>
        <v>4875.8768239999999</v>
      </c>
      <c r="Z537" s="36">
        <f t="shared" si="892"/>
        <v>3047.4230149999999</v>
      </c>
      <c r="AA537" s="36">
        <f t="shared" si="892"/>
        <v>0</v>
      </c>
      <c r="AB537" s="36">
        <f t="shared" si="892"/>
        <v>0</v>
      </c>
      <c r="AC537" s="56"/>
      <c r="AD537" s="23"/>
    </row>
    <row r="538" spans="1:30" s="14" customFormat="1">
      <c r="A538" s="78" t="s">
        <v>97</v>
      </c>
      <c r="B538" s="26">
        <f>2118.9/2</f>
        <v>1059.45</v>
      </c>
      <c r="C538" s="130">
        <f t="shared" si="853"/>
        <v>88.29</v>
      </c>
      <c r="D538" s="35">
        <v>1.6299999999999999E-2</v>
      </c>
      <c r="E538" s="35">
        <v>0.14269999999999999</v>
      </c>
      <c r="F538" s="35">
        <v>5.8900000000000001E-2</v>
      </c>
      <c r="G538" s="35">
        <v>7.6200000000000004E-2</v>
      </c>
      <c r="H538" s="35">
        <v>3.9600000000000003E-2</v>
      </c>
      <c r="I538" s="35">
        <v>0.12470000000000001</v>
      </c>
      <c r="J538" s="35">
        <v>2.0400000000000001E-2</v>
      </c>
      <c r="K538" s="35">
        <v>3.1199999999999999E-2</v>
      </c>
      <c r="L538" s="35">
        <v>1.6199999999999999E-2</v>
      </c>
      <c r="M538" s="35">
        <v>2.53E-2</v>
      </c>
      <c r="N538" s="35">
        <v>0.14849999999999999</v>
      </c>
      <c r="O538" s="35">
        <v>2.2599999999999999E-2</v>
      </c>
      <c r="P538" s="35">
        <v>0</v>
      </c>
      <c r="Q538" s="35">
        <v>3.78E-2</v>
      </c>
      <c r="R538" s="35">
        <v>1.8100000000000002E-2</v>
      </c>
      <c r="S538" s="35">
        <v>4.1000000000000003E-3</v>
      </c>
      <c r="T538" s="35">
        <v>5.04E-2</v>
      </c>
      <c r="U538" s="35">
        <v>1.7500000000000002E-2</v>
      </c>
      <c r="V538" s="35">
        <v>3.6200000000000003E-2</v>
      </c>
      <c r="W538" s="35">
        <v>4.8500000000000001E-2</v>
      </c>
      <c r="X538" s="35">
        <v>6.1600000000000002E-2</v>
      </c>
      <c r="Y538" s="35">
        <v>2.5000000000000001E-3</v>
      </c>
      <c r="Z538" s="4">
        <v>0</v>
      </c>
      <c r="AA538" s="4">
        <v>6.9999999999999999E-4</v>
      </c>
      <c r="AB538" s="4">
        <v>0</v>
      </c>
      <c r="AC538" s="56"/>
      <c r="AD538" s="23"/>
    </row>
    <row r="539" spans="1:30" s="14" customFormat="1">
      <c r="A539" s="79"/>
      <c r="B539" s="27"/>
      <c r="C539" s="130"/>
      <c r="D539" s="5">
        <f t="shared" ref="D539" si="893">$C538*D538</f>
        <v>1.439127</v>
      </c>
      <c r="E539" s="5">
        <f t="shared" ref="E539" si="894">$C538*E538</f>
        <v>12.598983</v>
      </c>
      <c r="F539" s="5">
        <f t="shared" ref="F539:O539" si="895">$C538*F538</f>
        <v>5.2002810000000004</v>
      </c>
      <c r="G539" s="5">
        <f t="shared" si="895"/>
        <v>6.7276980000000011</v>
      </c>
      <c r="H539" s="5">
        <f t="shared" si="895"/>
        <v>3.4962840000000006</v>
      </c>
      <c r="I539" s="5">
        <f t="shared" si="895"/>
        <v>11.009763000000001</v>
      </c>
      <c r="J539" s="5">
        <f t="shared" si="895"/>
        <v>1.8011160000000002</v>
      </c>
      <c r="K539" s="5">
        <f t="shared" si="895"/>
        <v>2.754648</v>
      </c>
      <c r="L539" s="5">
        <f t="shared" si="895"/>
        <v>1.4302980000000001</v>
      </c>
      <c r="M539" s="5">
        <f t="shared" si="895"/>
        <v>2.2337370000000001</v>
      </c>
      <c r="N539" s="5">
        <f t="shared" si="895"/>
        <v>13.111065</v>
      </c>
      <c r="O539" s="5">
        <f t="shared" si="895"/>
        <v>1.9953540000000001</v>
      </c>
      <c r="P539" s="5">
        <f t="shared" ref="P539" si="896">$C538*P538</f>
        <v>0</v>
      </c>
      <c r="Q539" s="5">
        <f t="shared" ref="Q539" si="897">$C538*Q538</f>
        <v>3.3373620000000002</v>
      </c>
      <c r="R539" s="5">
        <f t="shared" ref="R539:AB539" si="898">$C538*R538</f>
        <v>1.5980490000000003</v>
      </c>
      <c r="S539" s="5">
        <f t="shared" si="898"/>
        <v>0.36198900000000006</v>
      </c>
      <c r="T539" s="5">
        <f t="shared" si="898"/>
        <v>4.4498160000000002</v>
      </c>
      <c r="U539" s="5">
        <f t="shared" si="898"/>
        <v>1.5450750000000002</v>
      </c>
      <c r="V539" s="5">
        <f t="shared" si="898"/>
        <v>3.1960980000000005</v>
      </c>
      <c r="W539" s="5">
        <f t="shared" si="898"/>
        <v>4.2820650000000002</v>
      </c>
      <c r="X539" s="5">
        <f t="shared" si="898"/>
        <v>5.4386640000000002</v>
      </c>
      <c r="Y539" s="5">
        <f t="shared" si="898"/>
        <v>0.22072500000000003</v>
      </c>
      <c r="Z539" s="5">
        <f t="shared" si="898"/>
        <v>0</v>
      </c>
      <c r="AA539" s="5">
        <f t="shared" si="898"/>
        <v>6.1803000000000004E-2</v>
      </c>
      <c r="AB539" s="5">
        <f t="shared" si="898"/>
        <v>0</v>
      </c>
      <c r="AC539" s="56"/>
      <c r="AD539" s="23"/>
    </row>
    <row r="540" spans="1:30" s="14" customFormat="1">
      <c r="A540" s="78" t="s">
        <v>429</v>
      </c>
      <c r="B540" s="26">
        <f>2118.9/2</f>
        <v>1059.45</v>
      </c>
      <c r="C540" s="130">
        <f t="shared" si="853"/>
        <v>88.29</v>
      </c>
      <c r="D540" s="4">
        <v>7.0400000000000004E-2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>
        <v>0.25829999999999997</v>
      </c>
      <c r="R540" s="4"/>
      <c r="S540" s="4">
        <v>4.1500000000000002E-2</v>
      </c>
      <c r="T540" s="4"/>
      <c r="U540" s="4"/>
      <c r="V540" s="4"/>
      <c r="W540" s="4"/>
      <c r="X540" s="4">
        <v>0.60770000000000002</v>
      </c>
      <c r="Y540" s="4">
        <v>2.2100000000000002E-2</v>
      </c>
      <c r="Z540" s="4"/>
      <c r="AA540" s="4"/>
      <c r="AB540" s="4"/>
      <c r="AC540" s="56"/>
      <c r="AD540" s="23"/>
    </row>
    <row r="541" spans="1:30" s="14" customFormat="1">
      <c r="A541" s="79"/>
      <c r="B541" s="9"/>
      <c r="C541" s="130"/>
      <c r="D541" s="5">
        <f t="shared" ref="D541" si="899">$C540*D540</f>
        <v>6.2156160000000007</v>
      </c>
      <c r="E541" s="5">
        <f t="shared" ref="E541" si="900">$C540*E540</f>
        <v>0</v>
      </c>
      <c r="F541" s="5">
        <f t="shared" ref="F541:O541" si="901">$C540*F540</f>
        <v>0</v>
      </c>
      <c r="G541" s="5">
        <f t="shared" si="901"/>
        <v>0</v>
      </c>
      <c r="H541" s="5">
        <f t="shared" si="901"/>
        <v>0</v>
      </c>
      <c r="I541" s="5">
        <f t="shared" si="901"/>
        <v>0</v>
      </c>
      <c r="J541" s="5">
        <f t="shared" si="901"/>
        <v>0</v>
      </c>
      <c r="K541" s="5">
        <f t="shared" si="901"/>
        <v>0</v>
      </c>
      <c r="L541" s="5">
        <f t="shared" si="901"/>
        <v>0</v>
      </c>
      <c r="M541" s="5">
        <f t="shared" si="901"/>
        <v>0</v>
      </c>
      <c r="N541" s="5">
        <f t="shared" si="901"/>
        <v>0</v>
      </c>
      <c r="O541" s="5">
        <f t="shared" si="901"/>
        <v>0</v>
      </c>
      <c r="P541" s="5">
        <f t="shared" ref="P541" si="902">$C540*P540</f>
        <v>0</v>
      </c>
      <c r="Q541" s="5">
        <f t="shared" ref="Q541" si="903">$C540*Q540</f>
        <v>22.805306999999999</v>
      </c>
      <c r="R541" s="5">
        <f t="shared" ref="R541:AB541" si="904">$C540*R540</f>
        <v>0</v>
      </c>
      <c r="S541" s="5">
        <f t="shared" si="904"/>
        <v>3.6640350000000006</v>
      </c>
      <c r="T541" s="5">
        <f t="shared" si="904"/>
        <v>0</v>
      </c>
      <c r="U541" s="5">
        <f t="shared" si="904"/>
        <v>0</v>
      </c>
      <c r="V541" s="5">
        <f t="shared" si="904"/>
        <v>0</v>
      </c>
      <c r="W541" s="5">
        <f t="shared" si="904"/>
        <v>0</v>
      </c>
      <c r="X541" s="5">
        <f t="shared" si="904"/>
        <v>53.653833000000006</v>
      </c>
      <c r="Y541" s="5">
        <f t="shared" si="904"/>
        <v>1.9512090000000002</v>
      </c>
      <c r="Z541" s="5">
        <f t="shared" si="904"/>
        <v>0</v>
      </c>
      <c r="AA541" s="5">
        <f t="shared" si="904"/>
        <v>0</v>
      </c>
      <c r="AB541" s="5">
        <f t="shared" si="904"/>
        <v>0</v>
      </c>
      <c r="AC541" s="56"/>
      <c r="AD541" s="23"/>
    </row>
    <row r="542" spans="1:30" s="14" customFormat="1">
      <c r="A542" s="78" t="s">
        <v>98</v>
      </c>
      <c r="B542" s="187">
        <v>758963.56</v>
      </c>
      <c r="C542" s="130">
        <f t="shared" si="853"/>
        <v>63246.96</v>
      </c>
      <c r="D542" s="4"/>
      <c r="E542" s="4"/>
      <c r="F542" s="4"/>
      <c r="G542" s="4"/>
      <c r="H542" s="4">
        <v>1.2500000000000001E-2</v>
      </c>
      <c r="I542" s="4"/>
      <c r="J542" s="4"/>
      <c r="K542" s="4"/>
      <c r="L542" s="4"/>
      <c r="M542" s="4"/>
      <c r="N542" s="4"/>
      <c r="O542" s="4"/>
      <c r="P542" s="4"/>
      <c r="Q542" s="4">
        <v>9.9199999999999997E-2</v>
      </c>
      <c r="R542" s="4"/>
      <c r="S542" s="4">
        <v>8.6999999999999994E-3</v>
      </c>
      <c r="T542" s="4"/>
      <c r="U542" s="4"/>
      <c r="V542" s="4">
        <v>1.11E-2</v>
      </c>
      <c r="W542" s="4"/>
      <c r="X542" s="4">
        <v>0.83730000000000004</v>
      </c>
      <c r="Y542" s="4">
        <v>3.1199999999999999E-2</v>
      </c>
      <c r="Z542" s="4"/>
      <c r="AA542" s="4"/>
      <c r="AB542" s="4"/>
      <c r="AC542" s="56"/>
      <c r="AD542" s="23"/>
    </row>
    <row r="543" spans="1:30" s="14" customFormat="1">
      <c r="A543" s="79"/>
      <c r="B543" s="9"/>
      <c r="C543" s="130"/>
      <c r="D543" s="5">
        <f t="shared" ref="D543" si="905">$C542*D542</f>
        <v>0</v>
      </c>
      <c r="E543" s="5">
        <f t="shared" ref="E543" si="906">$C542*E542</f>
        <v>0</v>
      </c>
      <c r="F543" s="5">
        <f t="shared" ref="F543:AB543" si="907">$C542*F542</f>
        <v>0</v>
      </c>
      <c r="G543" s="5">
        <f t="shared" si="907"/>
        <v>0</v>
      </c>
      <c r="H543" s="5">
        <f t="shared" si="907"/>
        <v>790.58699999999999</v>
      </c>
      <c r="I543" s="5">
        <f t="shared" si="907"/>
        <v>0</v>
      </c>
      <c r="J543" s="5">
        <f t="shared" si="907"/>
        <v>0</v>
      </c>
      <c r="K543" s="5">
        <f t="shared" si="907"/>
        <v>0</v>
      </c>
      <c r="L543" s="5">
        <f t="shared" si="907"/>
        <v>0</v>
      </c>
      <c r="M543" s="5">
        <f t="shared" si="907"/>
        <v>0</v>
      </c>
      <c r="N543" s="5">
        <f t="shared" si="907"/>
        <v>0</v>
      </c>
      <c r="O543" s="5">
        <f t="shared" si="907"/>
        <v>0</v>
      </c>
      <c r="P543" s="5">
        <f t="shared" si="907"/>
        <v>0</v>
      </c>
      <c r="Q543" s="5">
        <f t="shared" si="907"/>
        <v>6274.0984319999998</v>
      </c>
      <c r="R543" s="5">
        <f t="shared" si="907"/>
        <v>0</v>
      </c>
      <c r="S543" s="5">
        <f t="shared" si="907"/>
        <v>550.2485519999999</v>
      </c>
      <c r="T543" s="5">
        <f t="shared" si="907"/>
        <v>0</v>
      </c>
      <c r="U543" s="5">
        <f t="shared" si="907"/>
        <v>0</v>
      </c>
      <c r="V543" s="5">
        <f t="shared" si="907"/>
        <v>702.04125599999998</v>
      </c>
      <c r="W543" s="5">
        <f t="shared" si="907"/>
        <v>0</v>
      </c>
      <c r="X543" s="5">
        <f t="shared" si="907"/>
        <v>52956.679607999999</v>
      </c>
      <c r="Y543" s="5">
        <f t="shared" si="907"/>
        <v>1973.3051519999999</v>
      </c>
      <c r="Z543" s="5">
        <f t="shared" si="907"/>
        <v>0</v>
      </c>
      <c r="AA543" s="5">
        <f t="shared" si="907"/>
        <v>0</v>
      </c>
      <c r="AB543" s="5">
        <f t="shared" si="907"/>
        <v>0</v>
      </c>
      <c r="AC543" s="56"/>
      <c r="AD543" s="23"/>
    </row>
    <row r="544" spans="1:30" s="14" customFormat="1">
      <c r="A544" s="78" t="s">
        <v>99</v>
      </c>
      <c r="B544" s="187">
        <v>1731981.94</v>
      </c>
      <c r="C544" s="130">
        <f>ROUND(B544/12,2)</f>
        <v>144331.82999999999</v>
      </c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>
        <v>0.29010000000000002</v>
      </c>
      <c r="R544" s="37"/>
      <c r="S544" s="37">
        <v>2.7400000000000001E-2</v>
      </c>
      <c r="T544" s="37"/>
      <c r="U544" s="37"/>
      <c r="V544" s="37"/>
      <c r="W544" s="37"/>
      <c r="X544" s="37">
        <v>0.64849999999999997</v>
      </c>
      <c r="Y544" s="37">
        <v>2.53E-2</v>
      </c>
      <c r="Z544" s="37">
        <v>8.6999999999999994E-3</v>
      </c>
      <c r="AA544" s="37">
        <v>0</v>
      </c>
      <c r="AB544" s="37">
        <v>0</v>
      </c>
      <c r="AC544" s="56"/>
      <c r="AD544" s="23"/>
    </row>
    <row r="545" spans="1:30" s="14" customFormat="1">
      <c r="A545" s="79"/>
      <c r="B545" s="9"/>
      <c r="C545" s="130"/>
      <c r="D545" s="36">
        <f t="shared" ref="D545" si="908">$C544*D544</f>
        <v>0</v>
      </c>
      <c r="E545" s="36">
        <f t="shared" ref="E545" si="909">$C544*E544</f>
        <v>0</v>
      </c>
      <c r="F545" s="36">
        <f t="shared" ref="F545:AB545" si="910">$C544*F544</f>
        <v>0</v>
      </c>
      <c r="G545" s="36">
        <f t="shared" si="910"/>
        <v>0</v>
      </c>
      <c r="H545" s="36">
        <f t="shared" si="910"/>
        <v>0</v>
      </c>
      <c r="I545" s="36">
        <f t="shared" si="910"/>
        <v>0</v>
      </c>
      <c r="J545" s="36">
        <f t="shared" si="910"/>
        <v>0</v>
      </c>
      <c r="K545" s="36">
        <f t="shared" si="910"/>
        <v>0</v>
      </c>
      <c r="L545" s="36">
        <f t="shared" si="910"/>
        <v>0</v>
      </c>
      <c r="M545" s="36">
        <f t="shared" si="910"/>
        <v>0</v>
      </c>
      <c r="N545" s="36">
        <f t="shared" si="910"/>
        <v>0</v>
      </c>
      <c r="O545" s="36">
        <f t="shared" si="910"/>
        <v>0</v>
      </c>
      <c r="P545" s="36">
        <f t="shared" si="910"/>
        <v>0</v>
      </c>
      <c r="Q545" s="36">
        <f t="shared" si="910"/>
        <v>41870.663883000001</v>
      </c>
      <c r="R545" s="36">
        <f t="shared" si="910"/>
        <v>0</v>
      </c>
      <c r="S545" s="36">
        <f t="shared" si="910"/>
        <v>3954.6921419999999</v>
      </c>
      <c r="T545" s="36">
        <f t="shared" si="910"/>
        <v>0</v>
      </c>
      <c r="U545" s="36">
        <f t="shared" si="910"/>
        <v>0</v>
      </c>
      <c r="V545" s="36">
        <f t="shared" si="910"/>
        <v>0</v>
      </c>
      <c r="W545" s="36">
        <f t="shared" si="910"/>
        <v>0</v>
      </c>
      <c r="X545" s="36">
        <f t="shared" si="910"/>
        <v>93599.191754999993</v>
      </c>
      <c r="Y545" s="36">
        <f t="shared" si="910"/>
        <v>3651.5952989999996</v>
      </c>
      <c r="Z545" s="36">
        <f t="shared" si="910"/>
        <v>1255.6869209999998</v>
      </c>
      <c r="AA545" s="36">
        <f t="shared" si="910"/>
        <v>0</v>
      </c>
      <c r="AB545" s="36">
        <f t="shared" si="910"/>
        <v>0</v>
      </c>
      <c r="AC545" s="56"/>
      <c r="AD545" s="23"/>
    </row>
    <row r="546" spans="1:30" s="14" customFormat="1">
      <c r="A546" s="78" t="s">
        <v>100</v>
      </c>
      <c r="B546" s="187">
        <v>1803234.94</v>
      </c>
      <c r="C546" s="130">
        <f>ROUND(B546/12,2)</f>
        <v>150269.57999999999</v>
      </c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>
        <v>0.2918</v>
      </c>
      <c r="R546" s="37"/>
      <c r="S546" s="37">
        <v>2.7400000000000001E-2</v>
      </c>
      <c r="T546" s="37"/>
      <c r="U546" s="37"/>
      <c r="V546" s="37"/>
      <c r="W546" s="37"/>
      <c r="X546" s="37">
        <v>0.64680000000000004</v>
      </c>
      <c r="Y546" s="37">
        <v>2.53E-2</v>
      </c>
      <c r="Z546" s="37">
        <v>8.6999999999999994E-3</v>
      </c>
      <c r="AA546" s="37">
        <v>0</v>
      </c>
      <c r="AB546" s="37">
        <v>0</v>
      </c>
      <c r="AC546" s="56"/>
      <c r="AD546" s="23"/>
    </row>
    <row r="547" spans="1:30" s="14" customFormat="1">
      <c r="A547" s="79"/>
      <c r="B547" s="9"/>
      <c r="C547" s="130"/>
      <c r="D547" s="36">
        <f t="shared" ref="D547" si="911">$C546*D546</f>
        <v>0</v>
      </c>
      <c r="E547" s="36">
        <f t="shared" ref="E547" si="912">$C546*E546</f>
        <v>0</v>
      </c>
      <c r="F547" s="36">
        <f t="shared" ref="F547:AB547" si="913">$C546*F546</f>
        <v>0</v>
      </c>
      <c r="G547" s="36">
        <f t="shared" si="913"/>
        <v>0</v>
      </c>
      <c r="H547" s="36">
        <f t="shared" si="913"/>
        <v>0</v>
      </c>
      <c r="I547" s="36">
        <f t="shared" si="913"/>
        <v>0</v>
      </c>
      <c r="J547" s="36">
        <f t="shared" si="913"/>
        <v>0</v>
      </c>
      <c r="K547" s="36">
        <f t="shared" si="913"/>
        <v>0</v>
      </c>
      <c r="L547" s="36">
        <f t="shared" si="913"/>
        <v>0</v>
      </c>
      <c r="M547" s="36">
        <f t="shared" si="913"/>
        <v>0</v>
      </c>
      <c r="N547" s="36">
        <f t="shared" si="913"/>
        <v>0</v>
      </c>
      <c r="O547" s="36">
        <f t="shared" si="913"/>
        <v>0</v>
      </c>
      <c r="P547" s="36">
        <f t="shared" si="913"/>
        <v>0</v>
      </c>
      <c r="Q547" s="36">
        <f t="shared" si="913"/>
        <v>43848.663443999998</v>
      </c>
      <c r="R547" s="36">
        <f t="shared" si="913"/>
        <v>0</v>
      </c>
      <c r="S547" s="36">
        <f t="shared" si="913"/>
        <v>4117.3864919999996</v>
      </c>
      <c r="T547" s="36">
        <f t="shared" si="913"/>
        <v>0</v>
      </c>
      <c r="U547" s="36">
        <f t="shared" si="913"/>
        <v>0</v>
      </c>
      <c r="V547" s="36">
        <f t="shared" si="913"/>
        <v>0</v>
      </c>
      <c r="W547" s="36">
        <f t="shared" si="913"/>
        <v>0</v>
      </c>
      <c r="X547" s="36">
        <f t="shared" si="913"/>
        <v>97194.364344000001</v>
      </c>
      <c r="Y547" s="36">
        <f t="shared" si="913"/>
        <v>3801.8203739999994</v>
      </c>
      <c r="Z547" s="36">
        <f t="shared" si="913"/>
        <v>1307.3453459999998</v>
      </c>
      <c r="AA547" s="36">
        <f t="shared" si="913"/>
        <v>0</v>
      </c>
      <c r="AB547" s="36">
        <f t="shared" si="913"/>
        <v>0</v>
      </c>
      <c r="AC547" s="56"/>
      <c r="AD547" s="23"/>
    </row>
    <row r="548" spans="1:30" s="14" customFormat="1">
      <c r="A548" s="78" t="s">
        <v>101</v>
      </c>
      <c r="B548" s="26">
        <f>302734.43/2</f>
        <v>151367.215</v>
      </c>
      <c r="C548" s="130">
        <f t="shared" si="853"/>
        <v>12613.93</v>
      </c>
      <c r="D548" s="35">
        <v>1.6299999999999999E-2</v>
      </c>
      <c r="E548" s="35">
        <v>0.14269999999999999</v>
      </c>
      <c r="F548" s="35">
        <v>5.8900000000000001E-2</v>
      </c>
      <c r="G548" s="35">
        <v>7.6200000000000004E-2</v>
      </c>
      <c r="H548" s="35">
        <v>3.9600000000000003E-2</v>
      </c>
      <c r="I548" s="35">
        <v>0.12470000000000001</v>
      </c>
      <c r="J548" s="35">
        <v>2.0400000000000001E-2</v>
      </c>
      <c r="K548" s="35">
        <v>3.1199999999999999E-2</v>
      </c>
      <c r="L548" s="35">
        <v>1.6199999999999999E-2</v>
      </c>
      <c r="M548" s="35">
        <v>2.53E-2</v>
      </c>
      <c r="N548" s="35">
        <v>0.14849999999999999</v>
      </c>
      <c r="O548" s="35">
        <v>2.2599999999999999E-2</v>
      </c>
      <c r="P548" s="35">
        <v>0</v>
      </c>
      <c r="Q548" s="35">
        <v>3.78E-2</v>
      </c>
      <c r="R548" s="35">
        <v>1.8100000000000002E-2</v>
      </c>
      <c r="S548" s="35">
        <v>4.1000000000000003E-3</v>
      </c>
      <c r="T548" s="35">
        <v>5.04E-2</v>
      </c>
      <c r="U548" s="35">
        <v>1.7500000000000002E-2</v>
      </c>
      <c r="V548" s="35">
        <v>3.6200000000000003E-2</v>
      </c>
      <c r="W548" s="35">
        <v>4.8500000000000001E-2</v>
      </c>
      <c r="X548" s="35">
        <v>6.1600000000000002E-2</v>
      </c>
      <c r="Y548" s="35">
        <v>2.5000000000000001E-3</v>
      </c>
      <c r="Z548" s="4">
        <v>0</v>
      </c>
      <c r="AA548" s="4">
        <v>6.9999999999999999E-4</v>
      </c>
      <c r="AB548" s="4">
        <v>0</v>
      </c>
      <c r="AC548" s="56"/>
      <c r="AD548" s="23"/>
    </row>
    <row r="549" spans="1:30" s="14" customFormat="1">
      <c r="A549" s="79"/>
      <c r="B549" s="27"/>
      <c r="C549" s="130"/>
      <c r="D549" s="5">
        <f t="shared" ref="D549" si="914">$C548*D548</f>
        <v>205.60705899999999</v>
      </c>
      <c r="E549" s="5">
        <f t="shared" ref="E549" si="915">$C548*E548</f>
        <v>1800.0078109999999</v>
      </c>
      <c r="F549" s="5">
        <f t="shared" ref="F549:O549" si="916">$C548*F548</f>
        <v>742.96047700000008</v>
      </c>
      <c r="G549" s="5">
        <f t="shared" si="916"/>
        <v>961.18146600000011</v>
      </c>
      <c r="H549" s="5">
        <f t="shared" si="916"/>
        <v>499.51162800000003</v>
      </c>
      <c r="I549" s="5">
        <f t="shared" si="916"/>
        <v>1572.957071</v>
      </c>
      <c r="J549" s="5">
        <f t="shared" si="916"/>
        <v>257.32417200000003</v>
      </c>
      <c r="K549" s="5">
        <f t="shared" si="916"/>
        <v>393.55461600000001</v>
      </c>
      <c r="L549" s="5">
        <f t="shared" si="916"/>
        <v>204.34566599999999</v>
      </c>
      <c r="M549" s="5">
        <f t="shared" si="916"/>
        <v>319.132429</v>
      </c>
      <c r="N549" s="5">
        <f t="shared" si="916"/>
        <v>1873.1686049999998</v>
      </c>
      <c r="O549" s="5">
        <f t="shared" si="916"/>
        <v>285.07481799999999</v>
      </c>
      <c r="P549" s="5">
        <f t="shared" ref="P549" si="917">$C548*P548</f>
        <v>0</v>
      </c>
      <c r="Q549" s="5">
        <f t="shared" ref="Q549" si="918">$C548*Q548</f>
        <v>476.80655400000001</v>
      </c>
      <c r="R549" s="5">
        <f t="shared" ref="R549:AB549" si="919">$C548*R548</f>
        <v>228.31213300000002</v>
      </c>
      <c r="S549" s="5">
        <f t="shared" si="919"/>
        <v>51.717113000000005</v>
      </c>
      <c r="T549" s="5">
        <f t="shared" si="919"/>
        <v>635.74207200000001</v>
      </c>
      <c r="U549" s="5">
        <f t="shared" si="919"/>
        <v>220.74377500000003</v>
      </c>
      <c r="V549" s="5">
        <f t="shared" si="919"/>
        <v>456.62426600000003</v>
      </c>
      <c r="W549" s="5">
        <f t="shared" si="919"/>
        <v>611.77560500000004</v>
      </c>
      <c r="X549" s="5">
        <f t="shared" si="919"/>
        <v>777.01808800000003</v>
      </c>
      <c r="Y549" s="5">
        <f t="shared" si="919"/>
        <v>31.534825000000001</v>
      </c>
      <c r="Z549" s="5">
        <f t="shared" si="919"/>
        <v>0</v>
      </c>
      <c r="AA549" s="5">
        <f t="shared" si="919"/>
        <v>8.8297509999999999</v>
      </c>
      <c r="AB549" s="5">
        <f t="shared" si="919"/>
        <v>0</v>
      </c>
      <c r="AC549" s="56"/>
      <c r="AD549" s="23"/>
    </row>
    <row r="550" spans="1:30" s="14" customFormat="1">
      <c r="A550" s="78" t="s">
        <v>430</v>
      </c>
      <c r="B550" s="26">
        <f>302734.43/2</f>
        <v>151367.215</v>
      </c>
      <c r="C550" s="130">
        <f t="shared" si="853"/>
        <v>12613.93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>
        <v>0.26929999999999998</v>
      </c>
      <c r="R550" s="4"/>
      <c r="S550" s="4">
        <v>2.9100000000000001E-2</v>
      </c>
      <c r="T550" s="4"/>
      <c r="U550" s="4"/>
      <c r="V550" s="4"/>
      <c r="W550" s="4"/>
      <c r="X550" s="4">
        <v>0.67700000000000005</v>
      </c>
      <c r="Y550" s="4">
        <v>2.46E-2</v>
      </c>
      <c r="Z550" s="4"/>
      <c r="AA550" s="4"/>
      <c r="AB550" s="4"/>
      <c r="AC550" s="56"/>
      <c r="AD550" s="23"/>
    </row>
    <row r="551" spans="1:30" s="14" customFormat="1">
      <c r="A551" s="79"/>
      <c r="B551" s="9"/>
      <c r="C551" s="130"/>
      <c r="D551" s="5">
        <f t="shared" ref="D551" si="920">$C550*D550</f>
        <v>0</v>
      </c>
      <c r="E551" s="5">
        <f t="shared" ref="E551" si="921">$C550*E550</f>
        <v>0</v>
      </c>
      <c r="F551" s="5">
        <f t="shared" ref="F551:O551" si="922">$C550*F550</f>
        <v>0</v>
      </c>
      <c r="G551" s="5">
        <f t="shared" si="922"/>
        <v>0</v>
      </c>
      <c r="H551" s="5">
        <f t="shared" si="922"/>
        <v>0</v>
      </c>
      <c r="I551" s="5">
        <f t="shared" si="922"/>
        <v>0</v>
      </c>
      <c r="J551" s="5">
        <f t="shared" si="922"/>
        <v>0</v>
      </c>
      <c r="K551" s="5">
        <f t="shared" si="922"/>
        <v>0</v>
      </c>
      <c r="L551" s="5">
        <f t="shared" si="922"/>
        <v>0</v>
      </c>
      <c r="M551" s="5">
        <f t="shared" si="922"/>
        <v>0</v>
      </c>
      <c r="N551" s="5">
        <f t="shared" si="922"/>
        <v>0</v>
      </c>
      <c r="O551" s="5">
        <f t="shared" si="922"/>
        <v>0</v>
      </c>
      <c r="P551" s="5">
        <f t="shared" ref="P551" si="923">$C550*P550</f>
        <v>0</v>
      </c>
      <c r="Q551" s="5">
        <f t="shared" ref="Q551" si="924">$C550*Q550</f>
        <v>3396.931349</v>
      </c>
      <c r="R551" s="5">
        <f t="shared" ref="R551:AB551" si="925">$C550*R550</f>
        <v>0</v>
      </c>
      <c r="S551" s="5">
        <f t="shared" si="925"/>
        <v>367.06536300000005</v>
      </c>
      <c r="T551" s="5">
        <f t="shared" si="925"/>
        <v>0</v>
      </c>
      <c r="U551" s="5">
        <f t="shared" si="925"/>
        <v>0</v>
      </c>
      <c r="V551" s="5">
        <f t="shared" si="925"/>
        <v>0</v>
      </c>
      <c r="W551" s="5">
        <f t="shared" si="925"/>
        <v>0</v>
      </c>
      <c r="X551" s="5">
        <f t="shared" si="925"/>
        <v>8539.6306100000002</v>
      </c>
      <c r="Y551" s="5">
        <f t="shared" si="925"/>
        <v>310.30267800000001</v>
      </c>
      <c r="Z551" s="5">
        <f t="shared" si="925"/>
        <v>0</v>
      </c>
      <c r="AA551" s="5">
        <f t="shared" si="925"/>
        <v>0</v>
      </c>
      <c r="AB551" s="5">
        <f t="shared" si="925"/>
        <v>0</v>
      </c>
      <c r="AC551" s="56"/>
      <c r="AD551" s="23"/>
    </row>
    <row r="552" spans="1:30" s="14" customFormat="1">
      <c r="A552" s="78" t="s">
        <v>102</v>
      </c>
      <c r="B552" s="26">
        <f>1407781.62/2</f>
        <v>703890.81</v>
      </c>
      <c r="C552" s="130">
        <f t="shared" si="853"/>
        <v>58657.57</v>
      </c>
      <c r="D552" s="35">
        <v>1.6299999999999999E-2</v>
      </c>
      <c r="E552" s="35">
        <v>0.14269999999999999</v>
      </c>
      <c r="F552" s="35">
        <v>5.8900000000000001E-2</v>
      </c>
      <c r="G552" s="35">
        <v>7.6200000000000004E-2</v>
      </c>
      <c r="H552" s="35">
        <v>3.9600000000000003E-2</v>
      </c>
      <c r="I552" s="35">
        <v>0.12470000000000001</v>
      </c>
      <c r="J552" s="35">
        <v>2.0400000000000001E-2</v>
      </c>
      <c r="K552" s="35">
        <v>3.1199999999999999E-2</v>
      </c>
      <c r="L552" s="35">
        <v>1.6199999999999999E-2</v>
      </c>
      <c r="M552" s="35">
        <v>2.53E-2</v>
      </c>
      <c r="N552" s="35">
        <v>0.14849999999999999</v>
      </c>
      <c r="O552" s="35">
        <v>2.2599999999999999E-2</v>
      </c>
      <c r="P552" s="35">
        <v>0</v>
      </c>
      <c r="Q552" s="35">
        <v>3.78E-2</v>
      </c>
      <c r="R552" s="35">
        <v>1.8100000000000002E-2</v>
      </c>
      <c r="S552" s="35">
        <v>4.1000000000000003E-3</v>
      </c>
      <c r="T552" s="35">
        <v>5.04E-2</v>
      </c>
      <c r="U552" s="35">
        <v>1.7500000000000002E-2</v>
      </c>
      <c r="V552" s="35">
        <v>3.6200000000000003E-2</v>
      </c>
      <c r="W552" s="35">
        <v>4.8500000000000001E-2</v>
      </c>
      <c r="X552" s="35">
        <v>6.1600000000000002E-2</v>
      </c>
      <c r="Y552" s="35">
        <v>2.5000000000000001E-3</v>
      </c>
      <c r="Z552" s="4">
        <v>0</v>
      </c>
      <c r="AA552" s="4">
        <v>6.9999999999999999E-4</v>
      </c>
      <c r="AB552" s="4">
        <v>0</v>
      </c>
      <c r="AC552" s="56"/>
      <c r="AD552" s="23"/>
    </row>
    <row r="553" spans="1:30" s="14" customFormat="1">
      <c r="A553" s="79"/>
      <c r="B553" s="27"/>
      <c r="C553" s="130"/>
      <c r="D553" s="5">
        <f t="shared" ref="D553" si="926">$C552*D552</f>
        <v>956.11839099999986</v>
      </c>
      <c r="E553" s="5">
        <f t="shared" ref="E553" si="927">$C552*E552</f>
        <v>8370.4352390000004</v>
      </c>
      <c r="F553" s="5">
        <f t="shared" ref="F553:O553" si="928">$C552*F552</f>
        <v>3454.9308730000002</v>
      </c>
      <c r="G553" s="5">
        <f t="shared" si="928"/>
        <v>4469.7068340000005</v>
      </c>
      <c r="H553" s="5">
        <f t="shared" si="928"/>
        <v>2322.8397720000003</v>
      </c>
      <c r="I553" s="5">
        <f t="shared" si="928"/>
        <v>7314.5989790000003</v>
      </c>
      <c r="J553" s="5">
        <f t="shared" si="928"/>
        <v>1196.6144280000001</v>
      </c>
      <c r="K553" s="5">
        <f t="shared" si="928"/>
        <v>1830.116184</v>
      </c>
      <c r="L553" s="5">
        <f t="shared" si="928"/>
        <v>950.25263399999994</v>
      </c>
      <c r="M553" s="5">
        <f t="shared" si="928"/>
        <v>1484.036521</v>
      </c>
      <c r="N553" s="5">
        <f t="shared" si="928"/>
        <v>8710.6491449999994</v>
      </c>
      <c r="O553" s="5">
        <f t="shared" si="928"/>
        <v>1325.6610819999999</v>
      </c>
      <c r="P553" s="5">
        <f t="shared" ref="P553" si="929">$C552*P552</f>
        <v>0</v>
      </c>
      <c r="Q553" s="5">
        <f t="shared" ref="Q553" si="930">$C552*Q552</f>
        <v>2217.2561460000002</v>
      </c>
      <c r="R553" s="5">
        <f t="shared" ref="R553:AB553" si="931">$C552*R552</f>
        <v>1061.7020170000001</v>
      </c>
      <c r="S553" s="5">
        <f t="shared" si="931"/>
        <v>240.49603700000003</v>
      </c>
      <c r="T553" s="5">
        <f t="shared" si="931"/>
        <v>2956.3415279999999</v>
      </c>
      <c r="U553" s="5">
        <f t="shared" si="931"/>
        <v>1026.5074750000001</v>
      </c>
      <c r="V553" s="5">
        <f t="shared" si="931"/>
        <v>2123.4040340000001</v>
      </c>
      <c r="W553" s="5">
        <f t="shared" si="931"/>
        <v>2844.8921450000003</v>
      </c>
      <c r="X553" s="5">
        <f t="shared" si="931"/>
        <v>3613.3063120000002</v>
      </c>
      <c r="Y553" s="5">
        <f t="shared" si="931"/>
        <v>146.643925</v>
      </c>
      <c r="Z553" s="5">
        <f t="shared" si="931"/>
        <v>0</v>
      </c>
      <c r="AA553" s="5">
        <f t="shared" si="931"/>
        <v>41.060299000000001</v>
      </c>
      <c r="AB553" s="5">
        <f t="shared" si="931"/>
        <v>0</v>
      </c>
      <c r="AC553" s="56"/>
      <c r="AD553" s="23"/>
    </row>
    <row r="554" spans="1:30" s="14" customFormat="1">
      <c r="A554" s="78" t="s">
        <v>431</v>
      </c>
      <c r="B554" s="26">
        <f>1407781.62/2</f>
        <v>703890.81</v>
      </c>
      <c r="C554" s="130">
        <f t="shared" si="853"/>
        <v>58657.57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>
        <v>0.96499999999999997</v>
      </c>
      <c r="Y554" s="4">
        <v>3.5000000000000003E-2</v>
      </c>
      <c r="Z554" s="4"/>
      <c r="AA554" s="4"/>
      <c r="AB554" s="4"/>
      <c r="AC554" s="56"/>
      <c r="AD554" s="23"/>
    </row>
    <row r="555" spans="1:30" s="14" customFormat="1">
      <c r="A555" s="79"/>
      <c r="B555" s="9"/>
      <c r="C555" s="130"/>
      <c r="D555" s="5">
        <f t="shared" ref="D555" si="932">$C554*D554</f>
        <v>0</v>
      </c>
      <c r="E555" s="5">
        <f t="shared" ref="E555" si="933">$C554*E554</f>
        <v>0</v>
      </c>
      <c r="F555" s="5">
        <f t="shared" ref="F555:O555" si="934">$C554*F554</f>
        <v>0</v>
      </c>
      <c r="G555" s="5">
        <f t="shared" si="934"/>
        <v>0</v>
      </c>
      <c r="H555" s="5">
        <f t="shared" si="934"/>
        <v>0</v>
      </c>
      <c r="I555" s="5">
        <f t="shared" si="934"/>
        <v>0</v>
      </c>
      <c r="J555" s="5">
        <f t="shared" si="934"/>
        <v>0</v>
      </c>
      <c r="K555" s="5">
        <f t="shared" si="934"/>
        <v>0</v>
      </c>
      <c r="L555" s="5">
        <f t="shared" si="934"/>
        <v>0</v>
      </c>
      <c r="M555" s="5">
        <f t="shared" si="934"/>
        <v>0</v>
      </c>
      <c r="N555" s="5">
        <f t="shared" si="934"/>
        <v>0</v>
      </c>
      <c r="O555" s="5">
        <f t="shared" si="934"/>
        <v>0</v>
      </c>
      <c r="P555" s="5">
        <f t="shared" ref="P555" si="935">$C554*P554</f>
        <v>0</v>
      </c>
      <c r="Q555" s="5">
        <f t="shared" ref="Q555" si="936">$C554*Q554</f>
        <v>0</v>
      </c>
      <c r="R555" s="5">
        <f t="shared" ref="R555:AB555" si="937">$C554*R554</f>
        <v>0</v>
      </c>
      <c r="S555" s="5">
        <f t="shared" si="937"/>
        <v>0</v>
      </c>
      <c r="T555" s="5">
        <f t="shared" si="937"/>
        <v>0</v>
      </c>
      <c r="U555" s="5">
        <f t="shared" si="937"/>
        <v>0</v>
      </c>
      <c r="V555" s="5">
        <f t="shared" si="937"/>
        <v>0</v>
      </c>
      <c r="W555" s="5">
        <f t="shared" si="937"/>
        <v>0</v>
      </c>
      <c r="X555" s="5">
        <f t="shared" si="937"/>
        <v>56604.555049999995</v>
      </c>
      <c r="Y555" s="5">
        <f t="shared" si="937"/>
        <v>2053.0149500000002</v>
      </c>
      <c r="Z555" s="5">
        <f t="shared" si="937"/>
        <v>0</v>
      </c>
      <c r="AA555" s="5">
        <f t="shared" si="937"/>
        <v>0</v>
      </c>
      <c r="AB555" s="5">
        <f t="shared" si="937"/>
        <v>0</v>
      </c>
      <c r="AC555" s="56"/>
      <c r="AD555" s="23"/>
    </row>
    <row r="556" spans="1:30" s="14" customFormat="1">
      <c r="A556" s="78" t="s">
        <v>103</v>
      </c>
      <c r="B556" s="26">
        <f>6629978.81/2</f>
        <v>3314989.4049999998</v>
      </c>
      <c r="C556" s="130">
        <f t="shared" si="853"/>
        <v>276249.12</v>
      </c>
      <c r="D556" s="35">
        <v>1.6299999999999999E-2</v>
      </c>
      <c r="E556" s="35">
        <v>0.14269999999999999</v>
      </c>
      <c r="F556" s="35">
        <v>5.8900000000000001E-2</v>
      </c>
      <c r="G556" s="35">
        <v>7.6200000000000004E-2</v>
      </c>
      <c r="H556" s="35">
        <v>3.9600000000000003E-2</v>
      </c>
      <c r="I556" s="35">
        <v>0.12470000000000001</v>
      </c>
      <c r="J556" s="35">
        <v>2.0400000000000001E-2</v>
      </c>
      <c r="K556" s="35">
        <v>3.1199999999999999E-2</v>
      </c>
      <c r="L556" s="35">
        <v>1.6199999999999999E-2</v>
      </c>
      <c r="M556" s="35">
        <v>2.53E-2</v>
      </c>
      <c r="N556" s="35">
        <v>0.14849999999999999</v>
      </c>
      <c r="O556" s="35">
        <v>2.2599999999999999E-2</v>
      </c>
      <c r="P556" s="35">
        <v>0</v>
      </c>
      <c r="Q556" s="35">
        <v>3.78E-2</v>
      </c>
      <c r="R556" s="35">
        <v>1.8100000000000002E-2</v>
      </c>
      <c r="S556" s="35">
        <v>4.1000000000000003E-3</v>
      </c>
      <c r="T556" s="35">
        <v>5.04E-2</v>
      </c>
      <c r="U556" s="35">
        <v>1.7500000000000002E-2</v>
      </c>
      <c r="V556" s="35">
        <v>3.6200000000000003E-2</v>
      </c>
      <c r="W556" s="35">
        <v>4.8500000000000001E-2</v>
      </c>
      <c r="X556" s="35">
        <v>6.1600000000000002E-2</v>
      </c>
      <c r="Y556" s="35">
        <v>2.5000000000000001E-3</v>
      </c>
      <c r="Z556" s="4">
        <v>0</v>
      </c>
      <c r="AA556" s="4">
        <v>6.9999999999999999E-4</v>
      </c>
      <c r="AB556" s="4">
        <v>0</v>
      </c>
      <c r="AC556" s="56"/>
      <c r="AD556" s="23"/>
    </row>
    <row r="557" spans="1:30" s="14" customFormat="1">
      <c r="A557" s="79"/>
      <c r="B557" s="27"/>
      <c r="C557" s="130"/>
      <c r="D557" s="5">
        <f t="shared" ref="D557" si="938">$C556*D556</f>
        <v>4502.8606559999998</v>
      </c>
      <c r="E557" s="5">
        <f t="shared" ref="E557" si="939">$C556*E556</f>
        <v>39420.749423999994</v>
      </c>
      <c r="F557" s="5">
        <f t="shared" ref="F557:O557" si="940">$C556*F556</f>
        <v>16271.073168000001</v>
      </c>
      <c r="G557" s="5">
        <f t="shared" si="940"/>
        <v>21050.182944</v>
      </c>
      <c r="H557" s="5">
        <f t="shared" si="940"/>
        <v>10939.465152000001</v>
      </c>
      <c r="I557" s="5">
        <f t="shared" si="940"/>
        <v>34448.265264000001</v>
      </c>
      <c r="J557" s="5">
        <f t="shared" si="940"/>
        <v>5635.4820480000008</v>
      </c>
      <c r="K557" s="5">
        <f t="shared" si="940"/>
        <v>8618.9725440000002</v>
      </c>
      <c r="L557" s="5">
        <f t="shared" si="940"/>
        <v>4475.2357439999996</v>
      </c>
      <c r="M557" s="5">
        <f t="shared" si="940"/>
        <v>6989.1027359999998</v>
      </c>
      <c r="N557" s="5">
        <f t="shared" si="940"/>
        <v>41022.994319999998</v>
      </c>
      <c r="O557" s="5">
        <f t="shared" si="940"/>
        <v>6243.2301119999993</v>
      </c>
      <c r="P557" s="5">
        <f t="shared" ref="P557" si="941">$C556*P556</f>
        <v>0</v>
      </c>
      <c r="Q557" s="5">
        <f t="shared" ref="Q557" si="942">$C556*Q556</f>
        <v>10442.216736</v>
      </c>
      <c r="R557" s="5">
        <f t="shared" ref="R557:AB557" si="943">$C556*R556</f>
        <v>5000.1090720000002</v>
      </c>
      <c r="S557" s="5">
        <f t="shared" si="943"/>
        <v>1132.621392</v>
      </c>
      <c r="T557" s="5">
        <f t="shared" si="943"/>
        <v>13922.955647999999</v>
      </c>
      <c r="U557" s="5">
        <f t="shared" si="943"/>
        <v>4834.3596000000007</v>
      </c>
      <c r="V557" s="5">
        <f t="shared" si="943"/>
        <v>10000.218144</v>
      </c>
      <c r="W557" s="5">
        <f t="shared" si="943"/>
        <v>13398.08232</v>
      </c>
      <c r="X557" s="5">
        <f t="shared" si="943"/>
        <v>17016.945791999999</v>
      </c>
      <c r="Y557" s="5">
        <f t="shared" si="943"/>
        <v>690.62279999999998</v>
      </c>
      <c r="Z557" s="5">
        <f t="shared" si="943"/>
        <v>0</v>
      </c>
      <c r="AA557" s="5">
        <f t="shared" si="943"/>
        <v>193.37438399999999</v>
      </c>
      <c r="AB557" s="5">
        <f t="shared" si="943"/>
        <v>0</v>
      </c>
      <c r="AC557" s="56"/>
      <c r="AD557" s="23"/>
    </row>
    <row r="558" spans="1:30" s="14" customFormat="1">
      <c r="A558" s="78" t="s">
        <v>432</v>
      </c>
      <c r="B558" s="26">
        <f>6629978.81/2</f>
        <v>3314989.4049999998</v>
      </c>
      <c r="C558" s="130">
        <f t="shared" si="853"/>
        <v>276249.12</v>
      </c>
      <c r="D558" s="4">
        <v>7.0400000000000004E-2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>
        <v>0.25829999999999997</v>
      </c>
      <c r="R558" s="4"/>
      <c r="S558" s="4">
        <v>4.1500000000000002E-2</v>
      </c>
      <c r="T558" s="4"/>
      <c r="U558" s="4"/>
      <c r="V558" s="4"/>
      <c r="W558" s="4"/>
      <c r="X558" s="4">
        <v>0.60770000000000002</v>
      </c>
      <c r="Y558" s="4">
        <v>2.2100000000000002E-2</v>
      </c>
      <c r="Z558" s="4"/>
      <c r="AA558" s="4"/>
      <c r="AB558" s="4"/>
      <c r="AC558" s="56"/>
      <c r="AD558" s="23"/>
    </row>
    <row r="559" spans="1:30" s="14" customFormat="1">
      <c r="A559" s="79"/>
      <c r="B559" s="9"/>
      <c r="C559" s="130"/>
      <c r="D559" s="5">
        <f t="shared" ref="D559" si="944">$C558*D558</f>
        <v>19447.938048</v>
      </c>
      <c r="E559" s="5">
        <f t="shared" ref="E559" si="945">$C558*E558</f>
        <v>0</v>
      </c>
      <c r="F559" s="5">
        <f t="shared" ref="F559:O559" si="946">$C558*F558</f>
        <v>0</v>
      </c>
      <c r="G559" s="5">
        <f t="shared" si="946"/>
        <v>0</v>
      </c>
      <c r="H559" s="5">
        <f t="shared" si="946"/>
        <v>0</v>
      </c>
      <c r="I559" s="5">
        <f t="shared" si="946"/>
        <v>0</v>
      </c>
      <c r="J559" s="5">
        <f t="shared" si="946"/>
        <v>0</v>
      </c>
      <c r="K559" s="5">
        <f t="shared" si="946"/>
        <v>0</v>
      </c>
      <c r="L559" s="5">
        <f t="shared" si="946"/>
        <v>0</v>
      </c>
      <c r="M559" s="5">
        <f t="shared" si="946"/>
        <v>0</v>
      </c>
      <c r="N559" s="5">
        <f t="shared" si="946"/>
        <v>0</v>
      </c>
      <c r="O559" s="5">
        <f t="shared" si="946"/>
        <v>0</v>
      </c>
      <c r="P559" s="5">
        <f t="shared" ref="P559" si="947">$C558*P558</f>
        <v>0</v>
      </c>
      <c r="Q559" s="5">
        <f t="shared" ref="Q559" si="948">$C558*Q558</f>
        <v>71355.147695999985</v>
      </c>
      <c r="R559" s="5">
        <f t="shared" ref="R559:AB559" si="949">$C558*R558</f>
        <v>0</v>
      </c>
      <c r="S559" s="5">
        <f t="shared" si="949"/>
        <v>11464.33848</v>
      </c>
      <c r="T559" s="5">
        <f t="shared" si="949"/>
        <v>0</v>
      </c>
      <c r="U559" s="5">
        <f t="shared" si="949"/>
        <v>0</v>
      </c>
      <c r="V559" s="5">
        <f t="shared" si="949"/>
        <v>0</v>
      </c>
      <c r="W559" s="5">
        <f t="shared" si="949"/>
        <v>0</v>
      </c>
      <c r="X559" s="5">
        <f t="shared" si="949"/>
        <v>167876.59022400001</v>
      </c>
      <c r="Y559" s="5">
        <f t="shared" si="949"/>
        <v>6105.105552</v>
      </c>
      <c r="Z559" s="5">
        <f t="shared" si="949"/>
        <v>0</v>
      </c>
      <c r="AA559" s="5">
        <f t="shared" si="949"/>
        <v>0</v>
      </c>
      <c r="AB559" s="5">
        <f t="shared" si="949"/>
        <v>0</v>
      </c>
      <c r="AC559" s="56"/>
      <c r="AD559" s="23"/>
    </row>
    <row r="560" spans="1:30" s="14" customFormat="1">
      <c r="A560" s="78" t="s">
        <v>104</v>
      </c>
      <c r="B560" s="187">
        <v>1242867.06</v>
      </c>
      <c r="C560" s="130">
        <f t="shared" si="853"/>
        <v>103572.26</v>
      </c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>
        <v>0.94410000000000005</v>
      </c>
      <c r="Y560" s="37">
        <v>3.5299999999999998E-2</v>
      </c>
      <c r="Z560" s="37">
        <v>2.06E-2</v>
      </c>
      <c r="AA560" s="37">
        <v>0</v>
      </c>
      <c r="AB560" s="37">
        <v>0</v>
      </c>
      <c r="AC560" s="56"/>
      <c r="AD560" s="23"/>
    </row>
    <row r="561" spans="1:30" s="14" customFormat="1">
      <c r="A561" s="79"/>
      <c r="B561" s="9"/>
      <c r="C561" s="130"/>
      <c r="D561" s="36">
        <f t="shared" ref="D561" si="950">$C560*D560</f>
        <v>0</v>
      </c>
      <c r="E561" s="36">
        <f t="shared" ref="E561" si="951">$C560*E560</f>
        <v>0</v>
      </c>
      <c r="F561" s="36">
        <f t="shared" ref="F561:AB561" si="952">$C560*F560</f>
        <v>0</v>
      </c>
      <c r="G561" s="36">
        <f t="shared" si="952"/>
        <v>0</v>
      </c>
      <c r="H561" s="36">
        <f t="shared" si="952"/>
        <v>0</v>
      </c>
      <c r="I561" s="36">
        <f t="shared" si="952"/>
        <v>0</v>
      </c>
      <c r="J561" s="36">
        <f t="shared" si="952"/>
        <v>0</v>
      </c>
      <c r="K561" s="36">
        <f t="shared" si="952"/>
        <v>0</v>
      </c>
      <c r="L561" s="36">
        <f t="shared" si="952"/>
        <v>0</v>
      </c>
      <c r="M561" s="36">
        <f t="shared" si="952"/>
        <v>0</v>
      </c>
      <c r="N561" s="36">
        <f t="shared" si="952"/>
        <v>0</v>
      </c>
      <c r="O561" s="36">
        <f t="shared" si="952"/>
        <v>0</v>
      </c>
      <c r="P561" s="36">
        <f t="shared" si="952"/>
        <v>0</v>
      </c>
      <c r="Q561" s="36">
        <f t="shared" si="952"/>
        <v>0</v>
      </c>
      <c r="R561" s="36">
        <f t="shared" si="952"/>
        <v>0</v>
      </c>
      <c r="S561" s="36">
        <f t="shared" si="952"/>
        <v>0</v>
      </c>
      <c r="T561" s="36">
        <f t="shared" si="952"/>
        <v>0</v>
      </c>
      <c r="U561" s="36">
        <f t="shared" si="952"/>
        <v>0</v>
      </c>
      <c r="V561" s="36">
        <f t="shared" si="952"/>
        <v>0</v>
      </c>
      <c r="W561" s="36">
        <f t="shared" si="952"/>
        <v>0</v>
      </c>
      <c r="X561" s="36">
        <f t="shared" si="952"/>
        <v>97782.570666</v>
      </c>
      <c r="Y561" s="36">
        <f t="shared" si="952"/>
        <v>3656.1007779999995</v>
      </c>
      <c r="Z561" s="36">
        <f t="shared" si="952"/>
        <v>2133.5885559999997</v>
      </c>
      <c r="AA561" s="36">
        <f t="shared" si="952"/>
        <v>0</v>
      </c>
      <c r="AB561" s="36">
        <f t="shared" si="952"/>
        <v>0</v>
      </c>
      <c r="AC561" s="56"/>
      <c r="AD561" s="23"/>
    </row>
    <row r="562" spans="1:30" s="14" customFormat="1">
      <c r="A562" s="78" t="s">
        <v>612</v>
      </c>
      <c r="B562" s="187">
        <v>1606101.5</v>
      </c>
      <c r="C562" s="130">
        <f t="shared" si="853"/>
        <v>133841.79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>
        <v>0.36349999999999999</v>
      </c>
      <c r="R562" s="4"/>
      <c r="S562" s="4">
        <v>0.188</v>
      </c>
      <c r="T562" s="4"/>
      <c r="U562" s="4"/>
      <c r="V562" s="4"/>
      <c r="W562" s="4"/>
      <c r="X562" s="4">
        <v>0.43240000000000001</v>
      </c>
      <c r="Y562" s="4">
        <v>1.61E-2</v>
      </c>
      <c r="Z562" s="4"/>
      <c r="AA562" s="4"/>
      <c r="AB562" s="4"/>
      <c r="AC562" s="56"/>
      <c r="AD562" s="23"/>
    </row>
    <row r="563" spans="1:30" s="14" customFormat="1">
      <c r="A563" s="79"/>
      <c r="B563" s="9"/>
      <c r="C563" s="130"/>
      <c r="D563" s="5">
        <f t="shared" ref="D563" si="953">$C562*D562</f>
        <v>0</v>
      </c>
      <c r="E563" s="5">
        <f t="shared" ref="E563" si="954">$C562*E562</f>
        <v>0</v>
      </c>
      <c r="F563" s="5">
        <f t="shared" ref="F563:AB563" si="955">$C562*F562</f>
        <v>0</v>
      </c>
      <c r="G563" s="5">
        <f t="shared" si="955"/>
        <v>0</v>
      </c>
      <c r="H563" s="5">
        <f t="shared" si="955"/>
        <v>0</v>
      </c>
      <c r="I563" s="5">
        <f t="shared" si="955"/>
        <v>0</v>
      </c>
      <c r="J563" s="5">
        <f t="shared" si="955"/>
        <v>0</v>
      </c>
      <c r="K563" s="5">
        <f t="shared" si="955"/>
        <v>0</v>
      </c>
      <c r="L563" s="5">
        <f t="shared" si="955"/>
        <v>0</v>
      </c>
      <c r="M563" s="5">
        <f t="shared" si="955"/>
        <v>0</v>
      </c>
      <c r="N563" s="5">
        <f t="shared" si="955"/>
        <v>0</v>
      </c>
      <c r="O563" s="5">
        <f t="shared" si="955"/>
        <v>0</v>
      </c>
      <c r="P563" s="5">
        <f t="shared" si="955"/>
        <v>0</v>
      </c>
      <c r="Q563" s="5">
        <f t="shared" si="955"/>
        <v>48651.490665000005</v>
      </c>
      <c r="R563" s="5">
        <f t="shared" si="955"/>
        <v>0</v>
      </c>
      <c r="S563" s="5">
        <f t="shared" si="955"/>
        <v>25162.256520000003</v>
      </c>
      <c r="T563" s="5">
        <f t="shared" si="955"/>
        <v>0</v>
      </c>
      <c r="U563" s="5">
        <f t="shared" si="955"/>
        <v>0</v>
      </c>
      <c r="V563" s="5">
        <f t="shared" si="955"/>
        <v>0</v>
      </c>
      <c r="W563" s="5">
        <f t="shared" si="955"/>
        <v>0</v>
      </c>
      <c r="X563" s="5">
        <f t="shared" si="955"/>
        <v>57873.189996000001</v>
      </c>
      <c r="Y563" s="5">
        <f t="shared" si="955"/>
        <v>2154.8528190000002</v>
      </c>
      <c r="Z563" s="5">
        <f t="shared" si="955"/>
        <v>0</v>
      </c>
      <c r="AA563" s="5">
        <f t="shared" si="955"/>
        <v>0</v>
      </c>
      <c r="AB563" s="5">
        <f t="shared" si="955"/>
        <v>0</v>
      </c>
      <c r="AC563" s="56"/>
      <c r="AD563" s="23"/>
    </row>
    <row r="564" spans="1:30" s="14" customFormat="1">
      <c r="A564" s="78" t="s">
        <v>105</v>
      </c>
      <c r="B564" s="187">
        <v>554924.62</v>
      </c>
      <c r="C564" s="130">
        <f t="shared" si="853"/>
        <v>46243.72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>
        <v>0.39410000000000001</v>
      </c>
      <c r="R564" s="4"/>
      <c r="S564" s="4">
        <v>0.20380000000000001</v>
      </c>
      <c r="T564" s="4"/>
      <c r="U564" s="4"/>
      <c r="V564" s="4"/>
      <c r="W564" s="4"/>
      <c r="X564" s="4">
        <v>0.3876</v>
      </c>
      <c r="Y564" s="4">
        <v>1.4500000000000001E-2</v>
      </c>
      <c r="Z564" s="4"/>
      <c r="AA564" s="4"/>
      <c r="AB564" s="4"/>
      <c r="AC564" s="56"/>
      <c r="AD564" s="23"/>
    </row>
    <row r="565" spans="1:30" s="14" customFormat="1">
      <c r="A565" s="79"/>
      <c r="B565" s="9"/>
      <c r="C565" s="130"/>
      <c r="D565" s="5">
        <f t="shared" ref="D565" si="956">$C564*D564</f>
        <v>0</v>
      </c>
      <c r="E565" s="5">
        <f t="shared" ref="E565" si="957">$C564*E564</f>
        <v>0</v>
      </c>
      <c r="F565" s="5">
        <f t="shared" ref="F565:AB565" si="958">$C564*F564</f>
        <v>0</v>
      </c>
      <c r="G565" s="5">
        <f t="shared" si="958"/>
        <v>0</v>
      </c>
      <c r="H565" s="5">
        <f t="shared" si="958"/>
        <v>0</v>
      </c>
      <c r="I565" s="5">
        <f t="shared" si="958"/>
        <v>0</v>
      </c>
      <c r="J565" s="5">
        <f t="shared" si="958"/>
        <v>0</v>
      </c>
      <c r="K565" s="5">
        <f t="shared" si="958"/>
        <v>0</v>
      </c>
      <c r="L565" s="5">
        <f t="shared" si="958"/>
        <v>0</v>
      </c>
      <c r="M565" s="5">
        <f t="shared" si="958"/>
        <v>0</v>
      </c>
      <c r="N565" s="5">
        <f t="shared" si="958"/>
        <v>0</v>
      </c>
      <c r="O565" s="5">
        <f t="shared" si="958"/>
        <v>0</v>
      </c>
      <c r="P565" s="5">
        <f t="shared" si="958"/>
        <v>0</v>
      </c>
      <c r="Q565" s="5">
        <f t="shared" si="958"/>
        <v>18224.650052000001</v>
      </c>
      <c r="R565" s="5">
        <f t="shared" si="958"/>
        <v>0</v>
      </c>
      <c r="S565" s="5">
        <f t="shared" si="958"/>
        <v>9424.4701359999999</v>
      </c>
      <c r="T565" s="5">
        <f t="shared" si="958"/>
        <v>0</v>
      </c>
      <c r="U565" s="5">
        <f t="shared" si="958"/>
        <v>0</v>
      </c>
      <c r="V565" s="5">
        <f t="shared" si="958"/>
        <v>0</v>
      </c>
      <c r="W565" s="5">
        <f t="shared" si="958"/>
        <v>0</v>
      </c>
      <c r="X565" s="5">
        <f t="shared" si="958"/>
        <v>17924.065871999999</v>
      </c>
      <c r="Y565" s="5">
        <f t="shared" si="958"/>
        <v>670.53394000000003</v>
      </c>
      <c r="Z565" s="5">
        <f t="shared" si="958"/>
        <v>0</v>
      </c>
      <c r="AA565" s="5">
        <f t="shared" si="958"/>
        <v>0</v>
      </c>
      <c r="AB565" s="5">
        <f t="shared" si="958"/>
        <v>0</v>
      </c>
      <c r="AC565" s="56"/>
      <c r="AD565" s="23"/>
    </row>
    <row r="566" spans="1:30" s="14" customFormat="1">
      <c r="A566" s="78" t="s">
        <v>106</v>
      </c>
      <c r="B566" s="187">
        <v>4022130.66</v>
      </c>
      <c r="C566" s="130">
        <f t="shared" si="853"/>
        <v>335177.56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>
        <v>0.2349</v>
      </c>
      <c r="R566" s="4"/>
      <c r="S566" s="4">
        <v>1.61E-2</v>
      </c>
      <c r="T566" s="4"/>
      <c r="U566" s="4">
        <v>5.3699999999999998E-2</v>
      </c>
      <c r="V566" s="4"/>
      <c r="W566" s="4"/>
      <c r="X566" s="4">
        <v>0.67030000000000001</v>
      </c>
      <c r="Y566" s="4">
        <v>2.5000000000000001E-2</v>
      </c>
      <c r="Z566" s="4"/>
      <c r="AA566" s="4"/>
      <c r="AB566" s="4"/>
      <c r="AC566" s="56"/>
      <c r="AD566" s="23"/>
    </row>
    <row r="567" spans="1:30" s="14" customFormat="1">
      <c r="A567" s="79"/>
      <c r="B567" s="9"/>
      <c r="C567" s="130"/>
      <c r="D567" s="5">
        <f t="shared" ref="D567" si="959">$C566*D566</f>
        <v>0</v>
      </c>
      <c r="E567" s="5">
        <f t="shared" ref="E567" si="960">$C566*E566</f>
        <v>0</v>
      </c>
      <c r="F567" s="5">
        <f t="shared" ref="F567:AB567" si="961">$C566*F566</f>
        <v>0</v>
      </c>
      <c r="G567" s="5">
        <f t="shared" si="961"/>
        <v>0</v>
      </c>
      <c r="H567" s="5">
        <f t="shared" si="961"/>
        <v>0</v>
      </c>
      <c r="I567" s="5">
        <f t="shared" si="961"/>
        <v>0</v>
      </c>
      <c r="J567" s="5">
        <f t="shared" si="961"/>
        <v>0</v>
      </c>
      <c r="K567" s="5">
        <f t="shared" si="961"/>
        <v>0</v>
      </c>
      <c r="L567" s="5">
        <f t="shared" si="961"/>
        <v>0</v>
      </c>
      <c r="M567" s="5">
        <f t="shared" si="961"/>
        <v>0</v>
      </c>
      <c r="N567" s="5">
        <f t="shared" si="961"/>
        <v>0</v>
      </c>
      <c r="O567" s="5">
        <f t="shared" si="961"/>
        <v>0</v>
      </c>
      <c r="P567" s="5">
        <f t="shared" si="961"/>
        <v>0</v>
      </c>
      <c r="Q567" s="5">
        <f t="shared" si="961"/>
        <v>78733.208843999993</v>
      </c>
      <c r="R567" s="5">
        <f t="shared" si="961"/>
        <v>0</v>
      </c>
      <c r="S567" s="5">
        <f t="shared" si="961"/>
        <v>5396.3587159999997</v>
      </c>
      <c r="T567" s="5">
        <f t="shared" si="961"/>
        <v>0</v>
      </c>
      <c r="U567" s="5">
        <f t="shared" si="961"/>
        <v>17999.034971999998</v>
      </c>
      <c r="V567" s="5">
        <f t="shared" si="961"/>
        <v>0</v>
      </c>
      <c r="W567" s="5">
        <f t="shared" si="961"/>
        <v>0</v>
      </c>
      <c r="X567" s="5">
        <f t="shared" si="961"/>
        <v>224669.51846799999</v>
      </c>
      <c r="Y567" s="5">
        <f t="shared" si="961"/>
        <v>8379.4390000000003</v>
      </c>
      <c r="Z567" s="5">
        <f t="shared" si="961"/>
        <v>0</v>
      </c>
      <c r="AA567" s="5">
        <f t="shared" si="961"/>
        <v>0</v>
      </c>
      <c r="AB567" s="5">
        <f t="shared" si="961"/>
        <v>0</v>
      </c>
      <c r="AC567" s="56"/>
      <c r="AD567" s="23"/>
    </row>
    <row r="568" spans="1:30" s="14" customFormat="1">
      <c r="A568" s="78" t="s">
        <v>107</v>
      </c>
      <c r="B568" s="188">
        <v>32021069.359999999</v>
      </c>
      <c r="C568" s="130">
        <f t="shared" si="853"/>
        <v>2668422.4500000002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>
        <v>0.96179999999999999</v>
      </c>
      <c r="Y568" s="4">
        <v>3.8199999999999998E-2</v>
      </c>
      <c r="Z568" s="4"/>
      <c r="AA568" s="4"/>
      <c r="AB568" s="4"/>
      <c r="AC568" s="56"/>
      <c r="AD568" s="23"/>
    </row>
    <row r="569" spans="1:30" s="14" customFormat="1">
      <c r="A569" s="79"/>
      <c r="B569" s="9"/>
      <c r="C569" s="130"/>
      <c r="D569" s="5">
        <f t="shared" ref="D569" si="962">$C568*D568</f>
        <v>0</v>
      </c>
      <c r="E569" s="5">
        <f t="shared" ref="E569" si="963">$C568*E568</f>
        <v>0</v>
      </c>
      <c r="F569" s="5">
        <f t="shared" ref="F569:AB569" si="964">$C568*F568</f>
        <v>0</v>
      </c>
      <c r="G569" s="5">
        <f t="shared" si="964"/>
        <v>0</v>
      </c>
      <c r="H569" s="5">
        <f t="shared" si="964"/>
        <v>0</v>
      </c>
      <c r="I569" s="5">
        <f t="shared" si="964"/>
        <v>0</v>
      </c>
      <c r="J569" s="5">
        <f t="shared" si="964"/>
        <v>0</v>
      </c>
      <c r="K569" s="5">
        <f t="shared" si="964"/>
        <v>0</v>
      </c>
      <c r="L569" s="5">
        <f t="shared" si="964"/>
        <v>0</v>
      </c>
      <c r="M569" s="5">
        <f t="shared" si="964"/>
        <v>0</v>
      </c>
      <c r="N569" s="5">
        <f t="shared" si="964"/>
        <v>0</v>
      </c>
      <c r="O569" s="5">
        <f t="shared" si="964"/>
        <v>0</v>
      </c>
      <c r="P569" s="5">
        <f t="shared" si="964"/>
        <v>0</v>
      </c>
      <c r="Q569" s="5">
        <f t="shared" si="964"/>
        <v>0</v>
      </c>
      <c r="R569" s="5">
        <f t="shared" si="964"/>
        <v>0</v>
      </c>
      <c r="S569" s="5">
        <f t="shared" si="964"/>
        <v>0</v>
      </c>
      <c r="T569" s="5">
        <f t="shared" si="964"/>
        <v>0</v>
      </c>
      <c r="U569" s="5">
        <f t="shared" si="964"/>
        <v>0</v>
      </c>
      <c r="V569" s="5">
        <f t="shared" si="964"/>
        <v>0</v>
      </c>
      <c r="W569" s="5">
        <f t="shared" si="964"/>
        <v>0</v>
      </c>
      <c r="X569" s="5">
        <f t="shared" si="964"/>
        <v>2566488.7124100002</v>
      </c>
      <c r="Y569" s="5">
        <f t="shared" si="964"/>
        <v>101933.73759</v>
      </c>
      <c r="Z569" s="5">
        <f t="shared" si="964"/>
        <v>0</v>
      </c>
      <c r="AA569" s="5">
        <f t="shared" si="964"/>
        <v>0</v>
      </c>
      <c r="AB569" s="5">
        <f t="shared" si="964"/>
        <v>0</v>
      </c>
      <c r="AC569" s="56"/>
      <c r="AD569" s="23"/>
    </row>
    <row r="570" spans="1:30" s="14" customFormat="1">
      <c r="A570" s="78" t="s">
        <v>108</v>
      </c>
      <c r="B570" s="188">
        <v>32810204.559999999</v>
      </c>
      <c r="C570" s="130">
        <f t="shared" si="853"/>
        <v>2734183.71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>
        <v>0.96179999999999999</v>
      </c>
      <c r="Y570" s="4">
        <v>3.8199999999999998E-2</v>
      </c>
      <c r="Z570" s="4"/>
      <c r="AA570" s="4"/>
      <c r="AB570" s="4"/>
      <c r="AC570" s="56"/>
      <c r="AD570" s="23"/>
    </row>
    <row r="571" spans="1:30" s="14" customFormat="1">
      <c r="A571" s="79"/>
      <c r="B571" s="9"/>
      <c r="C571" s="130"/>
      <c r="D571" s="5">
        <f t="shared" ref="D571" si="965">$C570*D570</f>
        <v>0</v>
      </c>
      <c r="E571" s="5">
        <f t="shared" ref="E571" si="966">$C570*E570</f>
        <v>0</v>
      </c>
      <c r="F571" s="5">
        <f t="shared" ref="F571:AB571" si="967">$C570*F570</f>
        <v>0</v>
      </c>
      <c r="G571" s="5">
        <f t="shared" si="967"/>
        <v>0</v>
      </c>
      <c r="H571" s="5">
        <f t="shared" si="967"/>
        <v>0</v>
      </c>
      <c r="I571" s="5">
        <f t="shared" si="967"/>
        <v>0</v>
      </c>
      <c r="J571" s="5">
        <f t="shared" si="967"/>
        <v>0</v>
      </c>
      <c r="K571" s="5">
        <f t="shared" si="967"/>
        <v>0</v>
      </c>
      <c r="L571" s="5">
        <f t="shared" si="967"/>
        <v>0</v>
      </c>
      <c r="M571" s="5">
        <f t="shared" si="967"/>
        <v>0</v>
      </c>
      <c r="N571" s="5">
        <f t="shared" si="967"/>
        <v>0</v>
      </c>
      <c r="O571" s="5">
        <f t="shared" si="967"/>
        <v>0</v>
      </c>
      <c r="P571" s="5">
        <f t="shared" si="967"/>
        <v>0</v>
      </c>
      <c r="Q571" s="5">
        <f t="shared" si="967"/>
        <v>0</v>
      </c>
      <c r="R571" s="5">
        <f t="shared" si="967"/>
        <v>0</v>
      </c>
      <c r="S571" s="5">
        <f t="shared" si="967"/>
        <v>0</v>
      </c>
      <c r="T571" s="5">
        <f t="shared" si="967"/>
        <v>0</v>
      </c>
      <c r="U571" s="5">
        <f t="shared" si="967"/>
        <v>0</v>
      </c>
      <c r="V571" s="5">
        <f t="shared" si="967"/>
        <v>0</v>
      </c>
      <c r="W571" s="5">
        <f t="shared" si="967"/>
        <v>0</v>
      </c>
      <c r="X571" s="5">
        <f t="shared" si="967"/>
        <v>2629737.8922779998</v>
      </c>
      <c r="Y571" s="5">
        <f t="shared" si="967"/>
        <v>104445.81772199999</v>
      </c>
      <c r="Z571" s="5">
        <f t="shared" si="967"/>
        <v>0</v>
      </c>
      <c r="AA571" s="5">
        <f t="shared" si="967"/>
        <v>0</v>
      </c>
      <c r="AB571" s="5">
        <f t="shared" si="967"/>
        <v>0</v>
      </c>
      <c r="AC571" s="56"/>
      <c r="AD571" s="23"/>
    </row>
    <row r="572" spans="1:30" s="14" customFormat="1">
      <c r="A572" s="78" t="s">
        <v>109</v>
      </c>
      <c r="B572" s="187">
        <v>1929204.2</v>
      </c>
      <c r="C572" s="130">
        <f t="shared" si="853"/>
        <v>160767.01999999999</v>
      </c>
      <c r="D572" s="119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>
        <v>1.4E-3</v>
      </c>
      <c r="Q572" s="120"/>
      <c r="R572" s="120"/>
      <c r="S572" s="120"/>
      <c r="T572" s="120"/>
      <c r="U572" s="120"/>
      <c r="V572" s="120"/>
      <c r="W572" s="120"/>
      <c r="X572" s="37">
        <v>0.95830000000000004</v>
      </c>
      <c r="Y572" s="37">
        <v>3.8100000000000002E-2</v>
      </c>
      <c r="Z572" s="120">
        <v>2.2000000000000001E-3</v>
      </c>
      <c r="AA572" s="120">
        <v>0</v>
      </c>
      <c r="AB572" s="120">
        <v>0</v>
      </c>
      <c r="AC572" s="56"/>
      <c r="AD572" s="23"/>
    </row>
    <row r="573" spans="1:30" s="14" customFormat="1">
      <c r="A573" s="79"/>
      <c r="B573" s="9"/>
      <c r="C573" s="130"/>
      <c r="D573" s="36">
        <f t="shared" ref="D573" si="968">$C572*D572</f>
        <v>0</v>
      </c>
      <c r="E573" s="36">
        <f t="shared" ref="E573" si="969">$C572*E572</f>
        <v>0</v>
      </c>
      <c r="F573" s="36">
        <f t="shared" ref="F573:AB573" si="970">$C572*F572</f>
        <v>0</v>
      </c>
      <c r="G573" s="36">
        <f t="shared" si="970"/>
        <v>0</v>
      </c>
      <c r="H573" s="36">
        <f t="shared" si="970"/>
        <v>0</v>
      </c>
      <c r="I573" s="36">
        <f t="shared" si="970"/>
        <v>0</v>
      </c>
      <c r="J573" s="36">
        <f t="shared" si="970"/>
        <v>0</v>
      </c>
      <c r="K573" s="36">
        <f t="shared" si="970"/>
        <v>0</v>
      </c>
      <c r="L573" s="36">
        <f t="shared" si="970"/>
        <v>0</v>
      </c>
      <c r="M573" s="36">
        <f t="shared" si="970"/>
        <v>0</v>
      </c>
      <c r="N573" s="36">
        <f t="shared" si="970"/>
        <v>0</v>
      </c>
      <c r="O573" s="36">
        <f t="shared" si="970"/>
        <v>0</v>
      </c>
      <c r="P573" s="36">
        <f t="shared" si="970"/>
        <v>225.07382799999999</v>
      </c>
      <c r="Q573" s="36">
        <f t="shared" si="970"/>
        <v>0</v>
      </c>
      <c r="R573" s="36">
        <f t="shared" si="970"/>
        <v>0</v>
      </c>
      <c r="S573" s="36">
        <f t="shared" si="970"/>
        <v>0</v>
      </c>
      <c r="T573" s="36">
        <f t="shared" si="970"/>
        <v>0</v>
      </c>
      <c r="U573" s="36">
        <f t="shared" si="970"/>
        <v>0</v>
      </c>
      <c r="V573" s="36">
        <f t="shared" si="970"/>
        <v>0</v>
      </c>
      <c r="W573" s="36">
        <f t="shared" si="970"/>
        <v>0</v>
      </c>
      <c r="X573" s="36">
        <f t="shared" si="970"/>
        <v>154063.03526599999</v>
      </c>
      <c r="Y573" s="36">
        <f t="shared" si="970"/>
        <v>6125.2234619999999</v>
      </c>
      <c r="Z573" s="36">
        <f t="shared" si="970"/>
        <v>353.68744399999997</v>
      </c>
      <c r="AA573" s="36">
        <f t="shared" si="970"/>
        <v>0</v>
      </c>
      <c r="AB573" s="36">
        <f t="shared" si="970"/>
        <v>0</v>
      </c>
      <c r="AC573" s="56"/>
      <c r="AD573" s="23"/>
    </row>
    <row r="574" spans="1:30" s="14" customFormat="1">
      <c r="A574" s="78" t="s">
        <v>206</v>
      </c>
      <c r="B574" s="26">
        <v>4307267.3499999996</v>
      </c>
      <c r="C574" s="130">
        <f t="shared" si="853"/>
        <v>358938.95</v>
      </c>
      <c r="D574" s="24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4">
        <v>0.96179999999999999</v>
      </c>
      <c r="Y574" s="4">
        <v>3.8199999999999998E-2</v>
      </c>
      <c r="Z574" s="7"/>
      <c r="AA574" s="7"/>
      <c r="AB574" s="7"/>
      <c r="AC574" s="56"/>
      <c r="AD574" s="23"/>
    </row>
    <row r="575" spans="1:30" s="14" customFormat="1">
      <c r="A575" s="79"/>
      <c r="B575" s="9"/>
      <c r="C575" s="130"/>
      <c r="D575" s="5">
        <f t="shared" ref="D575" si="971">$C574*D574</f>
        <v>0</v>
      </c>
      <c r="E575" s="5">
        <f t="shared" ref="E575" si="972">$C574*E574</f>
        <v>0</v>
      </c>
      <c r="F575" s="5">
        <f t="shared" ref="F575:N575" si="973">$C574*F574</f>
        <v>0</v>
      </c>
      <c r="G575" s="5">
        <f t="shared" si="973"/>
        <v>0</v>
      </c>
      <c r="H575" s="5">
        <f t="shared" si="973"/>
        <v>0</v>
      </c>
      <c r="I575" s="5">
        <f t="shared" si="973"/>
        <v>0</v>
      </c>
      <c r="J575" s="5">
        <f t="shared" si="973"/>
        <v>0</v>
      </c>
      <c r="K575" s="5">
        <f t="shared" si="973"/>
        <v>0</v>
      </c>
      <c r="L575" s="5">
        <f t="shared" si="973"/>
        <v>0</v>
      </c>
      <c r="M575" s="5">
        <f t="shared" si="973"/>
        <v>0</v>
      </c>
      <c r="N575" s="5">
        <f t="shared" si="973"/>
        <v>0</v>
      </c>
      <c r="O575" s="5">
        <f t="shared" ref="O575" si="974">$C574*O574</f>
        <v>0</v>
      </c>
      <c r="P575" s="5">
        <f t="shared" ref="P575" si="975">$C574*P574</f>
        <v>0</v>
      </c>
      <c r="Q575" s="5">
        <f t="shared" ref="Q575:AB575" si="976">$C574*Q574</f>
        <v>0</v>
      </c>
      <c r="R575" s="5">
        <f t="shared" si="976"/>
        <v>0</v>
      </c>
      <c r="S575" s="5">
        <f t="shared" si="976"/>
        <v>0</v>
      </c>
      <c r="T575" s="5">
        <f t="shared" si="976"/>
        <v>0</v>
      </c>
      <c r="U575" s="5">
        <f t="shared" si="976"/>
        <v>0</v>
      </c>
      <c r="V575" s="5">
        <f t="shared" si="976"/>
        <v>0</v>
      </c>
      <c r="W575" s="5">
        <f t="shared" si="976"/>
        <v>0</v>
      </c>
      <c r="X575" s="5">
        <f t="shared" si="976"/>
        <v>345227.48210999998</v>
      </c>
      <c r="Y575" s="5">
        <f t="shared" si="976"/>
        <v>13711.46789</v>
      </c>
      <c r="Z575" s="5">
        <f t="shared" si="976"/>
        <v>0</v>
      </c>
      <c r="AA575" s="5">
        <f t="shared" si="976"/>
        <v>0</v>
      </c>
      <c r="AB575" s="5">
        <f t="shared" si="976"/>
        <v>0</v>
      </c>
      <c r="AC575" s="56"/>
      <c r="AD575" s="23"/>
    </row>
    <row r="576" spans="1:30" s="14" customFormat="1">
      <c r="A576" s="78" t="s">
        <v>207</v>
      </c>
      <c r="B576" s="26">
        <v>1123177.1000000001</v>
      </c>
      <c r="C576" s="130">
        <f t="shared" si="853"/>
        <v>93598.09</v>
      </c>
      <c r="D576" s="119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>
        <v>7.4999999999999997E-3</v>
      </c>
      <c r="Q576" s="120">
        <v>0.1031</v>
      </c>
      <c r="R576" s="120"/>
      <c r="S576" s="120">
        <v>9.7999999999999997E-3</v>
      </c>
      <c r="T576" s="120">
        <v>0.30809999999999998</v>
      </c>
      <c r="U576" s="120"/>
      <c r="V576" s="120"/>
      <c r="W576" s="120"/>
      <c r="X576" s="37">
        <v>0.54169999999999996</v>
      </c>
      <c r="Y576" s="37">
        <v>2.1600000000000001E-2</v>
      </c>
      <c r="Z576" s="120">
        <v>8.2000000000000007E-3</v>
      </c>
      <c r="AA576" s="120">
        <v>0</v>
      </c>
      <c r="AB576" s="120">
        <v>0</v>
      </c>
      <c r="AC576" s="56"/>
      <c r="AD576" s="23"/>
    </row>
    <row r="577" spans="1:30" s="14" customFormat="1">
      <c r="A577" s="79"/>
      <c r="B577" s="9"/>
      <c r="C577" s="130"/>
      <c r="D577" s="36">
        <f t="shared" ref="D577" si="977">$C576*D576</f>
        <v>0</v>
      </c>
      <c r="E577" s="36">
        <f t="shared" ref="E577" si="978">$C576*E576</f>
        <v>0</v>
      </c>
      <c r="F577" s="36">
        <f t="shared" ref="F577:AB577" si="979">$C576*F576</f>
        <v>0</v>
      </c>
      <c r="G577" s="36">
        <f t="shared" si="979"/>
        <v>0</v>
      </c>
      <c r="H577" s="36">
        <f t="shared" si="979"/>
        <v>0</v>
      </c>
      <c r="I577" s="36">
        <f t="shared" si="979"/>
        <v>0</v>
      </c>
      <c r="J577" s="36">
        <f t="shared" si="979"/>
        <v>0</v>
      </c>
      <c r="K577" s="36">
        <f t="shared" si="979"/>
        <v>0</v>
      </c>
      <c r="L577" s="36">
        <f t="shared" si="979"/>
        <v>0</v>
      </c>
      <c r="M577" s="36">
        <f t="shared" si="979"/>
        <v>0</v>
      </c>
      <c r="N577" s="36">
        <f t="shared" si="979"/>
        <v>0</v>
      </c>
      <c r="O577" s="36">
        <f t="shared" si="979"/>
        <v>0</v>
      </c>
      <c r="P577" s="36">
        <f t="shared" si="979"/>
        <v>701.9856749999999</v>
      </c>
      <c r="Q577" s="36">
        <f t="shared" si="979"/>
        <v>9649.9630789999992</v>
      </c>
      <c r="R577" s="36">
        <f t="shared" si="979"/>
        <v>0</v>
      </c>
      <c r="S577" s="36">
        <f t="shared" si="979"/>
        <v>917.26128199999994</v>
      </c>
      <c r="T577" s="36">
        <f t="shared" si="979"/>
        <v>28837.571528999997</v>
      </c>
      <c r="U577" s="36">
        <f t="shared" si="979"/>
        <v>0</v>
      </c>
      <c r="V577" s="36">
        <f t="shared" si="979"/>
        <v>0</v>
      </c>
      <c r="W577" s="36">
        <f t="shared" si="979"/>
        <v>0</v>
      </c>
      <c r="X577" s="36">
        <f t="shared" si="979"/>
        <v>50702.085352999995</v>
      </c>
      <c r="Y577" s="36">
        <f t="shared" si="979"/>
        <v>2021.718744</v>
      </c>
      <c r="Z577" s="36">
        <f t="shared" si="979"/>
        <v>767.50433800000008</v>
      </c>
      <c r="AA577" s="36">
        <f t="shared" si="979"/>
        <v>0</v>
      </c>
      <c r="AB577" s="36">
        <f t="shared" si="979"/>
        <v>0</v>
      </c>
      <c r="AC577" s="56"/>
      <c r="AD577" s="23"/>
    </row>
    <row r="578" spans="1:30" s="14" customFormat="1">
      <c r="A578" s="78" t="s">
        <v>233</v>
      </c>
      <c r="B578" s="26">
        <v>1825899.5</v>
      </c>
      <c r="C578" s="130">
        <f t="shared" si="853"/>
        <v>152158.29</v>
      </c>
      <c r="D578" s="24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>
        <v>0.36449999999999999</v>
      </c>
      <c r="U578" s="7"/>
      <c r="V578" s="7"/>
      <c r="W578" s="7"/>
      <c r="X578" s="4">
        <v>0.61109999999999998</v>
      </c>
      <c r="Y578" s="4">
        <v>2.4400000000000002E-2</v>
      </c>
      <c r="Z578" s="7"/>
      <c r="AA578" s="7"/>
      <c r="AB578" s="7"/>
      <c r="AC578" s="56"/>
      <c r="AD578" s="23"/>
    </row>
    <row r="579" spans="1:30" s="14" customFormat="1">
      <c r="A579" s="79"/>
      <c r="B579" s="9"/>
      <c r="C579" s="130"/>
      <c r="D579" s="5">
        <f t="shared" ref="D579" si="980">$C578*D578</f>
        <v>0</v>
      </c>
      <c r="E579" s="5">
        <f t="shared" ref="E579" si="981">$C578*E578</f>
        <v>0</v>
      </c>
      <c r="F579" s="5">
        <f t="shared" ref="F579:N579" si="982">$C578*F578</f>
        <v>0</v>
      </c>
      <c r="G579" s="5">
        <f t="shared" si="982"/>
        <v>0</v>
      </c>
      <c r="H579" s="5">
        <f t="shared" si="982"/>
        <v>0</v>
      </c>
      <c r="I579" s="5">
        <f t="shared" si="982"/>
        <v>0</v>
      </c>
      <c r="J579" s="5">
        <f t="shared" si="982"/>
        <v>0</v>
      </c>
      <c r="K579" s="5">
        <f t="shared" si="982"/>
        <v>0</v>
      </c>
      <c r="L579" s="5">
        <f t="shared" si="982"/>
        <v>0</v>
      </c>
      <c r="M579" s="5">
        <f t="shared" si="982"/>
        <v>0</v>
      </c>
      <c r="N579" s="5">
        <f t="shared" si="982"/>
        <v>0</v>
      </c>
      <c r="O579" s="5">
        <f t="shared" ref="O579" si="983">$C578*O578</f>
        <v>0</v>
      </c>
      <c r="P579" s="5">
        <f t="shared" ref="P579" si="984">$C578*P578</f>
        <v>0</v>
      </c>
      <c r="Q579" s="5">
        <f t="shared" ref="Q579:AB579" si="985">$C578*Q578</f>
        <v>0</v>
      </c>
      <c r="R579" s="5">
        <f t="shared" si="985"/>
        <v>0</v>
      </c>
      <c r="S579" s="5">
        <f t="shared" si="985"/>
        <v>0</v>
      </c>
      <c r="T579" s="5">
        <f t="shared" si="985"/>
        <v>55461.696705000002</v>
      </c>
      <c r="U579" s="5">
        <f t="shared" si="985"/>
        <v>0</v>
      </c>
      <c r="V579" s="5">
        <f t="shared" si="985"/>
        <v>0</v>
      </c>
      <c r="W579" s="5">
        <f t="shared" si="985"/>
        <v>0</v>
      </c>
      <c r="X579" s="5">
        <f t="shared" si="985"/>
        <v>92983.931018999996</v>
      </c>
      <c r="Y579" s="5">
        <f t="shared" si="985"/>
        <v>3712.6622760000005</v>
      </c>
      <c r="Z579" s="5">
        <f t="shared" si="985"/>
        <v>0</v>
      </c>
      <c r="AA579" s="5">
        <f t="shared" si="985"/>
        <v>0</v>
      </c>
      <c r="AB579" s="5">
        <f t="shared" si="985"/>
        <v>0</v>
      </c>
      <c r="AC579" s="56"/>
      <c r="AD579" s="23"/>
    </row>
    <row r="580" spans="1:30" s="14" customFormat="1">
      <c r="A580" s="78" t="s">
        <v>110</v>
      </c>
      <c r="B580" s="189">
        <v>59075434.789999999</v>
      </c>
      <c r="C580" s="130">
        <f t="shared" ref="C580:C642" si="986">ROUND(B580/12,2)</f>
        <v>4922952.9000000004</v>
      </c>
      <c r="D580" s="119">
        <v>2.3E-3</v>
      </c>
      <c r="E580" s="120"/>
      <c r="F580" s="120"/>
      <c r="G580" s="120"/>
      <c r="H580" s="120">
        <v>9.7000000000000003E-3</v>
      </c>
      <c r="I580" s="120">
        <v>2.3199999999999998E-2</v>
      </c>
      <c r="J580" s="120">
        <v>1.2999999999999999E-3</v>
      </c>
      <c r="K580" s="120"/>
      <c r="L580" s="120"/>
      <c r="M580" s="120"/>
      <c r="N580" s="120"/>
      <c r="O580" s="120"/>
      <c r="P580" s="120">
        <v>0.1605</v>
      </c>
      <c r="Q580" s="120">
        <v>1.17E-2</v>
      </c>
      <c r="R580" s="120"/>
      <c r="S580" s="120">
        <v>6.9999999999999999E-4</v>
      </c>
      <c r="T580" s="120"/>
      <c r="U580" s="120">
        <v>2.9700000000000001E-2</v>
      </c>
      <c r="V580" s="120">
        <v>1.04E-2</v>
      </c>
      <c r="W580" s="120"/>
      <c r="X580" s="120">
        <v>0.7016</v>
      </c>
      <c r="Y580" s="121">
        <v>2.7799999999999998E-2</v>
      </c>
      <c r="Z580" s="120">
        <v>2.1100000000000001E-2</v>
      </c>
      <c r="AA580" s="120">
        <v>0</v>
      </c>
      <c r="AB580" s="120">
        <v>0</v>
      </c>
      <c r="AC580" s="56"/>
      <c r="AD580" s="23"/>
    </row>
    <row r="581" spans="1:30" s="14" customFormat="1">
      <c r="A581" s="79"/>
      <c r="B581" s="9"/>
      <c r="C581" s="130"/>
      <c r="D581" s="36">
        <f t="shared" ref="D581" si="987">$C580*D580</f>
        <v>11322.791670000001</v>
      </c>
      <c r="E581" s="36">
        <f t="shared" ref="E581" si="988">$C580*E580</f>
        <v>0</v>
      </c>
      <c r="F581" s="36">
        <f t="shared" ref="F581:AB581" si="989">$C580*F580</f>
        <v>0</v>
      </c>
      <c r="G581" s="36">
        <f t="shared" si="989"/>
        <v>0</v>
      </c>
      <c r="H581" s="36">
        <f t="shared" si="989"/>
        <v>47752.643130000004</v>
      </c>
      <c r="I581" s="36">
        <f t="shared" si="989"/>
        <v>114212.50728000001</v>
      </c>
      <c r="J581" s="36">
        <f t="shared" si="989"/>
        <v>6399.8387700000003</v>
      </c>
      <c r="K581" s="36">
        <f t="shared" si="989"/>
        <v>0</v>
      </c>
      <c r="L581" s="36">
        <f t="shared" si="989"/>
        <v>0</v>
      </c>
      <c r="M581" s="36">
        <f t="shared" si="989"/>
        <v>0</v>
      </c>
      <c r="N581" s="36">
        <f t="shared" si="989"/>
        <v>0</v>
      </c>
      <c r="O581" s="36">
        <f t="shared" si="989"/>
        <v>0</v>
      </c>
      <c r="P581" s="36">
        <f t="shared" si="989"/>
        <v>790133.94045000011</v>
      </c>
      <c r="Q581" s="36">
        <f t="shared" si="989"/>
        <v>57598.548930000004</v>
      </c>
      <c r="R581" s="36">
        <f t="shared" si="989"/>
        <v>0</v>
      </c>
      <c r="S581" s="36">
        <f t="shared" si="989"/>
        <v>3446.0670300000002</v>
      </c>
      <c r="T581" s="36">
        <f t="shared" si="989"/>
        <v>0</v>
      </c>
      <c r="U581" s="36">
        <f t="shared" si="989"/>
        <v>146211.70113</v>
      </c>
      <c r="V581" s="36">
        <f t="shared" si="989"/>
        <v>51198.710160000002</v>
      </c>
      <c r="W581" s="36">
        <f t="shared" si="989"/>
        <v>0</v>
      </c>
      <c r="X581" s="36">
        <f t="shared" si="989"/>
        <v>3453943.7546400004</v>
      </c>
      <c r="Y581" s="36">
        <f t="shared" si="989"/>
        <v>136858.09062</v>
      </c>
      <c r="Z581" s="36">
        <f t="shared" si="989"/>
        <v>103874.30619000002</v>
      </c>
      <c r="AA581" s="36">
        <f t="shared" si="989"/>
        <v>0</v>
      </c>
      <c r="AB581" s="36">
        <f t="shared" si="989"/>
        <v>0</v>
      </c>
      <c r="AC581" s="56"/>
      <c r="AD581" s="23"/>
    </row>
    <row r="582" spans="1:30" s="14" customFormat="1">
      <c r="A582" s="78" t="s">
        <v>180</v>
      </c>
      <c r="B582" s="26">
        <v>40761870.479999997</v>
      </c>
      <c r="C582" s="130">
        <f t="shared" si="986"/>
        <v>3396822.54</v>
      </c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39">
        <v>7.9000000000000008E-3</v>
      </c>
      <c r="Q582" s="39">
        <v>0.12820000000000001</v>
      </c>
      <c r="R582" s="39"/>
      <c r="S582" s="39">
        <v>1.18E-2</v>
      </c>
      <c r="T582" s="39">
        <v>0.51080000000000003</v>
      </c>
      <c r="U582" s="39"/>
      <c r="V582" s="39">
        <v>5.7000000000000002E-3</v>
      </c>
      <c r="W582" s="39"/>
      <c r="X582" s="39">
        <v>0.31459999999999999</v>
      </c>
      <c r="Y582" s="39">
        <v>1.2500000000000001E-2</v>
      </c>
      <c r="Z582" s="39">
        <v>8.5000000000000006E-3</v>
      </c>
      <c r="AA582" s="39">
        <v>0</v>
      </c>
      <c r="AB582" s="39">
        <v>0</v>
      </c>
      <c r="AC582" s="56"/>
      <c r="AD582" s="23"/>
    </row>
    <row r="583" spans="1:30" s="14" customFormat="1">
      <c r="A583" s="79"/>
      <c r="B583" s="9"/>
      <c r="C583" s="130"/>
      <c r="D583" s="36">
        <f t="shared" ref="D583" si="990">$C582*D582</f>
        <v>0</v>
      </c>
      <c r="E583" s="36">
        <f t="shared" ref="E583" si="991">$C582*E582</f>
        <v>0</v>
      </c>
      <c r="F583" s="36">
        <f t="shared" ref="F583:AB583" si="992">$C582*F582</f>
        <v>0</v>
      </c>
      <c r="G583" s="36">
        <f t="shared" si="992"/>
        <v>0</v>
      </c>
      <c r="H583" s="36">
        <f t="shared" si="992"/>
        <v>0</v>
      </c>
      <c r="I583" s="36">
        <f t="shared" si="992"/>
        <v>0</v>
      </c>
      <c r="J583" s="36">
        <f t="shared" si="992"/>
        <v>0</v>
      </c>
      <c r="K583" s="36">
        <f t="shared" si="992"/>
        <v>0</v>
      </c>
      <c r="L583" s="36">
        <f t="shared" si="992"/>
        <v>0</v>
      </c>
      <c r="M583" s="36">
        <f t="shared" si="992"/>
        <v>0</v>
      </c>
      <c r="N583" s="36">
        <f t="shared" si="992"/>
        <v>0</v>
      </c>
      <c r="O583" s="36">
        <f t="shared" si="992"/>
        <v>0</v>
      </c>
      <c r="P583" s="36">
        <f t="shared" si="992"/>
        <v>26834.898066000002</v>
      </c>
      <c r="Q583" s="36">
        <f t="shared" si="992"/>
        <v>435472.64962800004</v>
      </c>
      <c r="R583" s="36">
        <f t="shared" si="992"/>
        <v>0</v>
      </c>
      <c r="S583" s="36">
        <f t="shared" si="992"/>
        <v>40082.505971999999</v>
      </c>
      <c r="T583" s="36">
        <f t="shared" si="992"/>
        <v>1735096.9534320002</v>
      </c>
      <c r="U583" s="36">
        <f t="shared" si="992"/>
        <v>0</v>
      </c>
      <c r="V583" s="36">
        <f t="shared" si="992"/>
        <v>19361.888478000001</v>
      </c>
      <c r="W583" s="36">
        <f t="shared" si="992"/>
        <v>0</v>
      </c>
      <c r="X583" s="36">
        <f t="shared" si="992"/>
        <v>1068640.371084</v>
      </c>
      <c r="Y583" s="36">
        <f t="shared" si="992"/>
        <v>42460.281750000002</v>
      </c>
      <c r="Z583" s="36">
        <f t="shared" si="992"/>
        <v>28872.991590000001</v>
      </c>
      <c r="AA583" s="36">
        <f t="shared" si="992"/>
        <v>0</v>
      </c>
      <c r="AB583" s="36">
        <f t="shared" si="992"/>
        <v>0</v>
      </c>
      <c r="AC583" s="56"/>
      <c r="AD583" s="23"/>
    </row>
    <row r="584" spans="1:30" s="14" customFormat="1">
      <c r="A584" s="78" t="s">
        <v>170</v>
      </c>
      <c r="B584" s="26">
        <v>5633090.1699999999</v>
      </c>
      <c r="C584" s="130">
        <f t="shared" si="986"/>
        <v>469424.18</v>
      </c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39">
        <v>4.6100000000000002E-2</v>
      </c>
      <c r="R584" s="39"/>
      <c r="S584" s="39"/>
      <c r="T584" s="39"/>
      <c r="U584" s="39"/>
      <c r="V584" s="39"/>
      <c r="W584" s="39"/>
      <c r="X584" s="39">
        <v>0.91749999999999998</v>
      </c>
      <c r="Y584" s="39">
        <v>3.6400000000000002E-2</v>
      </c>
      <c r="Z584" s="25"/>
      <c r="AA584" s="25"/>
      <c r="AB584" s="25"/>
      <c r="AC584" s="56"/>
      <c r="AD584" s="23"/>
    </row>
    <row r="585" spans="1:30" s="14" customFormat="1">
      <c r="A585" s="79"/>
      <c r="B585" s="9"/>
      <c r="C585" s="130"/>
      <c r="D585" s="5">
        <f t="shared" ref="D585" si="993">$C584*D584</f>
        <v>0</v>
      </c>
      <c r="E585" s="5">
        <f t="shared" ref="E585" si="994">$C584*E584</f>
        <v>0</v>
      </c>
      <c r="F585" s="5">
        <f t="shared" ref="F585:AB585" si="995">$C584*F584</f>
        <v>0</v>
      </c>
      <c r="G585" s="5">
        <f t="shared" si="995"/>
        <v>0</v>
      </c>
      <c r="H585" s="5">
        <f t="shared" si="995"/>
        <v>0</v>
      </c>
      <c r="I585" s="5">
        <f t="shared" si="995"/>
        <v>0</v>
      </c>
      <c r="J585" s="5">
        <f t="shared" si="995"/>
        <v>0</v>
      </c>
      <c r="K585" s="5">
        <f t="shared" si="995"/>
        <v>0</v>
      </c>
      <c r="L585" s="5">
        <f t="shared" si="995"/>
        <v>0</v>
      </c>
      <c r="M585" s="5">
        <f t="shared" si="995"/>
        <v>0</v>
      </c>
      <c r="N585" s="5">
        <f t="shared" si="995"/>
        <v>0</v>
      </c>
      <c r="O585" s="5">
        <f t="shared" si="995"/>
        <v>0</v>
      </c>
      <c r="P585" s="5">
        <f t="shared" si="995"/>
        <v>0</v>
      </c>
      <c r="Q585" s="5">
        <f t="shared" si="995"/>
        <v>21640.454698000001</v>
      </c>
      <c r="R585" s="5">
        <f t="shared" si="995"/>
        <v>0</v>
      </c>
      <c r="S585" s="5">
        <f t="shared" si="995"/>
        <v>0</v>
      </c>
      <c r="T585" s="5">
        <f t="shared" si="995"/>
        <v>0</v>
      </c>
      <c r="U585" s="5">
        <f t="shared" si="995"/>
        <v>0</v>
      </c>
      <c r="V585" s="5">
        <f t="shared" si="995"/>
        <v>0</v>
      </c>
      <c r="W585" s="5">
        <f t="shared" si="995"/>
        <v>0</v>
      </c>
      <c r="X585" s="5">
        <f t="shared" si="995"/>
        <v>430696.68514999998</v>
      </c>
      <c r="Y585" s="5">
        <f t="shared" si="995"/>
        <v>17087.040152000001</v>
      </c>
      <c r="Z585" s="5">
        <f t="shared" si="995"/>
        <v>0</v>
      </c>
      <c r="AA585" s="5">
        <f t="shared" si="995"/>
        <v>0</v>
      </c>
      <c r="AB585" s="5">
        <f t="shared" si="995"/>
        <v>0</v>
      </c>
      <c r="AC585" s="56"/>
      <c r="AD585" s="23"/>
    </row>
    <row r="586" spans="1:30" s="14" customFormat="1">
      <c r="A586" s="87" t="s">
        <v>171</v>
      </c>
      <c r="B586" s="26">
        <v>6632864.7000000002</v>
      </c>
      <c r="C586" s="130">
        <f t="shared" si="986"/>
        <v>552738.73</v>
      </c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39">
        <v>0.96179999999999999</v>
      </c>
      <c r="Y586" s="39">
        <v>3.8199999999999998E-2</v>
      </c>
      <c r="Z586" s="25"/>
      <c r="AA586" s="25"/>
      <c r="AB586" s="25"/>
      <c r="AC586" s="56"/>
      <c r="AD586" s="23"/>
    </row>
    <row r="587" spans="1:30" s="14" customFormat="1">
      <c r="A587" s="79"/>
      <c r="B587" s="9"/>
      <c r="C587" s="130"/>
      <c r="D587" s="5">
        <f>$C586*D586</f>
        <v>0</v>
      </c>
      <c r="E587" s="5">
        <f t="shared" ref="E587" si="996">$C586*E586</f>
        <v>0</v>
      </c>
      <c r="F587" s="5">
        <f t="shared" ref="F587" si="997">$C586*F586</f>
        <v>0</v>
      </c>
      <c r="G587" s="5">
        <f t="shared" ref="G587:AB587" si="998">$C586*G586</f>
        <v>0</v>
      </c>
      <c r="H587" s="5">
        <f t="shared" si="998"/>
        <v>0</v>
      </c>
      <c r="I587" s="5">
        <f t="shared" si="998"/>
        <v>0</v>
      </c>
      <c r="J587" s="5">
        <f t="shared" si="998"/>
        <v>0</v>
      </c>
      <c r="K587" s="5">
        <f t="shared" si="998"/>
        <v>0</v>
      </c>
      <c r="L587" s="5">
        <f t="shared" si="998"/>
        <v>0</v>
      </c>
      <c r="M587" s="5">
        <f t="shared" si="998"/>
        <v>0</v>
      </c>
      <c r="N587" s="5">
        <f t="shared" si="998"/>
        <v>0</v>
      </c>
      <c r="O587" s="5">
        <f t="shared" si="998"/>
        <v>0</v>
      </c>
      <c r="P587" s="5">
        <f t="shared" si="998"/>
        <v>0</v>
      </c>
      <c r="Q587" s="5">
        <f t="shared" si="998"/>
        <v>0</v>
      </c>
      <c r="R587" s="5">
        <f t="shared" si="998"/>
        <v>0</v>
      </c>
      <c r="S587" s="5">
        <f t="shared" si="998"/>
        <v>0</v>
      </c>
      <c r="T587" s="5">
        <f t="shared" si="998"/>
        <v>0</v>
      </c>
      <c r="U587" s="5">
        <f t="shared" si="998"/>
        <v>0</v>
      </c>
      <c r="V587" s="5">
        <f t="shared" si="998"/>
        <v>0</v>
      </c>
      <c r="W587" s="5">
        <f t="shared" si="998"/>
        <v>0</v>
      </c>
      <c r="X587" s="5">
        <f t="shared" si="998"/>
        <v>531624.11051399994</v>
      </c>
      <c r="Y587" s="5">
        <f t="shared" si="998"/>
        <v>21114.619486</v>
      </c>
      <c r="Z587" s="5">
        <f t="shared" si="998"/>
        <v>0</v>
      </c>
      <c r="AA587" s="5">
        <f t="shared" si="998"/>
        <v>0</v>
      </c>
      <c r="AB587" s="5">
        <f t="shared" si="998"/>
        <v>0</v>
      </c>
      <c r="AC587" s="56"/>
      <c r="AD587" s="23"/>
    </row>
    <row r="588" spans="1:30" s="14" customFormat="1">
      <c r="A588" s="87" t="s">
        <v>217</v>
      </c>
      <c r="B588" s="26">
        <f>6486830.78/2</f>
        <v>3243415.39</v>
      </c>
      <c r="C588" s="130">
        <f t="shared" si="986"/>
        <v>270284.62</v>
      </c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39"/>
      <c r="Q588" s="40"/>
      <c r="R588" s="40"/>
      <c r="S588" s="40"/>
      <c r="T588" s="40"/>
      <c r="U588" s="40"/>
      <c r="V588" s="40"/>
      <c r="W588" s="40"/>
      <c r="X588" s="39">
        <v>0.96499999999999997</v>
      </c>
      <c r="Y588" s="39">
        <v>3.5000000000000003E-2</v>
      </c>
      <c r="Z588" s="39"/>
      <c r="AA588" s="39"/>
      <c r="AB588" s="39"/>
      <c r="AC588" s="56"/>
      <c r="AD588" s="23"/>
    </row>
    <row r="589" spans="1:30" s="14" customFormat="1">
      <c r="A589" s="82"/>
      <c r="B589" s="29"/>
      <c r="C589" s="130"/>
      <c r="D589" s="36">
        <f>$C588*D588</f>
        <v>0</v>
      </c>
      <c r="E589" s="36">
        <f t="shared" ref="E589" si="999">$C588*E588</f>
        <v>0</v>
      </c>
      <c r="F589" s="36">
        <f t="shared" ref="F589" si="1000">$C588*F588</f>
        <v>0</v>
      </c>
      <c r="G589" s="36">
        <f t="shared" ref="G589:AB589" si="1001">$C588*G588</f>
        <v>0</v>
      </c>
      <c r="H589" s="36">
        <f t="shared" si="1001"/>
        <v>0</v>
      </c>
      <c r="I589" s="36">
        <f t="shared" si="1001"/>
        <v>0</v>
      </c>
      <c r="J589" s="36">
        <f t="shared" si="1001"/>
        <v>0</v>
      </c>
      <c r="K589" s="36">
        <f t="shared" si="1001"/>
        <v>0</v>
      </c>
      <c r="L589" s="36">
        <f t="shared" si="1001"/>
        <v>0</v>
      </c>
      <c r="M589" s="36">
        <f t="shared" si="1001"/>
        <v>0</v>
      </c>
      <c r="N589" s="36">
        <f t="shared" si="1001"/>
        <v>0</v>
      </c>
      <c r="O589" s="36">
        <f t="shared" si="1001"/>
        <v>0</v>
      </c>
      <c r="P589" s="36">
        <f t="shared" si="1001"/>
        <v>0</v>
      </c>
      <c r="Q589" s="36">
        <f t="shared" si="1001"/>
        <v>0</v>
      </c>
      <c r="R589" s="36">
        <f t="shared" si="1001"/>
        <v>0</v>
      </c>
      <c r="S589" s="36">
        <f t="shared" si="1001"/>
        <v>0</v>
      </c>
      <c r="T589" s="36">
        <f t="shared" si="1001"/>
        <v>0</v>
      </c>
      <c r="U589" s="36">
        <f t="shared" si="1001"/>
        <v>0</v>
      </c>
      <c r="V589" s="36">
        <f t="shared" si="1001"/>
        <v>0</v>
      </c>
      <c r="W589" s="36">
        <f t="shared" si="1001"/>
        <v>0</v>
      </c>
      <c r="X589" s="36">
        <f t="shared" si="1001"/>
        <v>260824.65829999998</v>
      </c>
      <c r="Y589" s="36">
        <f t="shared" si="1001"/>
        <v>9459.9616999999998</v>
      </c>
      <c r="Z589" s="36">
        <f t="shared" si="1001"/>
        <v>0</v>
      </c>
      <c r="AA589" s="36">
        <f t="shared" si="1001"/>
        <v>0</v>
      </c>
      <c r="AB589" s="36">
        <f t="shared" si="1001"/>
        <v>0</v>
      </c>
      <c r="AC589" s="56"/>
      <c r="AD589" s="23"/>
    </row>
    <row r="590" spans="1:30" s="14" customFormat="1">
      <c r="A590" s="87" t="s">
        <v>208</v>
      </c>
      <c r="B590" s="26">
        <f>6486830.78/2</f>
        <v>3243415.39</v>
      </c>
      <c r="C590" s="130">
        <f t="shared" si="986"/>
        <v>270284.62</v>
      </c>
      <c r="D590" s="35">
        <v>1.6299999999999999E-2</v>
      </c>
      <c r="E590" s="35">
        <v>0.14269999999999999</v>
      </c>
      <c r="F590" s="35">
        <v>5.8900000000000001E-2</v>
      </c>
      <c r="G590" s="35">
        <v>7.6200000000000004E-2</v>
      </c>
      <c r="H590" s="35">
        <v>3.9600000000000003E-2</v>
      </c>
      <c r="I590" s="35">
        <v>0.12470000000000001</v>
      </c>
      <c r="J590" s="35">
        <v>2.0400000000000001E-2</v>
      </c>
      <c r="K590" s="35">
        <v>3.1199999999999999E-2</v>
      </c>
      <c r="L590" s="35">
        <v>1.6199999999999999E-2</v>
      </c>
      <c r="M590" s="35">
        <v>2.53E-2</v>
      </c>
      <c r="N590" s="35">
        <v>0.14849999999999999</v>
      </c>
      <c r="O590" s="35">
        <v>2.2599999999999999E-2</v>
      </c>
      <c r="P590" s="35">
        <v>0</v>
      </c>
      <c r="Q590" s="35">
        <v>3.78E-2</v>
      </c>
      <c r="R590" s="35">
        <v>1.8100000000000002E-2</v>
      </c>
      <c r="S590" s="35">
        <v>4.1000000000000003E-3</v>
      </c>
      <c r="T590" s="35">
        <v>5.04E-2</v>
      </c>
      <c r="U590" s="35">
        <v>1.7500000000000002E-2</v>
      </c>
      <c r="V590" s="35">
        <v>3.6200000000000003E-2</v>
      </c>
      <c r="W590" s="35">
        <v>4.8500000000000001E-2</v>
      </c>
      <c r="X590" s="35">
        <v>6.1600000000000002E-2</v>
      </c>
      <c r="Y590" s="35">
        <v>2.5000000000000001E-3</v>
      </c>
      <c r="Z590" s="4">
        <v>0</v>
      </c>
      <c r="AA590" s="4">
        <v>6.9999999999999999E-4</v>
      </c>
      <c r="AB590" s="4">
        <v>0</v>
      </c>
      <c r="AC590" s="56"/>
      <c r="AD590" s="23"/>
    </row>
    <row r="591" spans="1:30" s="14" customFormat="1">
      <c r="A591" s="82"/>
      <c r="B591" s="29"/>
      <c r="C591" s="130"/>
      <c r="D591" s="36">
        <f>$C590*D590</f>
        <v>4405.6393059999991</v>
      </c>
      <c r="E591" s="36">
        <f t="shared" ref="E591" si="1002">$C590*E590</f>
        <v>38569.615273999996</v>
      </c>
      <c r="F591" s="36">
        <f t="shared" ref="F591" si="1003">$C590*F590</f>
        <v>15919.764117999999</v>
      </c>
      <c r="G591" s="36">
        <f t="shared" ref="G591:AB591" si="1004">$C590*G590</f>
        <v>20595.688044000002</v>
      </c>
      <c r="H591" s="36">
        <f t="shared" si="1004"/>
        <v>10703.270952000001</v>
      </c>
      <c r="I591" s="36">
        <f t="shared" si="1004"/>
        <v>33704.492114000001</v>
      </c>
      <c r="J591" s="36">
        <f t="shared" si="1004"/>
        <v>5513.8062479999999</v>
      </c>
      <c r="K591" s="36">
        <f t="shared" si="1004"/>
        <v>8432.8801439999988</v>
      </c>
      <c r="L591" s="36">
        <f t="shared" si="1004"/>
        <v>4378.6108439999998</v>
      </c>
      <c r="M591" s="36">
        <f t="shared" si="1004"/>
        <v>6838.2008859999996</v>
      </c>
      <c r="N591" s="36">
        <f t="shared" si="1004"/>
        <v>40137.266069999998</v>
      </c>
      <c r="O591" s="36">
        <f t="shared" si="1004"/>
        <v>6108.4324119999992</v>
      </c>
      <c r="P591" s="36">
        <f t="shared" si="1004"/>
        <v>0</v>
      </c>
      <c r="Q591" s="36">
        <f t="shared" si="1004"/>
        <v>10216.758636</v>
      </c>
      <c r="R591" s="36">
        <f t="shared" si="1004"/>
        <v>4892.1516220000003</v>
      </c>
      <c r="S591" s="36">
        <f t="shared" si="1004"/>
        <v>1108.1669420000001</v>
      </c>
      <c r="T591" s="36">
        <f t="shared" si="1004"/>
        <v>13622.344848000001</v>
      </c>
      <c r="U591" s="36">
        <f t="shared" si="1004"/>
        <v>4729.9808499999999</v>
      </c>
      <c r="V591" s="36">
        <f t="shared" si="1004"/>
        <v>9784.3032440000006</v>
      </c>
      <c r="W591" s="36">
        <f t="shared" si="1004"/>
        <v>13108.80407</v>
      </c>
      <c r="X591" s="36">
        <f t="shared" si="1004"/>
        <v>16649.532592</v>
      </c>
      <c r="Y591" s="36">
        <f t="shared" si="1004"/>
        <v>675.71154999999999</v>
      </c>
      <c r="Z591" s="36">
        <f t="shared" si="1004"/>
        <v>0</v>
      </c>
      <c r="AA591" s="36">
        <f t="shared" si="1004"/>
        <v>189.19923399999999</v>
      </c>
      <c r="AB591" s="36">
        <f t="shared" si="1004"/>
        <v>0</v>
      </c>
      <c r="AC591" s="56"/>
      <c r="AD591" s="23"/>
    </row>
    <row r="592" spans="1:30" s="14" customFormat="1">
      <c r="A592" s="87" t="s">
        <v>218</v>
      </c>
      <c r="B592" s="26">
        <f>4794855.69/2</f>
        <v>2397427.8450000002</v>
      </c>
      <c r="C592" s="130">
        <f t="shared" si="986"/>
        <v>199785.65</v>
      </c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39"/>
      <c r="Q592" s="40"/>
      <c r="R592" s="40"/>
      <c r="S592" s="40"/>
      <c r="T592" s="40"/>
      <c r="U592" s="40"/>
      <c r="V592" s="40"/>
      <c r="W592" s="40"/>
      <c r="X592" s="39">
        <v>0.96499999999999997</v>
      </c>
      <c r="Y592" s="39">
        <v>3.5000000000000003E-2</v>
      </c>
      <c r="Z592" s="39"/>
      <c r="AA592" s="39"/>
      <c r="AB592" s="39"/>
      <c r="AC592" s="56"/>
      <c r="AD592" s="23"/>
    </row>
    <row r="593" spans="1:30" s="14" customFormat="1">
      <c r="A593" s="82"/>
      <c r="B593" s="29"/>
      <c r="C593" s="130"/>
      <c r="D593" s="36">
        <f>$C592*D592</f>
        <v>0</v>
      </c>
      <c r="E593" s="36">
        <f t="shared" ref="E593" si="1005">$C592*E592</f>
        <v>0</v>
      </c>
      <c r="F593" s="36">
        <f t="shared" ref="F593" si="1006">$C592*F592</f>
        <v>0</v>
      </c>
      <c r="G593" s="36">
        <f t="shared" ref="G593:AB593" si="1007">$C592*G592</f>
        <v>0</v>
      </c>
      <c r="H593" s="36">
        <f t="shared" si="1007"/>
        <v>0</v>
      </c>
      <c r="I593" s="36">
        <f t="shared" si="1007"/>
        <v>0</v>
      </c>
      <c r="J593" s="36">
        <f t="shared" si="1007"/>
        <v>0</v>
      </c>
      <c r="K593" s="36">
        <f t="shared" si="1007"/>
        <v>0</v>
      </c>
      <c r="L593" s="36">
        <f t="shared" si="1007"/>
        <v>0</v>
      </c>
      <c r="M593" s="36">
        <f t="shared" si="1007"/>
        <v>0</v>
      </c>
      <c r="N593" s="36">
        <f t="shared" si="1007"/>
        <v>0</v>
      </c>
      <c r="O593" s="36">
        <f t="shared" si="1007"/>
        <v>0</v>
      </c>
      <c r="P593" s="36">
        <f t="shared" si="1007"/>
        <v>0</v>
      </c>
      <c r="Q593" s="36">
        <f t="shared" si="1007"/>
        <v>0</v>
      </c>
      <c r="R593" s="36">
        <f t="shared" si="1007"/>
        <v>0</v>
      </c>
      <c r="S593" s="36">
        <f t="shared" si="1007"/>
        <v>0</v>
      </c>
      <c r="T593" s="36">
        <f t="shared" si="1007"/>
        <v>0</v>
      </c>
      <c r="U593" s="36">
        <f t="shared" si="1007"/>
        <v>0</v>
      </c>
      <c r="V593" s="36">
        <f t="shared" si="1007"/>
        <v>0</v>
      </c>
      <c r="W593" s="36">
        <f t="shared" si="1007"/>
        <v>0</v>
      </c>
      <c r="X593" s="36">
        <f t="shared" si="1007"/>
        <v>192793.15224999998</v>
      </c>
      <c r="Y593" s="36">
        <f t="shared" si="1007"/>
        <v>6992.4977500000005</v>
      </c>
      <c r="Z593" s="36">
        <f t="shared" si="1007"/>
        <v>0</v>
      </c>
      <c r="AA593" s="36">
        <f t="shared" si="1007"/>
        <v>0</v>
      </c>
      <c r="AB593" s="36">
        <f t="shared" si="1007"/>
        <v>0</v>
      </c>
      <c r="AC593" s="56"/>
      <c r="AD593" s="23"/>
    </row>
    <row r="594" spans="1:30" s="14" customFormat="1">
      <c r="A594" s="87" t="s">
        <v>209</v>
      </c>
      <c r="B594" s="26">
        <f>4794855.69/2</f>
        <v>2397427.8450000002</v>
      </c>
      <c r="C594" s="130">
        <f t="shared" si="986"/>
        <v>199785.65</v>
      </c>
      <c r="D594" s="35">
        <v>1.6299999999999999E-2</v>
      </c>
      <c r="E594" s="35">
        <v>0.14269999999999999</v>
      </c>
      <c r="F594" s="35">
        <v>5.8900000000000001E-2</v>
      </c>
      <c r="G594" s="35">
        <v>7.6200000000000004E-2</v>
      </c>
      <c r="H594" s="35">
        <v>3.9600000000000003E-2</v>
      </c>
      <c r="I594" s="35">
        <v>0.12470000000000001</v>
      </c>
      <c r="J594" s="35">
        <v>2.0400000000000001E-2</v>
      </c>
      <c r="K594" s="35">
        <v>3.1199999999999999E-2</v>
      </c>
      <c r="L594" s="35">
        <v>1.6199999999999999E-2</v>
      </c>
      <c r="M594" s="35">
        <v>2.53E-2</v>
      </c>
      <c r="N594" s="35">
        <v>0.14849999999999999</v>
      </c>
      <c r="O594" s="35">
        <v>2.2599999999999999E-2</v>
      </c>
      <c r="P594" s="35">
        <v>0</v>
      </c>
      <c r="Q594" s="35">
        <v>3.78E-2</v>
      </c>
      <c r="R594" s="35">
        <v>1.8100000000000002E-2</v>
      </c>
      <c r="S594" s="35">
        <v>4.1000000000000003E-3</v>
      </c>
      <c r="T594" s="35">
        <v>5.04E-2</v>
      </c>
      <c r="U594" s="35">
        <v>1.7500000000000002E-2</v>
      </c>
      <c r="V594" s="35">
        <v>3.6200000000000003E-2</v>
      </c>
      <c r="W594" s="35">
        <v>4.8500000000000001E-2</v>
      </c>
      <c r="X594" s="35">
        <v>6.1600000000000002E-2</v>
      </c>
      <c r="Y594" s="35">
        <v>2.5000000000000001E-3</v>
      </c>
      <c r="Z594" s="4">
        <v>0</v>
      </c>
      <c r="AA594" s="4">
        <v>6.9999999999999999E-4</v>
      </c>
      <c r="AB594" s="4">
        <v>0</v>
      </c>
      <c r="AC594" s="56"/>
      <c r="AD594" s="23"/>
    </row>
    <row r="595" spans="1:30" s="14" customFormat="1">
      <c r="A595" s="82"/>
      <c r="B595" s="29"/>
      <c r="C595" s="130"/>
      <c r="D595" s="36">
        <f>$C594*D594</f>
        <v>3256.5060949999997</v>
      </c>
      <c r="E595" s="36">
        <f t="shared" ref="E595" si="1008">$C594*E594</f>
        <v>28509.412254999999</v>
      </c>
      <c r="F595" s="36">
        <f t="shared" ref="F595" si="1009">$C594*F594</f>
        <v>11767.374785</v>
      </c>
      <c r="G595" s="36">
        <f t="shared" ref="G595:AB595" si="1010">$C594*G594</f>
        <v>15223.66653</v>
      </c>
      <c r="H595" s="36">
        <f t="shared" si="1010"/>
        <v>7911.5117400000008</v>
      </c>
      <c r="I595" s="36">
        <f t="shared" si="1010"/>
        <v>24913.270554999999</v>
      </c>
      <c r="J595" s="36">
        <f t="shared" si="1010"/>
        <v>4075.6272600000002</v>
      </c>
      <c r="K595" s="36">
        <f t="shared" si="1010"/>
        <v>6233.3122799999992</v>
      </c>
      <c r="L595" s="36">
        <f t="shared" si="1010"/>
        <v>3236.5275299999998</v>
      </c>
      <c r="M595" s="36">
        <f t="shared" si="1010"/>
        <v>5054.5769449999998</v>
      </c>
      <c r="N595" s="36">
        <f t="shared" si="1010"/>
        <v>29668.169024999999</v>
      </c>
      <c r="O595" s="36">
        <f t="shared" si="1010"/>
        <v>4515.1556899999996</v>
      </c>
      <c r="P595" s="36">
        <f t="shared" si="1010"/>
        <v>0</v>
      </c>
      <c r="Q595" s="36">
        <f t="shared" si="1010"/>
        <v>7551.8975700000001</v>
      </c>
      <c r="R595" s="36">
        <f t="shared" si="1010"/>
        <v>3616.120265</v>
      </c>
      <c r="S595" s="36">
        <f t="shared" si="1010"/>
        <v>819.12116500000002</v>
      </c>
      <c r="T595" s="36">
        <f t="shared" si="1010"/>
        <v>10069.196759999999</v>
      </c>
      <c r="U595" s="36">
        <f t="shared" si="1010"/>
        <v>3496.2488750000002</v>
      </c>
      <c r="V595" s="36">
        <f t="shared" si="1010"/>
        <v>7232.24053</v>
      </c>
      <c r="W595" s="36">
        <f t="shared" si="1010"/>
        <v>9689.6040250000005</v>
      </c>
      <c r="X595" s="36">
        <f t="shared" si="1010"/>
        <v>12306.796039999999</v>
      </c>
      <c r="Y595" s="36">
        <f t="shared" si="1010"/>
        <v>499.46412500000002</v>
      </c>
      <c r="Z595" s="36">
        <f t="shared" si="1010"/>
        <v>0</v>
      </c>
      <c r="AA595" s="36">
        <f t="shared" si="1010"/>
        <v>139.84995499999999</v>
      </c>
      <c r="AB595" s="36">
        <f t="shared" si="1010"/>
        <v>0</v>
      </c>
      <c r="AC595" s="56"/>
      <c r="AD595" s="23"/>
    </row>
    <row r="596" spans="1:30" s="14" customFormat="1">
      <c r="A596" s="87" t="s">
        <v>219</v>
      </c>
      <c r="B596" s="26">
        <f>5410524.59/2</f>
        <v>2705262.2949999999</v>
      </c>
      <c r="C596" s="130">
        <f t="shared" si="986"/>
        <v>225438.52</v>
      </c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39"/>
      <c r="Q596" s="40"/>
      <c r="R596" s="40"/>
      <c r="S596" s="40"/>
      <c r="T596" s="40"/>
      <c r="U596" s="40"/>
      <c r="V596" s="40"/>
      <c r="W596" s="40"/>
      <c r="X596" s="39">
        <v>0.96499999999999997</v>
      </c>
      <c r="Y596" s="39">
        <v>3.5000000000000003E-2</v>
      </c>
      <c r="Z596" s="39"/>
      <c r="AA596" s="39"/>
      <c r="AB596" s="39"/>
      <c r="AC596" s="56"/>
      <c r="AD596" s="23"/>
    </row>
    <row r="597" spans="1:30" s="14" customFormat="1">
      <c r="A597" s="82"/>
      <c r="B597" s="26"/>
      <c r="C597" s="130"/>
      <c r="D597" s="36">
        <f>$C596*D596</f>
        <v>0</v>
      </c>
      <c r="E597" s="36">
        <f t="shared" ref="E597" si="1011">$C596*E596</f>
        <v>0</v>
      </c>
      <c r="F597" s="36">
        <f t="shared" ref="F597" si="1012">$C596*F596</f>
        <v>0</v>
      </c>
      <c r="G597" s="36">
        <f t="shared" ref="G597:AB597" si="1013">$C596*G596</f>
        <v>0</v>
      </c>
      <c r="H597" s="36">
        <f t="shared" si="1013"/>
        <v>0</v>
      </c>
      <c r="I597" s="36">
        <f t="shared" si="1013"/>
        <v>0</v>
      </c>
      <c r="J597" s="36">
        <f t="shared" si="1013"/>
        <v>0</v>
      </c>
      <c r="K597" s="36">
        <f t="shared" si="1013"/>
        <v>0</v>
      </c>
      <c r="L597" s="36">
        <f t="shared" si="1013"/>
        <v>0</v>
      </c>
      <c r="M597" s="36">
        <f t="shared" si="1013"/>
        <v>0</v>
      </c>
      <c r="N597" s="36">
        <f t="shared" si="1013"/>
        <v>0</v>
      </c>
      <c r="O597" s="36">
        <f t="shared" si="1013"/>
        <v>0</v>
      </c>
      <c r="P597" s="36">
        <f t="shared" si="1013"/>
        <v>0</v>
      </c>
      <c r="Q597" s="36">
        <f t="shared" si="1013"/>
        <v>0</v>
      </c>
      <c r="R597" s="36">
        <f t="shared" si="1013"/>
        <v>0</v>
      </c>
      <c r="S597" s="36">
        <f t="shared" si="1013"/>
        <v>0</v>
      </c>
      <c r="T597" s="36">
        <f t="shared" si="1013"/>
        <v>0</v>
      </c>
      <c r="U597" s="36">
        <f t="shared" si="1013"/>
        <v>0</v>
      </c>
      <c r="V597" s="36">
        <f t="shared" si="1013"/>
        <v>0</v>
      </c>
      <c r="W597" s="36">
        <f t="shared" si="1013"/>
        <v>0</v>
      </c>
      <c r="X597" s="36">
        <f t="shared" si="1013"/>
        <v>217548.17179999998</v>
      </c>
      <c r="Y597" s="36">
        <f t="shared" si="1013"/>
        <v>7890.3482000000004</v>
      </c>
      <c r="Z597" s="36">
        <f t="shared" si="1013"/>
        <v>0</v>
      </c>
      <c r="AA597" s="36">
        <f t="shared" si="1013"/>
        <v>0</v>
      </c>
      <c r="AB597" s="36">
        <f t="shared" si="1013"/>
        <v>0</v>
      </c>
      <c r="AC597" s="56"/>
      <c r="AD597" s="23"/>
    </row>
    <row r="598" spans="1:30" s="14" customFormat="1">
      <c r="A598" s="87" t="s">
        <v>210</v>
      </c>
      <c r="B598" s="26">
        <f>5410524.59/2</f>
        <v>2705262.2949999999</v>
      </c>
      <c r="C598" s="130">
        <f t="shared" si="986"/>
        <v>225438.52</v>
      </c>
      <c r="D598" s="35">
        <v>1.6299999999999999E-2</v>
      </c>
      <c r="E598" s="35">
        <v>0.14269999999999999</v>
      </c>
      <c r="F598" s="35">
        <v>5.8900000000000001E-2</v>
      </c>
      <c r="G598" s="35">
        <v>7.6200000000000004E-2</v>
      </c>
      <c r="H598" s="35">
        <v>3.9600000000000003E-2</v>
      </c>
      <c r="I598" s="35">
        <v>0.12470000000000001</v>
      </c>
      <c r="J598" s="35">
        <v>2.0400000000000001E-2</v>
      </c>
      <c r="K598" s="35">
        <v>3.1199999999999999E-2</v>
      </c>
      <c r="L598" s="35">
        <v>1.6199999999999999E-2</v>
      </c>
      <c r="M598" s="35">
        <v>2.53E-2</v>
      </c>
      <c r="N598" s="35">
        <v>0.14849999999999999</v>
      </c>
      <c r="O598" s="35">
        <v>2.2599999999999999E-2</v>
      </c>
      <c r="P598" s="35">
        <v>0</v>
      </c>
      <c r="Q598" s="35">
        <v>3.78E-2</v>
      </c>
      <c r="R598" s="35">
        <v>1.8100000000000002E-2</v>
      </c>
      <c r="S598" s="35">
        <v>4.1000000000000003E-3</v>
      </c>
      <c r="T598" s="35">
        <v>5.04E-2</v>
      </c>
      <c r="U598" s="35">
        <v>1.7500000000000002E-2</v>
      </c>
      <c r="V598" s="35">
        <v>3.6200000000000003E-2</v>
      </c>
      <c r="W598" s="35">
        <v>4.8500000000000001E-2</v>
      </c>
      <c r="X598" s="35">
        <v>6.1600000000000002E-2</v>
      </c>
      <c r="Y598" s="35">
        <v>2.5000000000000001E-3</v>
      </c>
      <c r="Z598" s="4">
        <v>0</v>
      </c>
      <c r="AA598" s="4">
        <v>6.9999999999999999E-4</v>
      </c>
      <c r="AB598" s="4">
        <v>0</v>
      </c>
      <c r="AC598" s="56"/>
      <c r="AD598" s="23"/>
    </row>
    <row r="599" spans="1:30" s="14" customFormat="1">
      <c r="A599" s="82"/>
      <c r="B599" s="29"/>
      <c r="C599" s="130"/>
      <c r="D599" s="36">
        <f>$C598*D598</f>
        <v>3674.6478759999995</v>
      </c>
      <c r="E599" s="36">
        <f t="shared" ref="E599" si="1014">$C598*E598</f>
        <v>32170.076803999997</v>
      </c>
      <c r="F599" s="36">
        <f t="shared" ref="F599" si="1015">$C598*F598</f>
        <v>13278.328828</v>
      </c>
      <c r="G599" s="36">
        <f t="shared" ref="G599:AB599" si="1016">$C598*G598</f>
        <v>17178.415224</v>
      </c>
      <c r="H599" s="36">
        <f t="shared" si="1016"/>
        <v>8927.3653919999997</v>
      </c>
      <c r="I599" s="36">
        <f t="shared" si="1016"/>
        <v>28112.183443999998</v>
      </c>
      <c r="J599" s="36">
        <f t="shared" si="1016"/>
        <v>4598.9458080000004</v>
      </c>
      <c r="K599" s="36">
        <f t="shared" si="1016"/>
        <v>7033.6818239999993</v>
      </c>
      <c r="L599" s="36">
        <f t="shared" si="1016"/>
        <v>3652.1040239999998</v>
      </c>
      <c r="M599" s="36">
        <f t="shared" si="1016"/>
        <v>5703.594556</v>
      </c>
      <c r="N599" s="36">
        <f t="shared" si="1016"/>
        <v>33477.620219999997</v>
      </c>
      <c r="O599" s="36">
        <f t="shared" si="1016"/>
        <v>5094.9105519999994</v>
      </c>
      <c r="P599" s="36">
        <f t="shared" si="1016"/>
        <v>0</v>
      </c>
      <c r="Q599" s="36">
        <f t="shared" si="1016"/>
        <v>8521.5760559999999</v>
      </c>
      <c r="R599" s="36">
        <f t="shared" si="1016"/>
        <v>4080.4372120000003</v>
      </c>
      <c r="S599" s="36">
        <f t="shared" si="1016"/>
        <v>924.29793200000006</v>
      </c>
      <c r="T599" s="36">
        <f t="shared" si="1016"/>
        <v>11362.101408</v>
      </c>
      <c r="U599" s="36">
        <f t="shared" si="1016"/>
        <v>3945.1741000000002</v>
      </c>
      <c r="V599" s="36">
        <f t="shared" si="1016"/>
        <v>8160.8744240000005</v>
      </c>
      <c r="W599" s="36">
        <f t="shared" si="1016"/>
        <v>10933.76822</v>
      </c>
      <c r="X599" s="36">
        <f t="shared" si="1016"/>
        <v>13887.012832</v>
      </c>
      <c r="Y599" s="36">
        <f t="shared" si="1016"/>
        <v>563.59630000000004</v>
      </c>
      <c r="Z599" s="36">
        <f t="shared" si="1016"/>
        <v>0</v>
      </c>
      <c r="AA599" s="36">
        <f t="shared" si="1016"/>
        <v>157.80696399999999</v>
      </c>
      <c r="AB599" s="36">
        <f t="shared" si="1016"/>
        <v>0</v>
      </c>
      <c r="AC599" s="56"/>
      <c r="AD599" s="23"/>
    </row>
    <row r="600" spans="1:30" s="14" customFormat="1">
      <c r="A600" s="87" t="s">
        <v>220</v>
      </c>
      <c r="B600" s="26">
        <f>5410524.59/2</f>
        <v>2705262.2949999999</v>
      </c>
      <c r="C600" s="130">
        <f t="shared" si="986"/>
        <v>225438.52</v>
      </c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39"/>
      <c r="Q600" s="40"/>
      <c r="R600" s="40"/>
      <c r="S600" s="40"/>
      <c r="T600" s="40"/>
      <c r="U600" s="40"/>
      <c r="V600" s="40"/>
      <c r="W600" s="40"/>
      <c r="X600" s="39">
        <v>0.96499999999999997</v>
      </c>
      <c r="Y600" s="39">
        <v>3.5000000000000003E-2</v>
      </c>
      <c r="Z600" s="39"/>
      <c r="AA600" s="39"/>
      <c r="AB600" s="39"/>
      <c r="AC600" s="56"/>
      <c r="AD600" s="23"/>
    </row>
    <row r="601" spans="1:30" s="14" customFormat="1">
      <c r="A601" s="82"/>
      <c r="B601" s="29"/>
      <c r="C601" s="130"/>
      <c r="D601" s="36">
        <f>$C600*D600</f>
        <v>0</v>
      </c>
      <c r="E601" s="36">
        <f t="shared" ref="E601" si="1017">$C600*E600</f>
        <v>0</v>
      </c>
      <c r="F601" s="36">
        <f t="shared" ref="F601" si="1018">$C600*F600</f>
        <v>0</v>
      </c>
      <c r="G601" s="36">
        <f t="shared" ref="G601:AB601" si="1019">$C600*G600</f>
        <v>0</v>
      </c>
      <c r="H601" s="36">
        <f t="shared" si="1019"/>
        <v>0</v>
      </c>
      <c r="I601" s="36">
        <f t="shared" si="1019"/>
        <v>0</v>
      </c>
      <c r="J601" s="36">
        <f t="shared" si="1019"/>
        <v>0</v>
      </c>
      <c r="K601" s="36">
        <f t="shared" si="1019"/>
        <v>0</v>
      </c>
      <c r="L601" s="36">
        <f t="shared" si="1019"/>
        <v>0</v>
      </c>
      <c r="M601" s="36">
        <f t="shared" si="1019"/>
        <v>0</v>
      </c>
      <c r="N601" s="36">
        <f t="shared" si="1019"/>
        <v>0</v>
      </c>
      <c r="O601" s="36">
        <f t="shared" si="1019"/>
        <v>0</v>
      </c>
      <c r="P601" s="36">
        <f t="shared" si="1019"/>
        <v>0</v>
      </c>
      <c r="Q601" s="36">
        <f t="shared" si="1019"/>
        <v>0</v>
      </c>
      <c r="R601" s="36">
        <f t="shared" si="1019"/>
        <v>0</v>
      </c>
      <c r="S601" s="36">
        <f t="shared" si="1019"/>
        <v>0</v>
      </c>
      <c r="T601" s="36">
        <f t="shared" si="1019"/>
        <v>0</v>
      </c>
      <c r="U601" s="36">
        <f t="shared" si="1019"/>
        <v>0</v>
      </c>
      <c r="V601" s="36">
        <f t="shared" si="1019"/>
        <v>0</v>
      </c>
      <c r="W601" s="36">
        <f t="shared" si="1019"/>
        <v>0</v>
      </c>
      <c r="X601" s="36">
        <f t="shared" si="1019"/>
        <v>217548.17179999998</v>
      </c>
      <c r="Y601" s="36">
        <f t="shared" si="1019"/>
        <v>7890.3482000000004</v>
      </c>
      <c r="Z601" s="36">
        <f t="shared" si="1019"/>
        <v>0</v>
      </c>
      <c r="AA601" s="36">
        <f t="shared" si="1019"/>
        <v>0</v>
      </c>
      <c r="AB601" s="36">
        <f t="shared" si="1019"/>
        <v>0</v>
      </c>
      <c r="AC601" s="56"/>
      <c r="AD601" s="23"/>
    </row>
    <row r="602" spans="1:30" s="14" customFormat="1">
      <c r="A602" s="87" t="s">
        <v>211</v>
      </c>
      <c r="B602" s="26">
        <f>5410524.59/2</f>
        <v>2705262.2949999999</v>
      </c>
      <c r="C602" s="130">
        <f t="shared" si="986"/>
        <v>225438.52</v>
      </c>
      <c r="D602" s="35">
        <v>1.6299999999999999E-2</v>
      </c>
      <c r="E602" s="35">
        <v>0.14269999999999999</v>
      </c>
      <c r="F602" s="35">
        <v>5.8900000000000001E-2</v>
      </c>
      <c r="G602" s="35">
        <v>7.6200000000000004E-2</v>
      </c>
      <c r="H602" s="35">
        <v>3.9600000000000003E-2</v>
      </c>
      <c r="I602" s="35">
        <v>0.12470000000000001</v>
      </c>
      <c r="J602" s="35">
        <v>2.0400000000000001E-2</v>
      </c>
      <c r="K602" s="35">
        <v>3.1199999999999999E-2</v>
      </c>
      <c r="L602" s="35">
        <v>1.6199999999999999E-2</v>
      </c>
      <c r="M602" s="35">
        <v>2.53E-2</v>
      </c>
      <c r="N602" s="35">
        <v>0.14849999999999999</v>
      </c>
      <c r="O602" s="35">
        <v>2.2599999999999999E-2</v>
      </c>
      <c r="P602" s="35">
        <v>0</v>
      </c>
      <c r="Q602" s="35">
        <v>3.78E-2</v>
      </c>
      <c r="R602" s="35">
        <v>1.8100000000000002E-2</v>
      </c>
      <c r="S602" s="35">
        <v>4.1000000000000003E-3</v>
      </c>
      <c r="T602" s="35">
        <v>5.04E-2</v>
      </c>
      <c r="U602" s="35">
        <v>1.7500000000000002E-2</v>
      </c>
      <c r="V602" s="35">
        <v>3.6200000000000003E-2</v>
      </c>
      <c r="W602" s="35">
        <v>4.8500000000000001E-2</v>
      </c>
      <c r="X602" s="35">
        <v>6.1600000000000002E-2</v>
      </c>
      <c r="Y602" s="35">
        <v>2.5000000000000001E-3</v>
      </c>
      <c r="Z602" s="4">
        <v>0</v>
      </c>
      <c r="AA602" s="4">
        <v>6.9999999999999999E-4</v>
      </c>
      <c r="AB602" s="4">
        <v>0</v>
      </c>
      <c r="AC602" s="56"/>
      <c r="AD602" s="23"/>
    </row>
    <row r="603" spans="1:30" s="14" customFormat="1">
      <c r="A603" s="82"/>
      <c r="B603" s="29"/>
      <c r="C603" s="130"/>
      <c r="D603" s="36">
        <f>$C602*D602</f>
        <v>3674.6478759999995</v>
      </c>
      <c r="E603" s="36">
        <f t="shared" ref="E603" si="1020">$C602*E602</f>
        <v>32170.076803999997</v>
      </c>
      <c r="F603" s="36">
        <f t="shared" ref="F603" si="1021">$C602*F602</f>
        <v>13278.328828</v>
      </c>
      <c r="G603" s="36">
        <f t="shared" ref="G603:AB603" si="1022">$C602*G602</f>
        <v>17178.415224</v>
      </c>
      <c r="H603" s="36">
        <f t="shared" si="1022"/>
        <v>8927.3653919999997</v>
      </c>
      <c r="I603" s="36">
        <f t="shared" si="1022"/>
        <v>28112.183443999998</v>
      </c>
      <c r="J603" s="36">
        <f t="shared" si="1022"/>
        <v>4598.9458080000004</v>
      </c>
      <c r="K603" s="36">
        <f t="shared" si="1022"/>
        <v>7033.6818239999993</v>
      </c>
      <c r="L603" s="36">
        <f t="shared" si="1022"/>
        <v>3652.1040239999998</v>
      </c>
      <c r="M603" s="36">
        <f t="shared" si="1022"/>
        <v>5703.594556</v>
      </c>
      <c r="N603" s="36">
        <f t="shared" si="1022"/>
        <v>33477.620219999997</v>
      </c>
      <c r="O603" s="36">
        <f t="shared" si="1022"/>
        <v>5094.9105519999994</v>
      </c>
      <c r="P603" s="36">
        <f t="shared" si="1022"/>
        <v>0</v>
      </c>
      <c r="Q603" s="36">
        <f t="shared" si="1022"/>
        <v>8521.5760559999999</v>
      </c>
      <c r="R603" s="36">
        <f t="shared" si="1022"/>
        <v>4080.4372120000003</v>
      </c>
      <c r="S603" s="36">
        <f t="shared" si="1022"/>
        <v>924.29793200000006</v>
      </c>
      <c r="T603" s="36">
        <f t="shared" si="1022"/>
        <v>11362.101408</v>
      </c>
      <c r="U603" s="36">
        <f t="shared" si="1022"/>
        <v>3945.1741000000002</v>
      </c>
      <c r="V603" s="36">
        <f t="shared" si="1022"/>
        <v>8160.8744240000005</v>
      </c>
      <c r="W603" s="36">
        <f t="shared" si="1022"/>
        <v>10933.76822</v>
      </c>
      <c r="X603" s="36">
        <f t="shared" si="1022"/>
        <v>13887.012832</v>
      </c>
      <c r="Y603" s="36">
        <f t="shared" si="1022"/>
        <v>563.59630000000004</v>
      </c>
      <c r="Z603" s="36">
        <f t="shared" si="1022"/>
        <v>0</v>
      </c>
      <c r="AA603" s="36">
        <f t="shared" si="1022"/>
        <v>157.80696399999999</v>
      </c>
      <c r="AB603" s="36">
        <f t="shared" si="1022"/>
        <v>0</v>
      </c>
      <c r="AC603" s="56"/>
      <c r="AD603" s="23"/>
    </row>
    <row r="604" spans="1:30" s="14" customFormat="1">
      <c r="A604" s="87" t="s">
        <v>221</v>
      </c>
      <c r="B604" s="26">
        <f>2996701.9/2</f>
        <v>1498350.95</v>
      </c>
      <c r="C604" s="130">
        <f t="shared" si="986"/>
        <v>124862.58</v>
      </c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35">
        <v>0</v>
      </c>
      <c r="Q604" s="40"/>
      <c r="R604" s="40"/>
      <c r="S604" s="40"/>
      <c r="T604" s="40"/>
      <c r="U604" s="40"/>
      <c r="V604" s="40"/>
      <c r="W604" s="40"/>
      <c r="X604" s="35">
        <v>1</v>
      </c>
      <c r="Y604" s="35"/>
      <c r="Z604" s="40"/>
      <c r="AA604" s="40"/>
      <c r="AB604" s="40"/>
      <c r="AC604" s="56"/>
      <c r="AD604" s="23"/>
    </row>
    <row r="605" spans="1:30" s="14" customFormat="1">
      <c r="A605" s="82"/>
      <c r="B605" s="29"/>
      <c r="C605" s="130"/>
      <c r="D605" s="36">
        <f>$C604*D604</f>
        <v>0</v>
      </c>
      <c r="E605" s="36">
        <f t="shared" ref="E605" si="1023">$C604*E604</f>
        <v>0</v>
      </c>
      <c r="F605" s="36">
        <f t="shared" ref="F605" si="1024">$C604*F604</f>
        <v>0</v>
      </c>
      <c r="G605" s="36">
        <f t="shared" ref="G605:AB605" si="1025">$C604*G604</f>
        <v>0</v>
      </c>
      <c r="H605" s="36">
        <f t="shared" si="1025"/>
        <v>0</v>
      </c>
      <c r="I605" s="36">
        <f t="shared" si="1025"/>
        <v>0</v>
      </c>
      <c r="J605" s="36">
        <f t="shared" si="1025"/>
        <v>0</v>
      </c>
      <c r="K605" s="36">
        <f t="shared" si="1025"/>
        <v>0</v>
      </c>
      <c r="L605" s="36">
        <f t="shared" si="1025"/>
        <v>0</v>
      </c>
      <c r="M605" s="36">
        <f t="shared" si="1025"/>
        <v>0</v>
      </c>
      <c r="N605" s="36">
        <f t="shared" si="1025"/>
        <v>0</v>
      </c>
      <c r="O605" s="36">
        <f t="shared" si="1025"/>
        <v>0</v>
      </c>
      <c r="P605" s="36">
        <f t="shared" si="1025"/>
        <v>0</v>
      </c>
      <c r="Q605" s="36">
        <f t="shared" si="1025"/>
        <v>0</v>
      </c>
      <c r="R605" s="36">
        <f t="shared" si="1025"/>
        <v>0</v>
      </c>
      <c r="S605" s="36">
        <f t="shared" si="1025"/>
        <v>0</v>
      </c>
      <c r="T605" s="36">
        <f t="shared" si="1025"/>
        <v>0</v>
      </c>
      <c r="U605" s="36">
        <f t="shared" si="1025"/>
        <v>0</v>
      </c>
      <c r="V605" s="36">
        <f t="shared" si="1025"/>
        <v>0</v>
      </c>
      <c r="W605" s="36">
        <f t="shared" si="1025"/>
        <v>0</v>
      </c>
      <c r="X605" s="36">
        <f t="shared" si="1025"/>
        <v>124862.58</v>
      </c>
      <c r="Y605" s="36">
        <f t="shared" si="1025"/>
        <v>0</v>
      </c>
      <c r="Z605" s="36">
        <f t="shared" si="1025"/>
        <v>0</v>
      </c>
      <c r="AA605" s="36">
        <f t="shared" si="1025"/>
        <v>0</v>
      </c>
      <c r="AB605" s="36">
        <f t="shared" si="1025"/>
        <v>0</v>
      </c>
      <c r="AC605" s="56"/>
      <c r="AD605" s="23"/>
    </row>
    <row r="606" spans="1:30" s="14" customFormat="1">
      <c r="A606" s="87" t="s">
        <v>212</v>
      </c>
      <c r="B606" s="26">
        <f>2996701.9/2</f>
        <v>1498350.95</v>
      </c>
      <c r="C606" s="130">
        <f t="shared" si="986"/>
        <v>124862.58</v>
      </c>
      <c r="D606" s="35">
        <v>1.6299999999999999E-2</v>
      </c>
      <c r="E606" s="35">
        <v>0.14269999999999999</v>
      </c>
      <c r="F606" s="35">
        <v>5.8900000000000001E-2</v>
      </c>
      <c r="G606" s="35">
        <v>7.6200000000000004E-2</v>
      </c>
      <c r="H606" s="35">
        <v>3.9600000000000003E-2</v>
      </c>
      <c r="I606" s="35">
        <v>0.12470000000000001</v>
      </c>
      <c r="J606" s="35">
        <v>2.0400000000000001E-2</v>
      </c>
      <c r="K606" s="35">
        <v>3.1199999999999999E-2</v>
      </c>
      <c r="L606" s="35">
        <v>1.6199999999999999E-2</v>
      </c>
      <c r="M606" s="35">
        <v>2.53E-2</v>
      </c>
      <c r="N606" s="35">
        <v>0.14849999999999999</v>
      </c>
      <c r="O606" s="35">
        <v>2.2599999999999999E-2</v>
      </c>
      <c r="P606" s="35">
        <v>0</v>
      </c>
      <c r="Q606" s="35">
        <v>3.78E-2</v>
      </c>
      <c r="R606" s="35">
        <v>1.8100000000000002E-2</v>
      </c>
      <c r="S606" s="35">
        <v>4.1000000000000003E-3</v>
      </c>
      <c r="T606" s="35">
        <v>5.04E-2</v>
      </c>
      <c r="U606" s="35">
        <v>1.7500000000000002E-2</v>
      </c>
      <c r="V606" s="35">
        <v>3.6200000000000003E-2</v>
      </c>
      <c r="W606" s="35">
        <v>4.8500000000000001E-2</v>
      </c>
      <c r="X606" s="35">
        <v>6.1600000000000002E-2</v>
      </c>
      <c r="Y606" s="35">
        <v>2.5000000000000001E-3</v>
      </c>
      <c r="Z606" s="4">
        <v>0</v>
      </c>
      <c r="AA606" s="4">
        <v>6.9999999999999999E-4</v>
      </c>
      <c r="AB606" s="4">
        <v>0</v>
      </c>
      <c r="AC606" s="56"/>
      <c r="AD606" s="23"/>
    </row>
    <row r="607" spans="1:30" s="14" customFormat="1">
      <c r="A607" s="82"/>
      <c r="B607" s="29"/>
      <c r="C607" s="130"/>
      <c r="D607" s="36">
        <f>$C606*D606</f>
        <v>2035.2600539999999</v>
      </c>
      <c r="E607" s="36">
        <f t="shared" ref="E607" si="1026">$C606*E606</f>
        <v>17817.890166000001</v>
      </c>
      <c r="F607" s="36">
        <f t="shared" ref="F607" si="1027">$C606*F606</f>
        <v>7354.4059619999998</v>
      </c>
      <c r="G607" s="36">
        <f t="shared" ref="G607:AB607" si="1028">$C606*G606</f>
        <v>9514.5285960000001</v>
      </c>
      <c r="H607" s="36">
        <f t="shared" si="1028"/>
        <v>4944.5581680000005</v>
      </c>
      <c r="I607" s="36">
        <f t="shared" si="1028"/>
        <v>15570.363726000001</v>
      </c>
      <c r="J607" s="36">
        <f t="shared" si="1028"/>
        <v>2547.1966320000001</v>
      </c>
      <c r="K607" s="36">
        <f t="shared" si="1028"/>
        <v>3895.7124960000001</v>
      </c>
      <c r="L607" s="36">
        <f t="shared" si="1028"/>
        <v>2022.7737959999999</v>
      </c>
      <c r="M607" s="36">
        <f t="shared" si="1028"/>
        <v>3159.0232740000001</v>
      </c>
      <c r="N607" s="36">
        <f t="shared" si="1028"/>
        <v>18542.093130000001</v>
      </c>
      <c r="O607" s="36">
        <f t="shared" si="1028"/>
        <v>2821.8943079999999</v>
      </c>
      <c r="P607" s="36">
        <f t="shared" si="1028"/>
        <v>0</v>
      </c>
      <c r="Q607" s="36">
        <f t="shared" si="1028"/>
        <v>4719.8055240000003</v>
      </c>
      <c r="R607" s="36">
        <f t="shared" si="1028"/>
        <v>2260.012698</v>
      </c>
      <c r="S607" s="36">
        <f t="shared" si="1028"/>
        <v>511.93657800000005</v>
      </c>
      <c r="T607" s="36">
        <f t="shared" si="1028"/>
        <v>6293.0740320000004</v>
      </c>
      <c r="U607" s="36">
        <f t="shared" si="1028"/>
        <v>2185.0951500000001</v>
      </c>
      <c r="V607" s="36">
        <f t="shared" si="1028"/>
        <v>4520.025396</v>
      </c>
      <c r="W607" s="36">
        <f t="shared" si="1028"/>
        <v>6055.8351300000004</v>
      </c>
      <c r="X607" s="36">
        <f t="shared" si="1028"/>
        <v>7691.534928</v>
      </c>
      <c r="Y607" s="36">
        <f t="shared" si="1028"/>
        <v>312.15645000000001</v>
      </c>
      <c r="Z607" s="36">
        <f t="shared" si="1028"/>
        <v>0</v>
      </c>
      <c r="AA607" s="36">
        <f t="shared" si="1028"/>
        <v>87.403806000000003</v>
      </c>
      <c r="AB607" s="36">
        <f t="shared" si="1028"/>
        <v>0</v>
      </c>
      <c r="AC607" s="56"/>
      <c r="AD607" s="23"/>
    </row>
    <row r="608" spans="1:30" s="14" customFormat="1">
      <c r="A608" s="87" t="s">
        <v>213</v>
      </c>
      <c r="B608" s="26">
        <v>2664932.23</v>
      </c>
      <c r="C608" s="130">
        <f t="shared" si="986"/>
        <v>222077.69</v>
      </c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39"/>
      <c r="Q608" s="40"/>
      <c r="R608" s="40"/>
      <c r="S608" s="40"/>
      <c r="T608" s="40"/>
      <c r="U608" s="40"/>
      <c r="V608" s="40"/>
      <c r="W608" s="40"/>
      <c r="X608" s="39">
        <v>0.96499999999999997</v>
      </c>
      <c r="Y608" s="39">
        <v>3.5000000000000003E-2</v>
      </c>
      <c r="Z608" s="39"/>
      <c r="AA608" s="39"/>
      <c r="AB608" s="39"/>
      <c r="AC608" s="56"/>
      <c r="AD608" s="23"/>
    </row>
    <row r="609" spans="1:30" s="14" customFormat="1">
      <c r="A609" s="82"/>
      <c r="B609" s="29"/>
      <c r="C609" s="130"/>
      <c r="D609" s="36">
        <f>$C608*D608</f>
        <v>0</v>
      </c>
      <c r="E609" s="36">
        <f t="shared" ref="E609" si="1029">$C608*E608</f>
        <v>0</v>
      </c>
      <c r="F609" s="36">
        <f t="shared" ref="F609" si="1030">$C608*F608</f>
        <v>0</v>
      </c>
      <c r="G609" s="36">
        <f t="shared" ref="G609:AB609" si="1031">$C608*G608</f>
        <v>0</v>
      </c>
      <c r="H609" s="36">
        <f t="shared" si="1031"/>
        <v>0</v>
      </c>
      <c r="I609" s="36">
        <f t="shared" si="1031"/>
        <v>0</v>
      </c>
      <c r="J609" s="36">
        <f t="shared" si="1031"/>
        <v>0</v>
      </c>
      <c r="K609" s="36">
        <f t="shared" si="1031"/>
        <v>0</v>
      </c>
      <c r="L609" s="36">
        <f t="shared" si="1031"/>
        <v>0</v>
      </c>
      <c r="M609" s="36">
        <f t="shared" si="1031"/>
        <v>0</v>
      </c>
      <c r="N609" s="36">
        <f t="shared" si="1031"/>
        <v>0</v>
      </c>
      <c r="O609" s="36">
        <f t="shared" si="1031"/>
        <v>0</v>
      </c>
      <c r="P609" s="36">
        <f t="shared" si="1031"/>
        <v>0</v>
      </c>
      <c r="Q609" s="36">
        <f t="shared" si="1031"/>
        <v>0</v>
      </c>
      <c r="R609" s="36">
        <f t="shared" si="1031"/>
        <v>0</v>
      </c>
      <c r="S609" s="36">
        <f t="shared" si="1031"/>
        <v>0</v>
      </c>
      <c r="T609" s="36">
        <f t="shared" si="1031"/>
        <v>0</v>
      </c>
      <c r="U609" s="36">
        <f t="shared" si="1031"/>
        <v>0</v>
      </c>
      <c r="V609" s="36">
        <f t="shared" si="1031"/>
        <v>0</v>
      </c>
      <c r="W609" s="36">
        <f t="shared" si="1031"/>
        <v>0</v>
      </c>
      <c r="X609" s="36">
        <f t="shared" si="1031"/>
        <v>214304.97084999998</v>
      </c>
      <c r="Y609" s="36">
        <f t="shared" si="1031"/>
        <v>7772.7191500000008</v>
      </c>
      <c r="Z609" s="36">
        <f t="shared" si="1031"/>
        <v>0</v>
      </c>
      <c r="AA609" s="36">
        <f t="shared" si="1031"/>
        <v>0</v>
      </c>
      <c r="AB609" s="36">
        <f t="shared" si="1031"/>
        <v>0</v>
      </c>
      <c r="AC609" s="56"/>
      <c r="AD609" s="23"/>
    </row>
    <row r="610" spans="1:30" s="14" customFormat="1">
      <c r="A610" s="87" t="s">
        <v>214</v>
      </c>
      <c r="B610" s="26">
        <v>869199.82</v>
      </c>
      <c r="C610" s="130">
        <f t="shared" si="986"/>
        <v>72433.320000000007</v>
      </c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39"/>
      <c r="Q610" s="40"/>
      <c r="R610" s="40"/>
      <c r="S610" s="40"/>
      <c r="T610" s="40"/>
      <c r="U610" s="40"/>
      <c r="V610" s="40"/>
      <c r="W610" s="40"/>
      <c r="X610" s="39">
        <v>0.96499999999999997</v>
      </c>
      <c r="Y610" s="39">
        <v>3.5000000000000003E-2</v>
      </c>
      <c r="Z610" s="4"/>
      <c r="AA610" s="4"/>
      <c r="AB610" s="4"/>
      <c r="AC610" s="56"/>
      <c r="AD610" s="23"/>
    </row>
    <row r="611" spans="1:30" s="14" customFormat="1">
      <c r="A611" s="82"/>
      <c r="B611" s="29"/>
      <c r="C611" s="130"/>
      <c r="D611" s="36">
        <f>$C610*D610</f>
        <v>0</v>
      </c>
      <c r="E611" s="36">
        <f t="shared" ref="E611" si="1032">$C610*E610</f>
        <v>0</v>
      </c>
      <c r="F611" s="36">
        <f t="shared" ref="F611" si="1033">$C610*F610</f>
        <v>0</v>
      </c>
      <c r="G611" s="36">
        <f t="shared" ref="G611:AB611" si="1034">$C610*G610</f>
        <v>0</v>
      </c>
      <c r="H611" s="36">
        <f t="shared" si="1034"/>
        <v>0</v>
      </c>
      <c r="I611" s="36">
        <f t="shared" si="1034"/>
        <v>0</v>
      </c>
      <c r="J611" s="36">
        <f t="shared" si="1034"/>
        <v>0</v>
      </c>
      <c r="K611" s="36">
        <f t="shared" si="1034"/>
        <v>0</v>
      </c>
      <c r="L611" s="36">
        <f t="shared" si="1034"/>
        <v>0</v>
      </c>
      <c r="M611" s="36">
        <f t="shared" si="1034"/>
        <v>0</v>
      </c>
      <c r="N611" s="36">
        <f t="shared" si="1034"/>
        <v>0</v>
      </c>
      <c r="O611" s="36">
        <f t="shared" si="1034"/>
        <v>0</v>
      </c>
      <c r="P611" s="36">
        <f t="shared" si="1034"/>
        <v>0</v>
      </c>
      <c r="Q611" s="36">
        <f t="shared" si="1034"/>
        <v>0</v>
      </c>
      <c r="R611" s="36">
        <f t="shared" si="1034"/>
        <v>0</v>
      </c>
      <c r="S611" s="36">
        <f t="shared" si="1034"/>
        <v>0</v>
      </c>
      <c r="T611" s="36">
        <f t="shared" si="1034"/>
        <v>0</v>
      </c>
      <c r="U611" s="36">
        <f t="shared" si="1034"/>
        <v>0</v>
      </c>
      <c r="V611" s="36">
        <f t="shared" si="1034"/>
        <v>0</v>
      </c>
      <c r="W611" s="36">
        <f t="shared" si="1034"/>
        <v>0</v>
      </c>
      <c r="X611" s="36">
        <f t="shared" si="1034"/>
        <v>69898.1538</v>
      </c>
      <c r="Y611" s="36">
        <f t="shared" si="1034"/>
        <v>2535.1662000000006</v>
      </c>
      <c r="Z611" s="36">
        <f t="shared" si="1034"/>
        <v>0</v>
      </c>
      <c r="AA611" s="36">
        <f t="shared" si="1034"/>
        <v>0</v>
      </c>
      <c r="AB611" s="36">
        <f t="shared" si="1034"/>
        <v>0</v>
      </c>
      <c r="AC611" s="56"/>
      <c r="AD611" s="23"/>
    </row>
    <row r="612" spans="1:30" s="14" customFormat="1">
      <c r="A612" s="87" t="s">
        <v>215</v>
      </c>
      <c r="B612" s="26">
        <v>869172.62</v>
      </c>
      <c r="C612" s="130">
        <f t="shared" si="986"/>
        <v>72431.05</v>
      </c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39"/>
      <c r="Q612" s="40"/>
      <c r="R612" s="40"/>
      <c r="S612" s="40"/>
      <c r="T612" s="40"/>
      <c r="U612" s="40"/>
      <c r="V612" s="40"/>
      <c r="W612" s="40"/>
      <c r="X612" s="39">
        <v>0.96499999999999997</v>
      </c>
      <c r="Y612" s="39">
        <v>3.5000000000000003E-2</v>
      </c>
      <c r="Z612" s="39"/>
      <c r="AA612" s="39"/>
      <c r="AB612" s="39"/>
      <c r="AC612" s="56"/>
      <c r="AD612" s="23"/>
    </row>
    <row r="613" spans="1:30" s="14" customFormat="1">
      <c r="A613" s="82"/>
      <c r="B613" s="29"/>
      <c r="C613" s="130"/>
      <c r="D613" s="36">
        <f>$C612*D612</f>
        <v>0</v>
      </c>
      <c r="E613" s="36">
        <f t="shared" ref="E613" si="1035">$C612*E612</f>
        <v>0</v>
      </c>
      <c r="F613" s="36">
        <f t="shared" ref="F613" si="1036">$C612*F612</f>
        <v>0</v>
      </c>
      <c r="G613" s="36">
        <f t="shared" ref="G613:AB613" si="1037">$C612*G612</f>
        <v>0</v>
      </c>
      <c r="H613" s="36">
        <f t="shared" si="1037"/>
        <v>0</v>
      </c>
      <c r="I613" s="36">
        <f t="shared" si="1037"/>
        <v>0</v>
      </c>
      <c r="J613" s="36">
        <f t="shared" si="1037"/>
        <v>0</v>
      </c>
      <c r="K613" s="36">
        <f t="shared" si="1037"/>
        <v>0</v>
      </c>
      <c r="L613" s="36">
        <f t="shared" si="1037"/>
        <v>0</v>
      </c>
      <c r="M613" s="36">
        <f t="shared" si="1037"/>
        <v>0</v>
      </c>
      <c r="N613" s="36">
        <f t="shared" si="1037"/>
        <v>0</v>
      </c>
      <c r="O613" s="36">
        <f t="shared" si="1037"/>
        <v>0</v>
      </c>
      <c r="P613" s="36">
        <f t="shared" si="1037"/>
        <v>0</v>
      </c>
      <c r="Q613" s="36">
        <f t="shared" si="1037"/>
        <v>0</v>
      </c>
      <c r="R613" s="36">
        <f t="shared" si="1037"/>
        <v>0</v>
      </c>
      <c r="S613" s="36">
        <f t="shared" si="1037"/>
        <v>0</v>
      </c>
      <c r="T613" s="36">
        <f t="shared" si="1037"/>
        <v>0</v>
      </c>
      <c r="U613" s="36">
        <f t="shared" si="1037"/>
        <v>0</v>
      </c>
      <c r="V613" s="36">
        <f t="shared" si="1037"/>
        <v>0</v>
      </c>
      <c r="W613" s="36">
        <f t="shared" si="1037"/>
        <v>0</v>
      </c>
      <c r="X613" s="36">
        <f t="shared" si="1037"/>
        <v>69895.963250000001</v>
      </c>
      <c r="Y613" s="36">
        <f t="shared" si="1037"/>
        <v>2535.0867500000004</v>
      </c>
      <c r="Z613" s="36">
        <f t="shared" si="1037"/>
        <v>0</v>
      </c>
      <c r="AA613" s="36">
        <f t="shared" si="1037"/>
        <v>0</v>
      </c>
      <c r="AB613" s="36">
        <f t="shared" si="1037"/>
        <v>0</v>
      </c>
      <c r="AC613" s="56"/>
      <c r="AD613" s="23"/>
    </row>
    <row r="614" spans="1:30" s="14" customFormat="1">
      <c r="A614" s="87" t="s">
        <v>216</v>
      </c>
      <c r="B614" s="26">
        <v>3353014.18</v>
      </c>
      <c r="C614" s="130">
        <f t="shared" si="986"/>
        <v>279417.84999999998</v>
      </c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39"/>
      <c r="Q614" s="40"/>
      <c r="R614" s="40"/>
      <c r="S614" s="40"/>
      <c r="T614" s="40"/>
      <c r="U614" s="40"/>
      <c r="V614" s="40"/>
      <c r="W614" s="40"/>
      <c r="X614" s="39">
        <v>0.96499999999999997</v>
      </c>
      <c r="Y614" s="39">
        <v>3.5000000000000003E-2</v>
      </c>
      <c r="Z614" s="39"/>
      <c r="AA614" s="39"/>
      <c r="AB614" s="39"/>
      <c r="AC614" s="56"/>
      <c r="AD614" s="23"/>
    </row>
    <row r="615" spans="1:30" s="14" customFormat="1">
      <c r="A615" s="82"/>
      <c r="B615" s="29"/>
      <c r="C615" s="130"/>
      <c r="D615" s="36">
        <f>$C614*D614</f>
        <v>0</v>
      </c>
      <c r="E615" s="36">
        <f t="shared" ref="E615" si="1038">$C614*E614</f>
        <v>0</v>
      </c>
      <c r="F615" s="36">
        <f t="shared" ref="F615" si="1039">$C614*F614</f>
        <v>0</v>
      </c>
      <c r="G615" s="36">
        <f t="shared" ref="G615:AB615" si="1040">$C614*G614</f>
        <v>0</v>
      </c>
      <c r="H615" s="36">
        <f t="shared" si="1040"/>
        <v>0</v>
      </c>
      <c r="I615" s="36">
        <f t="shared" si="1040"/>
        <v>0</v>
      </c>
      <c r="J615" s="36">
        <f t="shared" si="1040"/>
        <v>0</v>
      </c>
      <c r="K615" s="36">
        <f t="shared" si="1040"/>
        <v>0</v>
      </c>
      <c r="L615" s="36">
        <f t="shared" si="1040"/>
        <v>0</v>
      </c>
      <c r="M615" s="36">
        <f t="shared" si="1040"/>
        <v>0</v>
      </c>
      <c r="N615" s="36">
        <f t="shared" si="1040"/>
        <v>0</v>
      </c>
      <c r="O615" s="36">
        <f t="shared" si="1040"/>
        <v>0</v>
      </c>
      <c r="P615" s="36">
        <f t="shared" si="1040"/>
        <v>0</v>
      </c>
      <c r="Q615" s="36">
        <f t="shared" si="1040"/>
        <v>0</v>
      </c>
      <c r="R615" s="36">
        <f t="shared" si="1040"/>
        <v>0</v>
      </c>
      <c r="S615" s="36">
        <f t="shared" si="1040"/>
        <v>0</v>
      </c>
      <c r="T615" s="36">
        <f t="shared" si="1040"/>
        <v>0</v>
      </c>
      <c r="U615" s="36">
        <f t="shared" si="1040"/>
        <v>0</v>
      </c>
      <c r="V615" s="36">
        <f t="shared" si="1040"/>
        <v>0</v>
      </c>
      <c r="W615" s="36">
        <f t="shared" si="1040"/>
        <v>0</v>
      </c>
      <c r="X615" s="36">
        <f t="shared" si="1040"/>
        <v>269638.22524999996</v>
      </c>
      <c r="Y615" s="36">
        <f t="shared" si="1040"/>
        <v>9779.6247500000009</v>
      </c>
      <c r="Z615" s="36">
        <f t="shared" si="1040"/>
        <v>0</v>
      </c>
      <c r="AA615" s="36">
        <f t="shared" si="1040"/>
        <v>0</v>
      </c>
      <c r="AB615" s="36">
        <f t="shared" si="1040"/>
        <v>0</v>
      </c>
      <c r="AC615" s="56"/>
      <c r="AD615" s="23"/>
    </row>
    <row r="616" spans="1:30" s="14" customFormat="1">
      <c r="A616" s="81" t="s">
        <v>260</v>
      </c>
      <c r="B616" s="190">
        <v>1037841.15</v>
      </c>
      <c r="C616" s="130">
        <f t="shared" si="986"/>
        <v>86486.76</v>
      </c>
      <c r="D616" s="41"/>
      <c r="E616" s="41"/>
      <c r="F616" s="41"/>
      <c r="G616" s="41"/>
      <c r="H616" s="39">
        <v>3.0499999999999999E-2</v>
      </c>
      <c r="I616" s="39"/>
      <c r="J616" s="39"/>
      <c r="K616" s="39"/>
      <c r="L616" s="39"/>
      <c r="M616" s="39"/>
      <c r="N616" s="39"/>
      <c r="O616" s="39"/>
      <c r="P616" s="39">
        <v>2.0999999999999999E-3</v>
      </c>
      <c r="Q616" s="39"/>
      <c r="R616" s="39">
        <v>8.3000000000000001E-3</v>
      </c>
      <c r="S616" s="39"/>
      <c r="T616" s="39">
        <v>0.91359999999999997</v>
      </c>
      <c r="U616" s="39"/>
      <c r="V616" s="39">
        <v>1.9300000000000001E-2</v>
      </c>
      <c r="W616" s="39">
        <v>2.46E-2</v>
      </c>
      <c r="X616" s="39"/>
      <c r="Y616" s="39"/>
      <c r="Z616" s="39">
        <v>1.6000000000000001E-3</v>
      </c>
      <c r="AA616" s="39">
        <v>0</v>
      </c>
      <c r="AB616" s="39">
        <v>0</v>
      </c>
      <c r="AC616" s="56"/>
      <c r="AD616" s="23"/>
    </row>
    <row r="617" spans="1:30" s="14" customFormat="1">
      <c r="A617" s="82"/>
      <c r="B617" s="113"/>
      <c r="C617" s="130"/>
      <c r="D617" s="36">
        <f t="shared" ref="D617" si="1041">$C616*D616</f>
        <v>0</v>
      </c>
      <c r="E617" s="36">
        <f t="shared" ref="E617" si="1042">$C616*E616</f>
        <v>0</v>
      </c>
      <c r="F617" s="36">
        <f t="shared" ref="F617:O617" si="1043">$C616*F616</f>
        <v>0</v>
      </c>
      <c r="G617" s="36">
        <f t="shared" si="1043"/>
        <v>0</v>
      </c>
      <c r="H617" s="36">
        <f t="shared" si="1043"/>
        <v>2637.84618</v>
      </c>
      <c r="I617" s="36">
        <f t="shared" si="1043"/>
        <v>0</v>
      </c>
      <c r="J617" s="36">
        <f t="shared" si="1043"/>
        <v>0</v>
      </c>
      <c r="K617" s="36">
        <f t="shared" si="1043"/>
        <v>0</v>
      </c>
      <c r="L617" s="36">
        <f t="shared" si="1043"/>
        <v>0</v>
      </c>
      <c r="M617" s="36">
        <f t="shared" si="1043"/>
        <v>0</v>
      </c>
      <c r="N617" s="36">
        <f t="shared" si="1043"/>
        <v>0</v>
      </c>
      <c r="O617" s="36">
        <f t="shared" si="1043"/>
        <v>0</v>
      </c>
      <c r="P617" s="36">
        <f t="shared" ref="P617" si="1044">$C616*P616</f>
        <v>181.62219599999997</v>
      </c>
      <c r="Q617" s="36">
        <f t="shared" ref="Q617" si="1045">$C616*Q616</f>
        <v>0</v>
      </c>
      <c r="R617" s="36">
        <f t="shared" ref="R617:AB617" si="1046">$C616*R616</f>
        <v>717.84010799999999</v>
      </c>
      <c r="S617" s="36">
        <f t="shared" si="1046"/>
        <v>0</v>
      </c>
      <c r="T617" s="36">
        <f t="shared" si="1046"/>
        <v>79014.303935999997</v>
      </c>
      <c r="U617" s="36">
        <f t="shared" si="1046"/>
        <v>0</v>
      </c>
      <c r="V617" s="36">
        <f t="shared" si="1046"/>
        <v>1669.1944679999999</v>
      </c>
      <c r="W617" s="36">
        <f t="shared" si="1046"/>
        <v>2127.5742959999998</v>
      </c>
      <c r="X617" s="36">
        <f t="shared" si="1046"/>
        <v>0</v>
      </c>
      <c r="Y617" s="36">
        <f t="shared" si="1046"/>
        <v>0</v>
      </c>
      <c r="Z617" s="36">
        <f t="shared" si="1046"/>
        <v>138.378816</v>
      </c>
      <c r="AA617" s="36">
        <f t="shared" si="1046"/>
        <v>0</v>
      </c>
      <c r="AB617" s="36">
        <f t="shared" si="1046"/>
        <v>0</v>
      </c>
      <c r="AC617" s="56"/>
      <c r="AD617" s="23"/>
    </row>
    <row r="618" spans="1:30" s="14" customFormat="1">
      <c r="A618" s="81" t="s">
        <v>261</v>
      </c>
      <c r="B618" s="190">
        <v>3013201.35</v>
      </c>
      <c r="C618" s="130">
        <f t="shared" si="986"/>
        <v>251100.11</v>
      </c>
      <c r="D618" s="39">
        <v>4.9599999999999998E-2</v>
      </c>
      <c r="E618" s="41"/>
      <c r="F618" s="41"/>
      <c r="G618" s="41"/>
      <c r="H618" s="39"/>
      <c r="I618" s="39"/>
      <c r="J618" s="39"/>
      <c r="K618" s="39"/>
      <c r="L618" s="39"/>
      <c r="M618" s="39"/>
      <c r="N618" s="39"/>
      <c r="O618" s="39"/>
      <c r="P618" s="39">
        <v>1.5E-3</v>
      </c>
      <c r="Q618" s="39">
        <v>0.442</v>
      </c>
      <c r="R618" s="39"/>
      <c r="S618" s="39">
        <v>5.3E-3</v>
      </c>
      <c r="T618" s="39"/>
      <c r="U618" s="39"/>
      <c r="V618" s="39"/>
      <c r="W618" s="39"/>
      <c r="X618" s="39">
        <v>0.48080000000000001</v>
      </c>
      <c r="Y618" s="39">
        <v>1.9199999999999998E-2</v>
      </c>
      <c r="Z618" s="39">
        <v>1.6000000000000001E-3</v>
      </c>
      <c r="AA618" s="39">
        <v>0</v>
      </c>
      <c r="AB618" s="39">
        <v>0</v>
      </c>
      <c r="AC618" s="56"/>
      <c r="AD618" s="23"/>
    </row>
    <row r="619" spans="1:30" s="14" customFormat="1">
      <c r="A619" s="82"/>
      <c r="B619" s="113"/>
      <c r="C619" s="130"/>
      <c r="D619" s="36">
        <f t="shared" ref="D619" si="1047">$C618*D618</f>
        <v>12454.565455999998</v>
      </c>
      <c r="E619" s="36">
        <f t="shared" ref="E619" si="1048">$C618*E618</f>
        <v>0</v>
      </c>
      <c r="F619" s="36">
        <f t="shared" ref="F619:O619" si="1049">$C618*F618</f>
        <v>0</v>
      </c>
      <c r="G619" s="36">
        <f t="shared" si="1049"/>
        <v>0</v>
      </c>
      <c r="H619" s="36">
        <f t="shared" si="1049"/>
        <v>0</v>
      </c>
      <c r="I619" s="36">
        <f t="shared" si="1049"/>
        <v>0</v>
      </c>
      <c r="J619" s="36">
        <f t="shared" si="1049"/>
        <v>0</v>
      </c>
      <c r="K619" s="36">
        <f t="shared" si="1049"/>
        <v>0</v>
      </c>
      <c r="L619" s="36">
        <f t="shared" si="1049"/>
        <v>0</v>
      </c>
      <c r="M619" s="36">
        <f t="shared" si="1049"/>
        <v>0</v>
      </c>
      <c r="N619" s="36">
        <f t="shared" si="1049"/>
        <v>0</v>
      </c>
      <c r="O619" s="36">
        <f t="shared" si="1049"/>
        <v>0</v>
      </c>
      <c r="P619" s="36">
        <f t="shared" ref="P619" si="1050">$C618*P618</f>
        <v>376.65016499999996</v>
      </c>
      <c r="Q619" s="36">
        <f t="shared" ref="Q619" si="1051">$C618*Q618</f>
        <v>110986.24862</v>
      </c>
      <c r="R619" s="36">
        <f t="shared" ref="R619:AB619" si="1052">$C618*R618</f>
        <v>0</v>
      </c>
      <c r="S619" s="36">
        <f t="shared" si="1052"/>
        <v>1330.8305829999999</v>
      </c>
      <c r="T619" s="36">
        <f t="shared" si="1052"/>
        <v>0</v>
      </c>
      <c r="U619" s="36">
        <f t="shared" si="1052"/>
        <v>0</v>
      </c>
      <c r="V619" s="36">
        <f t="shared" si="1052"/>
        <v>0</v>
      </c>
      <c r="W619" s="36">
        <f t="shared" si="1052"/>
        <v>0</v>
      </c>
      <c r="X619" s="36">
        <f t="shared" si="1052"/>
        <v>120728.932888</v>
      </c>
      <c r="Y619" s="36">
        <f t="shared" si="1052"/>
        <v>4821.1221119999991</v>
      </c>
      <c r="Z619" s="36">
        <f t="shared" si="1052"/>
        <v>401.760176</v>
      </c>
      <c r="AA619" s="36">
        <f t="shared" si="1052"/>
        <v>0</v>
      </c>
      <c r="AB619" s="36">
        <f t="shared" si="1052"/>
        <v>0</v>
      </c>
      <c r="AC619" s="56"/>
      <c r="AD619" s="23"/>
    </row>
    <row r="620" spans="1:30" s="14" customFormat="1">
      <c r="A620" s="87" t="s">
        <v>278</v>
      </c>
      <c r="B620" s="26">
        <f>17180252.68/2</f>
        <v>8590126.3399999999</v>
      </c>
      <c r="C620" s="130">
        <f t="shared" si="986"/>
        <v>715843.86</v>
      </c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39"/>
      <c r="Q620" s="40"/>
      <c r="R620" s="40"/>
      <c r="S620" s="40"/>
      <c r="T620" s="40"/>
      <c r="U620" s="40"/>
      <c r="V620" s="40"/>
      <c r="W620" s="40"/>
      <c r="X620" s="39">
        <v>0.96499999999999997</v>
      </c>
      <c r="Y620" s="39">
        <v>3.5000000000000003E-2</v>
      </c>
      <c r="Z620" s="39"/>
      <c r="AA620" s="39"/>
      <c r="AB620" s="39"/>
      <c r="AC620" s="56"/>
      <c r="AD620" s="23"/>
    </row>
    <row r="621" spans="1:30" s="14" customFormat="1">
      <c r="A621" s="82"/>
      <c r="B621" s="29"/>
      <c r="C621" s="130"/>
      <c r="D621" s="36">
        <f>$C620*D620</f>
        <v>0</v>
      </c>
      <c r="E621" s="36">
        <f t="shared" ref="E621" si="1053">$C620*E620</f>
        <v>0</v>
      </c>
      <c r="F621" s="36">
        <f t="shared" ref="F621" si="1054">$C620*F620</f>
        <v>0</v>
      </c>
      <c r="G621" s="36">
        <f t="shared" ref="G621:AB621" si="1055">$C620*G620</f>
        <v>0</v>
      </c>
      <c r="H621" s="36">
        <f t="shared" si="1055"/>
        <v>0</v>
      </c>
      <c r="I621" s="36">
        <f t="shared" si="1055"/>
        <v>0</v>
      </c>
      <c r="J621" s="36">
        <f t="shared" si="1055"/>
        <v>0</v>
      </c>
      <c r="K621" s="36">
        <f t="shared" si="1055"/>
        <v>0</v>
      </c>
      <c r="L621" s="36">
        <f t="shared" si="1055"/>
        <v>0</v>
      </c>
      <c r="M621" s="36">
        <f t="shared" si="1055"/>
        <v>0</v>
      </c>
      <c r="N621" s="36">
        <f t="shared" si="1055"/>
        <v>0</v>
      </c>
      <c r="O621" s="36">
        <f t="shared" si="1055"/>
        <v>0</v>
      </c>
      <c r="P621" s="36">
        <f t="shared" si="1055"/>
        <v>0</v>
      </c>
      <c r="Q621" s="36">
        <f t="shared" si="1055"/>
        <v>0</v>
      </c>
      <c r="R621" s="36">
        <f t="shared" si="1055"/>
        <v>0</v>
      </c>
      <c r="S621" s="36">
        <f t="shared" si="1055"/>
        <v>0</v>
      </c>
      <c r="T621" s="36">
        <f t="shared" si="1055"/>
        <v>0</v>
      </c>
      <c r="U621" s="36">
        <f t="shared" si="1055"/>
        <v>0</v>
      </c>
      <c r="V621" s="36">
        <f t="shared" si="1055"/>
        <v>0</v>
      </c>
      <c r="W621" s="36">
        <f t="shared" si="1055"/>
        <v>0</v>
      </c>
      <c r="X621" s="36">
        <f t="shared" si="1055"/>
        <v>690789.32490000001</v>
      </c>
      <c r="Y621" s="36">
        <f t="shared" si="1055"/>
        <v>25054.535100000001</v>
      </c>
      <c r="Z621" s="36">
        <f t="shared" si="1055"/>
        <v>0</v>
      </c>
      <c r="AA621" s="36">
        <f t="shared" si="1055"/>
        <v>0</v>
      </c>
      <c r="AB621" s="36">
        <f t="shared" si="1055"/>
        <v>0</v>
      </c>
      <c r="AC621" s="56"/>
      <c r="AD621" s="23"/>
    </row>
    <row r="622" spans="1:30" s="14" customFormat="1">
      <c r="A622" s="87" t="s">
        <v>275</v>
      </c>
      <c r="B622" s="26">
        <f>17180252.68/2</f>
        <v>8590126.3399999999</v>
      </c>
      <c r="C622" s="130">
        <f t="shared" si="986"/>
        <v>715843.86</v>
      </c>
      <c r="D622" s="35">
        <v>1.6299999999999999E-2</v>
      </c>
      <c r="E622" s="35">
        <v>0.14269999999999999</v>
      </c>
      <c r="F622" s="35">
        <v>5.8900000000000001E-2</v>
      </c>
      <c r="G622" s="35">
        <v>7.6200000000000004E-2</v>
      </c>
      <c r="H622" s="35">
        <v>3.9600000000000003E-2</v>
      </c>
      <c r="I622" s="35">
        <v>0.12470000000000001</v>
      </c>
      <c r="J622" s="35">
        <v>2.0400000000000001E-2</v>
      </c>
      <c r="K622" s="35">
        <v>3.1199999999999999E-2</v>
      </c>
      <c r="L622" s="35">
        <v>1.6199999999999999E-2</v>
      </c>
      <c r="M622" s="35">
        <v>2.53E-2</v>
      </c>
      <c r="N622" s="35">
        <v>0.14849999999999999</v>
      </c>
      <c r="O622" s="35">
        <v>2.2599999999999999E-2</v>
      </c>
      <c r="P622" s="35">
        <v>0</v>
      </c>
      <c r="Q622" s="35">
        <v>3.78E-2</v>
      </c>
      <c r="R622" s="35">
        <v>1.8100000000000002E-2</v>
      </c>
      <c r="S622" s="35">
        <v>4.1000000000000003E-3</v>
      </c>
      <c r="T622" s="35">
        <v>5.04E-2</v>
      </c>
      <c r="U622" s="35">
        <v>1.7500000000000002E-2</v>
      </c>
      <c r="V622" s="35">
        <v>3.6200000000000003E-2</v>
      </c>
      <c r="W622" s="35">
        <v>4.8500000000000001E-2</v>
      </c>
      <c r="X622" s="35">
        <v>6.1600000000000002E-2</v>
      </c>
      <c r="Y622" s="35">
        <v>2.5000000000000001E-3</v>
      </c>
      <c r="Z622" s="4">
        <v>0</v>
      </c>
      <c r="AA622" s="4">
        <v>6.9999999999999999E-4</v>
      </c>
      <c r="AB622" s="4">
        <v>0</v>
      </c>
      <c r="AC622" s="56"/>
      <c r="AD622" s="23"/>
    </row>
    <row r="623" spans="1:30" s="14" customFormat="1">
      <c r="A623" s="82"/>
      <c r="B623" s="29"/>
      <c r="C623" s="130"/>
      <c r="D623" s="36">
        <f>$C622*D622</f>
        <v>11668.254917999999</v>
      </c>
      <c r="E623" s="36">
        <f t="shared" ref="E623" si="1056">$C622*E622</f>
        <v>102150.91882199999</v>
      </c>
      <c r="F623" s="36">
        <f t="shared" ref="F623" si="1057">$C622*F622</f>
        <v>42163.203353999997</v>
      </c>
      <c r="G623" s="36">
        <f t="shared" ref="G623:AB623" si="1058">$C622*G622</f>
        <v>54547.302132000004</v>
      </c>
      <c r="H623" s="36">
        <f t="shared" si="1058"/>
        <v>28347.416856000003</v>
      </c>
      <c r="I623" s="36">
        <f t="shared" si="1058"/>
        <v>89265.729342000006</v>
      </c>
      <c r="J623" s="36">
        <f t="shared" si="1058"/>
        <v>14603.214744000001</v>
      </c>
      <c r="K623" s="36">
        <f t="shared" si="1058"/>
        <v>22334.328431999998</v>
      </c>
      <c r="L623" s="36">
        <f t="shared" si="1058"/>
        <v>11596.670531999998</v>
      </c>
      <c r="M623" s="36">
        <f t="shared" si="1058"/>
        <v>18110.849657999999</v>
      </c>
      <c r="N623" s="36">
        <f t="shared" si="1058"/>
        <v>106302.81320999999</v>
      </c>
      <c r="O623" s="36">
        <f t="shared" si="1058"/>
        <v>16178.071235999998</v>
      </c>
      <c r="P623" s="36">
        <f t="shared" si="1058"/>
        <v>0</v>
      </c>
      <c r="Q623" s="36">
        <f t="shared" si="1058"/>
        <v>27058.897907999999</v>
      </c>
      <c r="R623" s="36">
        <f t="shared" si="1058"/>
        <v>12956.773866000001</v>
      </c>
      <c r="S623" s="36">
        <f t="shared" si="1058"/>
        <v>2934.9598260000002</v>
      </c>
      <c r="T623" s="36">
        <f t="shared" si="1058"/>
        <v>36078.530544000001</v>
      </c>
      <c r="U623" s="36">
        <f t="shared" si="1058"/>
        <v>12527.26755</v>
      </c>
      <c r="V623" s="36">
        <f t="shared" si="1058"/>
        <v>25913.547732000003</v>
      </c>
      <c r="W623" s="36">
        <f t="shared" si="1058"/>
        <v>34718.427210000002</v>
      </c>
      <c r="X623" s="36">
        <f t="shared" si="1058"/>
        <v>44095.981776000001</v>
      </c>
      <c r="Y623" s="36">
        <f t="shared" si="1058"/>
        <v>1789.6096500000001</v>
      </c>
      <c r="Z623" s="36">
        <f t="shared" si="1058"/>
        <v>0</v>
      </c>
      <c r="AA623" s="36">
        <f t="shared" si="1058"/>
        <v>501.09070199999996</v>
      </c>
      <c r="AB623" s="36">
        <f t="shared" si="1058"/>
        <v>0</v>
      </c>
      <c r="AC623" s="56"/>
      <c r="AD623" s="23"/>
    </row>
    <row r="624" spans="1:30" s="14" customFormat="1">
      <c r="A624" s="87" t="s">
        <v>279</v>
      </c>
      <c r="B624" s="26">
        <f>5248766.84/2</f>
        <v>2624383.42</v>
      </c>
      <c r="C624" s="130">
        <f t="shared" si="986"/>
        <v>218698.62</v>
      </c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39"/>
      <c r="Q624" s="40"/>
      <c r="R624" s="40"/>
      <c r="S624" s="40"/>
      <c r="T624" s="40"/>
      <c r="U624" s="40"/>
      <c r="V624" s="40"/>
      <c r="W624" s="40"/>
      <c r="X624" s="39">
        <v>0.96499999999999997</v>
      </c>
      <c r="Y624" s="39">
        <v>3.5000000000000003E-2</v>
      </c>
      <c r="Z624" s="39"/>
      <c r="AA624" s="39"/>
      <c r="AB624" s="39"/>
      <c r="AC624" s="56"/>
      <c r="AD624" s="23"/>
    </row>
    <row r="625" spans="1:30" s="14" customFormat="1">
      <c r="A625" s="82"/>
      <c r="B625" s="29"/>
      <c r="C625" s="130"/>
      <c r="D625" s="36">
        <f>$C624*D624</f>
        <v>0</v>
      </c>
      <c r="E625" s="36">
        <f t="shared" ref="E625" si="1059">$C624*E624</f>
        <v>0</v>
      </c>
      <c r="F625" s="36">
        <f t="shared" ref="F625" si="1060">$C624*F624</f>
        <v>0</v>
      </c>
      <c r="G625" s="36">
        <f t="shared" ref="G625:AB625" si="1061">$C624*G624</f>
        <v>0</v>
      </c>
      <c r="H625" s="36">
        <f t="shared" si="1061"/>
        <v>0</v>
      </c>
      <c r="I625" s="36">
        <f t="shared" si="1061"/>
        <v>0</v>
      </c>
      <c r="J625" s="36">
        <f t="shared" si="1061"/>
        <v>0</v>
      </c>
      <c r="K625" s="36">
        <f t="shared" si="1061"/>
        <v>0</v>
      </c>
      <c r="L625" s="36">
        <f t="shared" si="1061"/>
        <v>0</v>
      </c>
      <c r="M625" s="36">
        <f t="shared" si="1061"/>
        <v>0</v>
      </c>
      <c r="N625" s="36">
        <f t="shared" si="1061"/>
        <v>0</v>
      </c>
      <c r="O625" s="36">
        <f t="shared" si="1061"/>
        <v>0</v>
      </c>
      <c r="P625" s="36">
        <f t="shared" si="1061"/>
        <v>0</v>
      </c>
      <c r="Q625" s="36">
        <f t="shared" si="1061"/>
        <v>0</v>
      </c>
      <c r="R625" s="36">
        <f t="shared" si="1061"/>
        <v>0</v>
      </c>
      <c r="S625" s="36">
        <f t="shared" si="1061"/>
        <v>0</v>
      </c>
      <c r="T625" s="36">
        <f t="shared" si="1061"/>
        <v>0</v>
      </c>
      <c r="U625" s="36">
        <f t="shared" si="1061"/>
        <v>0</v>
      </c>
      <c r="V625" s="36">
        <f t="shared" si="1061"/>
        <v>0</v>
      </c>
      <c r="W625" s="36">
        <f t="shared" si="1061"/>
        <v>0</v>
      </c>
      <c r="X625" s="36">
        <f t="shared" si="1061"/>
        <v>211044.16829999999</v>
      </c>
      <c r="Y625" s="36">
        <f t="shared" si="1061"/>
        <v>7654.4517000000005</v>
      </c>
      <c r="Z625" s="36">
        <f t="shared" si="1061"/>
        <v>0</v>
      </c>
      <c r="AA625" s="36">
        <f t="shared" si="1061"/>
        <v>0</v>
      </c>
      <c r="AB625" s="36">
        <f t="shared" si="1061"/>
        <v>0</v>
      </c>
      <c r="AC625" s="56"/>
      <c r="AD625" s="23"/>
    </row>
    <row r="626" spans="1:30" s="14" customFormat="1">
      <c r="A626" s="87" t="s">
        <v>276</v>
      </c>
      <c r="B626" s="26">
        <f>5248766.84/2</f>
        <v>2624383.42</v>
      </c>
      <c r="C626" s="130">
        <f t="shared" si="986"/>
        <v>218698.62</v>
      </c>
      <c r="D626" s="35">
        <v>1.6299999999999999E-2</v>
      </c>
      <c r="E626" s="35">
        <v>0.14269999999999999</v>
      </c>
      <c r="F626" s="35">
        <v>5.8900000000000001E-2</v>
      </c>
      <c r="G626" s="35">
        <v>7.6200000000000004E-2</v>
      </c>
      <c r="H626" s="35">
        <v>3.9600000000000003E-2</v>
      </c>
      <c r="I626" s="35">
        <v>0.12470000000000001</v>
      </c>
      <c r="J626" s="35">
        <v>2.0400000000000001E-2</v>
      </c>
      <c r="K626" s="35">
        <v>3.1199999999999999E-2</v>
      </c>
      <c r="L626" s="35">
        <v>1.6199999999999999E-2</v>
      </c>
      <c r="M626" s="35">
        <v>2.53E-2</v>
      </c>
      <c r="N626" s="35">
        <v>0.14849999999999999</v>
      </c>
      <c r="O626" s="35">
        <v>2.2599999999999999E-2</v>
      </c>
      <c r="P626" s="35">
        <v>0</v>
      </c>
      <c r="Q626" s="35">
        <v>3.78E-2</v>
      </c>
      <c r="R626" s="35">
        <v>1.8100000000000002E-2</v>
      </c>
      <c r="S626" s="35">
        <v>4.1000000000000003E-3</v>
      </c>
      <c r="T626" s="35">
        <v>5.04E-2</v>
      </c>
      <c r="U626" s="35">
        <v>1.7500000000000002E-2</v>
      </c>
      <c r="V626" s="35">
        <v>3.6200000000000003E-2</v>
      </c>
      <c r="W626" s="35">
        <v>4.8500000000000001E-2</v>
      </c>
      <c r="X626" s="35">
        <v>6.1600000000000002E-2</v>
      </c>
      <c r="Y626" s="35">
        <v>2.5000000000000001E-3</v>
      </c>
      <c r="Z626" s="4">
        <v>0</v>
      </c>
      <c r="AA626" s="4">
        <v>6.9999999999999999E-4</v>
      </c>
      <c r="AB626" s="4">
        <v>0</v>
      </c>
      <c r="AC626" s="56"/>
      <c r="AD626" s="23"/>
    </row>
    <row r="627" spans="1:30" s="14" customFormat="1">
      <c r="A627" s="82"/>
      <c r="B627" s="29"/>
      <c r="C627" s="130"/>
      <c r="D627" s="36">
        <f>$C626*D626</f>
        <v>3564.7875059999997</v>
      </c>
      <c r="E627" s="36">
        <f t="shared" ref="E627" si="1062">$C626*E626</f>
        <v>31208.293073999997</v>
      </c>
      <c r="F627" s="36">
        <f t="shared" ref="F627" si="1063">$C626*F626</f>
        <v>12881.348717999999</v>
      </c>
      <c r="G627" s="36">
        <f t="shared" ref="G627:AB627" si="1064">$C626*G626</f>
        <v>16664.834844000001</v>
      </c>
      <c r="H627" s="36">
        <f t="shared" si="1064"/>
        <v>8660.4653520000011</v>
      </c>
      <c r="I627" s="36">
        <f t="shared" si="1064"/>
        <v>27271.717914000001</v>
      </c>
      <c r="J627" s="36">
        <f t="shared" si="1064"/>
        <v>4461.4518480000006</v>
      </c>
      <c r="K627" s="36">
        <f t="shared" si="1064"/>
        <v>6823.3969439999992</v>
      </c>
      <c r="L627" s="36">
        <f t="shared" si="1064"/>
        <v>3542.9176439999997</v>
      </c>
      <c r="M627" s="36">
        <f t="shared" si="1064"/>
        <v>5533.0750859999998</v>
      </c>
      <c r="N627" s="36">
        <f t="shared" si="1064"/>
        <v>32476.745069999997</v>
      </c>
      <c r="O627" s="36">
        <f t="shared" si="1064"/>
        <v>4942.588812</v>
      </c>
      <c r="P627" s="36">
        <f t="shared" si="1064"/>
        <v>0</v>
      </c>
      <c r="Q627" s="36">
        <f t="shared" si="1064"/>
        <v>8266.807836</v>
      </c>
      <c r="R627" s="36">
        <f t="shared" si="1064"/>
        <v>3958.4450220000003</v>
      </c>
      <c r="S627" s="36">
        <f t="shared" si="1064"/>
        <v>896.66434200000003</v>
      </c>
      <c r="T627" s="36">
        <f t="shared" si="1064"/>
        <v>11022.410448000001</v>
      </c>
      <c r="U627" s="36">
        <f t="shared" si="1064"/>
        <v>3827.2258500000003</v>
      </c>
      <c r="V627" s="36">
        <f t="shared" si="1064"/>
        <v>7916.8900440000007</v>
      </c>
      <c r="W627" s="36">
        <f t="shared" si="1064"/>
        <v>10606.88307</v>
      </c>
      <c r="X627" s="36">
        <f t="shared" si="1064"/>
        <v>13471.834992</v>
      </c>
      <c r="Y627" s="36">
        <f t="shared" si="1064"/>
        <v>546.74654999999996</v>
      </c>
      <c r="Z627" s="36">
        <f t="shared" si="1064"/>
        <v>0</v>
      </c>
      <c r="AA627" s="36">
        <f t="shared" si="1064"/>
        <v>153.089034</v>
      </c>
      <c r="AB627" s="36">
        <f t="shared" si="1064"/>
        <v>0</v>
      </c>
      <c r="AC627" s="56"/>
      <c r="AD627" s="23"/>
    </row>
    <row r="628" spans="1:30" s="14" customFormat="1">
      <c r="A628" s="87" t="s">
        <v>280</v>
      </c>
      <c r="B628" s="26">
        <f>5248766.74/2</f>
        <v>2624383.37</v>
      </c>
      <c r="C628" s="130">
        <f t="shared" si="986"/>
        <v>218698.61</v>
      </c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39"/>
      <c r="Q628" s="40"/>
      <c r="R628" s="40"/>
      <c r="S628" s="40"/>
      <c r="T628" s="40"/>
      <c r="U628" s="40"/>
      <c r="V628" s="40"/>
      <c r="W628" s="40"/>
      <c r="X628" s="39">
        <v>0.96499999999999997</v>
      </c>
      <c r="Y628" s="39">
        <v>3.5000000000000003E-2</v>
      </c>
      <c r="Z628" s="39"/>
      <c r="AA628" s="39"/>
      <c r="AB628" s="39"/>
      <c r="AC628" s="56"/>
      <c r="AD628" s="23"/>
    </row>
    <row r="629" spans="1:30" s="14" customFormat="1">
      <c r="A629" s="82"/>
      <c r="B629" s="29"/>
      <c r="C629" s="130"/>
      <c r="D629" s="36">
        <f t="shared" ref="D629" si="1065">$C628*D628</f>
        <v>0</v>
      </c>
      <c r="E629" s="36">
        <f t="shared" ref="E629" si="1066">$C628*E628</f>
        <v>0</v>
      </c>
      <c r="F629" s="36">
        <f t="shared" ref="F629:AB629" si="1067">$C628*F628</f>
        <v>0</v>
      </c>
      <c r="G629" s="36">
        <f t="shared" si="1067"/>
        <v>0</v>
      </c>
      <c r="H629" s="36">
        <f t="shared" si="1067"/>
        <v>0</v>
      </c>
      <c r="I629" s="36">
        <f t="shared" si="1067"/>
        <v>0</v>
      </c>
      <c r="J629" s="36">
        <f t="shared" si="1067"/>
        <v>0</v>
      </c>
      <c r="K629" s="36">
        <f t="shared" si="1067"/>
        <v>0</v>
      </c>
      <c r="L629" s="36">
        <f t="shared" si="1067"/>
        <v>0</v>
      </c>
      <c r="M629" s="36">
        <f t="shared" si="1067"/>
        <v>0</v>
      </c>
      <c r="N629" s="36">
        <f t="shared" si="1067"/>
        <v>0</v>
      </c>
      <c r="O629" s="36">
        <f t="shared" si="1067"/>
        <v>0</v>
      </c>
      <c r="P629" s="36">
        <f t="shared" si="1067"/>
        <v>0</v>
      </c>
      <c r="Q629" s="36">
        <f t="shared" si="1067"/>
        <v>0</v>
      </c>
      <c r="R629" s="36">
        <f t="shared" si="1067"/>
        <v>0</v>
      </c>
      <c r="S629" s="36">
        <f t="shared" si="1067"/>
        <v>0</v>
      </c>
      <c r="T629" s="36">
        <f t="shared" si="1067"/>
        <v>0</v>
      </c>
      <c r="U629" s="36">
        <f t="shared" si="1067"/>
        <v>0</v>
      </c>
      <c r="V629" s="36">
        <f t="shared" si="1067"/>
        <v>0</v>
      </c>
      <c r="W629" s="36">
        <f t="shared" si="1067"/>
        <v>0</v>
      </c>
      <c r="X629" s="36">
        <f t="shared" si="1067"/>
        <v>211044.15864999997</v>
      </c>
      <c r="Y629" s="36">
        <f t="shared" si="1067"/>
        <v>7654.4513500000003</v>
      </c>
      <c r="Z629" s="36">
        <f t="shared" si="1067"/>
        <v>0</v>
      </c>
      <c r="AA629" s="36">
        <f t="shared" si="1067"/>
        <v>0</v>
      </c>
      <c r="AB629" s="36">
        <f t="shared" si="1067"/>
        <v>0</v>
      </c>
      <c r="AC629" s="56"/>
      <c r="AD629" s="23"/>
    </row>
    <row r="630" spans="1:30" s="14" customFormat="1">
      <c r="A630" s="87" t="s">
        <v>277</v>
      </c>
      <c r="B630" s="26">
        <f>5248766.74/2</f>
        <v>2624383.37</v>
      </c>
      <c r="C630" s="130">
        <f t="shared" si="986"/>
        <v>218698.61</v>
      </c>
      <c r="D630" s="35">
        <v>1.6299999999999999E-2</v>
      </c>
      <c r="E630" s="35">
        <v>0.14269999999999999</v>
      </c>
      <c r="F630" s="35">
        <v>5.8900000000000001E-2</v>
      </c>
      <c r="G630" s="35">
        <v>7.6200000000000004E-2</v>
      </c>
      <c r="H630" s="35">
        <v>3.9600000000000003E-2</v>
      </c>
      <c r="I630" s="35">
        <v>0.12470000000000001</v>
      </c>
      <c r="J630" s="35">
        <v>2.0400000000000001E-2</v>
      </c>
      <c r="K630" s="35">
        <v>3.1199999999999999E-2</v>
      </c>
      <c r="L630" s="35">
        <v>1.6199999999999999E-2</v>
      </c>
      <c r="M630" s="35">
        <v>2.53E-2</v>
      </c>
      <c r="N630" s="35">
        <v>0.14849999999999999</v>
      </c>
      <c r="O630" s="35">
        <v>2.2599999999999999E-2</v>
      </c>
      <c r="P630" s="35">
        <v>0</v>
      </c>
      <c r="Q630" s="35">
        <v>3.78E-2</v>
      </c>
      <c r="R630" s="35">
        <v>1.8100000000000002E-2</v>
      </c>
      <c r="S630" s="35">
        <v>4.1000000000000003E-3</v>
      </c>
      <c r="T630" s="35">
        <v>5.04E-2</v>
      </c>
      <c r="U630" s="35">
        <v>1.7500000000000002E-2</v>
      </c>
      <c r="V630" s="35">
        <v>3.6200000000000003E-2</v>
      </c>
      <c r="W630" s="35">
        <v>4.8500000000000001E-2</v>
      </c>
      <c r="X630" s="35">
        <v>6.1600000000000002E-2</v>
      </c>
      <c r="Y630" s="35">
        <v>2.5000000000000001E-3</v>
      </c>
      <c r="Z630" s="4">
        <v>0</v>
      </c>
      <c r="AA630" s="4">
        <v>6.9999999999999999E-4</v>
      </c>
      <c r="AB630" s="4">
        <v>0</v>
      </c>
      <c r="AC630" s="56"/>
      <c r="AD630" s="23"/>
    </row>
    <row r="631" spans="1:30" s="14" customFormat="1">
      <c r="A631" s="82"/>
      <c r="B631" s="29"/>
      <c r="C631" s="130"/>
      <c r="D631" s="36">
        <f>$C630*D630</f>
        <v>3564.7873429999995</v>
      </c>
      <c r="E631" s="36">
        <f t="shared" ref="E631" si="1068">$C630*E630</f>
        <v>31208.291646999998</v>
      </c>
      <c r="F631" s="36">
        <f t="shared" ref="F631" si="1069">$C630*F630</f>
        <v>12881.348129</v>
      </c>
      <c r="G631" s="36">
        <f t="shared" ref="G631:AB631" si="1070">$C630*G630</f>
        <v>16664.834082000001</v>
      </c>
      <c r="H631" s="36">
        <f t="shared" si="1070"/>
        <v>8660.4649559999998</v>
      </c>
      <c r="I631" s="36">
        <f t="shared" si="1070"/>
        <v>27271.716667000001</v>
      </c>
      <c r="J631" s="36">
        <f t="shared" si="1070"/>
        <v>4461.4516439999998</v>
      </c>
      <c r="K631" s="36">
        <f t="shared" si="1070"/>
        <v>6823.396631999999</v>
      </c>
      <c r="L631" s="36">
        <f t="shared" si="1070"/>
        <v>3542.9174819999994</v>
      </c>
      <c r="M631" s="36">
        <f t="shared" si="1070"/>
        <v>5533.0748329999997</v>
      </c>
      <c r="N631" s="36">
        <f t="shared" si="1070"/>
        <v>32476.743584999997</v>
      </c>
      <c r="O631" s="36">
        <f t="shared" si="1070"/>
        <v>4942.5885859999989</v>
      </c>
      <c r="P631" s="36">
        <f t="shared" si="1070"/>
        <v>0</v>
      </c>
      <c r="Q631" s="36">
        <f t="shared" si="1070"/>
        <v>8266.8074579999993</v>
      </c>
      <c r="R631" s="36">
        <f t="shared" si="1070"/>
        <v>3958.444841</v>
      </c>
      <c r="S631" s="36">
        <f t="shared" si="1070"/>
        <v>896.66430100000002</v>
      </c>
      <c r="T631" s="36">
        <f t="shared" si="1070"/>
        <v>11022.409943999999</v>
      </c>
      <c r="U631" s="36">
        <f t="shared" si="1070"/>
        <v>3827.2256750000001</v>
      </c>
      <c r="V631" s="36">
        <f t="shared" si="1070"/>
        <v>7916.889682</v>
      </c>
      <c r="W631" s="36">
        <f t="shared" si="1070"/>
        <v>10606.882584999999</v>
      </c>
      <c r="X631" s="36">
        <f t="shared" si="1070"/>
        <v>13471.834375999999</v>
      </c>
      <c r="Y631" s="36">
        <f t="shared" si="1070"/>
        <v>546.74652500000002</v>
      </c>
      <c r="Z631" s="36">
        <f t="shared" si="1070"/>
        <v>0</v>
      </c>
      <c r="AA631" s="36">
        <f t="shared" si="1070"/>
        <v>153.08902699999999</v>
      </c>
      <c r="AB631" s="36">
        <f t="shared" si="1070"/>
        <v>0</v>
      </c>
      <c r="AC631" s="56"/>
      <c r="AD631" s="23"/>
    </row>
    <row r="632" spans="1:30" s="14" customFormat="1">
      <c r="A632" s="78" t="s">
        <v>244</v>
      </c>
      <c r="B632" s="26">
        <f>104892.78/2</f>
        <v>52446.39</v>
      </c>
      <c r="C632" s="130">
        <f t="shared" si="986"/>
        <v>4370.53</v>
      </c>
      <c r="D632" s="35">
        <v>1.6299999999999999E-2</v>
      </c>
      <c r="E632" s="35">
        <v>0.14269999999999999</v>
      </c>
      <c r="F632" s="35">
        <v>5.8900000000000001E-2</v>
      </c>
      <c r="G632" s="35">
        <v>7.6200000000000004E-2</v>
      </c>
      <c r="H632" s="35">
        <v>3.9600000000000003E-2</v>
      </c>
      <c r="I632" s="35">
        <v>0.12470000000000001</v>
      </c>
      <c r="J632" s="35">
        <v>2.0400000000000001E-2</v>
      </c>
      <c r="K632" s="35">
        <v>3.1199999999999999E-2</v>
      </c>
      <c r="L632" s="35">
        <v>1.6199999999999999E-2</v>
      </c>
      <c r="M632" s="35">
        <v>2.53E-2</v>
      </c>
      <c r="N632" s="35">
        <v>0.14849999999999999</v>
      </c>
      <c r="O632" s="35">
        <v>2.2599999999999999E-2</v>
      </c>
      <c r="P632" s="35">
        <v>0</v>
      </c>
      <c r="Q632" s="35">
        <v>3.78E-2</v>
      </c>
      <c r="R632" s="35">
        <v>1.8100000000000002E-2</v>
      </c>
      <c r="S632" s="35">
        <v>4.1000000000000003E-3</v>
      </c>
      <c r="T632" s="35">
        <v>5.04E-2</v>
      </c>
      <c r="U632" s="35">
        <v>1.7500000000000002E-2</v>
      </c>
      <c r="V632" s="35">
        <v>3.6200000000000003E-2</v>
      </c>
      <c r="W632" s="35">
        <v>4.8500000000000001E-2</v>
      </c>
      <c r="X632" s="35">
        <v>6.1600000000000002E-2</v>
      </c>
      <c r="Y632" s="35">
        <v>2.5000000000000001E-3</v>
      </c>
      <c r="Z632" s="4">
        <v>0</v>
      </c>
      <c r="AA632" s="4">
        <v>6.9999999999999999E-4</v>
      </c>
      <c r="AB632" s="4">
        <v>0</v>
      </c>
      <c r="AC632" s="56"/>
      <c r="AD632" s="23"/>
    </row>
    <row r="633" spans="1:30" s="14" customFormat="1">
      <c r="A633" s="79"/>
      <c r="B633" s="27"/>
      <c r="C633" s="130"/>
      <c r="D633" s="5">
        <f t="shared" ref="D633" si="1071">$C632*D632</f>
        <v>71.239638999999983</v>
      </c>
      <c r="E633" s="5">
        <f t="shared" ref="E633" si="1072">$C632*E632</f>
        <v>623.67463099999998</v>
      </c>
      <c r="F633" s="5">
        <f t="shared" ref="F633:AB633" si="1073">$C632*F632</f>
        <v>257.424217</v>
      </c>
      <c r="G633" s="5">
        <f t="shared" si="1073"/>
        <v>333.03438599999998</v>
      </c>
      <c r="H633" s="5">
        <f t="shared" si="1073"/>
        <v>173.07298800000001</v>
      </c>
      <c r="I633" s="5">
        <f t="shared" si="1073"/>
        <v>545.00509099999999</v>
      </c>
      <c r="J633" s="5">
        <f t="shared" si="1073"/>
        <v>89.158811999999998</v>
      </c>
      <c r="K633" s="5">
        <f t="shared" si="1073"/>
        <v>136.360536</v>
      </c>
      <c r="L633" s="5">
        <f t="shared" si="1073"/>
        <v>70.802585999999991</v>
      </c>
      <c r="M633" s="5">
        <f t="shared" si="1073"/>
        <v>110.57440899999999</v>
      </c>
      <c r="N633" s="5">
        <f t="shared" si="1073"/>
        <v>649.02370499999995</v>
      </c>
      <c r="O633" s="5">
        <f t="shared" si="1073"/>
        <v>98.773977999999985</v>
      </c>
      <c r="P633" s="5">
        <f t="shared" si="1073"/>
        <v>0</v>
      </c>
      <c r="Q633" s="5">
        <f t="shared" si="1073"/>
        <v>165.20603399999999</v>
      </c>
      <c r="R633" s="5">
        <f t="shared" si="1073"/>
        <v>79.106593000000004</v>
      </c>
      <c r="S633" s="5">
        <f t="shared" si="1073"/>
        <v>17.919173000000001</v>
      </c>
      <c r="T633" s="5">
        <f t="shared" si="1073"/>
        <v>220.27471199999999</v>
      </c>
      <c r="U633" s="5">
        <f t="shared" si="1073"/>
        <v>76.484274999999997</v>
      </c>
      <c r="V633" s="5">
        <f t="shared" si="1073"/>
        <v>158.21318600000001</v>
      </c>
      <c r="W633" s="5">
        <f t="shared" si="1073"/>
        <v>211.97070499999998</v>
      </c>
      <c r="X633" s="5">
        <f t="shared" si="1073"/>
        <v>269.224648</v>
      </c>
      <c r="Y633" s="5">
        <f t="shared" si="1073"/>
        <v>10.926325</v>
      </c>
      <c r="Z633" s="5">
        <f t="shared" si="1073"/>
        <v>0</v>
      </c>
      <c r="AA633" s="5">
        <f t="shared" si="1073"/>
        <v>3.0593709999999996</v>
      </c>
      <c r="AB633" s="5">
        <f t="shared" si="1073"/>
        <v>0</v>
      </c>
      <c r="AC633" s="56"/>
      <c r="AD633" s="23"/>
    </row>
    <row r="634" spans="1:30" s="14" customFormat="1">
      <c r="A634" s="78" t="s">
        <v>611</v>
      </c>
      <c r="B634" s="26">
        <f>104892.78/2</f>
        <v>52446.39</v>
      </c>
      <c r="C634" s="130">
        <f t="shared" si="986"/>
        <v>4370.53</v>
      </c>
      <c r="D634" s="4">
        <v>3.56E-2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>
        <v>0.1331</v>
      </c>
      <c r="R634" s="4">
        <v>7.2999999999999995E-2</v>
      </c>
      <c r="S634" s="4">
        <v>1.4500000000000001E-2</v>
      </c>
      <c r="T634" s="4">
        <v>0.13569999999999999</v>
      </c>
      <c r="U634" s="4"/>
      <c r="V634" s="4"/>
      <c r="W634" s="4">
        <v>0.38900000000000001</v>
      </c>
      <c r="X634" s="4">
        <v>0.2114</v>
      </c>
      <c r="Y634" s="4">
        <v>7.7000000000000002E-3</v>
      </c>
      <c r="Z634" s="4"/>
      <c r="AA634" s="4"/>
      <c r="AB634" s="4"/>
      <c r="AC634" s="56"/>
      <c r="AD634" s="23"/>
    </row>
    <row r="635" spans="1:30" s="14" customFormat="1">
      <c r="A635" s="79"/>
      <c r="B635" s="9"/>
      <c r="C635" s="130"/>
      <c r="D635" s="5">
        <f t="shared" ref="D635" si="1074">$C634*D634</f>
        <v>155.590868</v>
      </c>
      <c r="E635" s="5">
        <f t="shared" ref="E635" si="1075">$C634*E634</f>
        <v>0</v>
      </c>
      <c r="F635" s="5">
        <f t="shared" ref="F635:O635" si="1076">$C634*F634</f>
        <v>0</v>
      </c>
      <c r="G635" s="5">
        <f t="shared" si="1076"/>
        <v>0</v>
      </c>
      <c r="H635" s="5">
        <f t="shared" si="1076"/>
        <v>0</v>
      </c>
      <c r="I635" s="5">
        <f t="shared" si="1076"/>
        <v>0</v>
      </c>
      <c r="J635" s="5">
        <f t="shared" si="1076"/>
        <v>0</v>
      </c>
      <c r="K635" s="5">
        <f t="shared" si="1076"/>
        <v>0</v>
      </c>
      <c r="L635" s="5">
        <f t="shared" si="1076"/>
        <v>0</v>
      </c>
      <c r="M635" s="5">
        <f t="shared" si="1076"/>
        <v>0</v>
      </c>
      <c r="N635" s="5">
        <f t="shared" si="1076"/>
        <v>0</v>
      </c>
      <c r="O635" s="5">
        <f t="shared" si="1076"/>
        <v>0</v>
      </c>
      <c r="P635" s="5">
        <f t="shared" ref="P635" si="1077">$C634*P634</f>
        <v>0</v>
      </c>
      <c r="Q635" s="5">
        <f t="shared" ref="Q635" si="1078">$C634*Q634</f>
        <v>581.71754299999998</v>
      </c>
      <c r="R635" s="5">
        <f t="shared" ref="R635:AB635" si="1079">$C634*R634</f>
        <v>319.04868999999997</v>
      </c>
      <c r="S635" s="5">
        <f t="shared" si="1079"/>
        <v>63.372684999999997</v>
      </c>
      <c r="T635" s="5">
        <f t="shared" si="1079"/>
        <v>593.08092099999988</v>
      </c>
      <c r="U635" s="5">
        <f t="shared" si="1079"/>
        <v>0</v>
      </c>
      <c r="V635" s="5">
        <f t="shared" si="1079"/>
        <v>0</v>
      </c>
      <c r="W635" s="5">
        <f t="shared" si="1079"/>
        <v>1700.13617</v>
      </c>
      <c r="X635" s="5">
        <f t="shared" si="1079"/>
        <v>923.93004199999996</v>
      </c>
      <c r="Y635" s="5">
        <f t="shared" si="1079"/>
        <v>33.653081</v>
      </c>
      <c r="Z635" s="5">
        <f t="shared" si="1079"/>
        <v>0</v>
      </c>
      <c r="AA635" s="5">
        <f t="shared" si="1079"/>
        <v>0</v>
      </c>
      <c r="AB635" s="5">
        <f t="shared" si="1079"/>
        <v>0</v>
      </c>
      <c r="AC635" s="56"/>
      <c r="AD635" s="23"/>
    </row>
    <row r="636" spans="1:30" s="14" customFormat="1">
      <c r="A636" s="87" t="s">
        <v>364</v>
      </c>
      <c r="B636" s="26">
        <v>2204000.4</v>
      </c>
      <c r="C636" s="130">
        <f t="shared" si="986"/>
        <v>183666.7</v>
      </c>
      <c r="D636" s="40"/>
      <c r="E636" s="40"/>
      <c r="F636" s="40"/>
      <c r="G636" s="51">
        <v>0.08</v>
      </c>
      <c r="H636" s="40"/>
      <c r="I636" s="40"/>
      <c r="J636" s="40"/>
      <c r="K636" s="40"/>
      <c r="L636" s="40"/>
      <c r="M636" s="40"/>
      <c r="N636" s="40"/>
      <c r="O636" s="40"/>
      <c r="P636" s="39">
        <v>0.20180000000000001</v>
      </c>
      <c r="Q636" s="40"/>
      <c r="R636" s="40"/>
      <c r="S636" s="40"/>
      <c r="T636" s="40"/>
      <c r="U636" s="39">
        <v>7.7700000000000005E-2</v>
      </c>
      <c r="V636" s="40"/>
      <c r="W636" s="40"/>
      <c r="X636" s="39">
        <v>0.6159</v>
      </c>
      <c r="Y636" s="39">
        <v>2.46E-2</v>
      </c>
      <c r="Z636" s="39"/>
      <c r="AA636" s="39"/>
      <c r="AB636" s="39"/>
      <c r="AC636" s="56"/>
      <c r="AD636" s="23"/>
    </row>
    <row r="637" spans="1:30" s="14" customFormat="1">
      <c r="A637" s="82"/>
      <c r="B637" s="29"/>
      <c r="C637" s="130"/>
      <c r="D637" s="36">
        <f t="shared" ref="D637" si="1080">$C636*D636</f>
        <v>0</v>
      </c>
      <c r="E637" s="36">
        <f t="shared" ref="E637" si="1081">$C636*E636</f>
        <v>0</v>
      </c>
      <c r="F637" s="36">
        <f t="shared" ref="F637:AB637" si="1082">$C636*F636</f>
        <v>0</v>
      </c>
      <c r="G637" s="36">
        <f t="shared" si="1082"/>
        <v>14693.336000000001</v>
      </c>
      <c r="H637" s="36">
        <f t="shared" si="1082"/>
        <v>0</v>
      </c>
      <c r="I637" s="36">
        <f t="shared" si="1082"/>
        <v>0</v>
      </c>
      <c r="J637" s="36">
        <f t="shared" si="1082"/>
        <v>0</v>
      </c>
      <c r="K637" s="36">
        <f t="shared" si="1082"/>
        <v>0</v>
      </c>
      <c r="L637" s="36">
        <f t="shared" si="1082"/>
        <v>0</v>
      </c>
      <c r="M637" s="36">
        <f t="shared" si="1082"/>
        <v>0</v>
      </c>
      <c r="N637" s="36">
        <f t="shared" si="1082"/>
        <v>0</v>
      </c>
      <c r="O637" s="36">
        <f t="shared" si="1082"/>
        <v>0</v>
      </c>
      <c r="P637" s="36">
        <f t="shared" si="1082"/>
        <v>37063.940060000001</v>
      </c>
      <c r="Q637" s="36">
        <f t="shared" si="1082"/>
        <v>0</v>
      </c>
      <c r="R637" s="36">
        <f t="shared" si="1082"/>
        <v>0</v>
      </c>
      <c r="S637" s="36">
        <f t="shared" si="1082"/>
        <v>0</v>
      </c>
      <c r="T637" s="36">
        <f t="shared" si="1082"/>
        <v>0</v>
      </c>
      <c r="U637" s="36">
        <f t="shared" si="1082"/>
        <v>14270.902590000002</v>
      </c>
      <c r="V637" s="36">
        <f t="shared" si="1082"/>
        <v>0</v>
      </c>
      <c r="W637" s="36">
        <f t="shared" si="1082"/>
        <v>0</v>
      </c>
      <c r="X637" s="36">
        <f t="shared" si="1082"/>
        <v>113120.32053000001</v>
      </c>
      <c r="Y637" s="36">
        <f t="shared" si="1082"/>
        <v>4518.20082</v>
      </c>
      <c r="Z637" s="36">
        <f t="shared" si="1082"/>
        <v>0</v>
      </c>
      <c r="AA637" s="36">
        <f t="shared" si="1082"/>
        <v>0</v>
      </c>
      <c r="AB637" s="36">
        <f t="shared" si="1082"/>
        <v>0</v>
      </c>
      <c r="AC637" s="56"/>
      <c r="AD637" s="23"/>
    </row>
    <row r="638" spans="1:30" s="14" customFormat="1">
      <c r="A638" s="87" t="s">
        <v>365</v>
      </c>
      <c r="B638" s="26">
        <v>15765182.82</v>
      </c>
      <c r="C638" s="130">
        <f t="shared" si="986"/>
        <v>1313765.24</v>
      </c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39"/>
      <c r="Q638" s="40"/>
      <c r="R638" s="40"/>
      <c r="S638" s="40"/>
      <c r="T638" s="40"/>
      <c r="U638" s="40"/>
      <c r="V638" s="40"/>
      <c r="W638" s="40"/>
      <c r="X638" s="39">
        <v>0.96160000000000001</v>
      </c>
      <c r="Y638" s="39">
        <v>3.8399999999999997E-2</v>
      </c>
      <c r="Z638" s="39"/>
      <c r="AA638" s="39"/>
      <c r="AB638" s="39"/>
      <c r="AC638" s="56"/>
      <c r="AD638" s="23"/>
    </row>
    <row r="639" spans="1:30" s="14" customFormat="1">
      <c r="A639" s="82"/>
      <c r="B639" s="29"/>
      <c r="C639" s="130"/>
      <c r="D639" s="36">
        <f t="shared" ref="D639" si="1083">$C638*D638</f>
        <v>0</v>
      </c>
      <c r="E639" s="36">
        <f t="shared" ref="E639" si="1084">$C638*E638</f>
        <v>0</v>
      </c>
      <c r="F639" s="36">
        <f t="shared" ref="F639:AB639" si="1085">$C638*F638</f>
        <v>0</v>
      </c>
      <c r="G639" s="36">
        <f t="shared" si="1085"/>
        <v>0</v>
      </c>
      <c r="H639" s="36">
        <f t="shared" si="1085"/>
        <v>0</v>
      </c>
      <c r="I639" s="36">
        <f t="shared" si="1085"/>
        <v>0</v>
      </c>
      <c r="J639" s="36">
        <f t="shared" si="1085"/>
        <v>0</v>
      </c>
      <c r="K639" s="36">
        <f t="shared" si="1085"/>
        <v>0</v>
      </c>
      <c r="L639" s="36">
        <f t="shared" si="1085"/>
        <v>0</v>
      </c>
      <c r="M639" s="36">
        <f t="shared" si="1085"/>
        <v>0</v>
      </c>
      <c r="N639" s="36">
        <f t="shared" si="1085"/>
        <v>0</v>
      </c>
      <c r="O639" s="36">
        <f t="shared" si="1085"/>
        <v>0</v>
      </c>
      <c r="P639" s="36">
        <f t="shared" si="1085"/>
        <v>0</v>
      </c>
      <c r="Q639" s="36">
        <f t="shared" si="1085"/>
        <v>0</v>
      </c>
      <c r="R639" s="36">
        <f t="shared" si="1085"/>
        <v>0</v>
      </c>
      <c r="S639" s="36">
        <f t="shared" si="1085"/>
        <v>0</v>
      </c>
      <c r="T639" s="36">
        <f t="shared" si="1085"/>
        <v>0</v>
      </c>
      <c r="U639" s="36">
        <f t="shared" si="1085"/>
        <v>0</v>
      </c>
      <c r="V639" s="36">
        <f t="shared" si="1085"/>
        <v>0</v>
      </c>
      <c r="W639" s="36">
        <f t="shared" si="1085"/>
        <v>0</v>
      </c>
      <c r="X639" s="36">
        <f t="shared" si="1085"/>
        <v>1263316.654784</v>
      </c>
      <c r="Y639" s="36">
        <f t="shared" si="1085"/>
        <v>50448.585215999992</v>
      </c>
      <c r="Z639" s="36">
        <f t="shared" si="1085"/>
        <v>0</v>
      </c>
      <c r="AA639" s="36">
        <f t="shared" si="1085"/>
        <v>0</v>
      </c>
      <c r="AB639" s="36">
        <f t="shared" si="1085"/>
        <v>0</v>
      </c>
      <c r="AC639" s="56"/>
      <c r="AD639" s="23"/>
    </row>
    <row r="640" spans="1:30" s="14" customFormat="1">
      <c r="A640" s="87" t="s">
        <v>372</v>
      </c>
      <c r="B640" s="26">
        <f>2231637.71/2</f>
        <v>1115818.855</v>
      </c>
      <c r="C640" s="130">
        <f t="shared" si="986"/>
        <v>92984.9</v>
      </c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39"/>
      <c r="Q640" s="40"/>
      <c r="R640" s="40"/>
      <c r="S640" s="40"/>
      <c r="T640" s="40"/>
      <c r="U640" s="40"/>
      <c r="V640" s="40"/>
      <c r="W640" s="40"/>
      <c r="X640" s="39">
        <v>1</v>
      </c>
      <c r="Y640" s="39"/>
      <c r="Z640" s="39"/>
      <c r="AA640" s="39"/>
      <c r="AB640" s="39"/>
      <c r="AC640" s="56"/>
      <c r="AD640" s="23"/>
    </row>
    <row r="641" spans="1:30" s="14" customFormat="1">
      <c r="A641" s="82"/>
      <c r="B641" s="29"/>
      <c r="C641" s="130"/>
      <c r="D641" s="36">
        <f t="shared" ref="D641" si="1086">$C640*D640</f>
        <v>0</v>
      </c>
      <c r="E641" s="36">
        <f t="shared" ref="E641" si="1087">$C640*E640</f>
        <v>0</v>
      </c>
      <c r="F641" s="36">
        <f t="shared" ref="F641:AB641" si="1088">$C640*F640</f>
        <v>0</v>
      </c>
      <c r="G641" s="36">
        <f t="shared" si="1088"/>
        <v>0</v>
      </c>
      <c r="H641" s="36">
        <f t="shared" si="1088"/>
        <v>0</v>
      </c>
      <c r="I641" s="36">
        <f t="shared" si="1088"/>
        <v>0</v>
      </c>
      <c r="J641" s="36">
        <f t="shared" si="1088"/>
        <v>0</v>
      </c>
      <c r="K641" s="36">
        <f t="shared" si="1088"/>
        <v>0</v>
      </c>
      <c r="L641" s="36">
        <f t="shared" si="1088"/>
        <v>0</v>
      </c>
      <c r="M641" s="36">
        <f t="shared" si="1088"/>
        <v>0</v>
      </c>
      <c r="N641" s="36">
        <f t="shared" si="1088"/>
        <v>0</v>
      </c>
      <c r="O641" s="36">
        <f t="shared" si="1088"/>
        <v>0</v>
      </c>
      <c r="P641" s="36">
        <f t="shared" si="1088"/>
        <v>0</v>
      </c>
      <c r="Q641" s="36">
        <f t="shared" si="1088"/>
        <v>0</v>
      </c>
      <c r="R641" s="36">
        <f t="shared" si="1088"/>
        <v>0</v>
      </c>
      <c r="S641" s="36">
        <f t="shared" si="1088"/>
        <v>0</v>
      </c>
      <c r="T641" s="36">
        <f t="shared" si="1088"/>
        <v>0</v>
      </c>
      <c r="U641" s="36">
        <f t="shared" si="1088"/>
        <v>0</v>
      </c>
      <c r="V641" s="36">
        <f t="shared" si="1088"/>
        <v>0</v>
      </c>
      <c r="W641" s="36">
        <f t="shared" si="1088"/>
        <v>0</v>
      </c>
      <c r="X641" s="36">
        <f t="shared" si="1088"/>
        <v>92984.9</v>
      </c>
      <c r="Y641" s="36">
        <f t="shared" si="1088"/>
        <v>0</v>
      </c>
      <c r="Z641" s="36">
        <f t="shared" si="1088"/>
        <v>0</v>
      </c>
      <c r="AA641" s="36">
        <f t="shared" si="1088"/>
        <v>0</v>
      </c>
      <c r="AB641" s="36">
        <f t="shared" si="1088"/>
        <v>0</v>
      </c>
      <c r="AC641" s="56"/>
      <c r="AD641" s="23"/>
    </row>
    <row r="642" spans="1:30" s="14" customFormat="1">
      <c r="A642" s="87" t="s">
        <v>366</v>
      </c>
      <c r="B642" s="26">
        <f>2231637.71/2</f>
        <v>1115818.855</v>
      </c>
      <c r="C642" s="130">
        <f t="shared" si="986"/>
        <v>92984.9</v>
      </c>
      <c r="D642" s="35">
        <v>1.6299999999999999E-2</v>
      </c>
      <c r="E642" s="35">
        <v>0.14269999999999999</v>
      </c>
      <c r="F642" s="35">
        <v>5.8900000000000001E-2</v>
      </c>
      <c r="G642" s="35">
        <v>7.6200000000000004E-2</v>
      </c>
      <c r="H642" s="35">
        <v>3.9600000000000003E-2</v>
      </c>
      <c r="I642" s="35">
        <v>0.12470000000000001</v>
      </c>
      <c r="J642" s="35">
        <v>2.0400000000000001E-2</v>
      </c>
      <c r="K642" s="35">
        <v>3.1199999999999999E-2</v>
      </c>
      <c r="L642" s="35">
        <v>1.6199999999999999E-2</v>
      </c>
      <c r="M642" s="35">
        <v>2.53E-2</v>
      </c>
      <c r="N642" s="35">
        <v>0.14849999999999999</v>
      </c>
      <c r="O642" s="35">
        <v>2.2599999999999999E-2</v>
      </c>
      <c r="P642" s="35">
        <v>0</v>
      </c>
      <c r="Q642" s="35">
        <v>3.78E-2</v>
      </c>
      <c r="R642" s="35">
        <v>1.8100000000000002E-2</v>
      </c>
      <c r="S642" s="35">
        <v>4.1000000000000003E-3</v>
      </c>
      <c r="T642" s="35">
        <v>5.04E-2</v>
      </c>
      <c r="U642" s="35">
        <v>1.7500000000000002E-2</v>
      </c>
      <c r="V642" s="35">
        <v>3.6200000000000003E-2</v>
      </c>
      <c r="W642" s="35">
        <v>4.8500000000000001E-2</v>
      </c>
      <c r="X642" s="35">
        <v>6.1600000000000002E-2</v>
      </c>
      <c r="Y642" s="35">
        <v>2.5000000000000001E-3</v>
      </c>
      <c r="Z642" s="4">
        <v>0</v>
      </c>
      <c r="AA642" s="4">
        <v>6.9999999999999999E-4</v>
      </c>
      <c r="AB642" s="4">
        <v>0</v>
      </c>
      <c r="AC642" s="56"/>
      <c r="AD642" s="23"/>
    </row>
    <row r="643" spans="1:30" s="14" customFormat="1">
      <c r="A643" s="82"/>
      <c r="B643" s="29"/>
      <c r="C643" s="130"/>
      <c r="D643" s="36">
        <f t="shared" ref="D643" si="1089">$C642*D642</f>
        <v>1515.6538699999999</v>
      </c>
      <c r="E643" s="36">
        <f t="shared" ref="E643" si="1090">$C642*E642</f>
        <v>13268.945229999999</v>
      </c>
      <c r="F643" s="36">
        <f t="shared" ref="F643:AB643" si="1091">$C642*F642</f>
        <v>5476.8106099999995</v>
      </c>
      <c r="G643" s="36">
        <f t="shared" si="1091"/>
        <v>7085.44938</v>
      </c>
      <c r="H643" s="36">
        <f t="shared" si="1091"/>
        <v>3682.2020400000001</v>
      </c>
      <c r="I643" s="36">
        <f t="shared" si="1091"/>
        <v>11595.21703</v>
      </c>
      <c r="J643" s="36">
        <f t="shared" si="1091"/>
        <v>1896.8919599999999</v>
      </c>
      <c r="K643" s="36">
        <f t="shared" si="1091"/>
        <v>2901.1288799999998</v>
      </c>
      <c r="L643" s="36">
        <f t="shared" si="1091"/>
        <v>1506.3553799999997</v>
      </c>
      <c r="M643" s="36">
        <f t="shared" si="1091"/>
        <v>2352.5179699999999</v>
      </c>
      <c r="N643" s="36">
        <f t="shared" si="1091"/>
        <v>13808.257649999998</v>
      </c>
      <c r="O643" s="36">
        <f t="shared" si="1091"/>
        <v>2101.4587399999996</v>
      </c>
      <c r="P643" s="36">
        <f t="shared" si="1091"/>
        <v>0</v>
      </c>
      <c r="Q643" s="36">
        <f t="shared" si="1091"/>
        <v>3514.8292199999996</v>
      </c>
      <c r="R643" s="36">
        <f t="shared" si="1091"/>
        <v>1683.0266900000001</v>
      </c>
      <c r="S643" s="36">
        <f t="shared" si="1091"/>
        <v>381.23809</v>
      </c>
      <c r="T643" s="36">
        <f t="shared" si="1091"/>
        <v>4686.4389599999995</v>
      </c>
      <c r="U643" s="36">
        <f t="shared" si="1091"/>
        <v>1627.2357500000001</v>
      </c>
      <c r="V643" s="36">
        <f t="shared" si="1091"/>
        <v>3366.0533800000003</v>
      </c>
      <c r="W643" s="36">
        <f t="shared" si="1091"/>
        <v>4509.7676499999998</v>
      </c>
      <c r="X643" s="36">
        <f t="shared" si="1091"/>
        <v>5727.8698399999994</v>
      </c>
      <c r="Y643" s="36">
        <f t="shared" si="1091"/>
        <v>232.46224999999998</v>
      </c>
      <c r="Z643" s="36">
        <f t="shared" si="1091"/>
        <v>0</v>
      </c>
      <c r="AA643" s="36">
        <f t="shared" si="1091"/>
        <v>65.089429999999993</v>
      </c>
      <c r="AB643" s="36">
        <f t="shared" si="1091"/>
        <v>0</v>
      </c>
      <c r="AC643" s="56"/>
      <c r="AD643" s="23"/>
    </row>
    <row r="644" spans="1:30" s="14" customFormat="1">
      <c r="A644" s="87" t="s">
        <v>503</v>
      </c>
      <c r="B644" s="26">
        <f>5879323.7/2</f>
        <v>2939661.85</v>
      </c>
      <c r="C644" s="130">
        <f t="shared" ref="C644:C700" si="1092">ROUND(B644/12,2)</f>
        <v>244971.82</v>
      </c>
      <c r="D644" s="35">
        <v>1.6299999999999999E-2</v>
      </c>
      <c r="E644" s="35">
        <v>0.14269999999999999</v>
      </c>
      <c r="F644" s="35">
        <v>5.8900000000000001E-2</v>
      </c>
      <c r="G644" s="35">
        <v>7.6200000000000004E-2</v>
      </c>
      <c r="H644" s="35">
        <v>3.9600000000000003E-2</v>
      </c>
      <c r="I644" s="35">
        <v>0.12470000000000001</v>
      </c>
      <c r="J644" s="35">
        <v>2.0400000000000001E-2</v>
      </c>
      <c r="K644" s="35">
        <v>3.1199999999999999E-2</v>
      </c>
      <c r="L644" s="35">
        <v>1.6199999999999999E-2</v>
      </c>
      <c r="M644" s="35">
        <v>2.53E-2</v>
      </c>
      <c r="N644" s="35">
        <v>0.14849999999999999</v>
      </c>
      <c r="O644" s="35">
        <v>2.2599999999999999E-2</v>
      </c>
      <c r="P644" s="35">
        <v>0</v>
      </c>
      <c r="Q644" s="35">
        <v>3.78E-2</v>
      </c>
      <c r="R644" s="35">
        <v>1.8100000000000002E-2</v>
      </c>
      <c r="S644" s="35">
        <v>4.1000000000000003E-3</v>
      </c>
      <c r="T644" s="35">
        <v>5.04E-2</v>
      </c>
      <c r="U644" s="35">
        <v>1.7500000000000002E-2</v>
      </c>
      <c r="V644" s="35">
        <v>3.6200000000000003E-2</v>
      </c>
      <c r="W644" s="35">
        <v>4.8500000000000001E-2</v>
      </c>
      <c r="X644" s="35">
        <v>6.1600000000000002E-2</v>
      </c>
      <c r="Y644" s="35">
        <v>2.5000000000000001E-3</v>
      </c>
      <c r="Z644" s="4">
        <v>0</v>
      </c>
      <c r="AA644" s="4">
        <v>6.9999999999999999E-4</v>
      </c>
      <c r="AB644" s="4">
        <v>0</v>
      </c>
      <c r="AC644" s="56"/>
      <c r="AD644" s="23"/>
    </row>
    <row r="645" spans="1:30" s="14" customFormat="1">
      <c r="A645" s="82"/>
      <c r="B645" s="29"/>
      <c r="C645" s="130"/>
      <c r="D645" s="36">
        <f t="shared" ref="D645" si="1093">$C644*D644</f>
        <v>3993.0406659999999</v>
      </c>
      <c r="E645" s="36">
        <f t="shared" ref="E645" si="1094">$C644*E644</f>
        <v>34957.478713999997</v>
      </c>
      <c r="F645" s="36">
        <f t="shared" ref="F645:AB645" si="1095">$C644*F644</f>
        <v>14428.840198</v>
      </c>
      <c r="G645" s="36">
        <f t="shared" si="1095"/>
        <v>18666.852684000001</v>
      </c>
      <c r="H645" s="36">
        <f t="shared" si="1095"/>
        <v>9700.8840720000007</v>
      </c>
      <c r="I645" s="36">
        <f t="shared" si="1095"/>
        <v>30547.985954000003</v>
      </c>
      <c r="J645" s="36">
        <f t="shared" si="1095"/>
        <v>4997.4251280000008</v>
      </c>
      <c r="K645" s="36">
        <f t="shared" si="1095"/>
        <v>7643.1207839999997</v>
      </c>
      <c r="L645" s="36">
        <f t="shared" si="1095"/>
        <v>3968.5434839999998</v>
      </c>
      <c r="M645" s="36">
        <f t="shared" si="1095"/>
        <v>6197.7870460000004</v>
      </c>
      <c r="N645" s="36">
        <f t="shared" si="1095"/>
        <v>36378.315269999999</v>
      </c>
      <c r="O645" s="36">
        <f t="shared" si="1095"/>
        <v>5536.3631319999995</v>
      </c>
      <c r="P645" s="36">
        <f t="shared" si="1095"/>
        <v>0</v>
      </c>
      <c r="Q645" s="36">
        <f t="shared" si="1095"/>
        <v>9259.9347959999996</v>
      </c>
      <c r="R645" s="36">
        <f t="shared" si="1095"/>
        <v>4433.9899420000002</v>
      </c>
      <c r="S645" s="36">
        <f t="shared" si="1095"/>
        <v>1004.3844620000001</v>
      </c>
      <c r="T645" s="36">
        <f t="shared" si="1095"/>
        <v>12346.579728000001</v>
      </c>
      <c r="U645" s="36">
        <f t="shared" si="1095"/>
        <v>4287.0068500000007</v>
      </c>
      <c r="V645" s="36">
        <f t="shared" si="1095"/>
        <v>8867.9798840000003</v>
      </c>
      <c r="W645" s="36">
        <f t="shared" si="1095"/>
        <v>11881.13327</v>
      </c>
      <c r="X645" s="36">
        <f t="shared" si="1095"/>
        <v>15090.264112000001</v>
      </c>
      <c r="Y645" s="36">
        <f t="shared" si="1095"/>
        <v>612.42955000000006</v>
      </c>
      <c r="Z645" s="36">
        <f t="shared" si="1095"/>
        <v>0</v>
      </c>
      <c r="AA645" s="36">
        <f t="shared" si="1095"/>
        <v>171.48027400000001</v>
      </c>
      <c r="AB645" s="36">
        <f t="shared" si="1095"/>
        <v>0</v>
      </c>
      <c r="AC645" s="56"/>
      <c r="AD645" s="23"/>
    </row>
    <row r="646" spans="1:30" s="14" customFormat="1">
      <c r="A646" s="87" t="s">
        <v>504</v>
      </c>
      <c r="B646" s="26">
        <f>5879323.7/2</f>
        <v>2939661.85</v>
      </c>
      <c r="C646" s="130">
        <f t="shared" si="1092"/>
        <v>244971.82</v>
      </c>
      <c r="D646" s="35">
        <v>8.0100000000000005E-2</v>
      </c>
      <c r="E646" s="35"/>
      <c r="F646" s="35"/>
      <c r="G646" s="35"/>
      <c r="H646" s="35">
        <v>1.9400000000000001E-2</v>
      </c>
      <c r="I646" s="35"/>
      <c r="J646" s="35"/>
      <c r="K646" s="35"/>
      <c r="L646" s="35"/>
      <c r="M646" s="35">
        <v>0.12989999999999999</v>
      </c>
      <c r="N646" s="35"/>
      <c r="O646" s="35"/>
      <c r="P646" s="35"/>
      <c r="Q646" s="35">
        <v>0.13850000000000001</v>
      </c>
      <c r="R646" s="35">
        <v>5.8799999999999998E-2</v>
      </c>
      <c r="S646" s="35">
        <v>3.4500000000000003E-2</v>
      </c>
      <c r="T646" s="35">
        <v>0.1762</v>
      </c>
      <c r="U646" s="35"/>
      <c r="V646" s="35"/>
      <c r="W646" s="35">
        <v>0.14849999999999999</v>
      </c>
      <c r="X646" s="35">
        <v>0.2079</v>
      </c>
      <c r="Y646" s="35">
        <v>6.1999999999999998E-3</v>
      </c>
      <c r="Z646" s="4"/>
      <c r="AA646" s="4"/>
      <c r="AB646" s="4"/>
      <c r="AC646" s="56"/>
      <c r="AD646" s="23"/>
    </row>
    <row r="647" spans="1:30" s="14" customFormat="1">
      <c r="A647" s="82"/>
      <c r="B647" s="29"/>
      <c r="C647" s="130"/>
      <c r="D647" s="36">
        <f t="shared" ref="D647" si="1096">$C646*D646</f>
        <v>19622.242782000001</v>
      </c>
      <c r="E647" s="36">
        <f t="shared" ref="E647" si="1097">$C646*E646</f>
        <v>0</v>
      </c>
      <c r="F647" s="36">
        <f t="shared" ref="F647:AB647" si="1098">$C646*F646</f>
        <v>0</v>
      </c>
      <c r="G647" s="36">
        <f t="shared" si="1098"/>
        <v>0</v>
      </c>
      <c r="H647" s="36">
        <f t="shared" si="1098"/>
        <v>4752.4533080000001</v>
      </c>
      <c r="I647" s="36">
        <f t="shared" si="1098"/>
        <v>0</v>
      </c>
      <c r="J647" s="36">
        <f t="shared" si="1098"/>
        <v>0</v>
      </c>
      <c r="K647" s="36">
        <f t="shared" si="1098"/>
        <v>0</v>
      </c>
      <c r="L647" s="36">
        <f t="shared" si="1098"/>
        <v>0</v>
      </c>
      <c r="M647" s="36">
        <f t="shared" si="1098"/>
        <v>31821.839418</v>
      </c>
      <c r="N647" s="36">
        <f t="shared" si="1098"/>
        <v>0</v>
      </c>
      <c r="O647" s="36">
        <f t="shared" si="1098"/>
        <v>0</v>
      </c>
      <c r="P647" s="36">
        <f t="shared" si="1098"/>
        <v>0</v>
      </c>
      <c r="Q647" s="36">
        <f t="shared" si="1098"/>
        <v>33928.597070000003</v>
      </c>
      <c r="R647" s="36">
        <f t="shared" si="1098"/>
        <v>14404.343016000001</v>
      </c>
      <c r="S647" s="36">
        <f t="shared" si="1098"/>
        <v>8451.5277900000001</v>
      </c>
      <c r="T647" s="36">
        <f t="shared" si="1098"/>
        <v>43164.034683999998</v>
      </c>
      <c r="U647" s="36">
        <f t="shared" si="1098"/>
        <v>0</v>
      </c>
      <c r="V647" s="36">
        <f t="shared" si="1098"/>
        <v>0</v>
      </c>
      <c r="W647" s="36">
        <f t="shared" si="1098"/>
        <v>36378.315269999999</v>
      </c>
      <c r="X647" s="36">
        <f t="shared" si="1098"/>
        <v>50929.641378</v>
      </c>
      <c r="Y647" s="36">
        <f t="shared" si="1098"/>
        <v>1518.825284</v>
      </c>
      <c r="Z647" s="36">
        <f t="shared" si="1098"/>
        <v>0</v>
      </c>
      <c r="AA647" s="36">
        <f t="shared" si="1098"/>
        <v>0</v>
      </c>
      <c r="AB647" s="36">
        <f t="shared" si="1098"/>
        <v>0</v>
      </c>
      <c r="AC647" s="56"/>
      <c r="AD647" s="23"/>
    </row>
    <row r="648" spans="1:30" s="14" customFormat="1">
      <c r="A648" s="87" t="s">
        <v>505</v>
      </c>
      <c r="B648" s="26">
        <v>7430637.8099999996</v>
      </c>
      <c r="C648" s="130">
        <f t="shared" si="1092"/>
        <v>619219.81999999995</v>
      </c>
      <c r="D648" s="35">
        <v>8.0100000000000005E-2</v>
      </c>
      <c r="E648" s="35"/>
      <c r="F648" s="35"/>
      <c r="G648" s="35"/>
      <c r="H648" s="35">
        <v>1.9400000000000001E-2</v>
      </c>
      <c r="I648" s="35"/>
      <c r="J648" s="35"/>
      <c r="K648" s="35"/>
      <c r="L648" s="35"/>
      <c r="M648" s="35">
        <v>0.12989999999999999</v>
      </c>
      <c r="N648" s="35"/>
      <c r="O648" s="35"/>
      <c r="P648" s="35"/>
      <c r="Q648" s="35">
        <v>0.13850000000000001</v>
      </c>
      <c r="R648" s="35">
        <v>5.8799999999999998E-2</v>
      </c>
      <c r="S648" s="35">
        <v>3.4500000000000003E-2</v>
      </c>
      <c r="T648" s="35">
        <v>0.1762</v>
      </c>
      <c r="U648" s="35"/>
      <c r="V648" s="35"/>
      <c r="W648" s="35">
        <v>0.14849999999999999</v>
      </c>
      <c r="X648" s="35">
        <v>0.2079</v>
      </c>
      <c r="Y648" s="35">
        <v>6.1999999999999998E-3</v>
      </c>
      <c r="Z648" s="4"/>
      <c r="AA648" s="4"/>
      <c r="AB648" s="4"/>
      <c r="AC648" s="56"/>
      <c r="AD648" s="23"/>
    </row>
    <row r="649" spans="1:30" s="14" customFormat="1">
      <c r="A649" s="82"/>
      <c r="B649" s="29"/>
      <c r="C649" s="130"/>
      <c r="D649" s="36">
        <f t="shared" ref="D649" si="1099">$C648*D648</f>
        <v>49599.507581999998</v>
      </c>
      <c r="E649" s="36">
        <f t="shared" ref="E649" si="1100">$C648*E648</f>
        <v>0</v>
      </c>
      <c r="F649" s="36">
        <f t="shared" ref="F649:AB649" si="1101">$C648*F648</f>
        <v>0</v>
      </c>
      <c r="G649" s="36">
        <f t="shared" si="1101"/>
        <v>0</v>
      </c>
      <c r="H649" s="36">
        <f t="shared" si="1101"/>
        <v>12012.864507999999</v>
      </c>
      <c r="I649" s="36">
        <f t="shared" si="1101"/>
        <v>0</v>
      </c>
      <c r="J649" s="36">
        <f t="shared" si="1101"/>
        <v>0</v>
      </c>
      <c r="K649" s="36">
        <f t="shared" si="1101"/>
        <v>0</v>
      </c>
      <c r="L649" s="36">
        <f t="shared" si="1101"/>
        <v>0</v>
      </c>
      <c r="M649" s="36">
        <f t="shared" si="1101"/>
        <v>80436.654617999986</v>
      </c>
      <c r="N649" s="36">
        <f t="shared" si="1101"/>
        <v>0</v>
      </c>
      <c r="O649" s="36">
        <f t="shared" si="1101"/>
        <v>0</v>
      </c>
      <c r="P649" s="36">
        <f t="shared" si="1101"/>
        <v>0</v>
      </c>
      <c r="Q649" s="36">
        <f t="shared" si="1101"/>
        <v>85761.945070000002</v>
      </c>
      <c r="R649" s="36">
        <f t="shared" si="1101"/>
        <v>36410.125415999995</v>
      </c>
      <c r="S649" s="36">
        <f t="shared" si="1101"/>
        <v>21363.083790000001</v>
      </c>
      <c r="T649" s="36">
        <f t="shared" si="1101"/>
        <v>109106.53228399999</v>
      </c>
      <c r="U649" s="36">
        <f t="shared" si="1101"/>
        <v>0</v>
      </c>
      <c r="V649" s="36">
        <f t="shared" si="1101"/>
        <v>0</v>
      </c>
      <c r="W649" s="36">
        <f t="shared" si="1101"/>
        <v>91954.143269999986</v>
      </c>
      <c r="X649" s="36">
        <f t="shared" si="1101"/>
        <v>128735.80057799999</v>
      </c>
      <c r="Y649" s="36">
        <f t="shared" si="1101"/>
        <v>3839.1628839999994</v>
      </c>
      <c r="Z649" s="36">
        <f t="shared" si="1101"/>
        <v>0</v>
      </c>
      <c r="AA649" s="36">
        <f t="shared" si="1101"/>
        <v>0</v>
      </c>
      <c r="AB649" s="36">
        <f t="shared" si="1101"/>
        <v>0</v>
      </c>
      <c r="AC649" s="56"/>
      <c r="AD649" s="23"/>
    </row>
    <row r="650" spans="1:30" s="14" customFormat="1">
      <c r="A650" s="87" t="s">
        <v>497</v>
      </c>
      <c r="B650" s="26">
        <v>10267277.9</v>
      </c>
      <c r="C650" s="130">
        <f>ROUND(B650/12,2)</f>
        <v>855606.49</v>
      </c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>
        <v>0.96499999999999997</v>
      </c>
      <c r="Y650" s="35">
        <v>3.5000000000000003E-2</v>
      </c>
      <c r="Z650" s="4"/>
      <c r="AA650" s="4"/>
      <c r="AB650" s="4"/>
      <c r="AC650" s="56"/>
      <c r="AD650" s="23"/>
    </row>
    <row r="651" spans="1:30" s="14" customFormat="1">
      <c r="A651" s="82"/>
      <c r="B651" s="29"/>
      <c r="C651" s="130"/>
      <c r="D651" s="36">
        <f t="shared" ref="D651" si="1102">$C650*D650</f>
        <v>0</v>
      </c>
      <c r="E651" s="36">
        <f t="shared" ref="E651" si="1103">$C650*E650</f>
        <v>0</v>
      </c>
      <c r="F651" s="36">
        <f t="shared" ref="F651:AB651" si="1104">$C650*F650</f>
        <v>0</v>
      </c>
      <c r="G651" s="36">
        <f t="shared" si="1104"/>
        <v>0</v>
      </c>
      <c r="H651" s="36">
        <f t="shared" si="1104"/>
        <v>0</v>
      </c>
      <c r="I651" s="36">
        <f t="shared" si="1104"/>
        <v>0</v>
      </c>
      <c r="J651" s="36">
        <f t="shared" si="1104"/>
        <v>0</v>
      </c>
      <c r="K651" s="36">
        <f t="shared" si="1104"/>
        <v>0</v>
      </c>
      <c r="L651" s="36">
        <f t="shared" si="1104"/>
        <v>0</v>
      </c>
      <c r="M651" s="36">
        <f t="shared" si="1104"/>
        <v>0</v>
      </c>
      <c r="N651" s="36">
        <f t="shared" si="1104"/>
        <v>0</v>
      </c>
      <c r="O651" s="36">
        <f t="shared" si="1104"/>
        <v>0</v>
      </c>
      <c r="P651" s="36">
        <f t="shared" si="1104"/>
        <v>0</v>
      </c>
      <c r="Q651" s="36">
        <f t="shared" si="1104"/>
        <v>0</v>
      </c>
      <c r="R651" s="36">
        <f t="shared" si="1104"/>
        <v>0</v>
      </c>
      <c r="S651" s="36">
        <f t="shared" si="1104"/>
        <v>0</v>
      </c>
      <c r="T651" s="36">
        <f t="shared" si="1104"/>
        <v>0</v>
      </c>
      <c r="U651" s="36">
        <f t="shared" si="1104"/>
        <v>0</v>
      </c>
      <c r="V651" s="36">
        <f t="shared" si="1104"/>
        <v>0</v>
      </c>
      <c r="W651" s="36">
        <f t="shared" si="1104"/>
        <v>0</v>
      </c>
      <c r="X651" s="36">
        <f t="shared" si="1104"/>
        <v>825660.26284999994</v>
      </c>
      <c r="Y651" s="36">
        <f t="shared" si="1104"/>
        <v>29946.227150000002</v>
      </c>
      <c r="Z651" s="36">
        <f t="shared" si="1104"/>
        <v>0</v>
      </c>
      <c r="AA651" s="36">
        <f t="shared" si="1104"/>
        <v>0</v>
      </c>
      <c r="AB651" s="36">
        <f t="shared" si="1104"/>
        <v>0</v>
      </c>
      <c r="AC651" s="56"/>
      <c r="AD651" s="23"/>
    </row>
    <row r="652" spans="1:30" s="14" customFormat="1">
      <c r="A652" s="87" t="s">
        <v>523</v>
      </c>
      <c r="B652" s="26">
        <v>8637242.6400000006</v>
      </c>
      <c r="C652" s="130">
        <f t="shared" si="1092"/>
        <v>719770.22</v>
      </c>
      <c r="D652" s="35">
        <v>0.1905</v>
      </c>
      <c r="E652" s="35"/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>
        <v>0.4042</v>
      </c>
      <c r="U652" s="35"/>
      <c r="V652" s="35"/>
      <c r="W652" s="35"/>
      <c r="X652" s="35">
        <v>0.3911</v>
      </c>
      <c r="Y652" s="35">
        <v>1.4200000000000001E-2</v>
      </c>
      <c r="Z652" s="37"/>
      <c r="AA652" s="37"/>
      <c r="AB652" s="37"/>
      <c r="AC652" s="56"/>
      <c r="AD652" s="23"/>
    </row>
    <row r="653" spans="1:30" s="14" customFormat="1">
      <c r="A653" s="82"/>
      <c r="B653" s="29"/>
      <c r="C653" s="130"/>
      <c r="D653" s="36">
        <f t="shared" ref="D653" si="1105">$C652*D652</f>
        <v>137116.22691</v>
      </c>
      <c r="E653" s="36">
        <f t="shared" ref="E653" si="1106">$C652*E652</f>
        <v>0</v>
      </c>
      <c r="F653" s="36">
        <f t="shared" ref="F653:AB653" si="1107">$C652*F652</f>
        <v>0</v>
      </c>
      <c r="G653" s="36">
        <f t="shared" si="1107"/>
        <v>0</v>
      </c>
      <c r="H653" s="36">
        <f t="shared" si="1107"/>
        <v>0</v>
      </c>
      <c r="I653" s="36">
        <f t="shared" si="1107"/>
        <v>0</v>
      </c>
      <c r="J653" s="36">
        <f t="shared" si="1107"/>
        <v>0</v>
      </c>
      <c r="K653" s="36">
        <f t="shared" si="1107"/>
        <v>0</v>
      </c>
      <c r="L653" s="36">
        <f t="shared" si="1107"/>
        <v>0</v>
      </c>
      <c r="M653" s="36">
        <f t="shared" si="1107"/>
        <v>0</v>
      </c>
      <c r="N653" s="36">
        <f t="shared" si="1107"/>
        <v>0</v>
      </c>
      <c r="O653" s="36">
        <f t="shared" si="1107"/>
        <v>0</v>
      </c>
      <c r="P653" s="36">
        <f t="shared" si="1107"/>
        <v>0</v>
      </c>
      <c r="Q653" s="36">
        <f t="shared" si="1107"/>
        <v>0</v>
      </c>
      <c r="R653" s="36">
        <f t="shared" si="1107"/>
        <v>0</v>
      </c>
      <c r="S653" s="36">
        <f t="shared" si="1107"/>
        <v>0</v>
      </c>
      <c r="T653" s="36">
        <f t="shared" si="1107"/>
        <v>290931.12292399997</v>
      </c>
      <c r="U653" s="36">
        <f t="shared" si="1107"/>
        <v>0</v>
      </c>
      <c r="V653" s="36">
        <f t="shared" si="1107"/>
        <v>0</v>
      </c>
      <c r="W653" s="36">
        <f t="shared" si="1107"/>
        <v>0</v>
      </c>
      <c r="X653" s="36">
        <f t="shared" si="1107"/>
        <v>281502.133042</v>
      </c>
      <c r="Y653" s="36">
        <f t="shared" si="1107"/>
        <v>10220.737123999999</v>
      </c>
      <c r="Z653" s="36">
        <f t="shared" si="1107"/>
        <v>0</v>
      </c>
      <c r="AA653" s="36">
        <f t="shared" si="1107"/>
        <v>0</v>
      </c>
      <c r="AB653" s="36">
        <f t="shared" si="1107"/>
        <v>0</v>
      </c>
      <c r="AC653" s="56"/>
      <c r="AD653" s="23"/>
    </row>
    <row r="654" spans="1:30" s="14" customFormat="1">
      <c r="A654" s="87" t="s">
        <v>524</v>
      </c>
      <c r="B654" s="26">
        <v>5536317.0999999996</v>
      </c>
      <c r="C654" s="130">
        <f>ROUND(B654/12,2)</f>
        <v>461359.76</v>
      </c>
      <c r="D654" s="35">
        <v>0.1754</v>
      </c>
      <c r="E654" s="35"/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>
        <v>0.372</v>
      </c>
      <c r="U654" s="35"/>
      <c r="V654" s="35"/>
      <c r="W654" s="35"/>
      <c r="X654" s="35">
        <v>0.43680000000000002</v>
      </c>
      <c r="Y654" s="35">
        <v>1.5800000000000002E-2</v>
      </c>
      <c r="Z654" s="37"/>
      <c r="AA654" s="37"/>
      <c r="AB654" s="37"/>
      <c r="AC654" s="56"/>
      <c r="AD654" s="23"/>
    </row>
    <row r="655" spans="1:30" s="14" customFormat="1">
      <c r="A655" s="82"/>
      <c r="B655" s="29"/>
      <c r="C655" s="130"/>
      <c r="D655" s="36">
        <f t="shared" ref="D655" si="1108">$C654*D654</f>
        <v>80922.501904000004</v>
      </c>
      <c r="E655" s="36">
        <f t="shared" ref="E655" si="1109">$C654*E654</f>
        <v>0</v>
      </c>
      <c r="F655" s="36">
        <f t="shared" ref="F655:AB655" si="1110">$C654*F654</f>
        <v>0</v>
      </c>
      <c r="G655" s="36">
        <f t="shared" si="1110"/>
        <v>0</v>
      </c>
      <c r="H655" s="36">
        <f t="shared" si="1110"/>
        <v>0</v>
      </c>
      <c r="I655" s="36">
        <f t="shared" si="1110"/>
        <v>0</v>
      </c>
      <c r="J655" s="36">
        <f t="shared" si="1110"/>
        <v>0</v>
      </c>
      <c r="K655" s="36">
        <f t="shared" si="1110"/>
        <v>0</v>
      </c>
      <c r="L655" s="36">
        <f t="shared" si="1110"/>
        <v>0</v>
      </c>
      <c r="M655" s="36">
        <f t="shared" si="1110"/>
        <v>0</v>
      </c>
      <c r="N655" s="36">
        <f t="shared" si="1110"/>
        <v>0</v>
      </c>
      <c r="O655" s="36">
        <f t="shared" si="1110"/>
        <v>0</v>
      </c>
      <c r="P655" s="36">
        <f t="shared" si="1110"/>
        <v>0</v>
      </c>
      <c r="Q655" s="36">
        <f t="shared" si="1110"/>
        <v>0</v>
      </c>
      <c r="R655" s="36">
        <f t="shared" si="1110"/>
        <v>0</v>
      </c>
      <c r="S655" s="36">
        <f t="shared" si="1110"/>
        <v>0</v>
      </c>
      <c r="T655" s="36">
        <f t="shared" si="1110"/>
        <v>171625.83072</v>
      </c>
      <c r="U655" s="36">
        <f t="shared" si="1110"/>
        <v>0</v>
      </c>
      <c r="V655" s="36">
        <f t="shared" si="1110"/>
        <v>0</v>
      </c>
      <c r="W655" s="36">
        <f t="shared" si="1110"/>
        <v>0</v>
      </c>
      <c r="X655" s="36">
        <f t="shared" si="1110"/>
        <v>201521.94316800003</v>
      </c>
      <c r="Y655" s="36">
        <f t="shared" si="1110"/>
        <v>7289.4842080000008</v>
      </c>
      <c r="Z655" s="36">
        <f t="shared" si="1110"/>
        <v>0</v>
      </c>
      <c r="AA655" s="36">
        <f t="shared" si="1110"/>
        <v>0</v>
      </c>
      <c r="AB655" s="36">
        <f t="shared" si="1110"/>
        <v>0</v>
      </c>
      <c r="AC655" s="56"/>
      <c r="AD655" s="23"/>
    </row>
    <row r="656" spans="1:30" s="14" customFormat="1">
      <c r="A656" s="87" t="s">
        <v>525</v>
      </c>
      <c r="B656" s="26">
        <v>918350.92</v>
      </c>
      <c r="C656" s="130">
        <f>ROUND(B656/12,2)</f>
        <v>76529.240000000005</v>
      </c>
      <c r="D656" s="35">
        <v>0.1623</v>
      </c>
      <c r="E656" s="35"/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>
        <v>0.34429999999999999</v>
      </c>
      <c r="U656" s="35"/>
      <c r="V656" s="35"/>
      <c r="W656" s="35"/>
      <c r="X656" s="35">
        <v>0.47610000000000002</v>
      </c>
      <c r="Y656" s="35">
        <v>1.7299999999999999E-2</v>
      </c>
      <c r="Z656" s="37"/>
      <c r="AA656" s="37"/>
      <c r="AB656" s="37"/>
      <c r="AC656" s="56"/>
      <c r="AD656" s="23"/>
    </row>
    <row r="657" spans="1:30" s="14" customFormat="1">
      <c r="A657" s="82"/>
      <c r="B657" s="29"/>
      <c r="C657" s="130"/>
      <c r="D657" s="36">
        <f t="shared" ref="D657" si="1111">$C656*D656</f>
        <v>12420.695652</v>
      </c>
      <c r="E657" s="36">
        <f t="shared" ref="E657" si="1112">$C656*E656</f>
        <v>0</v>
      </c>
      <c r="F657" s="36">
        <f t="shared" ref="F657:AB657" si="1113">$C656*F656</f>
        <v>0</v>
      </c>
      <c r="G657" s="36">
        <f t="shared" si="1113"/>
        <v>0</v>
      </c>
      <c r="H657" s="36">
        <f t="shared" si="1113"/>
        <v>0</v>
      </c>
      <c r="I657" s="36">
        <f t="shared" si="1113"/>
        <v>0</v>
      </c>
      <c r="J657" s="36">
        <f t="shared" si="1113"/>
        <v>0</v>
      </c>
      <c r="K657" s="36">
        <f t="shared" si="1113"/>
        <v>0</v>
      </c>
      <c r="L657" s="36">
        <f t="shared" si="1113"/>
        <v>0</v>
      </c>
      <c r="M657" s="36">
        <f t="shared" si="1113"/>
        <v>0</v>
      </c>
      <c r="N657" s="36">
        <f t="shared" si="1113"/>
        <v>0</v>
      </c>
      <c r="O657" s="36">
        <f t="shared" si="1113"/>
        <v>0</v>
      </c>
      <c r="P657" s="36">
        <f t="shared" si="1113"/>
        <v>0</v>
      </c>
      <c r="Q657" s="36">
        <f t="shared" si="1113"/>
        <v>0</v>
      </c>
      <c r="R657" s="36">
        <f t="shared" si="1113"/>
        <v>0</v>
      </c>
      <c r="S657" s="36">
        <f t="shared" si="1113"/>
        <v>0</v>
      </c>
      <c r="T657" s="36">
        <f t="shared" si="1113"/>
        <v>26349.017332000003</v>
      </c>
      <c r="U657" s="36">
        <f t="shared" si="1113"/>
        <v>0</v>
      </c>
      <c r="V657" s="36">
        <f t="shared" si="1113"/>
        <v>0</v>
      </c>
      <c r="W657" s="36">
        <f t="shared" si="1113"/>
        <v>0</v>
      </c>
      <c r="X657" s="36">
        <f t="shared" si="1113"/>
        <v>36435.571164000001</v>
      </c>
      <c r="Y657" s="36">
        <f t="shared" si="1113"/>
        <v>1323.955852</v>
      </c>
      <c r="Z657" s="36">
        <f t="shared" si="1113"/>
        <v>0</v>
      </c>
      <c r="AA657" s="36">
        <f t="shared" si="1113"/>
        <v>0</v>
      </c>
      <c r="AB657" s="36">
        <f t="shared" si="1113"/>
        <v>0</v>
      </c>
      <c r="AC657" s="56"/>
      <c r="AD657" s="23"/>
    </row>
    <row r="658" spans="1:30" s="14" customFormat="1">
      <c r="A658" s="87" t="s">
        <v>526</v>
      </c>
      <c r="B658" s="26">
        <v>8190044.1200000001</v>
      </c>
      <c r="C658" s="130">
        <f>ROUND(B658/12,2)</f>
        <v>682503.68000000005</v>
      </c>
      <c r="D658" s="35">
        <v>1.1999999999999999E-3</v>
      </c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>
        <v>8.7800000000000003E-2</v>
      </c>
      <c r="T658" s="35">
        <v>2.5999999999999999E-3</v>
      </c>
      <c r="U658" s="35"/>
      <c r="V658" s="35"/>
      <c r="W658" s="35"/>
      <c r="X658" s="35">
        <v>0.87660000000000005</v>
      </c>
      <c r="Y658" s="35">
        <v>3.1800000000000002E-2</v>
      </c>
      <c r="Z658" s="37"/>
      <c r="AA658" s="37"/>
      <c r="AB658" s="37"/>
      <c r="AC658" s="56"/>
      <c r="AD658" s="23"/>
    </row>
    <row r="659" spans="1:30" s="14" customFormat="1">
      <c r="A659" s="82"/>
      <c r="B659" s="29"/>
      <c r="C659" s="130"/>
      <c r="D659" s="36">
        <f t="shared" ref="D659" si="1114">$C658*D658</f>
        <v>819.00441599999999</v>
      </c>
      <c r="E659" s="36">
        <f t="shared" ref="E659" si="1115">$C658*E658</f>
        <v>0</v>
      </c>
      <c r="F659" s="36">
        <f t="shared" ref="F659:AB659" si="1116">$C658*F658</f>
        <v>0</v>
      </c>
      <c r="G659" s="36">
        <f t="shared" si="1116"/>
        <v>0</v>
      </c>
      <c r="H659" s="36">
        <f t="shared" si="1116"/>
        <v>0</v>
      </c>
      <c r="I659" s="36">
        <f t="shared" si="1116"/>
        <v>0</v>
      </c>
      <c r="J659" s="36">
        <f t="shared" si="1116"/>
        <v>0</v>
      </c>
      <c r="K659" s="36">
        <f t="shared" si="1116"/>
        <v>0</v>
      </c>
      <c r="L659" s="36">
        <f t="shared" si="1116"/>
        <v>0</v>
      </c>
      <c r="M659" s="36">
        <f t="shared" si="1116"/>
        <v>0</v>
      </c>
      <c r="N659" s="36">
        <f t="shared" si="1116"/>
        <v>0</v>
      </c>
      <c r="O659" s="36">
        <f t="shared" si="1116"/>
        <v>0</v>
      </c>
      <c r="P659" s="36">
        <f t="shared" si="1116"/>
        <v>0</v>
      </c>
      <c r="Q659" s="36">
        <f t="shared" si="1116"/>
        <v>0</v>
      </c>
      <c r="R659" s="36">
        <f t="shared" si="1116"/>
        <v>0</v>
      </c>
      <c r="S659" s="36">
        <f t="shared" si="1116"/>
        <v>59923.82310400001</v>
      </c>
      <c r="T659" s="36">
        <f t="shared" si="1116"/>
        <v>1774.5095679999999</v>
      </c>
      <c r="U659" s="36">
        <f t="shared" si="1116"/>
        <v>0</v>
      </c>
      <c r="V659" s="36">
        <f t="shared" si="1116"/>
        <v>0</v>
      </c>
      <c r="W659" s="36">
        <f t="shared" si="1116"/>
        <v>0</v>
      </c>
      <c r="X659" s="36">
        <f t="shared" si="1116"/>
        <v>598282.7258880001</v>
      </c>
      <c r="Y659" s="36">
        <f t="shared" si="1116"/>
        <v>21703.617024000003</v>
      </c>
      <c r="Z659" s="36">
        <f t="shared" si="1116"/>
        <v>0</v>
      </c>
      <c r="AA659" s="36">
        <f t="shared" si="1116"/>
        <v>0</v>
      </c>
      <c r="AB659" s="36">
        <f t="shared" si="1116"/>
        <v>0</v>
      </c>
      <c r="AC659" s="56"/>
      <c r="AD659" s="23"/>
    </row>
    <row r="660" spans="1:30" s="14" customFormat="1">
      <c r="A660" s="87" t="s">
        <v>527</v>
      </c>
      <c r="B660" s="26">
        <v>5331431.9400000004</v>
      </c>
      <c r="C660" s="130">
        <f>ROUND(B660/12,2)</f>
        <v>444286</v>
      </c>
      <c r="D660" s="35">
        <v>3.1600000000000003E-2</v>
      </c>
      <c r="E660" s="35"/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>
        <v>0.89270000000000005</v>
      </c>
      <c r="T660" s="35">
        <v>6.9199999999999998E-2</v>
      </c>
      <c r="U660" s="35"/>
      <c r="V660" s="35"/>
      <c r="W660" s="35"/>
      <c r="X660" s="35">
        <v>6.3E-3</v>
      </c>
      <c r="Y660" s="35">
        <v>2.0000000000000001E-4</v>
      </c>
      <c r="Z660" s="37"/>
      <c r="AA660" s="37"/>
      <c r="AB660" s="37"/>
      <c r="AC660" s="56"/>
      <c r="AD660" s="23"/>
    </row>
    <row r="661" spans="1:30" s="14" customFormat="1">
      <c r="A661" s="82"/>
      <c r="B661" s="29"/>
      <c r="C661" s="130"/>
      <c r="D661" s="36">
        <f t="shared" ref="D661" si="1117">$C660*D660</f>
        <v>14039.437600000001</v>
      </c>
      <c r="E661" s="36">
        <f t="shared" ref="E661" si="1118">$C660*E660</f>
        <v>0</v>
      </c>
      <c r="F661" s="36">
        <f t="shared" ref="F661:AB661" si="1119">$C660*F660</f>
        <v>0</v>
      </c>
      <c r="G661" s="36">
        <f t="shared" si="1119"/>
        <v>0</v>
      </c>
      <c r="H661" s="36">
        <f t="shared" si="1119"/>
        <v>0</v>
      </c>
      <c r="I661" s="36">
        <f t="shared" si="1119"/>
        <v>0</v>
      </c>
      <c r="J661" s="36">
        <f t="shared" si="1119"/>
        <v>0</v>
      </c>
      <c r="K661" s="36">
        <f t="shared" si="1119"/>
        <v>0</v>
      </c>
      <c r="L661" s="36">
        <f t="shared" si="1119"/>
        <v>0</v>
      </c>
      <c r="M661" s="36">
        <f t="shared" si="1119"/>
        <v>0</v>
      </c>
      <c r="N661" s="36">
        <f t="shared" si="1119"/>
        <v>0</v>
      </c>
      <c r="O661" s="36">
        <f t="shared" si="1119"/>
        <v>0</v>
      </c>
      <c r="P661" s="36">
        <f t="shared" si="1119"/>
        <v>0</v>
      </c>
      <c r="Q661" s="36">
        <f t="shared" si="1119"/>
        <v>0</v>
      </c>
      <c r="R661" s="36">
        <f t="shared" si="1119"/>
        <v>0</v>
      </c>
      <c r="S661" s="36">
        <f t="shared" si="1119"/>
        <v>396614.11220000003</v>
      </c>
      <c r="T661" s="36">
        <f t="shared" si="1119"/>
        <v>30744.591199999999</v>
      </c>
      <c r="U661" s="36">
        <f t="shared" si="1119"/>
        <v>0</v>
      </c>
      <c r="V661" s="36">
        <f t="shared" si="1119"/>
        <v>0</v>
      </c>
      <c r="W661" s="36">
        <f t="shared" si="1119"/>
        <v>0</v>
      </c>
      <c r="X661" s="36">
        <f t="shared" si="1119"/>
        <v>2799.0018</v>
      </c>
      <c r="Y661" s="36">
        <f t="shared" si="1119"/>
        <v>88.857200000000006</v>
      </c>
      <c r="Z661" s="36">
        <f t="shared" si="1119"/>
        <v>0</v>
      </c>
      <c r="AA661" s="36">
        <f t="shared" si="1119"/>
        <v>0</v>
      </c>
      <c r="AB661" s="36">
        <f t="shared" si="1119"/>
        <v>0</v>
      </c>
      <c r="AC661" s="56"/>
      <c r="AD661" s="23"/>
    </row>
    <row r="662" spans="1:30" s="14" customFormat="1">
      <c r="A662" s="87" t="s">
        <v>528</v>
      </c>
      <c r="B662" s="26">
        <v>10243015.51</v>
      </c>
      <c r="C662" s="130">
        <f>ROUND(B662/12,2)</f>
        <v>853584.63</v>
      </c>
      <c r="D662" s="35">
        <v>9.5999999999999992E-3</v>
      </c>
      <c r="E662" s="35"/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>
        <v>0.16420000000000001</v>
      </c>
      <c r="T662" s="35">
        <v>2.1000000000000001E-2</v>
      </c>
      <c r="U662" s="35"/>
      <c r="V662" s="35"/>
      <c r="W662" s="35"/>
      <c r="X662" s="35">
        <v>0.77700000000000002</v>
      </c>
      <c r="Y662" s="35">
        <v>2.8199999999999999E-2</v>
      </c>
      <c r="Z662" s="37"/>
      <c r="AA662" s="37"/>
      <c r="AB662" s="37"/>
      <c r="AC662" s="56"/>
      <c r="AD662" s="23"/>
    </row>
    <row r="663" spans="1:30" s="14" customFormat="1">
      <c r="A663" s="82"/>
      <c r="B663" s="29"/>
      <c r="C663" s="130"/>
      <c r="D663" s="36">
        <f t="shared" ref="D663" si="1120">$C662*D662</f>
        <v>8194.4124479999991</v>
      </c>
      <c r="E663" s="36">
        <f t="shared" ref="E663" si="1121">$C662*E662</f>
        <v>0</v>
      </c>
      <c r="F663" s="36">
        <f t="shared" ref="F663:AB663" si="1122">$C662*F662</f>
        <v>0</v>
      </c>
      <c r="G663" s="36">
        <f t="shared" si="1122"/>
        <v>0</v>
      </c>
      <c r="H663" s="36">
        <f t="shared" si="1122"/>
        <v>0</v>
      </c>
      <c r="I663" s="36">
        <f t="shared" si="1122"/>
        <v>0</v>
      </c>
      <c r="J663" s="36">
        <f t="shared" si="1122"/>
        <v>0</v>
      </c>
      <c r="K663" s="36">
        <f t="shared" si="1122"/>
        <v>0</v>
      </c>
      <c r="L663" s="36">
        <f t="shared" si="1122"/>
        <v>0</v>
      </c>
      <c r="M663" s="36">
        <f t="shared" si="1122"/>
        <v>0</v>
      </c>
      <c r="N663" s="36">
        <f t="shared" si="1122"/>
        <v>0</v>
      </c>
      <c r="O663" s="36">
        <f t="shared" si="1122"/>
        <v>0</v>
      </c>
      <c r="P663" s="36">
        <f t="shared" si="1122"/>
        <v>0</v>
      </c>
      <c r="Q663" s="36">
        <f t="shared" si="1122"/>
        <v>0</v>
      </c>
      <c r="R663" s="36">
        <f t="shared" si="1122"/>
        <v>0</v>
      </c>
      <c r="S663" s="36">
        <f t="shared" si="1122"/>
        <v>140158.596246</v>
      </c>
      <c r="T663" s="36">
        <f t="shared" si="1122"/>
        <v>17925.27723</v>
      </c>
      <c r="U663" s="36">
        <f t="shared" si="1122"/>
        <v>0</v>
      </c>
      <c r="V663" s="36">
        <f t="shared" si="1122"/>
        <v>0</v>
      </c>
      <c r="W663" s="36">
        <f t="shared" si="1122"/>
        <v>0</v>
      </c>
      <c r="X663" s="36">
        <f t="shared" si="1122"/>
        <v>663235.25751000002</v>
      </c>
      <c r="Y663" s="36">
        <f t="shared" si="1122"/>
        <v>24071.086565999998</v>
      </c>
      <c r="Z663" s="36">
        <f t="shared" si="1122"/>
        <v>0</v>
      </c>
      <c r="AA663" s="36">
        <f t="shared" si="1122"/>
        <v>0</v>
      </c>
      <c r="AB663" s="36">
        <f t="shared" si="1122"/>
        <v>0</v>
      </c>
      <c r="AC663" s="56"/>
      <c r="AD663" s="23"/>
    </row>
    <row r="664" spans="1:30" s="14" customFormat="1">
      <c r="A664" s="87" t="s">
        <v>529</v>
      </c>
      <c r="B664" s="26">
        <v>3931480.75</v>
      </c>
      <c r="C664" s="130">
        <f>ROUND(B664/12,2)</f>
        <v>327623.40000000002</v>
      </c>
      <c r="D664" s="35">
        <v>1E-4</v>
      </c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>
        <v>8.7300000000000003E-2</v>
      </c>
      <c r="T664" s="35"/>
      <c r="U664" s="35"/>
      <c r="V664" s="35"/>
      <c r="W664" s="35"/>
      <c r="X664" s="35">
        <v>0.88060000000000005</v>
      </c>
      <c r="Y664" s="35">
        <v>3.2000000000000001E-2</v>
      </c>
      <c r="Z664" s="37"/>
      <c r="AA664" s="37"/>
      <c r="AB664" s="37"/>
      <c r="AC664" s="56"/>
      <c r="AD664" s="23"/>
    </row>
    <row r="665" spans="1:30" s="14" customFormat="1">
      <c r="A665" s="82"/>
      <c r="B665" s="29"/>
      <c r="C665" s="130"/>
      <c r="D665" s="36">
        <f t="shared" ref="D665" si="1123">$C664*D664</f>
        <v>32.762340000000002</v>
      </c>
      <c r="E665" s="36">
        <f t="shared" ref="E665" si="1124">$C664*E664</f>
        <v>0</v>
      </c>
      <c r="F665" s="36">
        <f t="shared" ref="F665:AB665" si="1125">$C664*F664</f>
        <v>0</v>
      </c>
      <c r="G665" s="36">
        <f t="shared" si="1125"/>
        <v>0</v>
      </c>
      <c r="H665" s="36">
        <f t="shared" si="1125"/>
        <v>0</v>
      </c>
      <c r="I665" s="36">
        <f t="shared" si="1125"/>
        <v>0</v>
      </c>
      <c r="J665" s="36">
        <f t="shared" si="1125"/>
        <v>0</v>
      </c>
      <c r="K665" s="36">
        <f t="shared" si="1125"/>
        <v>0</v>
      </c>
      <c r="L665" s="36">
        <f t="shared" si="1125"/>
        <v>0</v>
      </c>
      <c r="M665" s="36">
        <f t="shared" si="1125"/>
        <v>0</v>
      </c>
      <c r="N665" s="36">
        <f t="shared" si="1125"/>
        <v>0</v>
      </c>
      <c r="O665" s="36">
        <f t="shared" si="1125"/>
        <v>0</v>
      </c>
      <c r="P665" s="36">
        <f t="shared" si="1125"/>
        <v>0</v>
      </c>
      <c r="Q665" s="36">
        <f t="shared" si="1125"/>
        <v>0</v>
      </c>
      <c r="R665" s="36">
        <f t="shared" si="1125"/>
        <v>0</v>
      </c>
      <c r="S665" s="36">
        <f t="shared" si="1125"/>
        <v>28601.522820000002</v>
      </c>
      <c r="T665" s="36">
        <f t="shared" si="1125"/>
        <v>0</v>
      </c>
      <c r="U665" s="36">
        <f t="shared" si="1125"/>
        <v>0</v>
      </c>
      <c r="V665" s="36">
        <f t="shared" si="1125"/>
        <v>0</v>
      </c>
      <c r="W665" s="36">
        <f t="shared" si="1125"/>
        <v>0</v>
      </c>
      <c r="X665" s="36">
        <f t="shared" si="1125"/>
        <v>288505.16604000004</v>
      </c>
      <c r="Y665" s="36">
        <f t="shared" si="1125"/>
        <v>10483.9488</v>
      </c>
      <c r="Z665" s="36">
        <f t="shared" si="1125"/>
        <v>0</v>
      </c>
      <c r="AA665" s="36">
        <f t="shared" si="1125"/>
        <v>0</v>
      </c>
      <c r="AB665" s="36">
        <f t="shared" si="1125"/>
        <v>0</v>
      </c>
      <c r="AC665" s="56"/>
      <c r="AD665" s="23"/>
    </row>
    <row r="666" spans="1:30" s="14" customFormat="1">
      <c r="A666" s="87" t="s">
        <v>530</v>
      </c>
      <c r="B666" s="26">
        <v>1397493.39</v>
      </c>
      <c r="C666" s="130">
        <f>ROUND(B666/12,2)</f>
        <v>116457.78</v>
      </c>
      <c r="D666" s="35">
        <v>0</v>
      </c>
      <c r="E666" s="35"/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>
        <v>7.0199999999999999E-2</v>
      </c>
      <c r="T666" s="35"/>
      <c r="U666" s="35"/>
      <c r="V666" s="35"/>
      <c r="W666" s="35"/>
      <c r="X666" s="35">
        <v>0.8972</v>
      </c>
      <c r="Y666" s="35">
        <v>3.2599999999999997E-2</v>
      </c>
      <c r="Z666" s="37"/>
      <c r="AA666" s="37"/>
      <c r="AB666" s="37"/>
      <c r="AC666" s="56"/>
      <c r="AD666" s="23"/>
    </row>
    <row r="667" spans="1:30" s="14" customFormat="1">
      <c r="A667" s="82"/>
      <c r="B667" s="29"/>
      <c r="C667" s="130"/>
      <c r="D667" s="36">
        <f t="shared" ref="D667" si="1126">$C666*D666</f>
        <v>0</v>
      </c>
      <c r="E667" s="36">
        <f t="shared" ref="E667" si="1127">$C666*E666</f>
        <v>0</v>
      </c>
      <c r="F667" s="36">
        <f t="shared" ref="F667:AB667" si="1128">$C666*F666</f>
        <v>0</v>
      </c>
      <c r="G667" s="36">
        <f t="shared" si="1128"/>
        <v>0</v>
      </c>
      <c r="H667" s="36">
        <f t="shared" si="1128"/>
        <v>0</v>
      </c>
      <c r="I667" s="36">
        <f t="shared" si="1128"/>
        <v>0</v>
      </c>
      <c r="J667" s="36">
        <f t="shared" si="1128"/>
        <v>0</v>
      </c>
      <c r="K667" s="36">
        <f t="shared" si="1128"/>
        <v>0</v>
      </c>
      <c r="L667" s="36">
        <f t="shared" si="1128"/>
        <v>0</v>
      </c>
      <c r="M667" s="36">
        <f t="shared" si="1128"/>
        <v>0</v>
      </c>
      <c r="N667" s="36">
        <f t="shared" si="1128"/>
        <v>0</v>
      </c>
      <c r="O667" s="36">
        <f t="shared" si="1128"/>
        <v>0</v>
      </c>
      <c r="P667" s="36">
        <f t="shared" si="1128"/>
        <v>0</v>
      </c>
      <c r="Q667" s="36">
        <f t="shared" si="1128"/>
        <v>0</v>
      </c>
      <c r="R667" s="36">
        <f t="shared" si="1128"/>
        <v>0</v>
      </c>
      <c r="S667" s="36">
        <f t="shared" si="1128"/>
        <v>8175.3361559999994</v>
      </c>
      <c r="T667" s="36">
        <f t="shared" si="1128"/>
        <v>0</v>
      </c>
      <c r="U667" s="36">
        <f t="shared" si="1128"/>
        <v>0</v>
      </c>
      <c r="V667" s="36">
        <f t="shared" si="1128"/>
        <v>0</v>
      </c>
      <c r="W667" s="36">
        <f t="shared" si="1128"/>
        <v>0</v>
      </c>
      <c r="X667" s="36">
        <f t="shared" si="1128"/>
        <v>104485.920216</v>
      </c>
      <c r="Y667" s="36">
        <f t="shared" si="1128"/>
        <v>3796.5236279999995</v>
      </c>
      <c r="Z667" s="36">
        <f t="shared" si="1128"/>
        <v>0</v>
      </c>
      <c r="AA667" s="36">
        <f t="shared" si="1128"/>
        <v>0</v>
      </c>
      <c r="AB667" s="36">
        <f t="shared" si="1128"/>
        <v>0</v>
      </c>
      <c r="AC667" s="56"/>
      <c r="AD667" s="23"/>
    </row>
    <row r="668" spans="1:30" s="14" customFormat="1">
      <c r="A668" s="87" t="s">
        <v>531</v>
      </c>
      <c r="B668" s="26">
        <v>1043769.56</v>
      </c>
      <c r="C668" s="130">
        <f t="shared" si="1092"/>
        <v>86980.800000000003</v>
      </c>
      <c r="D668" s="35">
        <v>0</v>
      </c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>
        <v>6.6000000000000003E-2</v>
      </c>
      <c r="T668" s="35"/>
      <c r="U668" s="35"/>
      <c r="V668" s="35"/>
      <c r="W668" s="35"/>
      <c r="X668" s="35">
        <v>0.90129999999999999</v>
      </c>
      <c r="Y668" s="35">
        <v>3.27E-2</v>
      </c>
      <c r="Z668" s="37"/>
      <c r="AA668" s="37"/>
      <c r="AB668" s="37"/>
      <c r="AC668" s="56"/>
      <c r="AD668" s="23"/>
    </row>
    <row r="669" spans="1:30" s="14" customFormat="1">
      <c r="A669" s="82"/>
      <c r="B669" s="29"/>
      <c r="C669" s="130"/>
      <c r="D669" s="36">
        <f t="shared" ref="D669" si="1129">$C668*D668</f>
        <v>0</v>
      </c>
      <c r="E669" s="36">
        <f t="shared" ref="E669" si="1130">$C668*E668</f>
        <v>0</v>
      </c>
      <c r="F669" s="36">
        <f t="shared" ref="F669:AB669" si="1131">$C668*F668</f>
        <v>0</v>
      </c>
      <c r="G669" s="36">
        <f t="shared" si="1131"/>
        <v>0</v>
      </c>
      <c r="H669" s="36">
        <f t="shared" si="1131"/>
        <v>0</v>
      </c>
      <c r="I669" s="36">
        <f t="shared" si="1131"/>
        <v>0</v>
      </c>
      <c r="J669" s="36">
        <f t="shared" si="1131"/>
        <v>0</v>
      </c>
      <c r="K669" s="36">
        <f t="shared" si="1131"/>
        <v>0</v>
      </c>
      <c r="L669" s="36">
        <f t="shared" si="1131"/>
        <v>0</v>
      </c>
      <c r="M669" s="36">
        <f t="shared" si="1131"/>
        <v>0</v>
      </c>
      <c r="N669" s="36">
        <f t="shared" si="1131"/>
        <v>0</v>
      </c>
      <c r="O669" s="36">
        <f t="shared" si="1131"/>
        <v>0</v>
      </c>
      <c r="P669" s="36">
        <f t="shared" si="1131"/>
        <v>0</v>
      </c>
      <c r="Q669" s="36">
        <f t="shared" si="1131"/>
        <v>0</v>
      </c>
      <c r="R669" s="36">
        <f t="shared" si="1131"/>
        <v>0</v>
      </c>
      <c r="S669" s="36">
        <f t="shared" si="1131"/>
        <v>5740.7328000000007</v>
      </c>
      <c r="T669" s="36">
        <f t="shared" si="1131"/>
        <v>0</v>
      </c>
      <c r="U669" s="36">
        <f t="shared" si="1131"/>
        <v>0</v>
      </c>
      <c r="V669" s="36">
        <f t="shared" si="1131"/>
        <v>0</v>
      </c>
      <c r="W669" s="36">
        <f t="shared" si="1131"/>
        <v>0</v>
      </c>
      <c r="X669" s="36">
        <f t="shared" si="1131"/>
        <v>78395.795039999997</v>
      </c>
      <c r="Y669" s="36">
        <f t="shared" si="1131"/>
        <v>2844.27216</v>
      </c>
      <c r="Z669" s="36">
        <f t="shared" si="1131"/>
        <v>0</v>
      </c>
      <c r="AA669" s="36">
        <f t="shared" si="1131"/>
        <v>0</v>
      </c>
      <c r="AB669" s="36">
        <f t="shared" si="1131"/>
        <v>0</v>
      </c>
      <c r="AC669" s="56"/>
      <c r="AD669" s="23"/>
    </row>
    <row r="670" spans="1:30" s="14" customFormat="1">
      <c r="A670" s="87" t="s">
        <v>532</v>
      </c>
      <c r="B670" s="26">
        <v>3841519.22</v>
      </c>
      <c r="C670" s="130">
        <f>ROUND(B670/12,2)</f>
        <v>320126.59999999998</v>
      </c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>
        <v>5.62E-2</v>
      </c>
      <c r="T670" s="35"/>
      <c r="U670" s="35"/>
      <c r="V670" s="35"/>
      <c r="W670" s="35"/>
      <c r="X670" s="35">
        <v>0.91069999999999995</v>
      </c>
      <c r="Y670" s="35">
        <v>3.3099999999999997E-2</v>
      </c>
      <c r="Z670" s="37"/>
      <c r="AA670" s="37"/>
      <c r="AB670" s="37"/>
      <c r="AC670" s="56"/>
      <c r="AD670" s="23"/>
    </row>
    <row r="671" spans="1:30" s="14" customFormat="1">
      <c r="A671" s="82"/>
      <c r="B671" s="29"/>
      <c r="C671" s="130"/>
      <c r="D671" s="36">
        <f t="shared" ref="D671" si="1132">$C670*D670</f>
        <v>0</v>
      </c>
      <c r="E671" s="36">
        <f t="shared" ref="E671" si="1133">$C670*E670</f>
        <v>0</v>
      </c>
      <c r="F671" s="36">
        <f t="shared" ref="F671:AB671" si="1134">$C670*F670</f>
        <v>0</v>
      </c>
      <c r="G671" s="36">
        <f t="shared" si="1134"/>
        <v>0</v>
      </c>
      <c r="H671" s="36">
        <f t="shared" si="1134"/>
        <v>0</v>
      </c>
      <c r="I671" s="36">
        <f t="shared" si="1134"/>
        <v>0</v>
      </c>
      <c r="J671" s="36">
        <f t="shared" si="1134"/>
        <v>0</v>
      </c>
      <c r="K671" s="36">
        <f t="shared" si="1134"/>
        <v>0</v>
      </c>
      <c r="L671" s="36">
        <f t="shared" si="1134"/>
        <v>0</v>
      </c>
      <c r="M671" s="36">
        <f t="shared" si="1134"/>
        <v>0</v>
      </c>
      <c r="N671" s="36">
        <f t="shared" si="1134"/>
        <v>0</v>
      </c>
      <c r="O671" s="36">
        <f t="shared" si="1134"/>
        <v>0</v>
      </c>
      <c r="P671" s="36">
        <f t="shared" si="1134"/>
        <v>0</v>
      </c>
      <c r="Q671" s="36">
        <f t="shared" si="1134"/>
        <v>0</v>
      </c>
      <c r="R671" s="36">
        <f t="shared" si="1134"/>
        <v>0</v>
      </c>
      <c r="S671" s="36">
        <f t="shared" si="1134"/>
        <v>17991.11492</v>
      </c>
      <c r="T671" s="36">
        <f t="shared" si="1134"/>
        <v>0</v>
      </c>
      <c r="U671" s="36">
        <f t="shared" si="1134"/>
        <v>0</v>
      </c>
      <c r="V671" s="36">
        <f t="shared" si="1134"/>
        <v>0</v>
      </c>
      <c r="W671" s="36">
        <f t="shared" si="1134"/>
        <v>0</v>
      </c>
      <c r="X671" s="36">
        <f t="shared" si="1134"/>
        <v>291539.29461999994</v>
      </c>
      <c r="Y671" s="36">
        <f t="shared" si="1134"/>
        <v>10596.190459999998</v>
      </c>
      <c r="Z671" s="36">
        <f t="shared" si="1134"/>
        <v>0</v>
      </c>
      <c r="AA671" s="36">
        <f t="shared" si="1134"/>
        <v>0</v>
      </c>
      <c r="AB671" s="36">
        <f t="shared" si="1134"/>
        <v>0</v>
      </c>
      <c r="AC671" s="56"/>
      <c r="AD671" s="23"/>
    </row>
    <row r="672" spans="1:30" s="14" customFormat="1">
      <c r="A672" s="87" t="s">
        <v>533</v>
      </c>
      <c r="B672" s="26">
        <v>4060222.57</v>
      </c>
      <c r="C672" s="130">
        <f t="shared" si="1092"/>
        <v>338351.88</v>
      </c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>
        <v>4.53E-2</v>
      </c>
      <c r="T672" s="35"/>
      <c r="U672" s="35"/>
      <c r="V672" s="35"/>
      <c r="W672" s="35"/>
      <c r="X672" s="35">
        <v>0.92130000000000001</v>
      </c>
      <c r="Y672" s="35">
        <v>3.3399999999999999E-2</v>
      </c>
      <c r="Z672" s="37"/>
      <c r="AA672" s="37"/>
      <c r="AB672" s="37"/>
      <c r="AC672" s="56"/>
      <c r="AD672" s="23"/>
    </row>
    <row r="673" spans="1:30" s="14" customFormat="1">
      <c r="A673" s="82"/>
      <c r="B673" s="29"/>
      <c r="C673" s="130"/>
      <c r="D673" s="36">
        <f t="shared" ref="D673" si="1135">$C672*D672</f>
        <v>0</v>
      </c>
      <c r="E673" s="36">
        <f t="shared" ref="E673" si="1136">$C672*E672</f>
        <v>0</v>
      </c>
      <c r="F673" s="36">
        <f t="shared" ref="F673:AB673" si="1137">$C672*F672</f>
        <v>0</v>
      </c>
      <c r="G673" s="36">
        <f t="shared" si="1137"/>
        <v>0</v>
      </c>
      <c r="H673" s="36">
        <f t="shared" si="1137"/>
        <v>0</v>
      </c>
      <c r="I673" s="36">
        <f t="shared" si="1137"/>
        <v>0</v>
      </c>
      <c r="J673" s="36">
        <f t="shared" si="1137"/>
        <v>0</v>
      </c>
      <c r="K673" s="36">
        <f t="shared" si="1137"/>
        <v>0</v>
      </c>
      <c r="L673" s="36">
        <f t="shared" si="1137"/>
        <v>0</v>
      </c>
      <c r="M673" s="36">
        <f t="shared" si="1137"/>
        <v>0</v>
      </c>
      <c r="N673" s="36">
        <f t="shared" si="1137"/>
        <v>0</v>
      </c>
      <c r="O673" s="36">
        <f t="shared" si="1137"/>
        <v>0</v>
      </c>
      <c r="P673" s="36">
        <f t="shared" si="1137"/>
        <v>0</v>
      </c>
      <c r="Q673" s="36">
        <f t="shared" si="1137"/>
        <v>0</v>
      </c>
      <c r="R673" s="36">
        <f t="shared" si="1137"/>
        <v>0</v>
      </c>
      <c r="S673" s="36">
        <f t="shared" si="1137"/>
        <v>15327.340164000001</v>
      </c>
      <c r="T673" s="36">
        <f t="shared" si="1137"/>
        <v>0</v>
      </c>
      <c r="U673" s="36">
        <f t="shared" si="1137"/>
        <v>0</v>
      </c>
      <c r="V673" s="36">
        <f t="shared" si="1137"/>
        <v>0</v>
      </c>
      <c r="W673" s="36">
        <f t="shared" si="1137"/>
        <v>0</v>
      </c>
      <c r="X673" s="36">
        <f t="shared" si="1137"/>
        <v>311723.58704399999</v>
      </c>
      <c r="Y673" s="36">
        <f t="shared" si="1137"/>
        <v>11300.952792</v>
      </c>
      <c r="Z673" s="36">
        <f t="shared" si="1137"/>
        <v>0</v>
      </c>
      <c r="AA673" s="36">
        <f t="shared" si="1137"/>
        <v>0</v>
      </c>
      <c r="AB673" s="36">
        <f t="shared" si="1137"/>
        <v>0</v>
      </c>
      <c r="AC673" s="56"/>
      <c r="AD673" s="23"/>
    </row>
    <row r="674" spans="1:30" s="14" customFormat="1">
      <c r="A674" s="87" t="s">
        <v>534</v>
      </c>
      <c r="B674" s="26">
        <v>3969168.16</v>
      </c>
      <c r="C674" s="130">
        <f>ROUND(B674/12,2)</f>
        <v>330764.01</v>
      </c>
      <c r="D674" s="35">
        <v>2.9999999999999997E-4</v>
      </c>
      <c r="E674" s="35"/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>
        <v>0.1115</v>
      </c>
      <c r="T674" s="35"/>
      <c r="U674" s="35"/>
      <c r="V674" s="35"/>
      <c r="W674" s="35"/>
      <c r="X674" s="35">
        <v>0.85709999999999997</v>
      </c>
      <c r="Y674" s="35">
        <v>3.1099999999999999E-2</v>
      </c>
      <c r="Z674" s="37"/>
      <c r="AA674" s="37"/>
      <c r="AB674" s="37"/>
      <c r="AC674" s="56"/>
      <c r="AD674" s="23"/>
    </row>
    <row r="675" spans="1:30" s="14" customFormat="1">
      <c r="A675" s="82"/>
      <c r="B675" s="29"/>
      <c r="C675" s="130"/>
      <c r="D675" s="36">
        <f t="shared" ref="D675" si="1138">$C674*D674</f>
        <v>99.229202999999998</v>
      </c>
      <c r="E675" s="36">
        <f t="shared" ref="E675" si="1139">$C674*E674</f>
        <v>0</v>
      </c>
      <c r="F675" s="36">
        <f t="shared" ref="F675:AB675" si="1140">$C674*F674</f>
        <v>0</v>
      </c>
      <c r="G675" s="36">
        <f t="shared" si="1140"/>
        <v>0</v>
      </c>
      <c r="H675" s="36">
        <f t="shared" si="1140"/>
        <v>0</v>
      </c>
      <c r="I675" s="36">
        <f t="shared" si="1140"/>
        <v>0</v>
      </c>
      <c r="J675" s="36">
        <f t="shared" si="1140"/>
        <v>0</v>
      </c>
      <c r="K675" s="36">
        <f t="shared" si="1140"/>
        <v>0</v>
      </c>
      <c r="L675" s="36">
        <f t="shared" si="1140"/>
        <v>0</v>
      </c>
      <c r="M675" s="36">
        <f t="shared" si="1140"/>
        <v>0</v>
      </c>
      <c r="N675" s="36">
        <f t="shared" si="1140"/>
        <v>0</v>
      </c>
      <c r="O675" s="36">
        <f t="shared" si="1140"/>
        <v>0</v>
      </c>
      <c r="P675" s="36">
        <f t="shared" si="1140"/>
        <v>0</v>
      </c>
      <c r="Q675" s="36">
        <f t="shared" si="1140"/>
        <v>0</v>
      </c>
      <c r="R675" s="36">
        <f t="shared" si="1140"/>
        <v>0</v>
      </c>
      <c r="S675" s="36">
        <f t="shared" si="1140"/>
        <v>36880.187115000001</v>
      </c>
      <c r="T675" s="36">
        <f t="shared" si="1140"/>
        <v>0</v>
      </c>
      <c r="U675" s="36">
        <f t="shared" si="1140"/>
        <v>0</v>
      </c>
      <c r="V675" s="36">
        <f t="shared" si="1140"/>
        <v>0</v>
      </c>
      <c r="W675" s="36">
        <f t="shared" si="1140"/>
        <v>0</v>
      </c>
      <c r="X675" s="36">
        <f t="shared" si="1140"/>
        <v>283497.832971</v>
      </c>
      <c r="Y675" s="36">
        <f t="shared" si="1140"/>
        <v>10286.760711000001</v>
      </c>
      <c r="Z675" s="36">
        <f t="shared" si="1140"/>
        <v>0</v>
      </c>
      <c r="AA675" s="36">
        <f t="shared" si="1140"/>
        <v>0</v>
      </c>
      <c r="AB675" s="36">
        <f t="shared" si="1140"/>
        <v>0</v>
      </c>
      <c r="AC675" s="56"/>
      <c r="AD675" s="23"/>
    </row>
    <row r="676" spans="1:30" s="14" customFormat="1">
      <c r="A676" s="87" t="s">
        <v>535</v>
      </c>
      <c r="B676" s="26">
        <v>1407390.18</v>
      </c>
      <c r="C676" s="130">
        <f t="shared" si="1092"/>
        <v>117282.52</v>
      </c>
      <c r="D676" s="35">
        <v>1E-4</v>
      </c>
      <c r="E676" s="35"/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>
        <v>8.3199999999999996E-2</v>
      </c>
      <c r="T676" s="35"/>
      <c r="U676" s="35"/>
      <c r="V676" s="35"/>
      <c r="W676" s="35"/>
      <c r="X676" s="35">
        <v>0.88460000000000005</v>
      </c>
      <c r="Y676" s="35">
        <v>3.2099999999999997E-2</v>
      </c>
      <c r="Z676" s="37"/>
      <c r="AA676" s="37"/>
      <c r="AB676" s="37"/>
      <c r="AC676" s="56"/>
      <c r="AD676" s="23"/>
    </row>
    <row r="677" spans="1:30" s="14" customFormat="1">
      <c r="A677" s="82"/>
      <c r="B677" s="29"/>
      <c r="C677" s="130"/>
      <c r="D677" s="36">
        <f t="shared" ref="D677" si="1141">$C676*D676</f>
        <v>11.728252000000001</v>
      </c>
      <c r="E677" s="36">
        <f t="shared" ref="E677" si="1142">$C676*E676</f>
        <v>0</v>
      </c>
      <c r="F677" s="36">
        <f t="shared" ref="F677:AB677" si="1143">$C676*F676</f>
        <v>0</v>
      </c>
      <c r="G677" s="36">
        <f t="shared" si="1143"/>
        <v>0</v>
      </c>
      <c r="H677" s="36">
        <f t="shared" si="1143"/>
        <v>0</v>
      </c>
      <c r="I677" s="36">
        <f t="shared" si="1143"/>
        <v>0</v>
      </c>
      <c r="J677" s="36">
        <f t="shared" si="1143"/>
        <v>0</v>
      </c>
      <c r="K677" s="36">
        <f t="shared" si="1143"/>
        <v>0</v>
      </c>
      <c r="L677" s="36">
        <f t="shared" si="1143"/>
        <v>0</v>
      </c>
      <c r="M677" s="36">
        <f t="shared" si="1143"/>
        <v>0</v>
      </c>
      <c r="N677" s="36">
        <f t="shared" si="1143"/>
        <v>0</v>
      </c>
      <c r="O677" s="36">
        <f t="shared" si="1143"/>
        <v>0</v>
      </c>
      <c r="P677" s="36">
        <f t="shared" si="1143"/>
        <v>0</v>
      </c>
      <c r="Q677" s="36">
        <f t="shared" si="1143"/>
        <v>0</v>
      </c>
      <c r="R677" s="36">
        <f t="shared" si="1143"/>
        <v>0</v>
      </c>
      <c r="S677" s="36">
        <f t="shared" si="1143"/>
        <v>9757.9056639999999</v>
      </c>
      <c r="T677" s="36">
        <f t="shared" si="1143"/>
        <v>0</v>
      </c>
      <c r="U677" s="36">
        <f t="shared" si="1143"/>
        <v>0</v>
      </c>
      <c r="V677" s="36">
        <f t="shared" si="1143"/>
        <v>0</v>
      </c>
      <c r="W677" s="36">
        <f t="shared" si="1143"/>
        <v>0</v>
      </c>
      <c r="X677" s="36">
        <f t="shared" si="1143"/>
        <v>103748.11719200001</v>
      </c>
      <c r="Y677" s="36">
        <f t="shared" si="1143"/>
        <v>3764.7688919999996</v>
      </c>
      <c r="Z677" s="36">
        <f t="shared" si="1143"/>
        <v>0</v>
      </c>
      <c r="AA677" s="36">
        <f t="shared" si="1143"/>
        <v>0</v>
      </c>
      <c r="AB677" s="36">
        <f t="shared" si="1143"/>
        <v>0</v>
      </c>
      <c r="AC677" s="56"/>
      <c r="AD677" s="23"/>
    </row>
    <row r="678" spans="1:30" s="14" customFormat="1">
      <c r="A678" s="87" t="s">
        <v>536</v>
      </c>
      <c r="B678" s="26">
        <v>1043769.56</v>
      </c>
      <c r="C678" s="130">
        <f t="shared" si="1092"/>
        <v>86980.800000000003</v>
      </c>
      <c r="D678" s="35">
        <v>1E-4</v>
      </c>
      <c r="E678" s="35"/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>
        <v>8.3199999999999996E-2</v>
      </c>
      <c r="T678" s="35"/>
      <c r="U678" s="35"/>
      <c r="V678" s="35"/>
      <c r="W678" s="35"/>
      <c r="X678" s="35">
        <v>0.88460000000000005</v>
      </c>
      <c r="Y678" s="35">
        <v>3.2099999999999997E-2</v>
      </c>
      <c r="Z678" s="37"/>
      <c r="AA678" s="37"/>
      <c r="AB678" s="37"/>
      <c r="AC678" s="56"/>
      <c r="AD678" s="23"/>
    </row>
    <row r="679" spans="1:30" s="14" customFormat="1">
      <c r="A679" s="82"/>
      <c r="B679" s="29"/>
      <c r="C679" s="130"/>
      <c r="D679" s="36">
        <f t="shared" ref="D679" si="1144">$C678*D678</f>
        <v>8.6980800000000009</v>
      </c>
      <c r="E679" s="36">
        <f t="shared" ref="E679" si="1145">$C678*E678</f>
        <v>0</v>
      </c>
      <c r="F679" s="36">
        <f t="shared" ref="F679:AB679" si="1146">$C678*F678</f>
        <v>0</v>
      </c>
      <c r="G679" s="36">
        <f t="shared" si="1146"/>
        <v>0</v>
      </c>
      <c r="H679" s="36">
        <f t="shared" si="1146"/>
        <v>0</v>
      </c>
      <c r="I679" s="36">
        <f t="shared" si="1146"/>
        <v>0</v>
      </c>
      <c r="J679" s="36">
        <f t="shared" si="1146"/>
        <v>0</v>
      </c>
      <c r="K679" s="36">
        <f t="shared" si="1146"/>
        <v>0</v>
      </c>
      <c r="L679" s="36">
        <f t="shared" si="1146"/>
        <v>0</v>
      </c>
      <c r="M679" s="36">
        <f t="shared" si="1146"/>
        <v>0</v>
      </c>
      <c r="N679" s="36">
        <f t="shared" si="1146"/>
        <v>0</v>
      </c>
      <c r="O679" s="36">
        <f t="shared" si="1146"/>
        <v>0</v>
      </c>
      <c r="P679" s="36">
        <f t="shared" si="1146"/>
        <v>0</v>
      </c>
      <c r="Q679" s="36">
        <f t="shared" si="1146"/>
        <v>0</v>
      </c>
      <c r="R679" s="36">
        <f t="shared" si="1146"/>
        <v>0</v>
      </c>
      <c r="S679" s="36">
        <f t="shared" si="1146"/>
        <v>7236.8025600000001</v>
      </c>
      <c r="T679" s="36">
        <f t="shared" si="1146"/>
        <v>0</v>
      </c>
      <c r="U679" s="36">
        <f t="shared" si="1146"/>
        <v>0</v>
      </c>
      <c r="V679" s="36">
        <f t="shared" si="1146"/>
        <v>0</v>
      </c>
      <c r="W679" s="36">
        <f t="shared" si="1146"/>
        <v>0</v>
      </c>
      <c r="X679" s="36">
        <f t="shared" si="1146"/>
        <v>76943.215680000008</v>
      </c>
      <c r="Y679" s="36">
        <f t="shared" si="1146"/>
        <v>2792.0836799999997</v>
      </c>
      <c r="Z679" s="36">
        <f t="shared" si="1146"/>
        <v>0</v>
      </c>
      <c r="AA679" s="36">
        <f t="shared" si="1146"/>
        <v>0</v>
      </c>
      <c r="AB679" s="36">
        <f t="shared" si="1146"/>
        <v>0</v>
      </c>
      <c r="AC679" s="56"/>
      <c r="AD679" s="23"/>
    </row>
    <row r="680" spans="1:30" s="14" customFormat="1">
      <c r="A680" s="87" t="s">
        <v>537</v>
      </c>
      <c r="B680" s="26">
        <v>346214.05</v>
      </c>
      <c r="C680" s="130">
        <f t="shared" si="1092"/>
        <v>28851.17</v>
      </c>
      <c r="D680" s="35">
        <v>0</v>
      </c>
      <c r="E680" s="35"/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>
        <v>6.7100000000000007E-2</v>
      </c>
      <c r="T680" s="35"/>
      <c r="U680" s="35"/>
      <c r="V680" s="35"/>
      <c r="W680" s="35"/>
      <c r="X680" s="35">
        <v>0.9002</v>
      </c>
      <c r="Y680" s="35">
        <v>3.27E-2</v>
      </c>
      <c r="Z680" s="37"/>
      <c r="AA680" s="37"/>
      <c r="AB680" s="37"/>
      <c r="AC680" s="56"/>
      <c r="AD680" s="23"/>
    </row>
    <row r="681" spans="1:30" s="14" customFormat="1">
      <c r="A681" s="82"/>
      <c r="B681" s="29"/>
      <c r="C681" s="130"/>
      <c r="D681" s="36">
        <f t="shared" ref="D681" si="1147">$C680*D680</f>
        <v>0</v>
      </c>
      <c r="E681" s="36">
        <f t="shared" ref="E681" si="1148">$C680*E680</f>
        <v>0</v>
      </c>
      <c r="F681" s="36">
        <f t="shared" ref="F681:AB681" si="1149">$C680*F680</f>
        <v>0</v>
      </c>
      <c r="G681" s="36">
        <f t="shared" si="1149"/>
        <v>0</v>
      </c>
      <c r="H681" s="36">
        <f t="shared" si="1149"/>
        <v>0</v>
      </c>
      <c r="I681" s="36">
        <f t="shared" si="1149"/>
        <v>0</v>
      </c>
      <c r="J681" s="36">
        <f t="shared" si="1149"/>
        <v>0</v>
      </c>
      <c r="K681" s="36">
        <f t="shared" si="1149"/>
        <v>0</v>
      </c>
      <c r="L681" s="36">
        <f t="shared" si="1149"/>
        <v>0</v>
      </c>
      <c r="M681" s="36">
        <f t="shared" si="1149"/>
        <v>0</v>
      </c>
      <c r="N681" s="36">
        <f t="shared" si="1149"/>
        <v>0</v>
      </c>
      <c r="O681" s="36">
        <f t="shared" si="1149"/>
        <v>0</v>
      </c>
      <c r="P681" s="36">
        <f t="shared" si="1149"/>
        <v>0</v>
      </c>
      <c r="Q681" s="36">
        <f t="shared" si="1149"/>
        <v>0</v>
      </c>
      <c r="R681" s="36">
        <f t="shared" si="1149"/>
        <v>0</v>
      </c>
      <c r="S681" s="36">
        <f t="shared" si="1149"/>
        <v>1935.913507</v>
      </c>
      <c r="T681" s="36">
        <f t="shared" si="1149"/>
        <v>0</v>
      </c>
      <c r="U681" s="36">
        <f t="shared" si="1149"/>
        <v>0</v>
      </c>
      <c r="V681" s="36">
        <f t="shared" si="1149"/>
        <v>0</v>
      </c>
      <c r="W681" s="36">
        <f t="shared" si="1149"/>
        <v>0</v>
      </c>
      <c r="X681" s="36">
        <f t="shared" si="1149"/>
        <v>25971.823234</v>
      </c>
      <c r="Y681" s="36">
        <f t="shared" si="1149"/>
        <v>943.43325899999991</v>
      </c>
      <c r="Z681" s="36">
        <f t="shared" si="1149"/>
        <v>0</v>
      </c>
      <c r="AA681" s="36">
        <f t="shared" si="1149"/>
        <v>0</v>
      </c>
      <c r="AB681" s="36">
        <f t="shared" si="1149"/>
        <v>0</v>
      </c>
      <c r="AC681" s="56"/>
      <c r="AD681" s="23"/>
    </row>
    <row r="682" spans="1:30" s="14" customFormat="1">
      <c r="A682" s="87" t="s">
        <v>538</v>
      </c>
      <c r="B682" s="26">
        <v>3495364.59</v>
      </c>
      <c r="C682" s="130">
        <f t="shared" si="1092"/>
        <v>291280.38</v>
      </c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>
        <v>6.0499999999999998E-2</v>
      </c>
      <c r="T682" s="35"/>
      <c r="U682" s="35"/>
      <c r="V682" s="35"/>
      <c r="W682" s="35"/>
      <c r="X682" s="35">
        <v>0.90659999999999996</v>
      </c>
      <c r="Y682" s="35">
        <v>3.2899999999999999E-2</v>
      </c>
      <c r="Z682" s="37"/>
      <c r="AA682" s="37"/>
      <c r="AB682" s="37"/>
      <c r="AC682" s="56"/>
      <c r="AD682" s="23"/>
    </row>
    <row r="683" spans="1:30" s="14" customFormat="1">
      <c r="A683" s="82"/>
      <c r="B683" s="29"/>
      <c r="C683" s="130"/>
      <c r="D683" s="36">
        <f t="shared" ref="D683" si="1150">$C682*D682</f>
        <v>0</v>
      </c>
      <c r="E683" s="36">
        <f t="shared" ref="E683" si="1151">$C682*E682</f>
        <v>0</v>
      </c>
      <c r="F683" s="36">
        <f t="shared" ref="F683:AB683" si="1152">$C682*F682</f>
        <v>0</v>
      </c>
      <c r="G683" s="36">
        <f t="shared" si="1152"/>
        <v>0</v>
      </c>
      <c r="H683" s="36">
        <f t="shared" si="1152"/>
        <v>0</v>
      </c>
      <c r="I683" s="36">
        <f t="shared" si="1152"/>
        <v>0</v>
      </c>
      <c r="J683" s="36">
        <f t="shared" si="1152"/>
        <v>0</v>
      </c>
      <c r="K683" s="36">
        <f t="shared" si="1152"/>
        <v>0</v>
      </c>
      <c r="L683" s="36">
        <f t="shared" si="1152"/>
        <v>0</v>
      </c>
      <c r="M683" s="36">
        <f t="shared" si="1152"/>
        <v>0</v>
      </c>
      <c r="N683" s="36">
        <f t="shared" si="1152"/>
        <v>0</v>
      </c>
      <c r="O683" s="36">
        <f t="shared" si="1152"/>
        <v>0</v>
      </c>
      <c r="P683" s="36">
        <f t="shared" si="1152"/>
        <v>0</v>
      </c>
      <c r="Q683" s="36">
        <f t="shared" si="1152"/>
        <v>0</v>
      </c>
      <c r="R683" s="36">
        <f t="shared" si="1152"/>
        <v>0</v>
      </c>
      <c r="S683" s="36">
        <f t="shared" si="1152"/>
        <v>17622.46299</v>
      </c>
      <c r="T683" s="36">
        <f t="shared" si="1152"/>
        <v>0</v>
      </c>
      <c r="U683" s="36">
        <f t="shared" si="1152"/>
        <v>0</v>
      </c>
      <c r="V683" s="36">
        <f t="shared" si="1152"/>
        <v>0</v>
      </c>
      <c r="W683" s="36">
        <f t="shared" si="1152"/>
        <v>0</v>
      </c>
      <c r="X683" s="36">
        <f t="shared" si="1152"/>
        <v>264074.79250799998</v>
      </c>
      <c r="Y683" s="36">
        <f t="shared" si="1152"/>
        <v>9583.1245020000006</v>
      </c>
      <c r="Z683" s="36">
        <f t="shared" si="1152"/>
        <v>0</v>
      </c>
      <c r="AA683" s="36">
        <f t="shared" si="1152"/>
        <v>0</v>
      </c>
      <c r="AB683" s="36">
        <f t="shared" si="1152"/>
        <v>0</v>
      </c>
      <c r="AC683" s="56"/>
      <c r="AD683" s="23"/>
    </row>
    <row r="684" spans="1:30" s="14" customFormat="1">
      <c r="A684" s="87" t="s">
        <v>539</v>
      </c>
      <c r="B684" s="26">
        <v>4064283.02</v>
      </c>
      <c r="C684" s="130">
        <f t="shared" si="1092"/>
        <v>338690.25</v>
      </c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>
        <v>4.1000000000000002E-2</v>
      </c>
      <c r="T684" s="35"/>
      <c r="U684" s="35"/>
      <c r="V684" s="35"/>
      <c r="W684" s="35"/>
      <c r="X684" s="35">
        <v>0.9254</v>
      </c>
      <c r="Y684" s="35">
        <v>3.3599999999999998E-2</v>
      </c>
      <c r="Z684" s="37"/>
      <c r="AA684" s="37"/>
      <c r="AB684" s="37"/>
      <c r="AC684" s="56"/>
      <c r="AD684" s="23"/>
    </row>
    <row r="685" spans="1:30" s="14" customFormat="1">
      <c r="A685" s="82"/>
      <c r="B685" s="29"/>
      <c r="C685" s="130"/>
      <c r="D685" s="36">
        <f t="shared" ref="D685" si="1153">$C684*D684</f>
        <v>0</v>
      </c>
      <c r="E685" s="36">
        <f t="shared" ref="E685" si="1154">$C684*E684</f>
        <v>0</v>
      </c>
      <c r="F685" s="36">
        <f t="shared" ref="F685:AB685" si="1155">$C684*F684</f>
        <v>0</v>
      </c>
      <c r="G685" s="36">
        <f t="shared" si="1155"/>
        <v>0</v>
      </c>
      <c r="H685" s="36">
        <f t="shared" si="1155"/>
        <v>0</v>
      </c>
      <c r="I685" s="36">
        <f t="shared" si="1155"/>
        <v>0</v>
      </c>
      <c r="J685" s="36">
        <f t="shared" si="1155"/>
        <v>0</v>
      </c>
      <c r="K685" s="36">
        <f t="shared" si="1155"/>
        <v>0</v>
      </c>
      <c r="L685" s="36">
        <f t="shared" si="1155"/>
        <v>0</v>
      </c>
      <c r="M685" s="36">
        <f t="shared" si="1155"/>
        <v>0</v>
      </c>
      <c r="N685" s="36">
        <f t="shared" si="1155"/>
        <v>0</v>
      </c>
      <c r="O685" s="36">
        <f t="shared" si="1155"/>
        <v>0</v>
      </c>
      <c r="P685" s="36">
        <f t="shared" si="1155"/>
        <v>0</v>
      </c>
      <c r="Q685" s="36">
        <f t="shared" si="1155"/>
        <v>0</v>
      </c>
      <c r="R685" s="36">
        <f t="shared" si="1155"/>
        <v>0</v>
      </c>
      <c r="S685" s="36">
        <f t="shared" si="1155"/>
        <v>13886.30025</v>
      </c>
      <c r="T685" s="36">
        <f t="shared" si="1155"/>
        <v>0</v>
      </c>
      <c r="U685" s="36">
        <f t="shared" si="1155"/>
        <v>0</v>
      </c>
      <c r="V685" s="36">
        <f t="shared" si="1155"/>
        <v>0</v>
      </c>
      <c r="W685" s="36">
        <f t="shared" si="1155"/>
        <v>0</v>
      </c>
      <c r="X685" s="36">
        <f t="shared" si="1155"/>
        <v>313423.95734999998</v>
      </c>
      <c r="Y685" s="36">
        <f t="shared" si="1155"/>
        <v>11379.992399999999</v>
      </c>
      <c r="Z685" s="36">
        <f t="shared" si="1155"/>
        <v>0</v>
      </c>
      <c r="AA685" s="36">
        <f t="shared" si="1155"/>
        <v>0</v>
      </c>
      <c r="AB685" s="36">
        <f t="shared" si="1155"/>
        <v>0</v>
      </c>
      <c r="AC685" s="56"/>
      <c r="AD685" s="23"/>
    </row>
    <row r="686" spans="1:30" s="14" customFormat="1">
      <c r="A686" s="87" t="s">
        <v>540</v>
      </c>
      <c r="B686" s="26">
        <v>1652460.97</v>
      </c>
      <c r="C686" s="130">
        <f>ROUND(B686/12,2)</f>
        <v>137705.07999999999</v>
      </c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>
        <v>0.9677</v>
      </c>
      <c r="Y686" s="35"/>
      <c r="Z686" s="37">
        <v>3.2300000000000002E-2</v>
      </c>
      <c r="AA686" s="37"/>
      <c r="AB686" s="37"/>
      <c r="AC686" s="56"/>
      <c r="AD686" s="23"/>
    </row>
    <row r="687" spans="1:30" s="14" customFormat="1">
      <c r="A687" s="82"/>
      <c r="B687" s="29"/>
      <c r="C687" s="130"/>
      <c r="D687" s="36">
        <f t="shared" ref="D687" si="1156">$C686*D686</f>
        <v>0</v>
      </c>
      <c r="E687" s="36">
        <f t="shared" ref="E687" si="1157">$C686*E686</f>
        <v>0</v>
      </c>
      <c r="F687" s="36">
        <f t="shared" ref="F687:AB687" si="1158">$C686*F686</f>
        <v>0</v>
      </c>
      <c r="G687" s="36">
        <f t="shared" si="1158"/>
        <v>0</v>
      </c>
      <c r="H687" s="36">
        <f t="shared" si="1158"/>
        <v>0</v>
      </c>
      <c r="I687" s="36">
        <f t="shared" si="1158"/>
        <v>0</v>
      </c>
      <c r="J687" s="36">
        <f t="shared" si="1158"/>
        <v>0</v>
      </c>
      <c r="K687" s="36">
        <f t="shared" si="1158"/>
        <v>0</v>
      </c>
      <c r="L687" s="36">
        <f t="shared" si="1158"/>
        <v>0</v>
      </c>
      <c r="M687" s="36">
        <f t="shared" si="1158"/>
        <v>0</v>
      </c>
      <c r="N687" s="36">
        <f t="shared" si="1158"/>
        <v>0</v>
      </c>
      <c r="O687" s="36">
        <f t="shared" si="1158"/>
        <v>0</v>
      </c>
      <c r="P687" s="36">
        <f t="shared" si="1158"/>
        <v>0</v>
      </c>
      <c r="Q687" s="36">
        <f t="shared" si="1158"/>
        <v>0</v>
      </c>
      <c r="R687" s="36">
        <f t="shared" si="1158"/>
        <v>0</v>
      </c>
      <c r="S687" s="36">
        <f t="shared" si="1158"/>
        <v>0</v>
      </c>
      <c r="T687" s="36">
        <f t="shared" si="1158"/>
        <v>0</v>
      </c>
      <c r="U687" s="36">
        <f t="shared" si="1158"/>
        <v>0</v>
      </c>
      <c r="V687" s="36">
        <f t="shared" si="1158"/>
        <v>0</v>
      </c>
      <c r="W687" s="36">
        <f t="shared" si="1158"/>
        <v>0</v>
      </c>
      <c r="X687" s="36">
        <f t="shared" si="1158"/>
        <v>133257.20591599998</v>
      </c>
      <c r="Y687" s="36">
        <f t="shared" si="1158"/>
        <v>0</v>
      </c>
      <c r="Z687" s="36">
        <f t="shared" si="1158"/>
        <v>4447.874084</v>
      </c>
      <c r="AA687" s="36">
        <f t="shared" si="1158"/>
        <v>0</v>
      </c>
      <c r="AB687" s="36">
        <f t="shared" si="1158"/>
        <v>0</v>
      </c>
      <c r="AC687" s="56"/>
      <c r="AD687" s="23"/>
    </row>
    <row r="688" spans="1:30" s="14" customFormat="1">
      <c r="A688" s="87" t="s">
        <v>554</v>
      </c>
      <c r="B688" s="26">
        <v>15777723.050000001</v>
      </c>
      <c r="C688" s="130">
        <f t="shared" si="1092"/>
        <v>1314810.25</v>
      </c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>
        <v>0.96499999999999997</v>
      </c>
      <c r="Y688" s="35">
        <v>3.5000000000000003E-2</v>
      </c>
      <c r="Z688" s="37"/>
      <c r="AA688" s="37"/>
      <c r="AB688" s="37"/>
      <c r="AC688" s="56"/>
      <c r="AD688" s="23"/>
    </row>
    <row r="689" spans="1:30" s="14" customFormat="1">
      <c r="A689" s="82"/>
      <c r="B689" s="29"/>
      <c r="C689" s="130"/>
      <c r="D689" s="36">
        <f t="shared" ref="D689" si="1159">$C688*D688</f>
        <v>0</v>
      </c>
      <c r="E689" s="36">
        <f t="shared" ref="E689" si="1160">$C688*E688</f>
        <v>0</v>
      </c>
      <c r="F689" s="36">
        <f t="shared" ref="F689:AB689" si="1161">$C688*F688</f>
        <v>0</v>
      </c>
      <c r="G689" s="36">
        <f t="shared" si="1161"/>
        <v>0</v>
      </c>
      <c r="H689" s="36">
        <f t="shared" si="1161"/>
        <v>0</v>
      </c>
      <c r="I689" s="36">
        <f t="shared" si="1161"/>
        <v>0</v>
      </c>
      <c r="J689" s="36">
        <f t="shared" si="1161"/>
        <v>0</v>
      </c>
      <c r="K689" s="36">
        <f t="shared" si="1161"/>
        <v>0</v>
      </c>
      <c r="L689" s="36">
        <f t="shared" si="1161"/>
        <v>0</v>
      </c>
      <c r="M689" s="36">
        <f t="shared" si="1161"/>
        <v>0</v>
      </c>
      <c r="N689" s="36">
        <f t="shared" si="1161"/>
        <v>0</v>
      </c>
      <c r="O689" s="36">
        <f t="shared" si="1161"/>
        <v>0</v>
      </c>
      <c r="P689" s="36">
        <f t="shared" si="1161"/>
        <v>0</v>
      </c>
      <c r="Q689" s="36">
        <f t="shared" si="1161"/>
        <v>0</v>
      </c>
      <c r="R689" s="36">
        <f t="shared" si="1161"/>
        <v>0</v>
      </c>
      <c r="S689" s="36">
        <f t="shared" si="1161"/>
        <v>0</v>
      </c>
      <c r="T689" s="36">
        <f t="shared" si="1161"/>
        <v>0</v>
      </c>
      <c r="U689" s="36">
        <f t="shared" si="1161"/>
        <v>0</v>
      </c>
      <c r="V689" s="36">
        <f t="shared" si="1161"/>
        <v>0</v>
      </c>
      <c r="W689" s="36">
        <f t="shared" si="1161"/>
        <v>0</v>
      </c>
      <c r="X689" s="36">
        <f t="shared" si="1161"/>
        <v>1268791.8912499999</v>
      </c>
      <c r="Y689" s="36">
        <f t="shared" si="1161"/>
        <v>46018.358750000007</v>
      </c>
      <c r="Z689" s="36">
        <f t="shared" si="1161"/>
        <v>0</v>
      </c>
      <c r="AA689" s="36">
        <f t="shared" si="1161"/>
        <v>0</v>
      </c>
      <c r="AB689" s="36">
        <f t="shared" si="1161"/>
        <v>0</v>
      </c>
      <c r="AC689" s="56"/>
      <c r="AD689" s="23"/>
    </row>
    <row r="690" spans="1:30" s="14" customFormat="1">
      <c r="A690" s="87" t="s">
        <v>555</v>
      </c>
      <c r="B690" s="26">
        <v>12640355.02</v>
      </c>
      <c r="C690" s="130">
        <f t="shared" si="1092"/>
        <v>1053362.92</v>
      </c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>
        <v>0.96499999999999997</v>
      </c>
      <c r="Y690" s="35">
        <v>3.5000000000000003E-2</v>
      </c>
      <c r="Z690" s="37"/>
      <c r="AA690" s="37"/>
      <c r="AB690" s="37"/>
      <c r="AC690" s="56"/>
      <c r="AD690" s="23"/>
    </row>
    <row r="691" spans="1:30" s="14" customFormat="1">
      <c r="A691" s="82"/>
      <c r="B691" s="29"/>
      <c r="C691" s="130"/>
      <c r="D691" s="36">
        <f t="shared" ref="D691" si="1162">$C690*D690</f>
        <v>0</v>
      </c>
      <c r="E691" s="36">
        <f t="shared" ref="E691" si="1163">$C690*E690</f>
        <v>0</v>
      </c>
      <c r="F691" s="36">
        <f t="shared" ref="F691:AB691" si="1164">$C690*F690</f>
        <v>0</v>
      </c>
      <c r="G691" s="36">
        <f t="shared" si="1164"/>
        <v>0</v>
      </c>
      <c r="H691" s="36">
        <f t="shared" si="1164"/>
        <v>0</v>
      </c>
      <c r="I691" s="36">
        <f t="shared" si="1164"/>
        <v>0</v>
      </c>
      <c r="J691" s="36">
        <f t="shared" si="1164"/>
        <v>0</v>
      </c>
      <c r="K691" s="36">
        <f t="shared" si="1164"/>
        <v>0</v>
      </c>
      <c r="L691" s="36">
        <f t="shared" si="1164"/>
        <v>0</v>
      </c>
      <c r="M691" s="36">
        <f t="shared" si="1164"/>
        <v>0</v>
      </c>
      <c r="N691" s="36">
        <f t="shared" si="1164"/>
        <v>0</v>
      </c>
      <c r="O691" s="36">
        <f t="shared" si="1164"/>
        <v>0</v>
      </c>
      <c r="P691" s="36">
        <f t="shared" si="1164"/>
        <v>0</v>
      </c>
      <c r="Q691" s="36">
        <f t="shared" si="1164"/>
        <v>0</v>
      </c>
      <c r="R691" s="36">
        <f t="shared" si="1164"/>
        <v>0</v>
      </c>
      <c r="S691" s="36">
        <f t="shared" si="1164"/>
        <v>0</v>
      </c>
      <c r="T691" s="36">
        <f t="shared" si="1164"/>
        <v>0</v>
      </c>
      <c r="U691" s="36">
        <f t="shared" si="1164"/>
        <v>0</v>
      </c>
      <c r="V691" s="36">
        <f t="shared" si="1164"/>
        <v>0</v>
      </c>
      <c r="W691" s="36">
        <f t="shared" si="1164"/>
        <v>0</v>
      </c>
      <c r="X691" s="36">
        <f t="shared" si="1164"/>
        <v>1016495.2177999999</v>
      </c>
      <c r="Y691" s="36">
        <f t="shared" si="1164"/>
        <v>36867.7022</v>
      </c>
      <c r="Z691" s="36">
        <f t="shared" si="1164"/>
        <v>0</v>
      </c>
      <c r="AA691" s="36">
        <f t="shared" si="1164"/>
        <v>0</v>
      </c>
      <c r="AB691" s="36">
        <f t="shared" si="1164"/>
        <v>0</v>
      </c>
      <c r="AC691" s="56"/>
      <c r="AD691" s="23"/>
    </row>
    <row r="692" spans="1:30" s="14" customFormat="1">
      <c r="A692" s="87" t="s">
        <v>556</v>
      </c>
      <c r="B692" s="26">
        <v>4267295.9800000004</v>
      </c>
      <c r="C692" s="130">
        <f t="shared" si="1092"/>
        <v>355608</v>
      </c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>
        <v>0.96499999999999997</v>
      </c>
      <c r="Y692" s="35">
        <v>3.5000000000000003E-2</v>
      </c>
      <c r="Z692" s="37"/>
      <c r="AA692" s="37"/>
      <c r="AB692" s="37"/>
      <c r="AC692" s="56"/>
      <c r="AD692" s="23"/>
    </row>
    <row r="693" spans="1:30" s="14" customFormat="1">
      <c r="A693" s="82"/>
      <c r="B693" s="29"/>
      <c r="C693" s="130"/>
      <c r="D693" s="36">
        <f t="shared" ref="D693" si="1165">$C692*D692</f>
        <v>0</v>
      </c>
      <c r="E693" s="36">
        <f t="shared" ref="E693" si="1166">$C692*E692</f>
        <v>0</v>
      </c>
      <c r="F693" s="36">
        <f t="shared" ref="F693:AB693" si="1167">$C692*F692</f>
        <v>0</v>
      </c>
      <c r="G693" s="36">
        <f t="shared" si="1167"/>
        <v>0</v>
      </c>
      <c r="H693" s="36">
        <f t="shared" si="1167"/>
        <v>0</v>
      </c>
      <c r="I693" s="36">
        <f t="shared" si="1167"/>
        <v>0</v>
      </c>
      <c r="J693" s="36">
        <f t="shared" si="1167"/>
        <v>0</v>
      </c>
      <c r="K693" s="36">
        <f t="shared" si="1167"/>
        <v>0</v>
      </c>
      <c r="L693" s="36">
        <f t="shared" si="1167"/>
        <v>0</v>
      </c>
      <c r="M693" s="36">
        <f t="shared" si="1167"/>
        <v>0</v>
      </c>
      <c r="N693" s="36">
        <f t="shared" si="1167"/>
        <v>0</v>
      </c>
      <c r="O693" s="36">
        <f t="shared" si="1167"/>
        <v>0</v>
      </c>
      <c r="P693" s="36">
        <f t="shared" si="1167"/>
        <v>0</v>
      </c>
      <c r="Q693" s="36">
        <f t="shared" si="1167"/>
        <v>0</v>
      </c>
      <c r="R693" s="36">
        <f t="shared" si="1167"/>
        <v>0</v>
      </c>
      <c r="S693" s="36">
        <f t="shared" si="1167"/>
        <v>0</v>
      </c>
      <c r="T693" s="36">
        <f t="shared" si="1167"/>
        <v>0</v>
      </c>
      <c r="U693" s="36">
        <f t="shared" si="1167"/>
        <v>0</v>
      </c>
      <c r="V693" s="36">
        <f t="shared" si="1167"/>
        <v>0</v>
      </c>
      <c r="W693" s="36">
        <f t="shared" si="1167"/>
        <v>0</v>
      </c>
      <c r="X693" s="36">
        <f t="shared" si="1167"/>
        <v>343161.72</v>
      </c>
      <c r="Y693" s="36">
        <f t="shared" si="1167"/>
        <v>12446.28</v>
      </c>
      <c r="Z693" s="36">
        <f t="shared" si="1167"/>
        <v>0</v>
      </c>
      <c r="AA693" s="36">
        <f t="shared" si="1167"/>
        <v>0</v>
      </c>
      <c r="AB693" s="36">
        <f t="shared" si="1167"/>
        <v>0</v>
      </c>
      <c r="AC693" s="56"/>
      <c r="AD693" s="23"/>
    </row>
    <row r="694" spans="1:30" s="14" customFormat="1">
      <c r="A694" s="87" t="s">
        <v>557</v>
      </c>
      <c r="B694" s="26">
        <v>5936391.9199999999</v>
      </c>
      <c r="C694" s="130">
        <f t="shared" si="1092"/>
        <v>494699.33</v>
      </c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>
        <v>0.49109999999999998</v>
      </c>
      <c r="R694" s="35"/>
      <c r="S694" s="35"/>
      <c r="T694" s="35"/>
      <c r="U694" s="35"/>
      <c r="V694" s="35"/>
      <c r="W694" s="35"/>
      <c r="X694" s="35">
        <v>0.49109999999999998</v>
      </c>
      <c r="Y694" s="35">
        <v>1.78E-2</v>
      </c>
      <c r="Z694" s="37"/>
      <c r="AA694" s="37"/>
      <c r="AB694" s="37"/>
      <c r="AC694" s="56"/>
      <c r="AD694" s="23"/>
    </row>
    <row r="695" spans="1:30" s="14" customFormat="1">
      <c r="A695" s="82"/>
      <c r="B695" s="29"/>
      <c r="C695" s="130"/>
      <c r="D695" s="36">
        <f t="shared" ref="D695" si="1168">$C694*D694</f>
        <v>0</v>
      </c>
      <c r="E695" s="36">
        <f t="shared" ref="E695" si="1169">$C694*E694</f>
        <v>0</v>
      </c>
      <c r="F695" s="36">
        <f t="shared" ref="F695:AB695" si="1170">$C694*F694</f>
        <v>0</v>
      </c>
      <c r="G695" s="36">
        <f t="shared" si="1170"/>
        <v>0</v>
      </c>
      <c r="H695" s="36">
        <f t="shared" si="1170"/>
        <v>0</v>
      </c>
      <c r="I695" s="36">
        <f t="shared" si="1170"/>
        <v>0</v>
      </c>
      <c r="J695" s="36">
        <f t="shared" si="1170"/>
        <v>0</v>
      </c>
      <c r="K695" s="36">
        <f t="shared" si="1170"/>
        <v>0</v>
      </c>
      <c r="L695" s="36">
        <f t="shared" si="1170"/>
        <v>0</v>
      </c>
      <c r="M695" s="36">
        <f t="shared" si="1170"/>
        <v>0</v>
      </c>
      <c r="N695" s="36">
        <f t="shared" si="1170"/>
        <v>0</v>
      </c>
      <c r="O695" s="36">
        <f t="shared" si="1170"/>
        <v>0</v>
      </c>
      <c r="P695" s="36">
        <f t="shared" si="1170"/>
        <v>0</v>
      </c>
      <c r="Q695" s="36">
        <f t="shared" si="1170"/>
        <v>242946.840963</v>
      </c>
      <c r="R695" s="36">
        <f t="shared" si="1170"/>
        <v>0</v>
      </c>
      <c r="S695" s="36">
        <f t="shared" si="1170"/>
        <v>0</v>
      </c>
      <c r="T695" s="36">
        <f t="shared" si="1170"/>
        <v>0</v>
      </c>
      <c r="U695" s="36">
        <f t="shared" si="1170"/>
        <v>0</v>
      </c>
      <c r="V695" s="36">
        <f t="shared" si="1170"/>
        <v>0</v>
      </c>
      <c r="W695" s="36">
        <f t="shared" si="1170"/>
        <v>0</v>
      </c>
      <c r="X695" s="36">
        <f t="shared" si="1170"/>
        <v>242946.840963</v>
      </c>
      <c r="Y695" s="36">
        <f t="shared" si="1170"/>
        <v>8805.6480740000006</v>
      </c>
      <c r="Z695" s="36">
        <f t="shared" si="1170"/>
        <v>0</v>
      </c>
      <c r="AA695" s="36">
        <f t="shared" si="1170"/>
        <v>0</v>
      </c>
      <c r="AB695" s="36">
        <f t="shared" si="1170"/>
        <v>0</v>
      </c>
      <c r="AC695" s="56"/>
      <c r="AD695" s="23"/>
    </row>
    <row r="696" spans="1:30" s="14" customFormat="1">
      <c r="A696" s="87" t="s">
        <v>558</v>
      </c>
      <c r="B696" s="26">
        <v>6036103.54</v>
      </c>
      <c r="C696" s="130">
        <f t="shared" si="1092"/>
        <v>503008.63</v>
      </c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>
        <v>1.61E-2</v>
      </c>
      <c r="T696" s="35">
        <v>0.93159999999999998</v>
      </c>
      <c r="U696" s="35"/>
      <c r="V696" s="35"/>
      <c r="W696" s="35"/>
      <c r="X696" s="35">
        <v>5.0500000000000003E-2</v>
      </c>
      <c r="Y696" s="35">
        <v>1.8E-3</v>
      </c>
      <c r="Z696" s="37"/>
      <c r="AA696" s="37"/>
      <c r="AB696" s="37"/>
      <c r="AC696" s="56"/>
      <c r="AD696" s="23"/>
    </row>
    <row r="697" spans="1:30" s="14" customFormat="1">
      <c r="A697" s="82"/>
      <c r="B697" s="29"/>
      <c r="C697" s="130"/>
      <c r="D697" s="36">
        <f t="shared" ref="D697" si="1171">$C696*D696</f>
        <v>0</v>
      </c>
      <c r="E697" s="36">
        <f t="shared" ref="E697" si="1172">$C696*E696</f>
        <v>0</v>
      </c>
      <c r="F697" s="36">
        <f t="shared" ref="F697:AB697" si="1173">$C696*F696</f>
        <v>0</v>
      </c>
      <c r="G697" s="36">
        <f t="shared" si="1173"/>
        <v>0</v>
      </c>
      <c r="H697" s="36">
        <f t="shared" si="1173"/>
        <v>0</v>
      </c>
      <c r="I697" s="36">
        <f t="shared" si="1173"/>
        <v>0</v>
      </c>
      <c r="J697" s="36">
        <f t="shared" si="1173"/>
        <v>0</v>
      </c>
      <c r="K697" s="36">
        <f t="shared" si="1173"/>
        <v>0</v>
      </c>
      <c r="L697" s="36">
        <f t="shared" si="1173"/>
        <v>0</v>
      </c>
      <c r="M697" s="36">
        <f t="shared" si="1173"/>
        <v>0</v>
      </c>
      <c r="N697" s="36">
        <f t="shared" si="1173"/>
        <v>0</v>
      </c>
      <c r="O697" s="36">
        <f t="shared" si="1173"/>
        <v>0</v>
      </c>
      <c r="P697" s="36">
        <f t="shared" si="1173"/>
        <v>0</v>
      </c>
      <c r="Q697" s="36">
        <f t="shared" si="1173"/>
        <v>0</v>
      </c>
      <c r="R697" s="36">
        <f t="shared" si="1173"/>
        <v>0</v>
      </c>
      <c r="S697" s="36">
        <f t="shared" si="1173"/>
        <v>8098.4389430000001</v>
      </c>
      <c r="T697" s="36">
        <f t="shared" si="1173"/>
        <v>468602.83970800001</v>
      </c>
      <c r="U697" s="36">
        <f t="shared" si="1173"/>
        <v>0</v>
      </c>
      <c r="V697" s="36">
        <f t="shared" si="1173"/>
        <v>0</v>
      </c>
      <c r="W697" s="36">
        <f t="shared" si="1173"/>
        <v>0</v>
      </c>
      <c r="X697" s="36">
        <f t="shared" si="1173"/>
        <v>25401.935815000001</v>
      </c>
      <c r="Y697" s="36">
        <f t="shared" si="1173"/>
        <v>905.41553399999998</v>
      </c>
      <c r="Z697" s="36">
        <f t="shared" si="1173"/>
        <v>0</v>
      </c>
      <c r="AA697" s="36">
        <f t="shared" si="1173"/>
        <v>0</v>
      </c>
      <c r="AB697" s="36">
        <f t="shared" si="1173"/>
        <v>0</v>
      </c>
      <c r="AC697" s="56"/>
      <c r="AD697" s="23"/>
    </row>
    <row r="698" spans="1:30" s="14" customFormat="1">
      <c r="A698" s="87" t="s">
        <v>587</v>
      </c>
      <c r="B698" s="26">
        <v>12449019.34</v>
      </c>
      <c r="C698" s="130">
        <f t="shared" si="1092"/>
        <v>1037418.28</v>
      </c>
      <c r="D698" s="35">
        <v>4.0399999999999998E-2</v>
      </c>
      <c r="E698" s="35"/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>
        <v>0.14949999999999999</v>
      </c>
      <c r="T698" s="35">
        <v>0.253</v>
      </c>
      <c r="U698" s="35"/>
      <c r="V698" s="35"/>
      <c r="W698" s="35"/>
      <c r="X698" s="35">
        <v>0.53759999999999997</v>
      </c>
      <c r="Y698" s="35">
        <v>1.95E-2</v>
      </c>
      <c r="Z698" s="37"/>
      <c r="AA698" s="37"/>
      <c r="AB698" s="37"/>
      <c r="AC698" s="56"/>
      <c r="AD698" s="23"/>
    </row>
    <row r="699" spans="1:30" s="14" customFormat="1">
      <c r="A699" s="82"/>
      <c r="B699" s="29"/>
      <c r="C699" s="130"/>
      <c r="D699" s="36">
        <f t="shared" ref="D699" si="1174">$C698*D698</f>
        <v>41911.698512000003</v>
      </c>
      <c r="E699" s="36">
        <f t="shared" ref="E699:AB699" si="1175">$C698*E698</f>
        <v>0</v>
      </c>
      <c r="F699" s="36">
        <f t="shared" si="1175"/>
        <v>0</v>
      </c>
      <c r="G699" s="36">
        <f t="shared" si="1175"/>
        <v>0</v>
      </c>
      <c r="H699" s="36">
        <f t="shared" si="1175"/>
        <v>0</v>
      </c>
      <c r="I699" s="36">
        <f t="shared" si="1175"/>
        <v>0</v>
      </c>
      <c r="J699" s="36">
        <f t="shared" si="1175"/>
        <v>0</v>
      </c>
      <c r="K699" s="36">
        <f t="shared" si="1175"/>
        <v>0</v>
      </c>
      <c r="L699" s="36">
        <f t="shared" si="1175"/>
        <v>0</v>
      </c>
      <c r="M699" s="36">
        <f t="shared" si="1175"/>
        <v>0</v>
      </c>
      <c r="N699" s="36">
        <f t="shared" si="1175"/>
        <v>0</v>
      </c>
      <c r="O699" s="36">
        <f t="shared" si="1175"/>
        <v>0</v>
      </c>
      <c r="P699" s="36">
        <f t="shared" si="1175"/>
        <v>0</v>
      </c>
      <c r="Q699" s="36">
        <f t="shared" si="1175"/>
        <v>0</v>
      </c>
      <c r="R699" s="36">
        <f t="shared" si="1175"/>
        <v>0</v>
      </c>
      <c r="S699" s="36">
        <f t="shared" si="1175"/>
        <v>155094.03286000001</v>
      </c>
      <c r="T699" s="36">
        <f t="shared" si="1175"/>
        <v>262466.82484000002</v>
      </c>
      <c r="U699" s="36">
        <f t="shared" si="1175"/>
        <v>0</v>
      </c>
      <c r="V699" s="36">
        <f t="shared" si="1175"/>
        <v>0</v>
      </c>
      <c r="W699" s="36">
        <f t="shared" si="1175"/>
        <v>0</v>
      </c>
      <c r="X699" s="36">
        <f t="shared" si="1175"/>
        <v>557716.06732799998</v>
      </c>
      <c r="Y699" s="36">
        <f t="shared" si="1175"/>
        <v>20229.656460000002</v>
      </c>
      <c r="Z699" s="36">
        <f t="shared" si="1175"/>
        <v>0</v>
      </c>
      <c r="AA699" s="36">
        <f t="shared" si="1175"/>
        <v>0</v>
      </c>
      <c r="AB699" s="36">
        <f t="shared" si="1175"/>
        <v>0</v>
      </c>
      <c r="AC699" s="56"/>
      <c r="AD699" s="23"/>
    </row>
    <row r="700" spans="1:30" s="14" customFormat="1" ht="12.6" customHeight="1">
      <c r="A700" s="87" t="s">
        <v>588</v>
      </c>
      <c r="B700" s="26">
        <v>6957099.1200000001</v>
      </c>
      <c r="C700" s="130">
        <f t="shared" si="1092"/>
        <v>579758.26</v>
      </c>
      <c r="D700" s="35">
        <v>5.3800000000000001E-2</v>
      </c>
      <c r="E700" s="35"/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>
        <v>0.76739999999999997</v>
      </c>
      <c r="T700" s="35">
        <v>0.1192</v>
      </c>
      <c r="U700" s="35"/>
      <c r="V700" s="35"/>
      <c r="W700" s="35"/>
      <c r="X700" s="35">
        <v>5.7500000000000002E-2</v>
      </c>
      <c r="Y700" s="35">
        <v>2.0999999999999999E-3</v>
      </c>
      <c r="Z700" s="37"/>
      <c r="AA700" s="37"/>
      <c r="AB700" s="37"/>
      <c r="AC700" s="56"/>
      <c r="AD700" s="23"/>
    </row>
    <row r="701" spans="1:30" s="14" customFormat="1">
      <c r="A701" s="82"/>
      <c r="B701" s="29"/>
      <c r="C701" s="130"/>
      <c r="D701" s="36">
        <f t="shared" ref="D701:S705" si="1176">$C700*D700</f>
        <v>31190.994387999999</v>
      </c>
      <c r="E701" s="36">
        <f t="shared" ref="E701:AB701" si="1177">$C700*E700</f>
        <v>0</v>
      </c>
      <c r="F701" s="36">
        <f t="shared" si="1177"/>
        <v>0</v>
      </c>
      <c r="G701" s="36">
        <f t="shared" si="1177"/>
        <v>0</v>
      </c>
      <c r="H701" s="36">
        <f t="shared" si="1177"/>
        <v>0</v>
      </c>
      <c r="I701" s="36">
        <f t="shared" si="1177"/>
        <v>0</v>
      </c>
      <c r="J701" s="36">
        <f t="shared" si="1177"/>
        <v>0</v>
      </c>
      <c r="K701" s="36">
        <f t="shared" si="1177"/>
        <v>0</v>
      </c>
      <c r="L701" s="36">
        <f t="shared" si="1177"/>
        <v>0</v>
      </c>
      <c r="M701" s="36">
        <f t="shared" si="1177"/>
        <v>0</v>
      </c>
      <c r="N701" s="36">
        <f t="shared" si="1177"/>
        <v>0</v>
      </c>
      <c r="O701" s="36">
        <f t="shared" si="1177"/>
        <v>0</v>
      </c>
      <c r="P701" s="36">
        <f t="shared" si="1177"/>
        <v>0</v>
      </c>
      <c r="Q701" s="36">
        <f t="shared" si="1177"/>
        <v>0</v>
      </c>
      <c r="R701" s="36">
        <f t="shared" si="1177"/>
        <v>0</v>
      </c>
      <c r="S701" s="36">
        <f t="shared" si="1177"/>
        <v>444906.488724</v>
      </c>
      <c r="T701" s="36">
        <f t="shared" si="1177"/>
        <v>69107.184592000005</v>
      </c>
      <c r="U701" s="36">
        <f t="shared" si="1177"/>
        <v>0</v>
      </c>
      <c r="V701" s="36">
        <f t="shared" si="1177"/>
        <v>0</v>
      </c>
      <c r="W701" s="36">
        <f t="shared" si="1177"/>
        <v>0</v>
      </c>
      <c r="X701" s="36">
        <f t="shared" si="1177"/>
        <v>33336.099950000003</v>
      </c>
      <c r="Y701" s="36">
        <f t="shared" si="1177"/>
        <v>1217.492346</v>
      </c>
      <c r="Z701" s="36">
        <f t="shared" si="1177"/>
        <v>0</v>
      </c>
      <c r="AA701" s="36">
        <f t="shared" si="1177"/>
        <v>0</v>
      </c>
      <c r="AB701" s="36">
        <f t="shared" si="1177"/>
        <v>0</v>
      </c>
      <c r="AC701" s="56"/>
      <c r="AD701" s="23"/>
    </row>
    <row r="702" spans="1:30" s="14" customFormat="1" ht="12.6" customHeight="1">
      <c r="A702" s="87" t="s">
        <v>600</v>
      </c>
      <c r="B702" s="26">
        <v>2847894.45</v>
      </c>
      <c r="C702" s="130">
        <f t="shared" ref="C702" si="1178">ROUND(B702/12,2)</f>
        <v>237324.54</v>
      </c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>
        <v>0.26740000000000003</v>
      </c>
      <c r="R702" s="35"/>
      <c r="S702" s="35">
        <v>4.4400000000000002E-2</v>
      </c>
      <c r="T702" s="35">
        <v>4.3E-3</v>
      </c>
      <c r="U702" s="35"/>
      <c r="V702" s="35"/>
      <c r="W702" s="35"/>
      <c r="X702" s="35">
        <v>0.66</v>
      </c>
      <c r="Y702" s="35">
        <v>2.3900000000000001E-2</v>
      </c>
      <c r="Z702" s="37"/>
      <c r="AA702" s="37"/>
      <c r="AB702" s="37"/>
      <c r="AC702" s="56"/>
      <c r="AD702" s="23"/>
    </row>
    <row r="703" spans="1:30" s="14" customFormat="1">
      <c r="A703" s="82"/>
      <c r="B703" s="29"/>
      <c r="C703" s="130"/>
      <c r="D703" s="36">
        <f t="shared" ref="D703:AB703" si="1179">$C702*D702</f>
        <v>0</v>
      </c>
      <c r="E703" s="36">
        <f t="shared" si="1179"/>
        <v>0</v>
      </c>
      <c r="F703" s="36">
        <f t="shared" si="1179"/>
        <v>0</v>
      </c>
      <c r="G703" s="36">
        <f t="shared" si="1179"/>
        <v>0</v>
      </c>
      <c r="H703" s="36">
        <f t="shared" si="1179"/>
        <v>0</v>
      </c>
      <c r="I703" s="36">
        <f t="shared" si="1179"/>
        <v>0</v>
      </c>
      <c r="J703" s="36">
        <f t="shared" si="1179"/>
        <v>0</v>
      </c>
      <c r="K703" s="36">
        <f t="shared" si="1179"/>
        <v>0</v>
      </c>
      <c r="L703" s="36">
        <f t="shared" si="1179"/>
        <v>0</v>
      </c>
      <c r="M703" s="36">
        <f t="shared" si="1179"/>
        <v>0</v>
      </c>
      <c r="N703" s="36">
        <f t="shared" si="1179"/>
        <v>0</v>
      </c>
      <c r="O703" s="36">
        <f t="shared" si="1179"/>
        <v>0</v>
      </c>
      <c r="P703" s="36">
        <f t="shared" si="1179"/>
        <v>0</v>
      </c>
      <c r="Q703" s="36">
        <f t="shared" si="1179"/>
        <v>63460.581996000008</v>
      </c>
      <c r="R703" s="36">
        <f t="shared" si="1179"/>
        <v>0</v>
      </c>
      <c r="S703" s="36">
        <f t="shared" si="1179"/>
        <v>10537.209576000001</v>
      </c>
      <c r="T703" s="36">
        <f t="shared" si="1179"/>
        <v>1020.4955220000001</v>
      </c>
      <c r="U703" s="36">
        <f t="shared" si="1179"/>
        <v>0</v>
      </c>
      <c r="V703" s="36">
        <f t="shared" si="1179"/>
        <v>0</v>
      </c>
      <c r="W703" s="36">
        <f t="shared" si="1179"/>
        <v>0</v>
      </c>
      <c r="X703" s="36">
        <f t="shared" si="1179"/>
        <v>156634.19640000002</v>
      </c>
      <c r="Y703" s="36">
        <f t="shared" si="1179"/>
        <v>5672.0565060000008</v>
      </c>
      <c r="Z703" s="36">
        <f t="shared" si="1179"/>
        <v>0</v>
      </c>
      <c r="AA703" s="36">
        <f t="shared" si="1179"/>
        <v>0</v>
      </c>
      <c r="AB703" s="36">
        <f t="shared" si="1179"/>
        <v>0</v>
      </c>
      <c r="AC703" s="56"/>
      <c r="AD703" s="23"/>
    </row>
    <row r="704" spans="1:30" s="14" customFormat="1">
      <c r="A704" s="87" t="s">
        <v>601</v>
      </c>
      <c r="B704" s="26">
        <v>1120556.5900000001</v>
      </c>
      <c r="C704" s="130">
        <f t="shared" ref="C704" si="1180">ROUND(B704/12,2)</f>
        <v>93379.72</v>
      </c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>
        <v>0.311</v>
      </c>
      <c r="R704" s="35"/>
      <c r="S704" s="35">
        <v>3.9699999999999999E-2</v>
      </c>
      <c r="T704" s="35">
        <v>2.8999999999999998E-3</v>
      </c>
      <c r="U704" s="35"/>
      <c r="V704" s="35"/>
      <c r="W704" s="35"/>
      <c r="X704" s="35">
        <v>0.62380000000000002</v>
      </c>
      <c r="Y704" s="35">
        <v>2.2599999999999999E-2</v>
      </c>
      <c r="Z704" s="37"/>
      <c r="AA704" s="37"/>
      <c r="AB704" s="37"/>
      <c r="AC704" s="56"/>
      <c r="AD704" s="23"/>
    </row>
    <row r="705" spans="1:30" s="14" customFormat="1">
      <c r="A705" s="82"/>
      <c r="B705" s="29"/>
      <c r="C705" s="130"/>
      <c r="D705" s="36">
        <f t="shared" si="1176"/>
        <v>0</v>
      </c>
      <c r="E705" s="36">
        <f t="shared" si="1176"/>
        <v>0</v>
      </c>
      <c r="F705" s="36">
        <f t="shared" si="1176"/>
        <v>0</v>
      </c>
      <c r="G705" s="36">
        <f t="shared" si="1176"/>
        <v>0</v>
      </c>
      <c r="H705" s="36">
        <f t="shared" si="1176"/>
        <v>0</v>
      </c>
      <c r="I705" s="36">
        <f t="shared" si="1176"/>
        <v>0</v>
      </c>
      <c r="J705" s="36">
        <f t="shared" si="1176"/>
        <v>0</v>
      </c>
      <c r="K705" s="36">
        <f t="shared" si="1176"/>
        <v>0</v>
      </c>
      <c r="L705" s="36">
        <f t="shared" si="1176"/>
        <v>0</v>
      </c>
      <c r="M705" s="36">
        <f t="shared" si="1176"/>
        <v>0</v>
      </c>
      <c r="N705" s="36">
        <f t="shared" si="1176"/>
        <v>0</v>
      </c>
      <c r="O705" s="36">
        <f t="shared" si="1176"/>
        <v>0</v>
      </c>
      <c r="P705" s="36">
        <f t="shared" si="1176"/>
        <v>0</v>
      </c>
      <c r="Q705" s="36">
        <f t="shared" si="1176"/>
        <v>29041.092919999999</v>
      </c>
      <c r="R705" s="36">
        <f t="shared" si="1176"/>
        <v>0</v>
      </c>
      <c r="S705" s="36">
        <f t="shared" si="1176"/>
        <v>3707.174884</v>
      </c>
      <c r="T705" s="36">
        <f t="shared" ref="T705:AB705" si="1181">$C704*T704</f>
        <v>270.80118799999997</v>
      </c>
      <c r="U705" s="36">
        <f t="shared" si="1181"/>
        <v>0</v>
      </c>
      <c r="V705" s="36">
        <f t="shared" si="1181"/>
        <v>0</v>
      </c>
      <c r="W705" s="36">
        <f t="shared" si="1181"/>
        <v>0</v>
      </c>
      <c r="X705" s="36">
        <f t="shared" si="1181"/>
        <v>58250.269336000005</v>
      </c>
      <c r="Y705" s="36">
        <f t="shared" si="1181"/>
        <v>2110.381672</v>
      </c>
      <c r="Z705" s="36">
        <f t="shared" si="1181"/>
        <v>0</v>
      </c>
      <c r="AA705" s="36">
        <f t="shared" si="1181"/>
        <v>0</v>
      </c>
      <c r="AB705" s="36">
        <f t="shared" si="1181"/>
        <v>0</v>
      </c>
      <c r="AC705" s="56"/>
      <c r="AD705" s="23"/>
    </row>
    <row r="706" spans="1:30" s="14" customFormat="1">
      <c r="A706" s="87" t="s">
        <v>613</v>
      </c>
      <c r="B706" s="26">
        <v>1334564.24</v>
      </c>
      <c r="C706" s="130">
        <f>ROUND(B706/12,2)</f>
        <v>111213.69</v>
      </c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>
        <v>0.96499999999999997</v>
      </c>
      <c r="Y706" s="35">
        <v>3.5000000000000003E-2</v>
      </c>
      <c r="Z706" s="37"/>
      <c r="AA706" s="37"/>
      <c r="AB706" s="37"/>
      <c r="AC706" s="56"/>
      <c r="AD706" s="23"/>
    </row>
    <row r="707" spans="1:30" s="14" customFormat="1">
      <c r="A707" s="82"/>
      <c r="B707" s="29"/>
      <c r="C707" s="130"/>
      <c r="D707" s="36">
        <f t="shared" ref="D707:AB707" si="1182">$C706*D706</f>
        <v>0</v>
      </c>
      <c r="E707" s="36">
        <f t="shared" si="1182"/>
        <v>0</v>
      </c>
      <c r="F707" s="36">
        <f t="shared" si="1182"/>
        <v>0</v>
      </c>
      <c r="G707" s="36">
        <f t="shared" si="1182"/>
        <v>0</v>
      </c>
      <c r="H707" s="36">
        <f t="shared" si="1182"/>
        <v>0</v>
      </c>
      <c r="I707" s="36">
        <f t="shared" si="1182"/>
        <v>0</v>
      </c>
      <c r="J707" s="36">
        <f t="shared" si="1182"/>
        <v>0</v>
      </c>
      <c r="K707" s="36">
        <f t="shared" si="1182"/>
        <v>0</v>
      </c>
      <c r="L707" s="36">
        <f t="shared" si="1182"/>
        <v>0</v>
      </c>
      <c r="M707" s="36">
        <f t="shared" si="1182"/>
        <v>0</v>
      </c>
      <c r="N707" s="36">
        <f t="shared" si="1182"/>
        <v>0</v>
      </c>
      <c r="O707" s="36">
        <f t="shared" si="1182"/>
        <v>0</v>
      </c>
      <c r="P707" s="36">
        <f t="shared" si="1182"/>
        <v>0</v>
      </c>
      <c r="Q707" s="36">
        <f t="shared" si="1182"/>
        <v>0</v>
      </c>
      <c r="R707" s="36">
        <f t="shared" si="1182"/>
        <v>0</v>
      </c>
      <c r="S707" s="36">
        <f t="shared" si="1182"/>
        <v>0</v>
      </c>
      <c r="T707" s="36">
        <f t="shared" si="1182"/>
        <v>0</v>
      </c>
      <c r="U707" s="36">
        <f t="shared" si="1182"/>
        <v>0</v>
      </c>
      <c r="V707" s="36">
        <f t="shared" si="1182"/>
        <v>0</v>
      </c>
      <c r="W707" s="36">
        <f t="shared" si="1182"/>
        <v>0</v>
      </c>
      <c r="X707" s="36">
        <f t="shared" si="1182"/>
        <v>107321.21085</v>
      </c>
      <c r="Y707" s="36">
        <f t="shared" si="1182"/>
        <v>3892.4791500000006</v>
      </c>
      <c r="Z707" s="36">
        <f t="shared" si="1182"/>
        <v>0</v>
      </c>
      <c r="AA707" s="36">
        <f t="shared" si="1182"/>
        <v>0</v>
      </c>
      <c r="AB707" s="36">
        <f t="shared" si="1182"/>
        <v>0</v>
      </c>
      <c r="AC707" s="56"/>
      <c r="AD707" s="23"/>
    </row>
    <row r="708" spans="1:30" s="14" customFormat="1">
      <c r="A708" s="87" t="s">
        <v>614</v>
      </c>
      <c r="B708" s="26">
        <v>8383868.1799999997</v>
      </c>
      <c r="C708" s="130">
        <f>ROUND(B708/12,2)</f>
        <v>698655.68</v>
      </c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>
        <v>0.96499999999999997</v>
      </c>
      <c r="Y708" s="35">
        <v>3.5000000000000003E-2</v>
      </c>
      <c r="Z708" s="37"/>
      <c r="AA708" s="37"/>
      <c r="AB708" s="37"/>
      <c r="AC708" s="56"/>
      <c r="AD708" s="23"/>
    </row>
    <row r="709" spans="1:30" s="14" customFormat="1">
      <c r="A709" s="82"/>
      <c r="B709" s="29"/>
      <c r="C709" s="130"/>
      <c r="D709" s="36">
        <f t="shared" ref="D709:AB709" si="1183">$C708*D708</f>
        <v>0</v>
      </c>
      <c r="E709" s="36">
        <f t="shared" si="1183"/>
        <v>0</v>
      </c>
      <c r="F709" s="36">
        <f t="shared" si="1183"/>
        <v>0</v>
      </c>
      <c r="G709" s="36">
        <f t="shared" si="1183"/>
        <v>0</v>
      </c>
      <c r="H709" s="36">
        <f t="shared" si="1183"/>
        <v>0</v>
      </c>
      <c r="I709" s="36">
        <f t="shared" si="1183"/>
        <v>0</v>
      </c>
      <c r="J709" s="36">
        <f t="shared" si="1183"/>
        <v>0</v>
      </c>
      <c r="K709" s="36">
        <f t="shared" si="1183"/>
        <v>0</v>
      </c>
      <c r="L709" s="36">
        <f t="shared" si="1183"/>
        <v>0</v>
      </c>
      <c r="M709" s="36">
        <f t="shared" si="1183"/>
        <v>0</v>
      </c>
      <c r="N709" s="36">
        <f t="shared" si="1183"/>
        <v>0</v>
      </c>
      <c r="O709" s="36">
        <f t="shared" si="1183"/>
        <v>0</v>
      </c>
      <c r="P709" s="36">
        <f t="shared" si="1183"/>
        <v>0</v>
      </c>
      <c r="Q709" s="36">
        <f t="shared" si="1183"/>
        <v>0</v>
      </c>
      <c r="R709" s="36">
        <f t="shared" si="1183"/>
        <v>0</v>
      </c>
      <c r="S709" s="36">
        <f t="shared" si="1183"/>
        <v>0</v>
      </c>
      <c r="T709" s="36">
        <f t="shared" si="1183"/>
        <v>0</v>
      </c>
      <c r="U709" s="36">
        <f t="shared" si="1183"/>
        <v>0</v>
      </c>
      <c r="V709" s="36">
        <f t="shared" si="1183"/>
        <v>0</v>
      </c>
      <c r="W709" s="36">
        <f t="shared" si="1183"/>
        <v>0</v>
      </c>
      <c r="X709" s="36">
        <f t="shared" si="1183"/>
        <v>674202.73120000004</v>
      </c>
      <c r="Y709" s="36">
        <f t="shared" si="1183"/>
        <v>24452.948800000006</v>
      </c>
      <c r="Z709" s="36">
        <f t="shared" si="1183"/>
        <v>0</v>
      </c>
      <c r="AA709" s="36">
        <f t="shared" si="1183"/>
        <v>0</v>
      </c>
      <c r="AB709" s="36">
        <f t="shared" si="1183"/>
        <v>0</v>
      </c>
      <c r="AC709" s="56"/>
      <c r="AD709" s="23"/>
    </row>
    <row r="710" spans="1:30" s="14" customFormat="1">
      <c r="A710" s="87" t="s">
        <v>615</v>
      </c>
      <c r="B710" s="26">
        <v>1580424.54</v>
      </c>
      <c r="C710" s="130">
        <f>ROUND(B710/12,2)</f>
        <v>131702.04999999999</v>
      </c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>
        <v>0.96499999999999997</v>
      </c>
      <c r="Y710" s="35">
        <v>3.5000000000000003E-2</v>
      </c>
      <c r="Z710" s="37"/>
      <c r="AA710" s="37"/>
      <c r="AB710" s="37"/>
      <c r="AC710" s="56"/>
      <c r="AD710" s="23"/>
    </row>
    <row r="711" spans="1:30" s="14" customFormat="1">
      <c r="A711" s="82"/>
      <c r="B711" s="29"/>
      <c r="C711" s="130"/>
      <c r="D711" s="36">
        <f t="shared" ref="D711:AB711" si="1184">$C710*D710</f>
        <v>0</v>
      </c>
      <c r="E711" s="36">
        <f t="shared" si="1184"/>
        <v>0</v>
      </c>
      <c r="F711" s="36">
        <f t="shared" si="1184"/>
        <v>0</v>
      </c>
      <c r="G711" s="36">
        <f t="shared" si="1184"/>
        <v>0</v>
      </c>
      <c r="H711" s="36">
        <f t="shared" si="1184"/>
        <v>0</v>
      </c>
      <c r="I711" s="36">
        <f t="shared" si="1184"/>
        <v>0</v>
      </c>
      <c r="J711" s="36">
        <f t="shared" si="1184"/>
        <v>0</v>
      </c>
      <c r="K711" s="36">
        <f t="shared" si="1184"/>
        <v>0</v>
      </c>
      <c r="L711" s="36">
        <f t="shared" si="1184"/>
        <v>0</v>
      </c>
      <c r="M711" s="36">
        <f t="shared" si="1184"/>
        <v>0</v>
      </c>
      <c r="N711" s="36">
        <f t="shared" si="1184"/>
        <v>0</v>
      </c>
      <c r="O711" s="36">
        <f t="shared" si="1184"/>
        <v>0</v>
      </c>
      <c r="P711" s="36">
        <f t="shared" si="1184"/>
        <v>0</v>
      </c>
      <c r="Q711" s="36">
        <f t="shared" si="1184"/>
        <v>0</v>
      </c>
      <c r="R711" s="36">
        <f t="shared" si="1184"/>
        <v>0</v>
      </c>
      <c r="S711" s="36">
        <f t="shared" si="1184"/>
        <v>0</v>
      </c>
      <c r="T711" s="36">
        <f t="shared" si="1184"/>
        <v>0</v>
      </c>
      <c r="U711" s="36">
        <f t="shared" si="1184"/>
        <v>0</v>
      </c>
      <c r="V711" s="36">
        <f t="shared" si="1184"/>
        <v>0</v>
      </c>
      <c r="W711" s="36">
        <f t="shared" si="1184"/>
        <v>0</v>
      </c>
      <c r="X711" s="36">
        <f t="shared" si="1184"/>
        <v>127092.47824999999</v>
      </c>
      <c r="Y711" s="36">
        <f t="shared" si="1184"/>
        <v>4609.5717500000001</v>
      </c>
      <c r="Z711" s="36">
        <f t="shared" si="1184"/>
        <v>0</v>
      </c>
      <c r="AA711" s="36">
        <f t="shared" si="1184"/>
        <v>0</v>
      </c>
      <c r="AB711" s="36">
        <f t="shared" si="1184"/>
        <v>0</v>
      </c>
      <c r="AC711" s="56"/>
      <c r="AD711" s="23"/>
    </row>
    <row r="712" spans="1:30" s="14" customFormat="1">
      <c r="A712" s="87" t="s">
        <v>616</v>
      </c>
      <c r="B712" s="26">
        <v>6536627.5800000001</v>
      </c>
      <c r="C712" s="130">
        <f>ROUND(B712/12,2)</f>
        <v>544718.97</v>
      </c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>
        <v>0.96499999999999997</v>
      </c>
      <c r="Y712" s="35">
        <v>3.5000000000000003E-2</v>
      </c>
      <c r="Z712" s="37"/>
      <c r="AA712" s="37"/>
      <c r="AB712" s="37"/>
      <c r="AC712" s="56"/>
      <c r="AD712" s="23"/>
    </row>
    <row r="713" spans="1:30" s="14" customFormat="1">
      <c r="A713" s="82"/>
      <c r="B713" s="29"/>
      <c r="C713" s="130"/>
      <c r="D713" s="36">
        <f t="shared" ref="D713:AB713" si="1185">$C712*D712</f>
        <v>0</v>
      </c>
      <c r="E713" s="36">
        <f t="shared" si="1185"/>
        <v>0</v>
      </c>
      <c r="F713" s="36">
        <f t="shared" si="1185"/>
        <v>0</v>
      </c>
      <c r="G713" s="36">
        <f t="shared" si="1185"/>
        <v>0</v>
      </c>
      <c r="H713" s="36">
        <f t="shared" si="1185"/>
        <v>0</v>
      </c>
      <c r="I713" s="36">
        <f t="shared" si="1185"/>
        <v>0</v>
      </c>
      <c r="J713" s="36">
        <f t="shared" si="1185"/>
        <v>0</v>
      </c>
      <c r="K713" s="36">
        <f t="shared" si="1185"/>
        <v>0</v>
      </c>
      <c r="L713" s="36">
        <f t="shared" si="1185"/>
        <v>0</v>
      </c>
      <c r="M713" s="36">
        <f t="shared" si="1185"/>
        <v>0</v>
      </c>
      <c r="N713" s="36">
        <f t="shared" si="1185"/>
        <v>0</v>
      </c>
      <c r="O713" s="36">
        <f t="shared" si="1185"/>
        <v>0</v>
      </c>
      <c r="P713" s="36">
        <f t="shared" si="1185"/>
        <v>0</v>
      </c>
      <c r="Q713" s="36">
        <f t="shared" si="1185"/>
        <v>0</v>
      </c>
      <c r="R713" s="36">
        <f t="shared" si="1185"/>
        <v>0</v>
      </c>
      <c r="S713" s="36">
        <f t="shared" si="1185"/>
        <v>0</v>
      </c>
      <c r="T713" s="36">
        <f t="shared" si="1185"/>
        <v>0</v>
      </c>
      <c r="U713" s="36">
        <f t="shared" si="1185"/>
        <v>0</v>
      </c>
      <c r="V713" s="36">
        <f t="shared" si="1185"/>
        <v>0</v>
      </c>
      <c r="W713" s="36">
        <f t="shared" si="1185"/>
        <v>0</v>
      </c>
      <c r="X713" s="36">
        <f t="shared" si="1185"/>
        <v>525653.80605000001</v>
      </c>
      <c r="Y713" s="36">
        <f t="shared" si="1185"/>
        <v>19065.163950000002</v>
      </c>
      <c r="Z713" s="36">
        <f t="shared" si="1185"/>
        <v>0</v>
      </c>
      <c r="AA713" s="36">
        <f t="shared" si="1185"/>
        <v>0</v>
      </c>
      <c r="AB713" s="36">
        <f t="shared" si="1185"/>
        <v>0</v>
      </c>
      <c r="AC713" s="56"/>
      <c r="AD713" s="23"/>
    </row>
    <row r="714" spans="1:30" s="14" customFormat="1">
      <c r="A714" s="87" t="s">
        <v>617</v>
      </c>
      <c r="B714" s="26">
        <v>8135153.0700000003</v>
      </c>
      <c r="C714" s="130">
        <f>ROUND(B714/12,2)</f>
        <v>677929.42</v>
      </c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>
        <v>0.96499999999999997</v>
      </c>
      <c r="Y714" s="35">
        <v>3.5000000000000003E-2</v>
      </c>
      <c r="Z714" s="37"/>
      <c r="AA714" s="37"/>
      <c r="AB714" s="37"/>
      <c r="AC714" s="56"/>
      <c r="AD714" s="23"/>
    </row>
    <row r="715" spans="1:30" s="14" customFormat="1">
      <c r="A715" s="82"/>
      <c r="B715" s="29"/>
      <c r="C715" s="130"/>
      <c r="D715" s="36">
        <f t="shared" ref="D715:AB715" si="1186">$C714*D714</f>
        <v>0</v>
      </c>
      <c r="E715" s="36">
        <f t="shared" si="1186"/>
        <v>0</v>
      </c>
      <c r="F715" s="36">
        <f t="shared" si="1186"/>
        <v>0</v>
      </c>
      <c r="G715" s="36">
        <f t="shared" si="1186"/>
        <v>0</v>
      </c>
      <c r="H715" s="36">
        <f t="shared" si="1186"/>
        <v>0</v>
      </c>
      <c r="I715" s="36">
        <f t="shared" si="1186"/>
        <v>0</v>
      </c>
      <c r="J715" s="36">
        <f t="shared" si="1186"/>
        <v>0</v>
      </c>
      <c r="K715" s="36">
        <f t="shared" si="1186"/>
        <v>0</v>
      </c>
      <c r="L715" s="36">
        <f t="shared" si="1186"/>
        <v>0</v>
      </c>
      <c r="M715" s="36">
        <f t="shared" si="1186"/>
        <v>0</v>
      </c>
      <c r="N715" s="36">
        <f t="shared" si="1186"/>
        <v>0</v>
      </c>
      <c r="O715" s="36">
        <f t="shared" si="1186"/>
        <v>0</v>
      </c>
      <c r="P715" s="36">
        <f t="shared" si="1186"/>
        <v>0</v>
      </c>
      <c r="Q715" s="36">
        <f t="shared" si="1186"/>
        <v>0</v>
      </c>
      <c r="R715" s="36">
        <f t="shared" si="1186"/>
        <v>0</v>
      </c>
      <c r="S715" s="36">
        <f t="shared" si="1186"/>
        <v>0</v>
      </c>
      <c r="T715" s="36">
        <f t="shared" si="1186"/>
        <v>0</v>
      </c>
      <c r="U715" s="36">
        <f t="shared" si="1186"/>
        <v>0</v>
      </c>
      <c r="V715" s="36">
        <f t="shared" si="1186"/>
        <v>0</v>
      </c>
      <c r="W715" s="36">
        <f t="shared" si="1186"/>
        <v>0</v>
      </c>
      <c r="X715" s="36">
        <f t="shared" si="1186"/>
        <v>654201.89029999997</v>
      </c>
      <c r="Y715" s="36">
        <f t="shared" si="1186"/>
        <v>23727.529700000003</v>
      </c>
      <c r="Z715" s="36">
        <f t="shared" si="1186"/>
        <v>0</v>
      </c>
      <c r="AA715" s="36">
        <f t="shared" si="1186"/>
        <v>0</v>
      </c>
      <c r="AB715" s="36">
        <f t="shared" si="1186"/>
        <v>0</v>
      </c>
      <c r="AC715" s="56"/>
      <c r="AD715" s="23"/>
    </row>
    <row r="716" spans="1:30" s="14" customFormat="1">
      <c r="A716" s="87" t="s">
        <v>618</v>
      </c>
      <c r="B716" s="26">
        <v>2664932.23</v>
      </c>
      <c r="C716" s="130">
        <f>ROUND(B716/12,2)</f>
        <v>222077.69</v>
      </c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>
        <v>0.96499999999999997</v>
      </c>
      <c r="Y716" s="35">
        <v>3.5000000000000003E-2</v>
      </c>
      <c r="Z716" s="37"/>
      <c r="AA716" s="37"/>
      <c r="AB716" s="37"/>
      <c r="AC716" s="56"/>
      <c r="AD716" s="23"/>
    </row>
    <row r="717" spans="1:30" s="14" customFormat="1">
      <c r="A717" s="82"/>
      <c r="B717" s="29"/>
      <c r="C717" s="130"/>
      <c r="D717" s="36">
        <f t="shared" ref="D717:AB717" si="1187">$C716*D716</f>
        <v>0</v>
      </c>
      <c r="E717" s="36">
        <f t="shared" si="1187"/>
        <v>0</v>
      </c>
      <c r="F717" s="36">
        <f t="shared" si="1187"/>
        <v>0</v>
      </c>
      <c r="G717" s="36">
        <f t="shared" si="1187"/>
        <v>0</v>
      </c>
      <c r="H717" s="36">
        <f t="shared" si="1187"/>
        <v>0</v>
      </c>
      <c r="I717" s="36">
        <f t="shared" si="1187"/>
        <v>0</v>
      </c>
      <c r="J717" s="36">
        <f t="shared" si="1187"/>
        <v>0</v>
      </c>
      <c r="K717" s="36">
        <f t="shared" si="1187"/>
        <v>0</v>
      </c>
      <c r="L717" s="36">
        <f t="shared" si="1187"/>
        <v>0</v>
      </c>
      <c r="M717" s="36">
        <f t="shared" si="1187"/>
        <v>0</v>
      </c>
      <c r="N717" s="36">
        <f t="shared" si="1187"/>
        <v>0</v>
      </c>
      <c r="O717" s="36">
        <f t="shared" si="1187"/>
        <v>0</v>
      </c>
      <c r="P717" s="36">
        <f t="shared" si="1187"/>
        <v>0</v>
      </c>
      <c r="Q717" s="36">
        <f t="shared" si="1187"/>
        <v>0</v>
      </c>
      <c r="R717" s="36">
        <f t="shared" si="1187"/>
        <v>0</v>
      </c>
      <c r="S717" s="36">
        <f t="shared" si="1187"/>
        <v>0</v>
      </c>
      <c r="T717" s="36">
        <f t="shared" si="1187"/>
        <v>0</v>
      </c>
      <c r="U717" s="36">
        <f t="shared" si="1187"/>
        <v>0</v>
      </c>
      <c r="V717" s="36">
        <f t="shared" si="1187"/>
        <v>0</v>
      </c>
      <c r="W717" s="36">
        <f t="shared" si="1187"/>
        <v>0</v>
      </c>
      <c r="X717" s="36">
        <f t="shared" si="1187"/>
        <v>214304.97084999998</v>
      </c>
      <c r="Y717" s="36">
        <f t="shared" si="1187"/>
        <v>7772.7191500000008</v>
      </c>
      <c r="Z717" s="36">
        <f t="shared" si="1187"/>
        <v>0</v>
      </c>
      <c r="AA717" s="36">
        <f t="shared" si="1187"/>
        <v>0</v>
      </c>
      <c r="AB717" s="36">
        <f t="shared" si="1187"/>
        <v>0</v>
      </c>
      <c r="AC717" s="56"/>
      <c r="AD717" s="23"/>
    </row>
    <row r="718" spans="1:30" s="14" customFormat="1">
      <c r="A718" s="87" t="s">
        <v>619</v>
      </c>
      <c r="B718" s="26">
        <v>2005454.37</v>
      </c>
      <c r="C718" s="130">
        <f>ROUND(B718/12,2)</f>
        <v>167121.20000000001</v>
      </c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>
        <v>0.96499999999999997</v>
      </c>
      <c r="Y718" s="35">
        <v>3.5000000000000003E-2</v>
      </c>
      <c r="Z718" s="37"/>
      <c r="AA718" s="37"/>
      <c r="AB718" s="37"/>
      <c r="AC718" s="56"/>
      <c r="AD718" s="23"/>
    </row>
    <row r="719" spans="1:30" s="14" customFormat="1">
      <c r="A719" s="82"/>
      <c r="B719" s="29"/>
      <c r="C719" s="130"/>
      <c r="D719" s="36">
        <f t="shared" ref="D719:AB719" si="1188">$C718*D718</f>
        <v>0</v>
      </c>
      <c r="E719" s="36">
        <f t="shared" si="1188"/>
        <v>0</v>
      </c>
      <c r="F719" s="36">
        <f t="shared" si="1188"/>
        <v>0</v>
      </c>
      <c r="G719" s="36">
        <f t="shared" si="1188"/>
        <v>0</v>
      </c>
      <c r="H719" s="36">
        <f t="shared" si="1188"/>
        <v>0</v>
      </c>
      <c r="I719" s="36">
        <f t="shared" si="1188"/>
        <v>0</v>
      </c>
      <c r="J719" s="36">
        <f t="shared" si="1188"/>
        <v>0</v>
      </c>
      <c r="K719" s="36">
        <f t="shared" si="1188"/>
        <v>0</v>
      </c>
      <c r="L719" s="36">
        <f t="shared" si="1188"/>
        <v>0</v>
      </c>
      <c r="M719" s="36">
        <f t="shared" si="1188"/>
        <v>0</v>
      </c>
      <c r="N719" s="36">
        <f t="shared" si="1188"/>
        <v>0</v>
      </c>
      <c r="O719" s="36">
        <f t="shared" si="1188"/>
        <v>0</v>
      </c>
      <c r="P719" s="36">
        <f t="shared" si="1188"/>
        <v>0</v>
      </c>
      <c r="Q719" s="36">
        <f t="shared" si="1188"/>
        <v>0</v>
      </c>
      <c r="R719" s="36">
        <f t="shared" si="1188"/>
        <v>0</v>
      </c>
      <c r="S719" s="36">
        <f t="shared" si="1188"/>
        <v>0</v>
      </c>
      <c r="T719" s="36">
        <f t="shared" si="1188"/>
        <v>0</v>
      </c>
      <c r="U719" s="36">
        <f t="shared" si="1188"/>
        <v>0</v>
      </c>
      <c r="V719" s="36">
        <f t="shared" si="1188"/>
        <v>0</v>
      </c>
      <c r="W719" s="36">
        <f t="shared" si="1188"/>
        <v>0</v>
      </c>
      <c r="X719" s="36">
        <f t="shared" si="1188"/>
        <v>161271.95800000001</v>
      </c>
      <c r="Y719" s="36">
        <f t="shared" si="1188"/>
        <v>5849.2420000000011</v>
      </c>
      <c r="Z719" s="36">
        <f t="shared" si="1188"/>
        <v>0</v>
      </c>
      <c r="AA719" s="36">
        <f t="shared" si="1188"/>
        <v>0</v>
      </c>
      <c r="AB719" s="36">
        <f t="shared" si="1188"/>
        <v>0</v>
      </c>
      <c r="AC719" s="56"/>
      <c r="AD719" s="23"/>
    </row>
    <row r="720" spans="1:30" s="14" customFormat="1">
      <c r="A720" s="87" t="s">
        <v>620</v>
      </c>
      <c r="B720" s="26">
        <v>2519197.67</v>
      </c>
      <c r="C720" s="130">
        <f>ROUND(B720/12,2)</f>
        <v>209933.14</v>
      </c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>
        <v>0.96499999999999997</v>
      </c>
      <c r="Y720" s="35">
        <v>3.5000000000000003E-2</v>
      </c>
      <c r="Z720" s="37"/>
      <c r="AA720" s="37"/>
      <c r="AB720" s="37"/>
      <c r="AC720" s="56"/>
      <c r="AD720" s="23"/>
    </row>
    <row r="721" spans="1:30" s="14" customFormat="1">
      <c r="A721" s="82"/>
      <c r="B721" s="29"/>
      <c r="C721" s="130"/>
      <c r="D721" s="36">
        <f t="shared" ref="D721:AB721" si="1189">$C720*D720</f>
        <v>0</v>
      </c>
      <c r="E721" s="36">
        <f t="shared" si="1189"/>
        <v>0</v>
      </c>
      <c r="F721" s="36">
        <f t="shared" si="1189"/>
        <v>0</v>
      </c>
      <c r="G721" s="36">
        <f t="shared" si="1189"/>
        <v>0</v>
      </c>
      <c r="H721" s="36">
        <f t="shared" si="1189"/>
        <v>0</v>
      </c>
      <c r="I721" s="36">
        <f t="shared" si="1189"/>
        <v>0</v>
      </c>
      <c r="J721" s="36">
        <f t="shared" si="1189"/>
        <v>0</v>
      </c>
      <c r="K721" s="36">
        <f t="shared" si="1189"/>
        <v>0</v>
      </c>
      <c r="L721" s="36">
        <f t="shared" si="1189"/>
        <v>0</v>
      </c>
      <c r="M721" s="36">
        <f t="shared" si="1189"/>
        <v>0</v>
      </c>
      <c r="N721" s="36">
        <f t="shared" si="1189"/>
        <v>0</v>
      </c>
      <c r="O721" s="36">
        <f t="shared" si="1189"/>
        <v>0</v>
      </c>
      <c r="P721" s="36">
        <f t="shared" si="1189"/>
        <v>0</v>
      </c>
      <c r="Q721" s="36">
        <f t="shared" si="1189"/>
        <v>0</v>
      </c>
      <c r="R721" s="36">
        <f t="shared" si="1189"/>
        <v>0</v>
      </c>
      <c r="S721" s="36">
        <f t="shared" si="1189"/>
        <v>0</v>
      </c>
      <c r="T721" s="36">
        <f t="shared" si="1189"/>
        <v>0</v>
      </c>
      <c r="U721" s="36">
        <f t="shared" si="1189"/>
        <v>0</v>
      </c>
      <c r="V721" s="36">
        <f t="shared" si="1189"/>
        <v>0</v>
      </c>
      <c r="W721" s="36">
        <f t="shared" si="1189"/>
        <v>0</v>
      </c>
      <c r="X721" s="36">
        <f t="shared" si="1189"/>
        <v>202585.48010000002</v>
      </c>
      <c r="Y721" s="36">
        <f t="shared" si="1189"/>
        <v>7347.6599000000015</v>
      </c>
      <c r="Z721" s="36">
        <f t="shared" si="1189"/>
        <v>0</v>
      </c>
      <c r="AA721" s="36">
        <f t="shared" si="1189"/>
        <v>0</v>
      </c>
      <c r="AB721" s="36">
        <f t="shared" si="1189"/>
        <v>0</v>
      </c>
      <c r="AC721" s="56"/>
      <c r="AD721" s="23"/>
    </row>
    <row r="722" spans="1:30" s="14" customFormat="1">
      <c r="A722" s="87" t="s">
        <v>621</v>
      </c>
      <c r="B722" s="26">
        <v>2529668.25</v>
      </c>
      <c r="C722" s="130">
        <f>ROUND(B722/12,2)</f>
        <v>210805.69</v>
      </c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>
        <v>0.96499999999999997</v>
      </c>
      <c r="Y722" s="35">
        <v>3.5000000000000003E-2</v>
      </c>
      <c r="Z722" s="37"/>
      <c r="AA722" s="37"/>
      <c r="AB722" s="37"/>
      <c r="AC722" s="56"/>
      <c r="AD722" s="23"/>
    </row>
    <row r="723" spans="1:30" s="14" customFormat="1">
      <c r="A723" s="82"/>
      <c r="B723" s="29"/>
      <c r="C723" s="130"/>
      <c r="D723" s="36">
        <f t="shared" ref="D723:AB723" si="1190">$C722*D722</f>
        <v>0</v>
      </c>
      <c r="E723" s="36">
        <f t="shared" si="1190"/>
        <v>0</v>
      </c>
      <c r="F723" s="36">
        <f t="shared" si="1190"/>
        <v>0</v>
      </c>
      <c r="G723" s="36">
        <f t="shared" si="1190"/>
        <v>0</v>
      </c>
      <c r="H723" s="36">
        <f t="shared" si="1190"/>
        <v>0</v>
      </c>
      <c r="I723" s="36">
        <f t="shared" si="1190"/>
        <v>0</v>
      </c>
      <c r="J723" s="36">
        <f t="shared" si="1190"/>
        <v>0</v>
      </c>
      <c r="K723" s="36">
        <f t="shared" si="1190"/>
        <v>0</v>
      </c>
      <c r="L723" s="36">
        <f t="shared" si="1190"/>
        <v>0</v>
      </c>
      <c r="M723" s="36">
        <f t="shared" si="1190"/>
        <v>0</v>
      </c>
      <c r="N723" s="36">
        <f t="shared" si="1190"/>
        <v>0</v>
      </c>
      <c r="O723" s="36">
        <f t="shared" si="1190"/>
        <v>0</v>
      </c>
      <c r="P723" s="36">
        <f t="shared" si="1190"/>
        <v>0</v>
      </c>
      <c r="Q723" s="36">
        <f t="shared" si="1190"/>
        <v>0</v>
      </c>
      <c r="R723" s="36">
        <f t="shared" si="1190"/>
        <v>0</v>
      </c>
      <c r="S723" s="36">
        <f t="shared" si="1190"/>
        <v>0</v>
      </c>
      <c r="T723" s="36">
        <f t="shared" si="1190"/>
        <v>0</v>
      </c>
      <c r="U723" s="36">
        <f t="shared" si="1190"/>
        <v>0</v>
      </c>
      <c r="V723" s="36">
        <f t="shared" si="1190"/>
        <v>0</v>
      </c>
      <c r="W723" s="36">
        <f t="shared" si="1190"/>
        <v>0</v>
      </c>
      <c r="X723" s="36">
        <f t="shared" si="1190"/>
        <v>203427.49085</v>
      </c>
      <c r="Y723" s="36">
        <f t="shared" si="1190"/>
        <v>7378.1991500000004</v>
      </c>
      <c r="Z723" s="36">
        <f t="shared" si="1190"/>
        <v>0</v>
      </c>
      <c r="AA723" s="36">
        <f t="shared" si="1190"/>
        <v>0</v>
      </c>
      <c r="AB723" s="36">
        <f t="shared" si="1190"/>
        <v>0</v>
      </c>
      <c r="AC723" s="56"/>
      <c r="AD723" s="23"/>
    </row>
    <row r="724" spans="1:30" s="14" customFormat="1">
      <c r="A724" s="87" t="s">
        <v>622</v>
      </c>
      <c r="B724" s="26">
        <v>1245325.74</v>
      </c>
      <c r="C724" s="130">
        <f>ROUND(B724/12,2)</f>
        <v>103777.15</v>
      </c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>
        <v>0.96499999999999997</v>
      </c>
      <c r="Y724" s="35">
        <v>3.5000000000000003E-2</v>
      </c>
      <c r="Z724" s="37"/>
      <c r="AA724" s="37"/>
      <c r="AB724" s="37"/>
      <c r="AC724" s="56"/>
      <c r="AD724" s="23"/>
    </row>
    <row r="725" spans="1:30" s="14" customFormat="1">
      <c r="A725" s="82"/>
      <c r="B725" s="29"/>
      <c r="C725" s="130"/>
      <c r="D725" s="36">
        <f t="shared" ref="D725:AB725" si="1191">$C724*D724</f>
        <v>0</v>
      </c>
      <c r="E725" s="36">
        <f t="shared" si="1191"/>
        <v>0</v>
      </c>
      <c r="F725" s="36">
        <f t="shared" si="1191"/>
        <v>0</v>
      </c>
      <c r="G725" s="36">
        <f t="shared" si="1191"/>
        <v>0</v>
      </c>
      <c r="H725" s="36">
        <f t="shared" si="1191"/>
        <v>0</v>
      </c>
      <c r="I725" s="36">
        <f t="shared" si="1191"/>
        <v>0</v>
      </c>
      <c r="J725" s="36">
        <f t="shared" si="1191"/>
        <v>0</v>
      </c>
      <c r="K725" s="36">
        <f t="shared" si="1191"/>
        <v>0</v>
      </c>
      <c r="L725" s="36">
        <f t="shared" si="1191"/>
        <v>0</v>
      </c>
      <c r="M725" s="36">
        <f t="shared" si="1191"/>
        <v>0</v>
      </c>
      <c r="N725" s="36">
        <f t="shared" si="1191"/>
        <v>0</v>
      </c>
      <c r="O725" s="36">
        <f t="shared" si="1191"/>
        <v>0</v>
      </c>
      <c r="P725" s="36">
        <f t="shared" si="1191"/>
        <v>0</v>
      </c>
      <c r="Q725" s="36">
        <f t="shared" si="1191"/>
        <v>0</v>
      </c>
      <c r="R725" s="36">
        <f t="shared" si="1191"/>
        <v>0</v>
      </c>
      <c r="S725" s="36">
        <f t="shared" si="1191"/>
        <v>0</v>
      </c>
      <c r="T725" s="36">
        <f t="shared" si="1191"/>
        <v>0</v>
      </c>
      <c r="U725" s="36">
        <f t="shared" si="1191"/>
        <v>0</v>
      </c>
      <c r="V725" s="36">
        <f t="shared" si="1191"/>
        <v>0</v>
      </c>
      <c r="W725" s="36">
        <f t="shared" si="1191"/>
        <v>0</v>
      </c>
      <c r="X725" s="36">
        <f t="shared" si="1191"/>
        <v>100144.94974999999</v>
      </c>
      <c r="Y725" s="36">
        <f t="shared" si="1191"/>
        <v>3632.2002500000003</v>
      </c>
      <c r="Z725" s="36">
        <f t="shared" si="1191"/>
        <v>0</v>
      </c>
      <c r="AA725" s="36">
        <f t="shared" si="1191"/>
        <v>0</v>
      </c>
      <c r="AB725" s="36">
        <f t="shared" si="1191"/>
        <v>0</v>
      </c>
      <c r="AC725" s="56"/>
      <c r="AD725" s="23"/>
    </row>
    <row r="726" spans="1:30" s="14" customFormat="1">
      <c r="A726" s="87" t="s">
        <v>623</v>
      </c>
      <c r="B726" s="26">
        <v>1846393.49</v>
      </c>
      <c r="C726" s="130">
        <f>ROUND(B726/12,2)</f>
        <v>153866.12</v>
      </c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>
        <v>0.96499999999999997</v>
      </c>
      <c r="Y726" s="35">
        <v>3.5000000000000003E-2</v>
      </c>
      <c r="Z726" s="37"/>
      <c r="AA726" s="37"/>
      <c r="AB726" s="37"/>
      <c r="AC726" s="56"/>
      <c r="AD726" s="23"/>
    </row>
    <row r="727" spans="1:30" s="14" customFormat="1">
      <c r="A727" s="82"/>
      <c r="B727" s="29"/>
      <c r="C727" s="130"/>
      <c r="D727" s="36">
        <f t="shared" ref="D727:AB727" si="1192">$C726*D726</f>
        <v>0</v>
      </c>
      <c r="E727" s="36">
        <f t="shared" si="1192"/>
        <v>0</v>
      </c>
      <c r="F727" s="36">
        <f t="shared" si="1192"/>
        <v>0</v>
      </c>
      <c r="G727" s="36">
        <f t="shared" si="1192"/>
        <v>0</v>
      </c>
      <c r="H727" s="36">
        <f t="shared" si="1192"/>
        <v>0</v>
      </c>
      <c r="I727" s="36">
        <f t="shared" si="1192"/>
        <v>0</v>
      </c>
      <c r="J727" s="36">
        <f t="shared" si="1192"/>
        <v>0</v>
      </c>
      <c r="K727" s="36">
        <f t="shared" si="1192"/>
        <v>0</v>
      </c>
      <c r="L727" s="36">
        <f t="shared" si="1192"/>
        <v>0</v>
      </c>
      <c r="M727" s="36">
        <f t="shared" si="1192"/>
        <v>0</v>
      </c>
      <c r="N727" s="36">
        <f t="shared" si="1192"/>
        <v>0</v>
      </c>
      <c r="O727" s="36">
        <f t="shared" si="1192"/>
        <v>0</v>
      </c>
      <c r="P727" s="36">
        <f t="shared" si="1192"/>
        <v>0</v>
      </c>
      <c r="Q727" s="36">
        <f t="shared" si="1192"/>
        <v>0</v>
      </c>
      <c r="R727" s="36">
        <f t="shared" si="1192"/>
        <v>0</v>
      </c>
      <c r="S727" s="36">
        <f t="shared" si="1192"/>
        <v>0</v>
      </c>
      <c r="T727" s="36">
        <f t="shared" si="1192"/>
        <v>0</v>
      </c>
      <c r="U727" s="36">
        <f t="shared" si="1192"/>
        <v>0</v>
      </c>
      <c r="V727" s="36">
        <f t="shared" si="1192"/>
        <v>0</v>
      </c>
      <c r="W727" s="36">
        <f t="shared" si="1192"/>
        <v>0</v>
      </c>
      <c r="X727" s="36">
        <f t="shared" si="1192"/>
        <v>148480.8058</v>
      </c>
      <c r="Y727" s="36">
        <f t="shared" si="1192"/>
        <v>5385.3142000000007</v>
      </c>
      <c r="Z727" s="36">
        <f t="shared" si="1192"/>
        <v>0</v>
      </c>
      <c r="AA727" s="36">
        <f t="shared" si="1192"/>
        <v>0</v>
      </c>
      <c r="AB727" s="36">
        <f t="shared" si="1192"/>
        <v>0</v>
      </c>
      <c r="AC727" s="56"/>
      <c r="AD727" s="23"/>
    </row>
    <row r="728" spans="1:30" s="14" customFormat="1">
      <c r="A728" s="87" t="s">
        <v>624</v>
      </c>
      <c r="B728" s="26">
        <v>3923499.61</v>
      </c>
      <c r="C728" s="130">
        <f>ROUND(B728/12,2)</f>
        <v>326958.3</v>
      </c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>
        <v>0.96499999999999997</v>
      </c>
      <c r="Y728" s="35">
        <v>3.5000000000000003E-2</v>
      </c>
      <c r="Z728" s="37"/>
      <c r="AA728" s="37"/>
      <c r="AB728" s="37"/>
      <c r="AC728" s="56"/>
      <c r="AD728" s="23"/>
    </row>
    <row r="729" spans="1:30" s="14" customFormat="1">
      <c r="A729" s="82"/>
      <c r="B729" s="29"/>
      <c r="C729" s="130"/>
      <c r="D729" s="36">
        <f t="shared" ref="D729:AB729" si="1193">$C728*D728</f>
        <v>0</v>
      </c>
      <c r="E729" s="36">
        <f t="shared" si="1193"/>
        <v>0</v>
      </c>
      <c r="F729" s="36">
        <f t="shared" si="1193"/>
        <v>0</v>
      </c>
      <c r="G729" s="36">
        <f t="shared" si="1193"/>
        <v>0</v>
      </c>
      <c r="H729" s="36">
        <f t="shared" si="1193"/>
        <v>0</v>
      </c>
      <c r="I729" s="36">
        <f t="shared" si="1193"/>
        <v>0</v>
      </c>
      <c r="J729" s="36">
        <f t="shared" si="1193"/>
        <v>0</v>
      </c>
      <c r="K729" s="36">
        <f t="shared" si="1193"/>
        <v>0</v>
      </c>
      <c r="L729" s="36">
        <f t="shared" si="1193"/>
        <v>0</v>
      </c>
      <c r="M729" s="36">
        <f t="shared" si="1193"/>
        <v>0</v>
      </c>
      <c r="N729" s="36">
        <f t="shared" si="1193"/>
        <v>0</v>
      </c>
      <c r="O729" s="36">
        <f t="shared" si="1193"/>
        <v>0</v>
      </c>
      <c r="P729" s="36">
        <f t="shared" si="1193"/>
        <v>0</v>
      </c>
      <c r="Q729" s="36">
        <f t="shared" si="1193"/>
        <v>0</v>
      </c>
      <c r="R729" s="36">
        <f t="shared" si="1193"/>
        <v>0</v>
      </c>
      <c r="S729" s="36">
        <f t="shared" si="1193"/>
        <v>0</v>
      </c>
      <c r="T729" s="36">
        <f t="shared" si="1193"/>
        <v>0</v>
      </c>
      <c r="U729" s="36">
        <f t="shared" si="1193"/>
        <v>0</v>
      </c>
      <c r="V729" s="36">
        <f t="shared" si="1193"/>
        <v>0</v>
      </c>
      <c r="W729" s="36">
        <f t="shared" si="1193"/>
        <v>0</v>
      </c>
      <c r="X729" s="36">
        <f t="shared" si="1193"/>
        <v>315514.75949999999</v>
      </c>
      <c r="Y729" s="36">
        <f t="shared" si="1193"/>
        <v>11443.540500000001</v>
      </c>
      <c r="Z729" s="36">
        <f t="shared" si="1193"/>
        <v>0</v>
      </c>
      <c r="AA729" s="36">
        <f t="shared" si="1193"/>
        <v>0</v>
      </c>
      <c r="AB729" s="36">
        <f t="shared" si="1193"/>
        <v>0</v>
      </c>
      <c r="AC729" s="56"/>
      <c r="AD729" s="23"/>
    </row>
    <row r="730" spans="1:30" s="14" customFormat="1">
      <c r="A730" s="87" t="s">
        <v>625</v>
      </c>
      <c r="B730" s="26">
        <v>3525670.22</v>
      </c>
      <c r="C730" s="130">
        <f>ROUND(B730/12,2)</f>
        <v>293805.84999999998</v>
      </c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>
        <v>0.96499999999999997</v>
      </c>
      <c r="Y730" s="35">
        <v>3.5000000000000003E-2</v>
      </c>
      <c r="Z730" s="37"/>
      <c r="AA730" s="37"/>
      <c r="AB730" s="37"/>
      <c r="AC730" s="56"/>
      <c r="AD730" s="23"/>
    </row>
    <row r="731" spans="1:30" s="14" customFormat="1">
      <c r="A731" s="82"/>
      <c r="B731" s="29"/>
      <c r="C731" s="130"/>
      <c r="D731" s="36">
        <f t="shared" ref="D731:AB731" si="1194">$C730*D730</f>
        <v>0</v>
      </c>
      <c r="E731" s="36">
        <f t="shared" si="1194"/>
        <v>0</v>
      </c>
      <c r="F731" s="36">
        <f t="shared" si="1194"/>
        <v>0</v>
      </c>
      <c r="G731" s="36">
        <f t="shared" si="1194"/>
        <v>0</v>
      </c>
      <c r="H731" s="36">
        <f t="shared" si="1194"/>
        <v>0</v>
      </c>
      <c r="I731" s="36">
        <f t="shared" si="1194"/>
        <v>0</v>
      </c>
      <c r="J731" s="36">
        <f t="shared" si="1194"/>
        <v>0</v>
      </c>
      <c r="K731" s="36">
        <f t="shared" si="1194"/>
        <v>0</v>
      </c>
      <c r="L731" s="36">
        <f t="shared" si="1194"/>
        <v>0</v>
      </c>
      <c r="M731" s="36">
        <f t="shared" si="1194"/>
        <v>0</v>
      </c>
      <c r="N731" s="36">
        <f t="shared" si="1194"/>
        <v>0</v>
      </c>
      <c r="O731" s="36">
        <f t="shared" si="1194"/>
        <v>0</v>
      </c>
      <c r="P731" s="36">
        <f t="shared" si="1194"/>
        <v>0</v>
      </c>
      <c r="Q731" s="36">
        <f t="shared" si="1194"/>
        <v>0</v>
      </c>
      <c r="R731" s="36">
        <f t="shared" si="1194"/>
        <v>0</v>
      </c>
      <c r="S731" s="36">
        <f t="shared" si="1194"/>
        <v>0</v>
      </c>
      <c r="T731" s="36">
        <f t="shared" si="1194"/>
        <v>0</v>
      </c>
      <c r="U731" s="36">
        <f t="shared" si="1194"/>
        <v>0</v>
      </c>
      <c r="V731" s="36">
        <f t="shared" si="1194"/>
        <v>0</v>
      </c>
      <c r="W731" s="36">
        <f t="shared" si="1194"/>
        <v>0</v>
      </c>
      <c r="X731" s="36">
        <f t="shared" si="1194"/>
        <v>283522.64524999994</v>
      </c>
      <c r="Y731" s="36">
        <f t="shared" si="1194"/>
        <v>10283.204750000001</v>
      </c>
      <c r="Z731" s="36">
        <f t="shared" si="1194"/>
        <v>0</v>
      </c>
      <c r="AA731" s="36">
        <f t="shared" si="1194"/>
        <v>0</v>
      </c>
      <c r="AB731" s="36">
        <f t="shared" si="1194"/>
        <v>0</v>
      </c>
      <c r="AC731" s="56"/>
      <c r="AD731" s="23"/>
    </row>
    <row r="732" spans="1:30" s="14" customFormat="1">
      <c r="A732" s="87" t="s">
        <v>626</v>
      </c>
      <c r="B732" s="26">
        <v>7572741.5499999998</v>
      </c>
      <c r="C732" s="130">
        <f>ROUND(B732/12,2)</f>
        <v>631061.80000000005</v>
      </c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>
        <v>0.96499999999999997</v>
      </c>
      <c r="Y732" s="35">
        <v>3.5000000000000003E-2</v>
      </c>
      <c r="Z732" s="37"/>
      <c r="AA732" s="37"/>
      <c r="AB732" s="37"/>
      <c r="AC732" s="56"/>
      <c r="AD732" s="23"/>
    </row>
    <row r="733" spans="1:30" s="14" customFormat="1">
      <c r="A733" s="82"/>
      <c r="B733" s="29"/>
      <c r="C733" s="130"/>
      <c r="D733" s="36">
        <f t="shared" ref="D733:AB733" si="1195">$C732*D732</f>
        <v>0</v>
      </c>
      <c r="E733" s="36">
        <f t="shared" si="1195"/>
        <v>0</v>
      </c>
      <c r="F733" s="36">
        <f t="shared" si="1195"/>
        <v>0</v>
      </c>
      <c r="G733" s="36">
        <f t="shared" si="1195"/>
        <v>0</v>
      </c>
      <c r="H733" s="36">
        <f t="shared" si="1195"/>
        <v>0</v>
      </c>
      <c r="I733" s="36">
        <f t="shared" si="1195"/>
        <v>0</v>
      </c>
      <c r="J733" s="36">
        <f t="shared" si="1195"/>
        <v>0</v>
      </c>
      <c r="K733" s="36">
        <f t="shared" si="1195"/>
        <v>0</v>
      </c>
      <c r="L733" s="36">
        <f t="shared" si="1195"/>
        <v>0</v>
      </c>
      <c r="M733" s="36">
        <f t="shared" si="1195"/>
        <v>0</v>
      </c>
      <c r="N733" s="36">
        <f t="shared" si="1195"/>
        <v>0</v>
      </c>
      <c r="O733" s="36">
        <f t="shared" si="1195"/>
        <v>0</v>
      </c>
      <c r="P733" s="36">
        <f t="shared" si="1195"/>
        <v>0</v>
      </c>
      <c r="Q733" s="36">
        <f t="shared" si="1195"/>
        <v>0</v>
      </c>
      <c r="R733" s="36">
        <f t="shared" si="1195"/>
        <v>0</v>
      </c>
      <c r="S733" s="36">
        <f t="shared" si="1195"/>
        <v>0</v>
      </c>
      <c r="T733" s="36">
        <f t="shared" si="1195"/>
        <v>0</v>
      </c>
      <c r="U733" s="36">
        <f t="shared" si="1195"/>
        <v>0</v>
      </c>
      <c r="V733" s="36">
        <f t="shared" si="1195"/>
        <v>0</v>
      </c>
      <c r="W733" s="36">
        <f t="shared" si="1195"/>
        <v>0</v>
      </c>
      <c r="X733" s="36">
        <f t="shared" si="1195"/>
        <v>608974.63699999999</v>
      </c>
      <c r="Y733" s="36">
        <f t="shared" si="1195"/>
        <v>22087.163000000004</v>
      </c>
      <c r="Z733" s="36">
        <f t="shared" si="1195"/>
        <v>0</v>
      </c>
      <c r="AA733" s="36">
        <f t="shared" si="1195"/>
        <v>0</v>
      </c>
      <c r="AB733" s="36">
        <f t="shared" si="1195"/>
        <v>0</v>
      </c>
      <c r="AC733" s="56"/>
      <c r="AD733" s="23"/>
    </row>
    <row r="734" spans="1:30" s="14" customFormat="1">
      <c r="A734" s="87" t="s">
        <v>627</v>
      </c>
      <c r="B734" s="26">
        <v>5845275.8499999996</v>
      </c>
      <c r="C734" s="130">
        <f>ROUND(B734/12,2)</f>
        <v>487106.32</v>
      </c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>
        <v>0.96499999999999997</v>
      </c>
      <c r="Y734" s="35">
        <v>3.5000000000000003E-2</v>
      </c>
      <c r="Z734" s="37"/>
      <c r="AA734" s="37"/>
      <c r="AB734" s="37"/>
      <c r="AC734" s="56"/>
      <c r="AD734" s="23"/>
    </row>
    <row r="735" spans="1:30" s="14" customFormat="1">
      <c r="A735" s="82"/>
      <c r="B735" s="29"/>
      <c r="C735" s="130"/>
      <c r="D735" s="36">
        <f t="shared" ref="D735:AB735" si="1196">$C734*D734</f>
        <v>0</v>
      </c>
      <c r="E735" s="36">
        <f t="shared" si="1196"/>
        <v>0</v>
      </c>
      <c r="F735" s="36">
        <f t="shared" si="1196"/>
        <v>0</v>
      </c>
      <c r="G735" s="36">
        <f t="shared" si="1196"/>
        <v>0</v>
      </c>
      <c r="H735" s="36">
        <f t="shared" si="1196"/>
        <v>0</v>
      </c>
      <c r="I735" s="36">
        <f t="shared" si="1196"/>
        <v>0</v>
      </c>
      <c r="J735" s="36">
        <f t="shared" si="1196"/>
        <v>0</v>
      </c>
      <c r="K735" s="36">
        <f t="shared" si="1196"/>
        <v>0</v>
      </c>
      <c r="L735" s="36">
        <f t="shared" si="1196"/>
        <v>0</v>
      </c>
      <c r="M735" s="36">
        <f t="shared" si="1196"/>
        <v>0</v>
      </c>
      <c r="N735" s="36">
        <f t="shared" si="1196"/>
        <v>0</v>
      </c>
      <c r="O735" s="36">
        <f t="shared" si="1196"/>
        <v>0</v>
      </c>
      <c r="P735" s="36">
        <f t="shared" si="1196"/>
        <v>0</v>
      </c>
      <c r="Q735" s="36">
        <f t="shared" si="1196"/>
        <v>0</v>
      </c>
      <c r="R735" s="36">
        <f t="shared" si="1196"/>
        <v>0</v>
      </c>
      <c r="S735" s="36">
        <f t="shared" si="1196"/>
        <v>0</v>
      </c>
      <c r="T735" s="36">
        <f t="shared" si="1196"/>
        <v>0</v>
      </c>
      <c r="U735" s="36">
        <f t="shared" si="1196"/>
        <v>0</v>
      </c>
      <c r="V735" s="36">
        <f t="shared" si="1196"/>
        <v>0</v>
      </c>
      <c r="W735" s="36">
        <f t="shared" si="1196"/>
        <v>0</v>
      </c>
      <c r="X735" s="36">
        <f t="shared" si="1196"/>
        <v>470057.59879999998</v>
      </c>
      <c r="Y735" s="36">
        <f t="shared" si="1196"/>
        <v>17048.721200000004</v>
      </c>
      <c r="Z735" s="36">
        <f t="shared" si="1196"/>
        <v>0</v>
      </c>
      <c r="AA735" s="36">
        <f t="shared" si="1196"/>
        <v>0</v>
      </c>
      <c r="AB735" s="36">
        <f t="shared" si="1196"/>
        <v>0</v>
      </c>
      <c r="AC735" s="56"/>
      <c r="AD735" s="23"/>
    </row>
    <row r="736" spans="1:30" s="14" customFormat="1">
      <c r="A736" s="87" t="s">
        <v>628</v>
      </c>
      <c r="B736" s="26">
        <v>1743868.94</v>
      </c>
      <c r="C736" s="130">
        <f>ROUND(B736/12,2)</f>
        <v>145322.41</v>
      </c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>
        <v>0.96499999999999997</v>
      </c>
      <c r="Y736" s="35">
        <v>3.5000000000000003E-2</v>
      </c>
      <c r="Z736" s="37"/>
      <c r="AA736" s="37"/>
      <c r="AB736" s="37"/>
      <c r="AC736" s="56"/>
      <c r="AD736" s="23"/>
    </row>
    <row r="737" spans="1:30" s="14" customFormat="1">
      <c r="A737" s="82"/>
      <c r="B737" s="29"/>
      <c r="C737" s="130"/>
      <c r="D737" s="36">
        <f t="shared" ref="D737:AB737" si="1197">$C736*D736</f>
        <v>0</v>
      </c>
      <c r="E737" s="36">
        <f t="shared" si="1197"/>
        <v>0</v>
      </c>
      <c r="F737" s="36">
        <f t="shared" si="1197"/>
        <v>0</v>
      </c>
      <c r="G737" s="36">
        <f t="shared" si="1197"/>
        <v>0</v>
      </c>
      <c r="H737" s="36">
        <f t="shared" si="1197"/>
        <v>0</v>
      </c>
      <c r="I737" s="36">
        <f t="shared" si="1197"/>
        <v>0</v>
      </c>
      <c r="J737" s="36">
        <f t="shared" si="1197"/>
        <v>0</v>
      </c>
      <c r="K737" s="36">
        <f t="shared" si="1197"/>
        <v>0</v>
      </c>
      <c r="L737" s="36">
        <f t="shared" si="1197"/>
        <v>0</v>
      </c>
      <c r="M737" s="36">
        <f t="shared" si="1197"/>
        <v>0</v>
      </c>
      <c r="N737" s="36">
        <f t="shared" si="1197"/>
        <v>0</v>
      </c>
      <c r="O737" s="36">
        <f t="shared" si="1197"/>
        <v>0</v>
      </c>
      <c r="P737" s="36">
        <f t="shared" si="1197"/>
        <v>0</v>
      </c>
      <c r="Q737" s="36">
        <f t="shared" si="1197"/>
        <v>0</v>
      </c>
      <c r="R737" s="36">
        <f t="shared" si="1197"/>
        <v>0</v>
      </c>
      <c r="S737" s="36">
        <f t="shared" si="1197"/>
        <v>0</v>
      </c>
      <c r="T737" s="36">
        <f t="shared" si="1197"/>
        <v>0</v>
      </c>
      <c r="U737" s="36">
        <f t="shared" si="1197"/>
        <v>0</v>
      </c>
      <c r="V737" s="36">
        <f t="shared" si="1197"/>
        <v>0</v>
      </c>
      <c r="W737" s="36">
        <f t="shared" si="1197"/>
        <v>0</v>
      </c>
      <c r="X737" s="36">
        <f t="shared" si="1197"/>
        <v>140236.12565</v>
      </c>
      <c r="Y737" s="36">
        <f t="shared" si="1197"/>
        <v>5086.2843500000008</v>
      </c>
      <c r="Z737" s="36">
        <f t="shared" si="1197"/>
        <v>0</v>
      </c>
      <c r="AA737" s="36">
        <f t="shared" si="1197"/>
        <v>0</v>
      </c>
      <c r="AB737" s="36">
        <f t="shared" si="1197"/>
        <v>0</v>
      </c>
      <c r="AC737" s="56"/>
      <c r="AD737" s="23"/>
    </row>
    <row r="738" spans="1:30" s="14" customFormat="1">
      <c r="A738" s="87" t="s">
        <v>629</v>
      </c>
      <c r="B738" s="26">
        <v>2240267.21</v>
      </c>
      <c r="C738" s="130">
        <f>ROUND(B738/12,2)</f>
        <v>186688.93</v>
      </c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>
        <v>0.96499999999999997</v>
      </c>
      <c r="Y738" s="35">
        <v>3.5000000000000003E-2</v>
      </c>
      <c r="Z738" s="37"/>
      <c r="AA738" s="37"/>
      <c r="AB738" s="37"/>
      <c r="AC738" s="56"/>
      <c r="AD738" s="23"/>
    </row>
    <row r="739" spans="1:30" s="14" customFormat="1">
      <c r="A739" s="82"/>
      <c r="B739" s="29"/>
      <c r="C739" s="130"/>
      <c r="D739" s="36">
        <f t="shared" ref="D739:AB739" si="1198">$C738*D738</f>
        <v>0</v>
      </c>
      <c r="E739" s="36">
        <f t="shared" si="1198"/>
        <v>0</v>
      </c>
      <c r="F739" s="36">
        <f t="shared" si="1198"/>
        <v>0</v>
      </c>
      <c r="G739" s="36">
        <f t="shared" si="1198"/>
        <v>0</v>
      </c>
      <c r="H739" s="36">
        <f t="shared" si="1198"/>
        <v>0</v>
      </c>
      <c r="I739" s="36">
        <f t="shared" si="1198"/>
        <v>0</v>
      </c>
      <c r="J739" s="36">
        <f t="shared" si="1198"/>
        <v>0</v>
      </c>
      <c r="K739" s="36">
        <f t="shared" si="1198"/>
        <v>0</v>
      </c>
      <c r="L739" s="36">
        <f t="shared" si="1198"/>
        <v>0</v>
      </c>
      <c r="M739" s="36">
        <f t="shared" si="1198"/>
        <v>0</v>
      </c>
      <c r="N739" s="36">
        <f t="shared" si="1198"/>
        <v>0</v>
      </c>
      <c r="O739" s="36">
        <f t="shared" si="1198"/>
        <v>0</v>
      </c>
      <c r="P739" s="36">
        <f t="shared" si="1198"/>
        <v>0</v>
      </c>
      <c r="Q739" s="36">
        <f t="shared" si="1198"/>
        <v>0</v>
      </c>
      <c r="R739" s="36">
        <f t="shared" si="1198"/>
        <v>0</v>
      </c>
      <c r="S739" s="36">
        <f t="shared" si="1198"/>
        <v>0</v>
      </c>
      <c r="T739" s="36">
        <f t="shared" si="1198"/>
        <v>0</v>
      </c>
      <c r="U739" s="36">
        <f t="shared" si="1198"/>
        <v>0</v>
      </c>
      <c r="V739" s="36">
        <f t="shared" si="1198"/>
        <v>0</v>
      </c>
      <c r="W739" s="36">
        <f t="shared" si="1198"/>
        <v>0</v>
      </c>
      <c r="X739" s="36">
        <f t="shared" si="1198"/>
        <v>180154.81744999997</v>
      </c>
      <c r="Y739" s="36">
        <f t="shared" si="1198"/>
        <v>6534.1125500000007</v>
      </c>
      <c r="Z739" s="36">
        <f t="shared" si="1198"/>
        <v>0</v>
      </c>
      <c r="AA739" s="36">
        <f t="shared" si="1198"/>
        <v>0</v>
      </c>
      <c r="AB739" s="36">
        <f t="shared" si="1198"/>
        <v>0</v>
      </c>
      <c r="AC739" s="56"/>
      <c r="AD739" s="23"/>
    </row>
    <row r="740" spans="1:30" s="14" customFormat="1">
      <c r="A740" s="87" t="s">
        <v>630</v>
      </c>
      <c r="B740" s="26">
        <v>2980839.59</v>
      </c>
      <c r="C740" s="130">
        <f>ROUND(B740/12,2)</f>
        <v>248403.3</v>
      </c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>
        <v>0.96499999999999997</v>
      </c>
      <c r="Y740" s="35">
        <v>3.5000000000000003E-2</v>
      </c>
      <c r="Z740" s="37"/>
      <c r="AA740" s="37"/>
      <c r="AB740" s="37"/>
      <c r="AC740" s="56"/>
      <c r="AD740" s="23"/>
    </row>
    <row r="741" spans="1:30" s="14" customFormat="1">
      <c r="A741" s="82"/>
      <c r="B741" s="29"/>
      <c r="C741" s="130"/>
      <c r="D741" s="36">
        <f t="shared" ref="D741:AB741" si="1199">$C740*D740</f>
        <v>0</v>
      </c>
      <c r="E741" s="36">
        <f t="shared" si="1199"/>
        <v>0</v>
      </c>
      <c r="F741" s="36">
        <f t="shared" si="1199"/>
        <v>0</v>
      </c>
      <c r="G741" s="36">
        <f t="shared" si="1199"/>
        <v>0</v>
      </c>
      <c r="H741" s="36">
        <f t="shared" si="1199"/>
        <v>0</v>
      </c>
      <c r="I741" s="36">
        <f t="shared" si="1199"/>
        <v>0</v>
      </c>
      <c r="J741" s="36">
        <f t="shared" si="1199"/>
        <v>0</v>
      </c>
      <c r="K741" s="36">
        <f t="shared" si="1199"/>
        <v>0</v>
      </c>
      <c r="L741" s="36">
        <f t="shared" si="1199"/>
        <v>0</v>
      </c>
      <c r="M741" s="36">
        <f t="shared" si="1199"/>
        <v>0</v>
      </c>
      <c r="N741" s="36">
        <f t="shared" si="1199"/>
        <v>0</v>
      </c>
      <c r="O741" s="36">
        <f t="shared" si="1199"/>
        <v>0</v>
      </c>
      <c r="P741" s="36">
        <f t="shared" si="1199"/>
        <v>0</v>
      </c>
      <c r="Q741" s="36">
        <f t="shared" si="1199"/>
        <v>0</v>
      </c>
      <c r="R741" s="36">
        <f t="shared" si="1199"/>
        <v>0</v>
      </c>
      <c r="S741" s="36">
        <f t="shared" si="1199"/>
        <v>0</v>
      </c>
      <c r="T741" s="36">
        <f t="shared" si="1199"/>
        <v>0</v>
      </c>
      <c r="U741" s="36">
        <f t="shared" si="1199"/>
        <v>0</v>
      </c>
      <c r="V741" s="36">
        <f t="shared" si="1199"/>
        <v>0</v>
      </c>
      <c r="W741" s="36">
        <f t="shared" si="1199"/>
        <v>0</v>
      </c>
      <c r="X741" s="36">
        <f t="shared" si="1199"/>
        <v>239709.18449999997</v>
      </c>
      <c r="Y741" s="36">
        <f t="shared" si="1199"/>
        <v>8694.1154999999999</v>
      </c>
      <c r="Z741" s="36">
        <f t="shared" si="1199"/>
        <v>0</v>
      </c>
      <c r="AA741" s="36">
        <f t="shared" si="1199"/>
        <v>0</v>
      </c>
      <c r="AB741" s="36">
        <f t="shared" si="1199"/>
        <v>0</v>
      </c>
      <c r="AC741" s="56"/>
      <c r="AD741" s="23"/>
    </row>
    <row r="742" spans="1:30" s="14" customFormat="1">
      <c r="A742" s="87" t="s">
        <v>631</v>
      </c>
      <c r="B742" s="26">
        <v>2376583.5</v>
      </c>
      <c r="C742" s="130">
        <f>ROUND(B742/12,2)</f>
        <v>198048.63</v>
      </c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>
        <v>0.96499999999999997</v>
      </c>
      <c r="Y742" s="35">
        <v>3.5000000000000003E-2</v>
      </c>
      <c r="Z742" s="37"/>
      <c r="AA742" s="37"/>
      <c r="AB742" s="37"/>
      <c r="AC742" s="56"/>
      <c r="AD742" s="23"/>
    </row>
    <row r="743" spans="1:30" s="14" customFormat="1">
      <c r="A743" s="82"/>
      <c r="B743" s="29"/>
      <c r="C743" s="130"/>
      <c r="D743" s="36">
        <f t="shared" ref="D743:AB743" si="1200">$C742*D742</f>
        <v>0</v>
      </c>
      <c r="E743" s="36">
        <f t="shared" si="1200"/>
        <v>0</v>
      </c>
      <c r="F743" s="36">
        <f t="shared" si="1200"/>
        <v>0</v>
      </c>
      <c r="G743" s="36">
        <f t="shared" si="1200"/>
        <v>0</v>
      </c>
      <c r="H743" s="36">
        <f t="shared" si="1200"/>
        <v>0</v>
      </c>
      <c r="I743" s="36">
        <f t="shared" si="1200"/>
        <v>0</v>
      </c>
      <c r="J743" s="36">
        <f t="shared" si="1200"/>
        <v>0</v>
      </c>
      <c r="K743" s="36">
        <f t="shared" si="1200"/>
        <v>0</v>
      </c>
      <c r="L743" s="36">
        <f t="shared" si="1200"/>
        <v>0</v>
      </c>
      <c r="M743" s="36">
        <f t="shared" si="1200"/>
        <v>0</v>
      </c>
      <c r="N743" s="36">
        <f t="shared" si="1200"/>
        <v>0</v>
      </c>
      <c r="O743" s="36">
        <f t="shared" si="1200"/>
        <v>0</v>
      </c>
      <c r="P743" s="36">
        <f t="shared" si="1200"/>
        <v>0</v>
      </c>
      <c r="Q743" s="36">
        <f t="shared" si="1200"/>
        <v>0</v>
      </c>
      <c r="R743" s="36">
        <f t="shared" si="1200"/>
        <v>0</v>
      </c>
      <c r="S743" s="36">
        <f t="shared" si="1200"/>
        <v>0</v>
      </c>
      <c r="T743" s="36">
        <f t="shared" si="1200"/>
        <v>0</v>
      </c>
      <c r="U743" s="36">
        <f t="shared" si="1200"/>
        <v>0</v>
      </c>
      <c r="V743" s="36">
        <f t="shared" si="1200"/>
        <v>0</v>
      </c>
      <c r="W743" s="36">
        <f t="shared" si="1200"/>
        <v>0</v>
      </c>
      <c r="X743" s="36">
        <f t="shared" si="1200"/>
        <v>191116.92795000001</v>
      </c>
      <c r="Y743" s="36">
        <f t="shared" si="1200"/>
        <v>6931.7020500000008</v>
      </c>
      <c r="Z743" s="36">
        <f t="shared" si="1200"/>
        <v>0</v>
      </c>
      <c r="AA743" s="36">
        <f t="shared" si="1200"/>
        <v>0</v>
      </c>
      <c r="AB743" s="36">
        <f t="shared" si="1200"/>
        <v>0</v>
      </c>
      <c r="AC743" s="56"/>
      <c r="AD743" s="23"/>
    </row>
    <row r="744" spans="1:30" s="14" customFormat="1">
      <c r="A744" s="87" t="s">
        <v>632</v>
      </c>
      <c r="B744" s="26">
        <v>2359285.6800000002</v>
      </c>
      <c r="C744" s="130">
        <f>ROUND(B744/12,2)</f>
        <v>196607.14</v>
      </c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>
        <v>0.96499999999999997</v>
      </c>
      <c r="Y744" s="35">
        <v>3.5000000000000003E-2</v>
      </c>
      <c r="Z744" s="37"/>
      <c r="AA744" s="37"/>
      <c r="AB744" s="37"/>
      <c r="AC744" s="56"/>
      <c r="AD744" s="23"/>
    </row>
    <row r="745" spans="1:30" s="14" customFormat="1">
      <c r="A745" s="82"/>
      <c r="B745" s="29"/>
      <c r="C745" s="130"/>
      <c r="D745" s="36">
        <f t="shared" ref="D745:AB745" si="1201">$C744*D744</f>
        <v>0</v>
      </c>
      <c r="E745" s="36">
        <f t="shared" si="1201"/>
        <v>0</v>
      </c>
      <c r="F745" s="36">
        <f t="shared" si="1201"/>
        <v>0</v>
      </c>
      <c r="G745" s="36">
        <f t="shared" si="1201"/>
        <v>0</v>
      </c>
      <c r="H745" s="36">
        <f t="shared" si="1201"/>
        <v>0</v>
      </c>
      <c r="I745" s="36">
        <f t="shared" si="1201"/>
        <v>0</v>
      </c>
      <c r="J745" s="36">
        <f t="shared" si="1201"/>
        <v>0</v>
      </c>
      <c r="K745" s="36">
        <f t="shared" si="1201"/>
        <v>0</v>
      </c>
      <c r="L745" s="36">
        <f t="shared" si="1201"/>
        <v>0</v>
      </c>
      <c r="M745" s="36">
        <f t="shared" si="1201"/>
        <v>0</v>
      </c>
      <c r="N745" s="36">
        <f t="shared" si="1201"/>
        <v>0</v>
      </c>
      <c r="O745" s="36">
        <f t="shared" si="1201"/>
        <v>0</v>
      </c>
      <c r="P745" s="36">
        <f t="shared" si="1201"/>
        <v>0</v>
      </c>
      <c r="Q745" s="36">
        <f t="shared" si="1201"/>
        <v>0</v>
      </c>
      <c r="R745" s="36">
        <f t="shared" si="1201"/>
        <v>0</v>
      </c>
      <c r="S745" s="36">
        <f t="shared" si="1201"/>
        <v>0</v>
      </c>
      <c r="T745" s="36">
        <f t="shared" si="1201"/>
        <v>0</v>
      </c>
      <c r="U745" s="36">
        <f t="shared" si="1201"/>
        <v>0</v>
      </c>
      <c r="V745" s="36">
        <f t="shared" si="1201"/>
        <v>0</v>
      </c>
      <c r="W745" s="36">
        <f t="shared" si="1201"/>
        <v>0</v>
      </c>
      <c r="X745" s="36">
        <f t="shared" si="1201"/>
        <v>189725.89010000002</v>
      </c>
      <c r="Y745" s="36">
        <f t="shared" si="1201"/>
        <v>6881.2499000000007</v>
      </c>
      <c r="Z745" s="36">
        <f t="shared" si="1201"/>
        <v>0</v>
      </c>
      <c r="AA745" s="36">
        <f t="shared" si="1201"/>
        <v>0</v>
      </c>
      <c r="AB745" s="36">
        <f t="shared" si="1201"/>
        <v>0</v>
      </c>
      <c r="AC745" s="56"/>
      <c r="AD745" s="23"/>
    </row>
    <row r="746" spans="1:30" s="14" customFormat="1">
      <c r="A746" s="87" t="s">
        <v>633</v>
      </c>
      <c r="B746" s="26">
        <v>7127325.3200000003</v>
      </c>
      <c r="C746" s="130">
        <f>ROUND(B746/12,2)</f>
        <v>593943.78</v>
      </c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>
        <v>0.96499999999999997</v>
      </c>
      <c r="Y746" s="35">
        <v>3.5000000000000003E-2</v>
      </c>
      <c r="Z746" s="37"/>
      <c r="AA746" s="37"/>
      <c r="AB746" s="37"/>
      <c r="AC746" s="56"/>
      <c r="AD746" s="23"/>
    </row>
    <row r="747" spans="1:30" s="14" customFormat="1">
      <c r="A747" s="82"/>
      <c r="B747" s="29"/>
      <c r="C747" s="130"/>
      <c r="D747" s="36">
        <f t="shared" ref="D747:AB747" si="1202">$C746*D746</f>
        <v>0</v>
      </c>
      <c r="E747" s="36">
        <f t="shared" si="1202"/>
        <v>0</v>
      </c>
      <c r="F747" s="36">
        <f t="shared" si="1202"/>
        <v>0</v>
      </c>
      <c r="G747" s="36">
        <f t="shared" si="1202"/>
        <v>0</v>
      </c>
      <c r="H747" s="36">
        <f t="shared" si="1202"/>
        <v>0</v>
      </c>
      <c r="I747" s="36">
        <f t="shared" si="1202"/>
        <v>0</v>
      </c>
      <c r="J747" s="36">
        <f t="shared" si="1202"/>
        <v>0</v>
      </c>
      <c r="K747" s="36">
        <f t="shared" si="1202"/>
        <v>0</v>
      </c>
      <c r="L747" s="36">
        <f t="shared" si="1202"/>
        <v>0</v>
      </c>
      <c r="M747" s="36">
        <f t="shared" si="1202"/>
        <v>0</v>
      </c>
      <c r="N747" s="36">
        <f t="shared" si="1202"/>
        <v>0</v>
      </c>
      <c r="O747" s="36">
        <f t="shared" si="1202"/>
        <v>0</v>
      </c>
      <c r="P747" s="36">
        <f t="shared" si="1202"/>
        <v>0</v>
      </c>
      <c r="Q747" s="36">
        <f t="shared" si="1202"/>
        <v>0</v>
      </c>
      <c r="R747" s="36">
        <f t="shared" si="1202"/>
        <v>0</v>
      </c>
      <c r="S747" s="36">
        <f t="shared" si="1202"/>
        <v>0</v>
      </c>
      <c r="T747" s="36">
        <f t="shared" si="1202"/>
        <v>0</v>
      </c>
      <c r="U747" s="36">
        <f t="shared" si="1202"/>
        <v>0</v>
      </c>
      <c r="V747" s="36">
        <f t="shared" si="1202"/>
        <v>0</v>
      </c>
      <c r="W747" s="36">
        <f t="shared" si="1202"/>
        <v>0</v>
      </c>
      <c r="X747" s="36">
        <f t="shared" si="1202"/>
        <v>573155.74770000007</v>
      </c>
      <c r="Y747" s="36">
        <f t="shared" si="1202"/>
        <v>20788.032300000003</v>
      </c>
      <c r="Z747" s="36">
        <f t="shared" si="1202"/>
        <v>0</v>
      </c>
      <c r="AA747" s="36">
        <f t="shared" si="1202"/>
        <v>0</v>
      </c>
      <c r="AB747" s="36">
        <f t="shared" si="1202"/>
        <v>0</v>
      </c>
      <c r="AC747" s="56"/>
      <c r="AD747" s="23"/>
    </row>
    <row r="748" spans="1:30" s="14" customFormat="1">
      <c r="A748" s="87" t="s">
        <v>634</v>
      </c>
      <c r="B748" s="26">
        <v>4708098.1100000003</v>
      </c>
      <c r="C748" s="130">
        <f>ROUND(B748/12,2)</f>
        <v>392341.51</v>
      </c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>
        <v>0.96499999999999997</v>
      </c>
      <c r="Y748" s="35">
        <v>3.5000000000000003E-2</v>
      </c>
      <c r="Z748" s="37"/>
      <c r="AA748" s="37"/>
      <c r="AB748" s="37"/>
      <c r="AC748" s="56"/>
      <c r="AD748" s="23"/>
    </row>
    <row r="749" spans="1:30" s="14" customFormat="1">
      <c r="A749" s="82"/>
      <c r="B749" s="29"/>
      <c r="C749" s="130"/>
      <c r="D749" s="36">
        <f t="shared" ref="D749:AB749" si="1203">$C748*D748</f>
        <v>0</v>
      </c>
      <c r="E749" s="36">
        <f t="shared" si="1203"/>
        <v>0</v>
      </c>
      <c r="F749" s="36">
        <f t="shared" si="1203"/>
        <v>0</v>
      </c>
      <c r="G749" s="36">
        <f t="shared" si="1203"/>
        <v>0</v>
      </c>
      <c r="H749" s="36">
        <f t="shared" si="1203"/>
        <v>0</v>
      </c>
      <c r="I749" s="36">
        <f t="shared" si="1203"/>
        <v>0</v>
      </c>
      <c r="J749" s="36">
        <f t="shared" si="1203"/>
        <v>0</v>
      </c>
      <c r="K749" s="36">
        <f t="shared" si="1203"/>
        <v>0</v>
      </c>
      <c r="L749" s="36">
        <f t="shared" si="1203"/>
        <v>0</v>
      </c>
      <c r="M749" s="36">
        <f t="shared" si="1203"/>
        <v>0</v>
      </c>
      <c r="N749" s="36">
        <f t="shared" si="1203"/>
        <v>0</v>
      </c>
      <c r="O749" s="36">
        <f t="shared" si="1203"/>
        <v>0</v>
      </c>
      <c r="P749" s="36">
        <f t="shared" si="1203"/>
        <v>0</v>
      </c>
      <c r="Q749" s="36">
        <f t="shared" si="1203"/>
        <v>0</v>
      </c>
      <c r="R749" s="36">
        <f t="shared" si="1203"/>
        <v>0</v>
      </c>
      <c r="S749" s="36">
        <f t="shared" si="1203"/>
        <v>0</v>
      </c>
      <c r="T749" s="36">
        <f t="shared" si="1203"/>
        <v>0</v>
      </c>
      <c r="U749" s="36">
        <f t="shared" si="1203"/>
        <v>0</v>
      </c>
      <c r="V749" s="36">
        <f t="shared" si="1203"/>
        <v>0</v>
      </c>
      <c r="W749" s="36">
        <f t="shared" si="1203"/>
        <v>0</v>
      </c>
      <c r="X749" s="36">
        <f t="shared" si="1203"/>
        <v>378609.55715000001</v>
      </c>
      <c r="Y749" s="36">
        <f t="shared" si="1203"/>
        <v>13731.952850000001</v>
      </c>
      <c r="Z749" s="36">
        <f t="shared" si="1203"/>
        <v>0</v>
      </c>
      <c r="AA749" s="36">
        <f t="shared" si="1203"/>
        <v>0</v>
      </c>
      <c r="AB749" s="36">
        <f t="shared" si="1203"/>
        <v>0</v>
      </c>
      <c r="AC749" s="56"/>
      <c r="AD749" s="23"/>
    </row>
    <row r="750" spans="1:30" s="14" customFormat="1">
      <c r="A750" s="87" t="s">
        <v>635</v>
      </c>
      <c r="B750" s="26">
        <v>3168673.76</v>
      </c>
      <c r="C750" s="130">
        <f>ROUND(B750/12,2)</f>
        <v>264056.15000000002</v>
      </c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>
        <v>0.96499999999999997</v>
      </c>
      <c r="Y750" s="35">
        <v>3.5000000000000003E-2</v>
      </c>
      <c r="Z750" s="37"/>
      <c r="AA750" s="37"/>
      <c r="AB750" s="37"/>
      <c r="AC750" s="56"/>
      <c r="AD750" s="23"/>
    </row>
    <row r="751" spans="1:30" s="14" customFormat="1">
      <c r="A751" s="82"/>
      <c r="B751" s="29"/>
      <c r="C751" s="130"/>
      <c r="D751" s="36">
        <f t="shared" ref="D751:AB751" si="1204">$C750*D750</f>
        <v>0</v>
      </c>
      <c r="E751" s="36">
        <f t="shared" si="1204"/>
        <v>0</v>
      </c>
      <c r="F751" s="36">
        <f t="shared" si="1204"/>
        <v>0</v>
      </c>
      <c r="G751" s="36">
        <f t="shared" si="1204"/>
        <v>0</v>
      </c>
      <c r="H751" s="36">
        <f t="shared" si="1204"/>
        <v>0</v>
      </c>
      <c r="I751" s="36">
        <f t="shared" si="1204"/>
        <v>0</v>
      </c>
      <c r="J751" s="36">
        <f t="shared" si="1204"/>
        <v>0</v>
      </c>
      <c r="K751" s="36">
        <f t="shared" si="1204"/>
        <v>0</v>
      </c>
      <c r="L751" s="36">
        <f t="shared" si="1204"/>
        <v>0</v>
      </c>
      <c r="M751" s="36">
        <f t="shared" si="1204"/>
        <v>0</v>
      </c>
      <c r="N751" s="36">
        <f t="shared" si="1204"/>
        <v>0</v>
      </c>
      <c r="O751" s="36">
        <f t="shared" si="1204"/>
        <v>0</v>
      </c>
      <c r="P751" s="36">
        <f t="shared" si="1204"/>
        <v>0</v>
      </c>
      <c r="Q751" s="36">
        <f t="shared" si="1204"/>
        <v>0</v>
      </c>
      <c r="R751" s="36">
        <f t="shared" si="1204"/>
        <v>0</v>
      </c>
      <c r="S751" s="36">
        <f t="shared" si="1204"/>
        <v>0</v>
      </c>
      <c r="T751" s="36">
        <f t="shared" si="1204"/>
        <v>0</v>
      </c>
      <c r="U751" s="36">
        <f t="shared" si="1204"/>
        <v>0</v>
      </c>
      <c r="V751" s="36">
        <f t="shared" si="1204"/>
        <v>0</v>
      </c>
      <c r="W751" s="36">
        <f t="shared" si="1204"/>
        <v>0</v>
      </c>
      <c r="X751" s="36">
        <f t="shared" si="1204"/>
        <v>254814.18475000001</v>
      </c>
      <c r="Y751" s="36">
        <f t="shared" si="1204"/>
        <v>9241.9652500000011</v>
      </c>
      <c r="Z751" s="36">
        <f t="shared" si="1204"/>
        <v>0</v>
      </c>
      <c r="AA751" s="36">
        <f t="shared" si="1204"/>
        <v>0</v>
      </c>
      <c r="AB751" s="36">
        <f t="shared" si="1204"/>
        <v>0</v>
      </c>
      <c r="AC751" s="56"/>
      <c r="AD751" s="23"/>
    </row>
    <row r="752" spans="1:30" s="14" customFormat="1">
      <c r="A752" s="87" t="s">
        <v>636</v>
      </c>
      <c r="B752" s="26">
        <v>2167271.3199999998</v>
      </c>
      <c r="C752" s="130">
        <f>ROUND(B752/12,2)</f>
        <v>180605.94</v>
      </c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>
        <v>0.96499999999999997</v>
      </c>
      <c r="Y752" s="35">
        <v>3.5000000000000003E-2</v>
      </c>
      <c r="Z752" s="37"/>
      <c r="AA752" s="37"/>
      <c r="AB752" s="37"/>
      <c r="AC752" s="56"/>
      <c r="AD752" s="23"/>
    </row>
    <row r="753" spans="1:30" s="14" customFormat="1">
      <c r="A753" s="82"/>
      <c r="B753" s="29"/>
      <c r="C753" s="130"/>
      <c r="D753" s="36">
        <f t="shared" ref="D753:AB753" si="1205">$C752*D752</f>
        <v>0</v>
      </c>
      <c r="E753" s="36">
        <f t="shared" si="1205"/>
        <v>0</v>
      </c>
      <c r="F753" s="36">
        <f t="shared" si="1205"/>
        <v>0</v>
      </c>
      <c r="G753" s="36">
        <f t="shared" si="1205"/>
        <v>0</v>
      </c>
      <c r="H753" s="36">
        <f t="shared" si="1205"/>
        <v>0</v>
      </c>
      <c r="I753" s="36">
        <f t="shared" si="1205"/>
        <v>0</v>
      </c>
      <c r="J753" s="36">
        <f t="shared" si="1205"/>
        <v>0</v>
      </c>
      <c r="K753" s="36">
        <f t="shared" si="1205"/>
        <v>0</v>
      </c>
      <c r="L753" s="36">
        <f t="shared" si="1205"/>
        <v>0</v>
      </c>
      <c r="M753" s="36">
        <f t="shared" si="1205"/>
        <v>0</v>
      </c>
      <c r="N753" s="36">
        <f t="shared" si="1205"/>
        <v>0</v>
      </c>
      <c r="O753" s="36">
        <f t="shared" si="1205"/>
        <v>0</v>
      </c>
      <c r="P753" s="36">
        <f t="shared" si="1205"/>
        <v>0</v>
      </c>
      <c r="Q753" s="36">
        <f t="shared" si="1205"/>
        <v>0</v>
      </c>
      <c r="R753" s="36">
        <f t="shared" si="1205"/>
        <v>0</v>
      </c>
      <c r="S753" s="36">
        <f t="shared" si="1205"/>
        <v>0</v>
      </c>
      <c r="T753" s="36">
        <f t="shared" si="1205"/>
        <v>0</v>
      </c>
      <c r="U753" s="36">
        <f t="shared" si="1205"/>
        <v>0</v>
      </c>
      <c r="V753" s="36">
        <f t="shared" si="1205"/>
        <v>0</v>
      </c>
      <c r="W753" s="36">
        <f t="shared" si="1205"/>
        <v>0</v>
      </c>
      <c r="X753" s="36">
        <f t="shared" si="1205"/>
        <v>174284.73209999999</v>
      </c>
      <c r="Y753" s="36">
        <f t="shared" si="1205"/>
        <v>6321.2079000000003</v>
      </c>
      <c r="Z753" s="36">
        <f t="shared" si="1205"/>
        <v>0</v>
      </c>
      <c r="AA753" s="36">
        <f t="shared" si="1205"/>
        <v>0</v>
      </c>
      <c r="AB753" s="36">
        <f t="shared" si="1205"/>
        <v>0</v>
      </c>
      <c r="AC753" s="56"/>
      <c r="AD753" s="23"/>
    </row>
    <row r="754" spans="1:30" s="14" customFormat="1">
      <c r="A754" s="87" t="s">
        <v>637</v>
      </c>
      <c r="B754" s="26">
        <v>2151727.3199999998</v>
      </c>
      <c r="C754" s="130">
        <f>ROUND(B754/12,2)</f>
        <v>179310.61</v>
      </c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>
        <v>0.96499999999999997</v>
      </c>
      <c r="Y754" s="35">
        <v>3.5000000000000003E-2</v>
      </c>
      <c r="Z754" s="37"/>
      <c r="AA754" s="37"/>
      <c r="AB754" s="37"/>
      <c r="AC754" s="56"/>
      <c r="AD754" s="23"/>
    </row>
    <row r="755" spans="1:30" s="14" customFormat="1">
      <c r="A755" s="82"/>
      <c r="B755" s="29"/>
      <c r="C755" s="130"/>
      <c r="D755" s="36">
        <f t="shared" ref="D755:AB755" si="1206">$C754*D754</f>
        <v>0</v>
      </c>
      <c r="E755" s="36">
        <f t="shared" si="1206"/>
        <v>0</v>
      </c>
      <c r="F755" s="36">
        <f t="shared" si="1206"/>
        <v>0</v>
      </c>
      <c r="G755" s="36">
        <f t="shared" si="1206"/>
        <v>0</v>
      </c>
      <c r="H755" s="36">
        <f t="shared" si="1206"/>
        <v>0</v>
      </c>
      <c r="I755" s="36">
        <f t="shared" si="1206"/>
        <v>0</v>
      </c>
      <c r="J755" s="36">
        <f t="shared" si="1206"/>
        <v>0</v>
      </c>
      <c r="K755" s="36">
        <f t="shared" si="1206"/>
        <v>0</v>
      </c>
      <c r="L755" s="36">
        <f t="shared" si="1206"/>
        <v>0</v>
      </c>
      <c r="M755" s="36">
        <f t="shared" si="1206"/>
        <v>0</v>
      </c>
      <c r="N755" s="36">
        <f t="shared" si="1206"/>
        <v>0</v>
      </c>
      <c r="O755" s="36">
        <f t="shared" si="1206"/>
        <v>0</v>
      </c>
      <c r="P755" s="36">
        <f t="shared" si="1206"/>
        <v>0</v>
      </c>
      <c r="Q755" s="36">
        <f t="shared" si="1206"/>
        <v>0</v>
      </c>
      <c r="R755" s="36">
        <f t="shared" si="1206"/>
        <v>0</v>
      </c>
      <c r="S755" s="36">
        <f t="shared" si="1206"/>
        <v>0</v>
      </c>
      <c r="T755" s="36">
        <f t="shared" si="1206"/>
        <v>0</v>
      </c>
      <c r="U755" s="36">
        <f t="shared" si="1206"/>
        <v>0</v>
      </c>
      <c r="V755" s="36">
        <f t="shared" si="1206"/>
        <v>0</v>
      </c>
      <c r="W755" s="36">
        <f t="shared" si="1206"/>
        <v>0</v>
      </c>
      <c r="X755" s="36">
        <f t="shared" si="1206"/>
        <v>173034.73864999998</v>
      </c>
      <c r="Y755" s="36">
        <f t="shared" si="1206"/>
        <v>6275.8713500000003</v>
      </c>
      <c r="Z755" s="36">
        <f t="shared" si="1206"/>
        <v>0</v>
      </c>
      <c r="AA755" s="36">
        <f t="shared" si="1206"/>
        <v>0</v>
      </c>
      <c r="AB755" s="36">
        <f t="shared" si="1206"/>
        <v>0</v>
      </c>
      <c r="AC755" s="56"/>
      <c r="AD755" s="23"/>
    </row>
    <row r="756" spans="1:30" s="14" customFormat="1">
      <c r="A756" s="87" t="s">
        <v>638</v>
      </c>
      <c r="B756" s="26">
        <v>2135712.2000000002</v>
      </c>
      <c r="C756" s="130">
        <f>ROUND(B756/12,2)</f>
        <v>177976.02</v>
      </c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>
        <v>0.96499999999999997</v>
      </c>
      <c r="Y756" s="35">
        <v>3.5000000000000003E-2</v>
      </c>
      <c r="Z756" s="37"/>
      <c r="AA756" s="37"/>
      <c r="AB756" s="37"/>
      <c r="AC756" s="56"/>
      <c r="AD756" s="23"/>
    </row>
    <row r="757" spans="1:30" s="14" customFormat="1">
      <c r="A757" s="82"/>
      <c r="B757" s="29"/>
      <c r="C757" s="130"/>
      <c r="D757" s="36">
        <f t="shared" ref="D757:AB757" si="1207">$C756*D756</f>
        <v>0</v>
      </c>
      <c r="E757" s="36">
        <f t="shared" si="1207"/>
        <v>0</v>
      </c>
      <c r="F757" s="36">
        <f t="shared" si="1207"/>
        <v>0</v>
      </c>
      <c r="G757" s="36">
        <f t="shared" si="1207"/>
        <v>0</v>
      </c>
      <c r="H757" s="36">
        <f t="shared" si="1207"/>
        <v>0</v>
      </c>
      <c r="I757" s="36">
        <f t="shared" si="1207"/>
        <v>0</v>
      </c>
      <c r="J757" s="36">
        <f t="shared" si="1207"/>
        <v>0</v>
      </c>
      <c r="K757" s="36">
        <f t="shared" si="1207"/>
        <v>0</v>
      </c>
      <c r="L757" s="36">
        <f t="shared" si="1207"/>
        <v>0</v>
      </c>
      <c r="M757" s="36">
        <f t="shared" si="1207"/>
        <v>0</v>
      </c>
      <c r="N757" s="36">
        <f t="shared" si="1207"/>
        <v>0</v>
      </c>
      <c r="O757" s="36">
        <f t="shared" si="1207"/>
        <v>0</v>
      </c>
      <c r="P757" s="36">
        <f t="shared" si="1207"/>
        <v>0</v>
      </c>
      <c r="Q757" s="36">
        <f t="shared" si="1207"/>
        <v>0</v>
      </c>
      <c r="R757" s="36">
        <f t="shared" si="1207"/>
        <v>0</v>
      </c>
      <c r="S757" s="36">
        <f t="shared" si="1207"/>
        <v>0</v>
      </c>
      <c r="T757" s="36">
        <f t="shared" si="1207"/>
        <v>0</v>
      </c>
      <c r="U757" s="36">
        <f t="shared" si="1207"/>
        <v>0</v>
      </c>
      <c r="V757" s="36">
        <f t="shared" si="1207"/>
        <v>0</v>
      </c>
      <c r="W757" s="36">
        <f t="shared" si="1207"/>
        <v>0</v>
      </c>
      <c r="X757" s="36">
        <f t="shared" si="1207"/>
        <v>171746.85929999998</v>
      </c>
      <c r="Y757" s="36">
        <f t="shared" si="1207"/>
        <v>6229.1607000000004</v>
      </c>
      <c r="Z757" s="36">
        <f t="shared" si="1207"/>
        <v>0</v>
      </c>
      <c r="AA757" s="36">
        <f t="shared" si="1207"/>
        <v>0</v>
      </c>
      <c r="AB757" s="36">
        <f t="shared" si="1207"/>
        <v>0</v>
      </c>
      <c r="AC757" s="56"/>
      <c r="AD757" s="23"/>
    </row>
    <row r="758" spans="1:30" s="14" customFormat="1">
      <c r="A758" s="87" t="s">
        <v>639</v>
      </c>
      <c r="B758" s="26">
        <v>33109061.370000001</v>
      </c>
      <c r="C758" s="130">
        <f>ROUND(B758/12,2)</f>
        <v>2759088.45</v>
      </c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>
        <v>0.96499999999999997</v>
      </c>
      <c r="Y758" s="35">
        <v>3.5000000000000003E-2</v>
      </c>
      <c r="Z758" s="37"/>
      <c r="AA758" s="37"/>
      <c r="AB758" s="37"/>
      <c r="AC758" s="56"/>
      <c r="AD758" s="23"/>
    </row>
    <row r="759" spans="1:30" s="14" customFormat="1">
      <c r="A759" s="82"/>
      <c r="B759" s="29"/>
      <c r="C759" s="130"/>
      <c r="D759" s="36">
        <f t="shared" ref="D759:AB759" si="1208">$C758*D758</f>
        <v>0</v>
      </c>
      <c r="E759" s="36">
        <f t="shared" si="1208"/>
        <v>0</v>
      </c>
      <c r="F759" s="36">
        <f t="shared" si="1208"/>
        <v>0</v>
      </c>
      <c r="G759" s="36">
        <f t="shared" si="1208"/>
        <v>0</v>
      </c>
      <c r="H759" s="36">
        <f t="shared" si="1208"/>
        <v>0</v>
      </c>
      <c r="I759" s="36">
        <f t="shared" si="1208"/>
        <v>0</v>
      </c>
      <c r="J759" s="36">
        <f t="shared" si="1208"/>
        <v>0</v>
      </c>
      <c r="K759" s="36">
        <f t="shared" si="1208"/>
        <v>0</v>
      </c>
      <c r="L759" s="36">
        <f t="shared" si="1208"/>
        <v>0</v>
      </c>
      <c r="M759" s="36">
        <f t="shared" si="1208"/>
        <v>0</v>
      </c>
      <c r="N759" s="36">
        <f t="shared" si="1208"/>
        <v>0</v>
      </c>
      <c r="O759" s="36">
        <f t="shared" si="1208"/>
        <v>0</v>
      </c>
      <c r="P759" s="36">
        <f t="shared" si="1208"/>
        <v>0</v>
      </c>
      <c r="Q759" s="36">
        <f t="shared" si="1208"/>
        <v>0</v>
      </c>
      <c r="R759" s="36">
        <f t="shared" si="1208"/>
        <v>0</v>
      </c>
      <c r="S759" s="36">
        <f t="shared" si="1208"/>
        <v>0</v>
      </c>
      <c r="T759" s="36">
        <f t="shared" si="1208"/>
        <v>0</v>
      </c>
      <c r="U759" s="36">
        <f t="shared" si="1208"/>
        <v>0</v>
      </c>
      <c r="V759" s="36">
        <f t="shared" si="1208"/>
        <v>0</v>
      </c>
      <c r="W759" s="36">
        <f t="shared" si="1208"/>
        <v>0</v>
      </c>
      <c r="X759" s="36">
        <f t="shared" si="1208"/>
        <v>2662520.3542500003</v>
      </c>
      <c r="Y759" s="36">
        <f t="shared" si="1208"/>
        <v>96568.095750000022</v>
      </c>
      <c r="Z759" s="36">
        <f t="shared" si="1208"/>
        <v>0</v>
      </c>
      <c r="AA759" s="36">
        <f t="shared" si="1208"/>
        <v>0</v>
      </c>
      <c r="AB759" s="36">
        <f t="shared" si="1208"/>
        <v>0</v>
      </c>
      <c r="AC759" s="56"/>
      <c r="AD759" s="23"/>
    </row>
    <row r="760" spans="1:30" s="14" customFormat="1">
      <c r="A760" s="87" t="s">
        <v>640</v>
      </c>
      <c r="B760" s="26">
        <v>346429.77</v>
      </c>
      <c r="C760" s="130">
        <f>ROUND(B760/12,2)</f>
        <v>28869.15</v>
      </c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>
        <v>0.96499999999999997</v>
      </c>
      <c r="Y760" s="35">
        <v>3.5000000000000003E-2</v>
      </c>
      <c r="Z760" s="37"/>
      <c r="AA760" s="37"/>
      <c r="AB760" s="37"/>
      <c r="AC760" s="56"/>
      <c r="AD760" s="23"/>
    </row>
    <row r="761" spans="1:30" s="14" customFormat="1">
      <c r="A761" s="82"/>
      <c r="B761" s="29"/>
      <c r="C761" s="130"/>
      <c r="D761" s="36">
        <f t="shared" ref="D761:AB761" si="1209">$C760*D760</f>
        <v>0</v>
      </c>
      <c r="E761" s="36">
        <f t="shared" si="1209"/>
        <v>0</v>
      </c>
      <c r="F761" s="36">
        <f t="shared" si="1209"/>
        <v>0</v>
      </c>
      <c r="G761" s="36">
        <f t="shared" si="1209"/>
        <v>0</v>
      </c>
      <c r="H761" s="36">
        <f t="shared" si="1209"/>
        <v>0</v>
      </c>
      <c r="I761" s="36">
        <f t="shared" si="1209"/>
        <v>0</v>
      </c>
      <c r="J761" s="36">
        <f t="shared" si="1209"/>
        <v>0</v>
      </c>
      <c r="K761" s="36">
        <f t="shared" si="1209"/>
        <v>0</v>
      </c>
      <c r="L761" s="36">
        <f t="shared" si="1209"/>
        <v>0</v>
      </c>
      <c r="M761" s="36">
        <f t="shared" si="1209"/>
        <v>0</v>
      </c>
      <c r="N761" s="36">
        <f t="shared" si="1209"/>
        <v>0</v>
      </c>
      <c r="O761" s="36">
        <f t="shared" si="1209"/>
        <v>0</v>
      </c>
      <c r="P761" s="36">
        <f t="shared" si="1209"/>
        <v>0</v>
      </c>
      <c r="Q761" s="36">
        <f t="shared" si="1209"/>
        <v>0</v>
      </c>
      <c r="R761" s="36">
        <f t="shared" si="1209"/>
        <v>0</v>
      </c>
      <c r="S761" s="36">
        <f t="shared" si="1209"/>
        <v>0</v>
      </c>
      <c r="T761" s="36">
        <f t="shared" si="1209"/>
        <v>0</v>
      </c>
      <c r="U761" s="36">
        <f t="shared" si="1209"/>
        <v>0</v>
      </c>
      <c r="V761" s="36">
        <f t="shared" si="1209"/>
        <v>0</v>
      </c>
      <c r="W761" s="36">
        <f t="shared" si="1209"/>
        <v>0</v>
      </c>
      <c r="X761" s="36">
        <f t="shared" si="1209"/>
        <v>27858.729750000002</v>
      </c>
      <c r="Y761" s="36">
        <f t="shared" si="1209"/>
        <v>1010.4202500000001</v>
      </c>
      <c r="Z761" s="36">
        <f t="shared" si="1209"/>
        <v>0</v>
      </c>
      <c r="AA761" s="36">
        <f t="shared" si="1209"/>
        <v>0</v>
      </c>
      <c r="AB761" s="36">
        <f t="shared" si="1209"/>
        <v>0</v>
      </c>
      <c r="AC761" s="56"/>
      <c r="AD761" s="23"/>
    </row>
    <row r="762" spans="1:30" s="14" customFormat="1">
      <c r="A762" s="87" t="s">
        <v>641</v>
      </c>
      <c r="B762" s="26">
        <v>295365.55</v>
      </c>
      <c r="C762" s="130">
        <f>ROUND(B762/12,2)</f>
        <v>24613.8</v>
      </c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>
        <v>0.96499999999999997</v>
      </c>
      <c r="Y762" s="35">
        <v>3.5000000000000003E-2</v>
      </c>
      <c r="Z762" s="37"/>
      <c r="AA762" s="37"/>
      <c r="AB762" s="37"/>
      <c r="AC762" s="56"/>
      <c r="AD762" s="23"/>
    </row>
    <row r="763" spans="1:30" s="14" customFormat="1">
      <c r="A763" s="82"/>
      <c r="B763" s="29"/>
      <c r="C763" s="130"/>
      <c r="D763" s="36">
        <f t="shared" ref="D763:AB763" si="1210">$C762*D762</f>
        <v>0</v>
      </c>
      <c r="E763" s="36">
        <f t="shared" si="1210"/>
        <v>0</v>
      </c>
      <c r="F763" s="36">
        <f t="shared" si="1210"/>
        <v>0</v>
      </c>
      <c r="G763" s="36">
        <f t="shared" si="1210"/>
        <v>0</v>
      </c>
      <c r="H763" s="36">
        <f t="shared" si="1210"/>
        <v>0</v>
      </c>
      <c r="I763" s="36">
        <f t="shared" si="1210"/>
        <v>0</v>
      </c>
      <c r="J763" s="36">
        <f t="shared" si="1210"/>
        <v>0</v>
      </c>
      <c r="K763" s="36">
        <f t="shared" si="1210"/>
        <v>0</v>
      </c>
      <c r="L763" s="36">
        <f t="shared" si="1210"/>
        <v>0</v>
      </c>
      <c r="M763" s="36">
        <f t="shared" si="1210"/>
        <v>0</v>
      </c>
      <c r="N763" s="36">
        <f t="shared" si="1210"/>
        <v>0</v>
      </c>
      <c r="O763" s="36">
        <f t="shared" si="1210"/>
        <v>0</v>
      </c>
      <c r="P763" s="36">
        <f t="shared" si="1210"/>
        <v>0</v>
      </c>
      <c r="Q763" s="36">
        <f t="shared" si="1210"/>
        <v>0</v>
      </c>
      <c r="R763" s="36">
        <f t="shared" si="1210"/>
        <v>0</v>
      </c>
      <c r="S763" s="36">
        <f t="shared" si="1210"/>
        <v>0</v>
      </c>
      <c r="T763" s="36">
        <f t="shared" si="1210"/>
        <v>0</v>
      </c>
      <c r="U763" s="36">
        <f t="shared" si="1210"/>
        <v>0</v>
      </c>
      <c r="V763" s="36">
        <f t="shared" si="1210"/>
        <v>0</v>
      </c>
      <c r="W763" s="36">
        <f t="shared" si="1210"/>
        <v>0</v>
      </c>
      <c r="X763" s="36">
        <f t="shared" si="1210"/>
        <v>23752.316999999999</v>
      </c>
      <c r="Y763" s="36">
        <f t="shared" si="1210"/>
        <v>861.48300000000006</v>
      </c>
      <c r="Z763" s="36">
        <f t="shared" si="1210"/>
        <v>0</v>
      </c>
      <c r="AA763" s="36">
        <f t="shared" si="1210"/>
        <v>0</v>
      </c>
      <c r="AB763" s="36">
        <f t="shared" si="1210"/>
        <v>0</v>
      </c>
      <c r="AC763" s="56"/>
      <c r="AD763" s="23"/>
    </row>
    <row r="764" spans="1:30" s="14" customFormat="1">
      <c r="A764" s="87" t="s">
        <v>642</v>
      </c>
      <c r="B764" s="26">
        <v>3264017.24</v>
      </c>
      <c r="C764" s="130">
        <f>ROUND(B764/12,2)</f>
        <v>272001.44</v>
      </c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>
        <v>0.96499999999999997</v>
      </c>
      <c r="Y764" s="35">
        <v>3.5000000000000003E-2</v>
      </c>
      <c r="Z764" s="37"/>
      <c r="AA764" s="37"/>
      <c r="AB764" s="37"/>
      <c r="AC764" s="56"/>
      <c r="AD764" s="23"/>
    </row>
    <row r="765" spans="1:30" s="14" customFormat="1">
      <c r="A765" s="82"/>
      <c r="B765" s="29"/>
      <c r="C765" s="130"/>
      <c r="D765" s="36">
        <f t="shared" ref="D765:AB765" si="1211">$C764*D764</f>
        <v>0</v>
      </c>
      <c r="E765" s="36">
        <f t="shared" si="1211"/>
        <v>0</v>
      </c>
      <c r="F765" s="36">
        <f t="shared" si="1211"/>
        <v>0</v>
      </c>
      <c r="G765" s="36">
        <f t="shared" si="1211"/>
        <v>0</v>
      </c>
      <c r="H765" s="36">
        <f t="shared" si="1211"/>
        <v>0</v>
      </c>
      <c r="I765" s="36">
        <f t="shared" si="1211"/>
        <v>0</v>
      </c>
      <c r="J765" s="36">
        <f t="shared" si="1211"/>
        <v>0</v>
      </c>
      <c r="K765" s="36">
        <f t="shared" si="1211"/>
        <v>0</v>
      </c>
      <c r="L765" s="36">
        <f t="shared" si="1211"/>
        <v>0</v>
      </c>
      <c r="M765" s="36">
        <f t="shared" si="1211"/>
        <v>0</v>
      </c>
      <c r="N765" s="36">
        <f t="shared" si="1211"/>
        <v>0</v>
      </c>
      <c r="O765" s="36">
        <f t="shared" si="1211"/>
        <v>0</v>
      </c>
      <c r="P765" s="36">
        <f t="shared" si="1211"/>
        <v>0</v>
      </c>
      <c r="Q765" s="36">
        <f t="shared" si="1211"/>
        <v>0</v>
      </c>
      <c r="R765" s="36">
        <f t="shared" si="1211"/>
        <v>0</v>
      </c>
      <c r="S765" s="36">
        <f t="shared" si="1211"/>
        <v>0</v>
      </c>
      <c r="T765" s="36">
        <f t="shared" si="1211"/>
        <v>0</v>
      </c>
      <c r="U765" s="36">
        <f t="shared" si="1211"/>
        <v>0</v>
      </c>
      <c r="V765" s="36">
        <f t="shared" si="1211"/>
        <v>0</v>
      </c>
      <c r="W765" s="36">
        <f t="shared" si="1211"/>
        <v>0</v>
      </c>
      <c r="X765" s="36">
        <f t="shared" si="1211"/>
        <v>262481.38959999999</v>
      </c>
      <c r="Y765" s="36">
        <f t="shared" si="1211"/>
        <v>9520.0504000000001</v>
      </c>
      <c r="Z765" s="36">
        <f t="shared" si="1211"/>
        <v>0</v>
      </c>
      <c r="AA765" s="36">
        <f t="shared" si="1211"/>
        <v>0</v>
      </c>
      <c r="AB765" s="36">
        <f t="shared" si="1211"/>
        <v>0</v>
      </c>
      <c r="AC765" s="56"/>
      <c r="AD765" s="23"/>
    </row>
    <row r="766" spans="1:30" s="14" customFormat="1">
      <c r="A766" s="87" t="s">
        <v>643</v>
      </c>
      <c r="B766" s="26">
        <v>2166570.1</v>
      </c>
      <c r="C766" s="130">
        <f>ROUND(B766/12,2)</f>
        <v>180547.51</v>
      </c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>
        <v>0.96499999999999997</v>
      </c>
      <c r="Y766" s="35">
        <v>3.5000000000000003E-2</v>
      </c>
      <c r="Z766" s="37"/>
      <c r="AA766" s="37"/>
      <c r="AB766" s="37"/>
      <c r="AC766" s="56"/>
      <c r="AD766" s="23"/>
    </row>
    <row r="767" spans="1:30" s="14" customFormat="1">
      <c r="A767" s="82"/>
      <c r="B767" s="29"/>
      <c r="C767" s="130"/>
      <c r="D767" s="36">
        <f t="shared" ref="D767:AB767" si="1212">$C766*D766</f>
        <v>0</v>
      </c>
      <c r="E767" s="36">
        <f t="shared" si="1212"/>
        <v>0</v>
      </c>
      <c r="F767" s="36">
        <f t="shared" si="1212"/>
        <v>0</v>
      </c>
      <c r="G767" s="36">
        <f t="shared" si="1212"/>
        <v>0</v>
      </c>
      <c r="H767" s="36">
        <f t="shared" si="1212"/>
        <v>0</v>
      </c>
      <c r="I767" s="36">
        <f t="shared" si="1212"/>
        <v>0</v>
      </c>
      <c r="J767" s="36">
        <f t="shared" si="1212"/>
        <v>0</v>
      </c>
      <c r="K767" s="36">
        <f t="shared" si="1212"/>
        <v>0</v>
      </c>
      <c r="L767" s="36">
        <f t="shared" si="1212"/>
        <v>0</v>
      </c>
      <c r="M767" s="36">
        <f t="shared" si="1212"/>
        <v>0</v>
      </c>
      <c r="N767" s="36">
        <f t="shared" si="1212"/>
        <v>0</v>
      </c>
      <c r="O767" s="36">
        <f t="shared" si="1212"/>
        <v>0</v>
      </c>
      <c r="P767" s="36">
        <f t="shared" si="1212"/>
        <v>0</v>
      </c>
      <c r="Q767" s="36">
        <f t="shared" si="1212"/>
        <v>0</v>
      </c>
      <c r="R767" s="36">
        <f t="shared" si="1212"/>
        <v>0</v>
      </c>
      <c r="S767" s="36">
        <f t="shared" si="1212"/>
        <v>0</v>
      </c>
      <c r="T767" s="36">
        <f t="shared" si="1212"/>
        <v>0</v>
      </c>
      <c r="U767" s="36">
        <f t="shared" si="1212"/>
        <v>0</v>
      </c>
      <c r="V767" s="36">
        <f t="shared" si="1212"/>
        <v>0</v>
      </c>
      <c r="W767" s="36">
        <f t="shared" si="1212"/>
        <v>0</v>
      </c>
      <c r="X767" s="36">
        <f t="shared" si="1212"/>
        <v>174228.34715000002</v>
      </c>
      <c r="Y767" s="36">
        <f t="shared" si="1212"/>
        <v>6319.1628500000006</v>
      </c>
      <c r="Z767" s="36">
        <f t="shared" si="1212"/>
        <v>0</v>
      </c>
      <c r="AA767" s="36">
        <f t="shared" si="1212"/>
        <v>0</v>
      </c>
      <c r="AB767" s="36">
        <f t="shared" si="1212"/>
        <v>0</v>
      </c>
      <c r="AC767" s="56"/>
      <c r="AD767" s="23"/>
    </row>
    <row r="768" spans="1:30" s="14" customFormat="1">
      <c r="A768" s="87" t="s">
        <v>644</v>
      </c>
      <c r="B768" s="26">
        <v>109465.16</v>
      </c>
      <c r="C768" s="130">
        <f>ROUND(B768/12,2)</f>
        <v>9122.1</v>
      </c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>
        <v>0.96499999999999997</v>
      </c>
      <c r="Y768" s="35">
        <v>3.5000000000000003E-2</v>
      </c>
      <c r="Z768" s="37"/>
      <c r="AA768" s="37"/>
      <c r="AB768" s="37"/>
      <c r="AC768" s="56"/>
      <c r="AD768" s="23"/>
    </row>
    <row r="769" spans="1:30" s="14" customFormat="1">
      <c r="A769" s="82"/>
      <c r="B769" s="29"/>
      <c r="C769" s="130"/>
      <c r="D769" s="36">
        <f t="shared" ref="D769:AB769" si="1213">$C768*D768</f>
        <v>0</v>
      </c>
      <c r="E769" s="36">
        <f t="shared" si="1213"/>
        <v>0</v>
      </c>
      <c r="F769" s="36">
        <f t="shared" si="1213"/>
        <v>0</v>
      </c>
      <c r="G769" s="36">
        <f t="shared" si="1213"/>
        <v>0</v>
      </c>
      <c r="H769" s="36">
        <f t="shared" si="1213"/>
        <v>0</v>
      </c>
      <c r="I769" s="36">
        <f t="shared" si="1213"/>
        <v>0</v>
      </c>
      <c r="J769" s="36">
        <f t="shared" si="1213"/>
        <v>0</v>
      </c>
      <c r="K769" s="36">
        <f t="shared" si="1213"/>
        <v>0</v>
      </c>
      <c r="L769" s="36">
        <f t="shared" si="1213"/>
        <v>0</v>
      </c>
      <c r="M769" s="36">
        <f t="shared" si="1213"/>
        <v>0</v>
      </c>
      <c r="N769" s="36">
        <f t="shared" si="1213"/>
        <v>0</v>
      </c>
      <c r="O769" s="36">
        <f t="shared" si="1213"/>
        <v>0</v>
      </c>
      <c r="P769" s="36">
        <f t="shared" si="1213"/>
        <v>0</v>
      </c>
      <c r="Q769" s="36">
        <f t="shared" si="1213"/>
        <v>0</v>
      </c>
      <c r="R769" s="36">
        <f t="shared" si="1213"/>
        <v>0</v>
      </c>
      <c r="S769" s="36">
        <f t="shared" si="1213"/>
        <v>0</v>
      </c>
      <c r="T769" s="36">
        <f t="shared" si="1213"/>
        <v>0</v>
      </c>
      <c r="U769" s="36">
        <f t="shared" si="1213"/>
        <v>0</v>
      </c>
      <c r="V769" s="36">
        <f t="shared" si="1213"/>
        <v>0</v>
      </c>
      <c r="W769" s="36">
        <f t="shared" si="1213"/>
        <v>0</v>
      </c>
      <c r="X769" s="36">
        <f t="shared" si="1213"/>
        <v>8802.8264999999992</v>
      </c>
      <c r="Y769" s="36">
        <f t="shared" si="1213"/>
        <v>319.27350000000007</v>
      </c>
      <c r="Z769" s="36">
        <f t="shared" si="1213"/>
        <v>0</v>
      </c>
      <c r="AA769" s="36">
        <f t="shared" si="1213"/>
        <v>0</v>
      </c>
      <c r="AB769" s="36">
        <f t="shared" si="1213"/>
        <v>0</v>
      </c>
      <c r="AC769" s="56"/>
      <c r="AD769" s="23"/>
    </row>
    <row r="770" spans="1:30" s="14" customFormat="1">
      <c r="A770" s="87" t="s">
        <v>645</v>
      </c>
      <c r="B770" s="26">
        <v>1500949.26</v>
      </c>
      <c r="C770" s="130">
        <f>ROUND(B770/12,2)</f>
        <v>125079.11</v>
      </c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>
        <v>0.96499999999999997</v>
      </c>
      <c r="Y770" s="35">
        <v>3.5000000000000003E-2</v>
      </c>
      <c r="Z770" s="37"/>
      <c r="AA770" s="37"/>
      <c r="AB770" s="37"/>
      <c r="AC770" s="56"/>
      <c r="AD770" s="23"/>
    </row>
    <row r="771" spans="1:30" s="14" customFormat="1">
      <c r="A771" s="82"/>
      <c r="B771" s="29"/>
      <c r="C771" s="130"/>
      <c r="D771" s="36">
        <f t="shared" ref="D771:AB771" si="1214">$C770*D770</f>
        <v>0</v>
      </c>
      <c r="E771" s="36">
        <f t="shared" si="1214"/>
        <v>0</v>
      </c>
      <c r="F771" s="36">
        <f t="shared" si="1214"/>
        <v>0</v>
      </c>
      <c r="G771" s="36">
        <f t="shared" si="1214"/>
        <v>0</v>
      </c>
      <c r="H771" s="36">
        <f t="shared" si="1214"/>
        <v>0</v>
      </c>
      <c r="I771" s="36">
        <f t="shared" si="1214"/>
        <v>0</v>
      </c>
      <c r="J771" s="36">
        <f t="shared" si="1214"/>
        <v>0</v>
      </c>
      <c r="K771" s="36">
        <f t="shared" si="1214"/>
        <v>0</v>
      </c>
      <c r="L771" s="36">
        <f t="shared" si="1214"/>
        <v>0</v>
      </c>
      <c r="M771" s="36">
        <f t="shared" si="1214"/>
        <v>0</v>
      </c>
      <c r="N771" s="36">
        <f t="shared" si="1214"/>
        <v>0</v>
      </c>
      <c r="O771" s="36">
        <f t="shared" si="1214"/>
        <v>0</v>
      </c>
      <c r="P771" s="36">
        <f t="shared" si="1214"/>
        <v>0</v>
      </c>
      <c r="Q771" s="36">
        <f t="shared" si="1214"/>
        <v>0</v>
      </c>
      <c r="R771" s="36">
        <f t="shared" si="1214"/>
        <v>0</v>
      </c>
      <c r="S771" s="36">
        <f t="shared" si="1214"/>
        <v>0</v>
      </c>
      <c r="T771" s="36">
        <f t="shared" si="1214"/>
        <v>0</v>
      </c>
      <c r="U771" s="36">
        <f t="shared" si="1214"/>
        <v>0</v>
      </c>
      <c r="V771" s="36">
        <f t="shared" si="1214"/>
        <v>0</v>
      </c>
      <c r="W771" s="36">
        <f t="shared" si="1214"/>
        <v>0</v>
      </c>
      <c r="X771" s="36">
        <f t="shared" si="1214"/>
        <v>120701.34114999999</v>
      </c>
      <c r="Y771" s="36">
        <f t="shared" si="1214"/>
        <v>4377.7688500000004</v>
      </c>
      <c r="Z771" s="36">
        <f t="shared" si="1214"/>
        <v>0</v>
      </c>
      <c r="AA771" s="36">
        <f t="shared" si="1214"/>
        <v>0</v>
      </c>
      <c r="AB771" s="36">
        <f t="shared" si="1214"/>
        <v>0</v>
      </c>
      <c r="AC771" s="56"/>
      <c r="AD771" s="23"/>
    </row>
    <row r="772" spans="1:30" s="14" customFormat="1">
      <c r="A772" s="87" t="s">
        <v>646</v>
      </c>
      <c r="B772" s="26">
        <v>1497400.54</v>
      </c>
      <c r="C772" s="130">
        <f>ROUND(B772/12,2)</f>
        <v>124783.38</v>
      </c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>
        <v>0.96499999999999997</v>
      </c>
      <c r="Y772" s="35">
        <v>3.5000000000000003E-2</v>
      </c>
      <c r="Z772" s="37"/>
      <c r="AA772" s="37"/>
      <c r="AB772" s="37"/>
      <c r="AC772" s="56"/>
      <c r="AD772" s="23"/>
    </row>
    <row r="773" spans="1:30" s="14" customFormat="1">
      <c r="A773" s="82"/>
      <c r="B773" s="29"/>
      <c r="C773" s="130"/>
      <c r="D773" s="36">
        <f t="shared" ref="D773:AB773" si="1215">$C772*D772</f>
        <v>0</v>
      </c>
      <c r="E773" s="36">
        <f t="shared" si="1215"/>
        <v>0</v>
      </c>
      <c r="F773" s="36">
        <f t="shared" si="1215"/>
        <v>0</v>
      </c>
      <c r="G773" s="36">
        <f t="shared" si="1215"/>
        <v>0</v>
      </c>
      <c r="H773" s="36">
        <f t="shared" si="1215"/>
        <v>0</v>
      </c>
      <c r="I773" s="36">
        <f t="shared" si="1215"/>
        <v>0</v>
      </c>
      <c r="J773" s="36">
        <f t="shared" si="1215"/>
        <v>0</v>
      </c>
      <c r="K773" s="36">
        <f t="shared" si="1215"/>
        <v>0</v>
      </c>
      <c r="L773" s="36">
        <f t="shared" si="1215"/>
        <v>0</v>
      </c>
      <c r="M773" s="36">
        <f t="shared" si="1215"/>
        <v>0</v>
      </c>
      <c r="N773" s="36">
        <f t="shared" si="1215"/>
        <v>0</v>
      </c>
      <c r="O773" s="36">
        <f t="shared" si="1215"/>
        <v>0</v>
      </c>
      <c r="P773" s="36">
        <f t="shared" si="1215"/>
        <v>0</v>
      </c>
      <c r="Q773" s="36">
        <f t="shared" si="1215"/>
        <v>0</v>
      </c>
      <c r="R773" s="36">
        <f t="shared" si="1215"/>
        <v>0</v>
      </c>
      <c r="S773" s="36">
        <f t="shared" si="1215"/>
        <v>0</v>
      </c>
      <c r="T773" s="36">
        <f t="shared" si="1215"/>
        <v>0</v>
      </c>
      <c r="U773" s="36">
        <f t="shared" si="1215"/>
        <v>0</v>
      </c>
      <c r="V773" s="36">
        <f t="shared" si="1215"/>
        <v>0</v>
      </c>
      <c r="W773" s="36">
        <f t="shared" si="1215"/>
        <v>0</v>
      </c>
      <c r="X773" s="36">
        <f t="shared" si="1215"/>
        <v>120415.9617</v>
      </c>
      <c r="Y773" s="36">
        <f t="shared" si="1215"/>
        <v>4367.4183000000003</v>
      </c>
      <c r="Z773" s="36">
        <f t="shared" si="1215"/>
        <v>0</v>
      </c>
      <c r="AA773" s="36">
        <f t="shared" si="1215"/>
        <v>0</v>
      </c>
      <c r="AB773" s="36">
        <f t="shared" si="1215"/>
        <v>0</v>
      </c>
      <c r="AC773" s="56"/>
      <c r="AD773" s="23"/>
    </row>
    <row r="774" spans="1:30" s="14" customFormat="1">
      <c r="A774" s="87" t="s">
        <v>647</v>
      </c>
      <c r="B774" s="26">
        <v>1500949.26</v>
      </c>
      <c r="C774" s="130">
        <f>ROUND(B774/12,2)</f>
        <v>125079.11</v>
      </c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>
        <v>0.96499999999999997</v>
      </c>
      <c r="Y774" s="35">
        <v>3.5000000000000003E-2</v>
      </c>
      <c r="Z774" s="37"/>
      <c r="AA774" s="37"/>
      <c r="AB774" s="37"/>
      <c r="AC774" s="56"/>
      <c r="AD774" s="23"/>
    </row>
    <row r="775" spans="1:30" s="14" customFormat="1">
      <c r="A775" s="82"/>
      <c r="B775" s="29"/>
      <c r="C775" s="130"/>
      <c r="D775" s="36">
        <f t="shared" ref="D775:AB775" si="1216">$C774*D774</f>
        <v>0</v>
      </c>
      <c r="E775" s="36">
        <f t="shared" si="1216"/>
        <v>0</v>
      </c>
      <c r="F775" s="36">
        <f t="shared" si="1216"/>
        <v>0</v>
      </c>
      <c r="G775" s="36">
        <f t="shared" si="1216"/>
        <v>0</v>
      </c>
      <c r="H775" s="36">
        <f t="shared" si="1216"/>
        <v>0</v>
      </c>
      <c r="I775" s="36">
        <f t="shared" si="1216"/>
        <v>0</v>
      </c>
      <c r="J775" s="36">
        <f t="shared" si="1216"/>
        <v>0</v>
      </c>
      <c r="K775" s="36">
        <f t="shared" si="1216"/>
        <v>0</v>
      </c>
      <c r="L775" s="36">
        <f t="shared" si="1216"/>
        <v>0</v>
      </c>
      <c r="M775" s="36">
        <f t="shared" si="1216"/>
        <v>0</v>
      </c>
      <c r="N775" s="36">
        <f t="shared" si="1216"/>
        <v>0</v>
      </c>
      <c r="O775" s="36">
        <f t="shared" si="1216"/>
        <v>0</v>
      </c>
      <c r="P775" s="36">
        <f t="shared" si="1216"/>
        <v>0</v>
      </c>
      <c r="Q775" s="36">
        <f t="shared" si="1216"/>
        <v>0</v>
      </c>
      <c r="R775" s="36">
        <f t="shared" si="1216"/>
        <v>0</v>
      </c>
      <c r="S775" s="36">
        <f t="shared" si="1216"/>
        <v>0</v>
      </c>
      <c r="T775" s="36">
        <f t="shared" si="1216"/>
        <v>0</v>
      </c>
      <c r="U775" s="36">
        <f t="shared" si="1216"/>
        <v>0</v>
      </c>
      <c r="V775" s="36">
        <f t="shared" si="1216"/>
        <v>0</v>
      </c>
      <c r="W775" s="36">
        <f t="shared" si="1216"/>
        <v>0</v>
      </c>
      <c r="X775" s="36">
        <f t="shared" si="1216"/>
        <v>120701.34114999999</v>
      </c>
      <c r="Y775" s="36">
        <f t="shared" si="1216"/>
        <v>4377.7688500000004</v>
      </c>
      <c r="Z775" s="36">
        <f t="shared" si="1216"/>
        <v>0</v>
      </c>
      <c r="AA775" s="36">
        <f t="shared" si="1216"/>
        <v>0</v>
      </c>
      <c r="AB775" s="36">
        <f t="shared" si="1216"/>
        <v>0</v>
      </c>
      <c r="AC775" s="56"/>
      <c r="AD775" s="23"/>
    </row>
    <row r="776" spans="1:30" s="14" customFormat="1">
      <c r="A776" s="87" t="s">
        <v>648</v>
      </c>
      <c r="B776" s="26">
        <v>1500949.26</v>
      </c>
      <c r="C776" s="130">
        <f>ROUND(B776/12,2)</f>
        <v>125079.11</v>
      </c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>
        <v>0.96499999999999997</v>
      </c>
      <c r="Y776" s="35">
        <v>3.5000000000000003E-2</v>
      </c>
      <c r="Z776" s="37"/>
      <c r="AA776" s="37"/>
      <c r="AB776" s="37"/>
      <c r="AC776" s="56"/>
      <c r="AD776" s="23"/>
    </row>
    <row r="777" spans="1:30" s="14" customFormat="1">
      <c r="A777" s="82"/>
      <c r="B777" s="29"/>
      <c r="C777" s="130"/>
      <c r="D777" s="36">
        <f t="shared" ref="D777:AB777" si="1217">$C776*D776</f>
        <v>0</v>
      </c>
      <c r="E777" s="36">
        <f t="shared" si="1217"/>
        <v>0</v>
      </c>
      <c r="F777" s="36">
        <f t="shared" si="1217"/>
        <v>0</v>
      </c>
      <c r="G777" s="36">
        <f t="shared" si="1217"/>
        <v>0</v>
      </c>
      <c r="H777" s="36">
        <f t="shared" si="1217"/>
        <v>0</v>
      </c>
      <c r="I777" s="36">
        <f t="shared" si="1217"/>
        <v>0</v>
      </c>
      <c r="J777" s="36">
        <f t="shared" si="1217"/>
        <v>0</v>
      </c>
      <c r="K777" s="36">
        <f t="shared" si="1217"/>
        <v>0</v>
      </c>
      <c r="L777" s="36">
        <f t="shared" si="1217"/>
        <v>0</v>
      </c>
      <c r="M777" s="36">
        <f t="shared" si="1217"/>
        <v>0</v>
      </c>
      <c r="N777" s="36">
        <f t="shared" si="1217"/>
        <v>0</v>
      </c>
      <c r="O777" s="36">
        <f t="shared" si="1217"/>
        <v>0</v>
      </c>
      <c r="P777" s="36">
        <f t="shared" si="1217"/>
        <v>0</v>
      </c>
      <c r="Q777" s="36">
        <f t="shared" si="1217"/>
        <v>0</v>
      </c>
      <c r="R777" s="36">
        <f t="shared" si="1217"/>
        <v>0</v>
      </c>
      <c r="S777" s="36">
        <f t="shared" si="1217"/>
        <v>0</v>
      </c>
      <c r="T777" s="36">
        <f t="shared" si="1217"/>
        <v>0</v>
      </c>
      <c r="U777" s="36">
        <f t="shared" si="1217"/>
        <v>0</v>
      </c>
      <c r="V777" s="36">
        <f t="shared" si="1217"/>
        <v>0</v>
      </c>
      <c r="W777" s="36">
        <f t="shared" si="1217"/>
        <v>0</v>
      </c>
      <c r="X777" s="36">
        <f t="shared" si="1217"/>
        <v>120701.34114999999</v>
      </c>
      <c r="Y777" s="36">
        <f t="shared" si="1217"/>
        <v>4377.7688500000004</v>
      </c>
      <c r="Z777" s="36">
        <f t="shared" si="1217"/>
        <v>0</v>
      </c>
      <c r="AA777" s="36">
        <f t="shared" si="1217"/>
        <v>0</v>
      </c>
      <c r="AB777" s="36">
        <f t="shared" si="1217"/>
        <v>0</v>
      </c>
      <c r="AC777" s="56"/>
      <c r="AD777" s="23"/>
    </row>
    <row r="778" spans="1:30" s="14" customFormat="1">
      <c r="A778" s="87" t="s">
        <v>649</v>
      </c>
      <c r="B778" s="26">
        <v>-4750.04</v>
      </c>
      <c r="C778" s="130">
        <f>ROUND(B778/12,2)</f>
        <v>-395.84</v>
      </c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>
        <v>0.96499999999999997</v>
      </c>
      <c r="Y778" s="35">
        <v>3.5000000000000003E-2</v>
      </c>
      <c r="Z778" s="37"/>
      <c r="AA778" s="37"/>
      <c r="AB778" s="37"/>
      <c r="AC778" s="56"/>
      <c r="AD778" s="23"/>
    </row>
    <row r="779" spans="1:30" s="14" customFormat="1">
      <c r="A779" s="82"/>
      <c r="B779" s="29"/>
      <c r="C779" s="130"/>
      <c r="D779" s="36">
        <f t="shared" ref="D779:AB779" si="1218">$C778*D778</f>
        <v>0</v>
      </c>
      <c r="E779" s="36">
        <f t="shared" si="1218"/>
        <v>0</v>
      </c>
      <c r="F779" s="36">
        <f t="shared" si="1218"/>
        <v>0</v>
      </c>
      <c r="G779" s="36">
        <f t="shared" si="1218"/>
        <v>0</v>
      </c>
      <c r="H779" s="36">
        <f t="shared" si="1218"/>
        <v>0</v>
      </c>
      <c r="I779" s="36">
        <f t="shared" si="1218"/>
        <v>0</v>
      </c>
      <c r="J779" s="36">
        <f t="shared" si="1218"/>
        <v>0</v>
      </c>
      <c r="K779" s="36">
        <f t="shared" si="1218"/>
        <v>0</v>
      </c>
      <c r="L779" s="36">
        <f t="shared" si="1218"/>
        <v>0</v>
      </c>
      <c r="M779" s="36">
        <f t="shared" si="1218"/>
        <v>0</v>
      </c>
      <c r="N779" s="36">
        <f t="shared" si="1218"/>
        <v>0</v>
      </c>
      <c r="O779" s="36">
        <f t="shared" si="1218"/>
        <v>0</v>
      </c>
      <c r="P779" s="36">
        <f t="shared" si="1218"/>
        <v>0</v>
      </c>
      <c r="Q779" s="36">
        <f t="shared" si="1218"/>
        <v>0</v>
      </c>
      <c r="R779" s="36">
        <f t="shared" si="1218"/>
        <v>0</v>
      </c>
      <c r="S779" s="36">
        <f t="shared" si="1218"/>
        <v>0</v>
      </c>
      <c r="T779" s="36">
        <f t="shared" si="1218"/>
        <v>0</v>
      </c>
      <c r="U779" s="36">
        <f t="shared" si="1218"/>
        <v>0</v>
      </c>
      <c r="V779" s="36">
        <f t="shared" si="1218"/>
        <v>0</v>
      </c>
      <c r="W779" s="36">
        <f t="shared" si="1218"/>
        <v>0</v>
      </c>
      <c r="X779" s="36">
        <f t="shared" si="1218"/>
        <v>-381.98559999999998</v>
      </c>
      <c r="Y779" s="36">
        <f t="shared" si="1218"/>
        <v>-13.8544</v>
      </c>
      <c r="Z779" s="36">
        <f t="shared" si="1218"/>
        <v>0</v>
      </c>
      <c r="AA779" s="36">
        <f t="shared" si="1218"/>
        <v>0</v>
      </c>
      <c r="AB779" s="36">
        <f t="shared" si="1218"/>
        <v>0</v>
      </c>
      <c r="AC779" s="56"/>
      <c r="AD779" s="23"/>
    </row>
    <row r="780" spans="1:30" s="14" customFormat="1">
      <c r="A780" s="87" t="s">
        <v>650</v>
      </c>
      <c r="B780" s="26">
        <v>3680460.34</v>
      </c>
      <c r="C780" s="130">
        <f>ROUND(B780/12,2)</f>
        <v>306705.03000000003</v>
      </c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>
        <v>0.96499999999999997</v>
      </c>
      <c r="Y780" s="35">
        <v>3.5000000000000003E-2</v>
      </c>
      <c r="Z780" s="37"/>
      <c r="AA780" s="37"/>
      <c r="AB780" s="37"/>
      <c r="AC780" s="56"/>
      <c r="AD780" s="23"/>
    </row>
    <row r="781" spans="1:30" s="14" customFormat="1">
      <c r="A781" s="82"/>
      <c r="B781" s="29"/>
      <c r="C781" s="130"/>
      <c r="D781" s="36">
        <f t="shared" ref="D781:AB781" si="1219">$C780*D780</f>
        <v>0</v>
      </c>
      <c r="E781" s="36">
        <f t="shared" si="1219"/>
        <v>0</v>
      </c>
      <c r="F781" s="36">
        <f t="shared" si="1219"/>
        <v>0</v>
      </c>
      <c r="G781" s="36">
        <f t="shared" si="1219"/>
        <v>0</v>
      </c>
      <c r="H781" s="36">
        <f t="shared" si="1219"/>
        <v>0</v>
      </c>
      <c r="I781" s="36">
        <f t="shared" si="1219"/>
        <v>0</v>
      </c>
      <c r="J781" s="36">
        <f t="shared" si="1219"/>
        <v>0</v>
      </c>
      <c r="K781" s="36">
        <f t="shared" si="1219"/>
        <v>0</v>
      </c>
      <c r="L781" s="36">
        <f t="shared" si="1219"/>
        <v>0</v>
      </c>
      <c r="M781" s="36">
        <f t="shared" si="1219"/>
        <v>0</v>
      </c>
      <c r="N781" s="36">
        <f t="shared" si="1219"/>
        <v>0</v>
      </c>
      <c r="O781" s="36">
        <f t="shared" si="1219"/>
        <v>0</v>
      </c>
      <c r="P781" s="36">
        <f t="shared" si="1219"/>
        <v>0</v>
      </c>
      <c r="Q781" s="36">
        <f t="shared" si="1219"/>
        <v>0</v>
      </c>
      <c r="R781" s="36">
        <f t="shared" si="1219"/>
        <v>0</v>
      </c>
      <c r="S781" s="36">
        <f t="shared" si="1219"/>
        <v>0</v>
      </c>
      <c r="T781" s="36">
        <f t="shared" si="1219"/>
        <v>0</v>
      </c>
      <c r="U781" s="36">
        <f t="shared" si="1219"/>
        <v>0</v>
      </c>
      <c r="V781" s="36">
        <f t="shared" si="1219"/>
        <v>0</v>
      </c>
      <c r="W781" s="36">
        <f t="shared" si="1219"/>
        <v>0</v>
      </c>
      <c r="X781" s="36">
        <f t="shared" si="1219"/>
        <v>295970.35395000002</v>
      </c>
      <c r="Y781" s="36">
        <f t="shared" si="1219"/>
        <v>10734.676050000002</v>
      </c>
      <c r="Z781" s="36">
        <f t="shared" si="1219"/>
        <v>0</v>
      </c>
      <c r="AA781" s="36">
        <f t="shared" si="1219"/>
        <v>0</v>
      </c>
      <c r="AB781" s="36">
        <f t="shared" si="1219"/>
        <v>0</v>
      </c>
      <c r="AC781" s="56"/>
      <c r="AD781" s="23"/>
    </row>
    <row r="782" spans="1:30" s="14" customFormat="1">
      <c r="A782" s="87" t="s">
        <v>651</v>
      </c>
      <c r="B782" s="26">
        <v>4412077.1399999997</v>
      </c>
      <c r="C782" s="130">
        <f>ROUND(B782/12,2)</f>
        <v>367673.1</v>
      </c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>
        <v>0.96499999999999997</v>
      </c>
      <c r="Y782" s="35">
        <v>3.5000000000000003E-2</v>
      </c>
      <c r="Z782" s="37"/>
      <c r="AA782" s="37"/>
      <c r="AB782" s="37"/>
      <c r="AC782" s="56"/>
      <c r="AD782" s="23"/>
    </row>
    <row r="783" spans="1:30" s="14" customFormat="1">
      <c r="A783" s="82"/>
      <c r="B783" s="29"/>
      <c r="C783" s="130"/>
      <c r="D783" s="36">
        <f t="shared" ref="D783:AB783" si="1220">$C782*D782</f>
        <v>0</v>
      </c>
      <c r="E783" s="36">
        <f t="shared" si="1220"/>
        <v>0</v>
      </c>
      <c r="F783" s="36">
        <f t="shared" si="1220"/>
        <v>0</v>
      </c>
      <c r="G783" s="36">
        <f t="shared" si="1220"/>
        <v>0</v>
      </c>
      <c r="H783" s="36">
        <f t="shared" si="1220"/>
        <v>0</v>
      </c>
      <c r="I783" s="36">
        <f t="shared" si="1220"/>
        <v>0</v>
      </c>
      <c r="J783" s="36">
        <f t="shared" si="1220"/>
        <v>0</v>
      </c>
      <c r="K783" s="36">
        <f t="shared" si="1220"/>
        <v>0</v>
      </c>
      <c r="L783" s="36">
        <f t="shared" si="1220"/>
        <v>0</v>
      </c>
      <c r="M783" s="36">
        <f t="shared" si="1220"/>
        <v>0</v>
      </c>
      <c r="N783" s="36">
        <f t="shared" si="1220"/>
        <v>0</v>
      </c>
      <c r="O783" s="36">
        <f t="shared" si="1220"/>
        <v>0</v>
      </c>
      <c r="P783" s="36">
        <f t="shared" si="1220"/>
        <v>0</v>
      </c>
      <c r="Q783" s="36">
        <f t="shared" si="1220"/>
        <v>0</v>
      </c>
      <c r="R783" s="36">
        <f t="shared" si="1220"/>
        <v>0</v>
      </c>
      <c r="S783" s="36">
        <f t="shared" si="1220"/>
        <v>0</v>
      </c>
      <c r="T783" s="36">
        <f t="shared" si="1220"/>
        <v>0</v>
      </c>
      <c r="U783" s="36">
        <f t="shared" si="1220"/>
        <v>0</v>
      </c>
      <c r="V783" s="36">
        <f t="shared" si="1220"/>
        <v>0</v>
      </c>
      <c r="W783" s="36">
        <f t="shared" si="1220"/>
        <v>0</v>
      </c>
      <c r="X783" s="36">
        <f t="shared" si="1220"/>
        <v>354804.54149999999</v>
      </c>
      <c r="Y783" s="36">
        <f t="shared" si="1220"/>
        <v>12868.558500000001</v>
      </c>
      <c r="Z783" s="36">
        <f t="shared" si="1220"/>
        <v>0</v>
      </c>
      <c r="AA783" s="36">
        <f t="shared" si="1220"/>
        <v>0</v>
      </c>
      <c r="AB783" s="36">
        <f t="shared" si="1220"/>
        <v>0</v>
      </c>
      <c r="AC783" s="56"/>
      <c r="AD783" s="23"/>
    </row>
    <row r="784" spans="1:30" s="14" customFormat="1">
      <c r="A784" s="87" t="s">
        <v>652</v>
      </c>
      <c r="B784" s="26">
        <v>3187559.76</v>
      </c>
      <c r="C784" s="130">
        <f>ROUND(B784/12,2)</f>
        <v>265629.98</v>
      </c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>
        <v>0.96499999999999997</v>
      </c>
      <c r="Y784" s="35">
        <v>3.5000000000000003E-2</v>
      </c>
      <c r="Z784" s="37"/>
      <c r="AA784" s="37"/>
      <c r="AB784" s="37"/>
      <c r="AC784" s="56"/>
      <c r="AD784" s="23"/>
    </row>
    <row r="785" spans="1:30" s="14" customFormat="1">
      <c r="A785" s="82"/>
      <c r="B785" s="29"/>
      <c r="C785" s="130"/>
      <c r="D785" s="36">
        <f t="shared" ref="D785:AB785" si="1221">$C784*D784</f>
        <v>0</v>
      </c>
      <c r="E785" s="36">
        <f t="shared" si="1221"/>
        <v>0</v>
      </c>
      <c r="F785" s="36">
        <f t="shared" si="1221"/>
        <v>0</v>
      </c>
      <c r="G785" s="36">
        <f t="shared" si="1221"/>
        <v>0</v>
      </c>
      <c r="H785" s="36">
        <f t="shared" si="1221"/>
        <v>0</v>
      </c>
      <c r="I785" s="36">
        <f t="shared" si="1221"/>
        <v>0</v>
      </c>
      <c r="J785" s="36">
        <f t="shared" si="1221"/>
        <v>0</v>
      </c>
      <c r="K785" s="36">
        <f t="shared" si="1221"/>
        <v>0</v>
      </c>
      <c r="L785" s="36">
        <f t="shared" si="1221"/>
        <v>0</v>
      </c>
      <c r="M785" s="36">
        <f t="shared" si="1221"/>
        <v>0</v>
      </c>
      <c r="N785" s="36">
        <f t="shared" si="1221"/>
        <v>0</v>
      </c>
      <c r="O785" s="36">
        <f t="shared" si="1221"/>
        <v>0</v>
      </c>
      <c r="P785" s="36">
        <f t="shared" si="1221"/>
        <v>0</v>
      </c>
      <c r="Q785" s="36">
        <f t="shared" si="1221"/>
        <v>0</v>
      </c>
      <c r="R785" s="36">
        <f t="shared" si="1221"/>
        <v>0</v>
      </c>
      <c r="S785" s="36">
        <f t="shared" si="1221"/>
        <v>0</v>
      </c>
      <c r="T785" s="36">
        <f t="shared" si="1221"/>
        <v>0</v>
      </c>
      <c r="U785" s="36">
        <f t="shared" si="1221"/>
        <v>0</v>
      </c>
      <c r="V785" s="36">
        <f t="shared" si="1221"/>
        <v>0</v>
      </c>
      <c r="W785" s="36">
        <f t="shared" si="1221"/>
        <v>0</v>
      </c>
      <c r="X785" s="36">
        <f t="shared" si="1221"/>
        <v>256332.93069999997</v>
      </c>
      <c r="Y785" s="36">
        <f t="shared" si="1221"/>
        <v>9297.0493000000006</v>
      </c>
      <c r="Z785" s="36">
        <f t="shared" si="1221"/>
        <v>0</v>
      </c>
      <c r="AA785" s="36">
        <f t="shared" si="1221"/>
        <v>0</v>
      </c>
      <c r="AB785" s="36">
        <f t="shared" si="1221"/>
        <v>0</v>
      </c>
      <c r="AC785" s="56"/>
      <c r="AD785" s="23"/>
    </row>
    <row r="786" spans="1:30" s="14" customFormat="1">
      <c r="A786" s="87" t="s">
        <v>667</v>
      </c>
      <c r="B786" s="26">
        <v>1238322.1100000001</v>
      </c>
      <c r="C786" s="130">
        <f>ROUND(B786/12,2)</f>
        <v>103193.51</v>
      </c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>
        <v>0.96499999999999997</v>
      </c>
      <c r="Y786" s="35">
        <v>3.5000000000000003E-2</v>
      </c>
      <c r="Z786" s="37"/>
      <c r="AA786" s="37"/>
      <c r="AB786" s="37"/>
      <c r="AC786" s="162"/>
      <c r="AD786" s="163"/>
    </row>
    <row r="787" spans="1:30" s="14" customFormat="1">
      <c r="A787" s="82"/>
      <c r="B787" s="29"/>
      <c r="C787" s="130"/>
      <c r="D787" s="36">
        <f t="shared" ref="D787:AB787" si="1222">$C786*D786</f>
        <v>0</v>
      </c>
      <c r="E787" s="36">
        <f t="shared" si="1222"/>
        <v>0</v>
      </c>
      <c r="F787" s="36">
        <f t="shared" si="1222"/>
        <v>0</v>
      </c>
      <c r="G787" s="36">
        <f t="shared" si="1222"/>
        <v>0</v>
      </c>
      <c r="H787" s="36">
        <f t="shared" si="1222"/>
        <v>0</v>
      </c>
      <c r="I787" s="36">
        <f t="shared" si="1222"/>
        <v>0</v>
      </c>
      <c r="J787" s="36">
        <f t="shared" si="1222"/>
        <v>0</v>
      </c>
      <c r="K787" s="36">
        <f t="shared" si="1222"/>
        <v>0</v>
      </c>
      <c r="L787" s="36">
        <f t="shared" si="1222"/>
        <v>0</v>
      </c>
      <c r="M787" s="36">
        <f t="shared" si="1222"/>
        <v>0</v>
      </c>
      <c r="N787" s="36">
        <f t="shared" si="1222"/>
        <v>0</v>
      </c>
      <c r="O787" s="36">
        <f t="shared" si="1222"/>
        <v>0</v>
      </c>
      <c r="P787" s="36">
        <f t="shared" si="1222"/>
        <v>0</v>
      </c>
      <c r="Q787" s="36">
        <f t="shared" si="1222"/>
        <v>0</v>
      </c>
      <c r="R787" s="36">
        <f t="shared" si="1222"/>
        <v>0</v>
      </c>
      <c r="S787" s="36">
        <f t="shared" si="1222"/>
        <v>0</v>
      </c>
      <c r="T787" s="36">
        <f t="shared" si="1222"/>
        <v>0</v>
      </c>
      <c r="U787" s="36">
        <f t="shared" si="1222"/>
        <v>0</v>
      </c>
      <c r="V787" s="36">
        <f t="shared" si="1222"/>
        <v>0</v>
      </c>
      <c r="W787" s="36">
        <f t="shared" si="1222"/>
        <v>0</v>
      </c>
      <c r="X787" s="36">
        <f t="shared" si="1222"/>
        <v>99581.737149999986</v>
      </c>
      <c r="Y787" s="36">
        <f t="shared" si="1222"/>
        <v>3611.7728500000003</v>
      </c>
      <c r="Z787" s="36">
        <f t="shared" si="1222"/>
        <v>0</v>
      </c>
      <c r="AA787" s="36">
        <f t="shared" si="1222"/>
        <v>0</v>
      </c>
      <c r="AB787" s="36">
        <f t="shared" si="1222"/>
        <v>0</v>
      </c>
      <c r="AC787" s="162"/>
      <c r="AD787" s="163"/>
    </row>
    <row r="788" spans="1:30" s="14" customFormat="1">
      <c r="A788" s="87" t="s">
        <v>697</v>
      </c>
      <c r="B788" s="26">
        <v>189675.81</v>
      </c>
      <c r="C788" s="130">
        <f>ROUND(B788/12,2)</f>
        <v>15806.32</v>
      </c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>
        <v>0.96499999999999997</v>
      </c>
      <c r="Y788" s="35">
        <v>3.5000000000000003E-2</v>
      </c>
      <c r="Z788" s="37"/>
      <c r="AA788" s="37"/>
      <c r="AB788" s="37"/>
      <c r="AC788" s="162"/>
      <c r="AD788" s="163"/>
    </row>
    <row r="789" spans="1:30" s="14" customFormat="1">
      <c r="A789" s="82"/>
      <c r="B789" s="29"/>
      <c r="C789" s="130"/>
      <c r="D789" s="36">
        <f t="shared" ref="D789:AB789" si="1223">$C788*D788</f>
        <v>0</v>
      </c>
      <c r="E789" s="36">
        <f t="shared" si="1223"/>
        <v>0</v>
      </c>
      <c r="F789" s="36">
        <f t="shared" si="1223"/>
        <v>0</v>
      </c>
      <c r="G789" s="36">
        <f t="shared" si="1223"/>
        <v>0</v>
      </c>
      <c r="H789" s="36">
        <f t="shared" si="1223"/>
        <v>0</v>
      </c>
      <c r="I789" s="36">
        <f t="shared" si="1223"/>
        <v>0</v>
      </c>
      <c r="J789" s="36">
        <f t="shared" si="1223"/>
        <v>0</v>
      </c>
      <c r="K789" s="36">
        <f t="shared" si="1223"/>
        <v>0</v>
      </c>
      <c r="L789" s="36">
        <f t="shared" si="1223"/>
        <v>0</v>
      </c>
      <c r="M789" s="36">
        <f t="shared" si="1223"/>
        <v>0</v>
      </c>
      <c r="N789" s="36">
        <f t="shared" si="1223"/>
        <v>0</v>
      </c>
      <c r="O789" s="36">
        <f t="shared" si="1223"/>
        <v>0</v>
      </c>
      <c r="P789" s="36">
        <f t="shared" si="1223"/>
        <v>0</v>
      </c>
      <c r="Q789" s="36">
        <f t="shared" si="1223"/>
        <v>0</v>
      </c>
      <c r="R789" s="36">
        <f t="shared" si="1223"/>
        <v>0</v>
      </c>
      <c r="S789" s="36">
        <f t="shared" si="1223"/>
        <v>0</v>
      </c>
      <c r="T789" s="36">
        <f t="shared" si="1223"/>
        <v>0</v>
      </c>
      <c r="U789" s="36">
        <f t="shared" si="1223"/>
        <v>0</v>
      </c>
      <c r="V789" s="36">
        <f t="shared" si="1223"/>
        <v>0</v>
      </c>
      <c r="W789" s="36">
        <f t="shared" si="1223"/>
        <v>0</v>
      </c>
      <c r="X789" s="36">
        <f t="shared" si="1223"/>
        <v>15253.0988</v>
      </c>
      <c r="Y789" s="36">
        <f t="shared" si="1223"/>
        <v>553.22120000000007</v>
      </c>
      <c r="Z789" s="36">
        <f t="shared" si="1223"/>
        <v>0</v>
      </c>
      <c r="AA789" s="36">
        <f t="shared" si="1223"/>
        <v>0</v>
      </c>
      <c r="AB789" s="36">
        <f t="shared" si="1223"/>
        <v>0</v>
      </c>
      <c r="AC789" s="162"/>
      <c r="AD789" s="163"/>
    </row>
    <row r="790" spans="1:30" s="14" customFormat="1">
      <c r="A790" s="13" t="s">
        <v>50</v>
      </c>
      <c r="B790" s="6">
        <f>SUM(B514:B788)</f>
        <v>692949514.49000049</v>
      </c>
      <c r="C790" s="131">
        <f>SUM(C514:C788)</f>
        <v>57745792.969999969</v>
      </c>
      <c r="D790" s="42">
        <f>D515+D517+D519+D521+D523+D525+D527+D529+D531+D533+D535+D537+D539+D541+D543+D545+D547+D549+D551+D553+D555+D557+D559+D561+D563+D565+D567+D569+D571+D573+D575+D577+D579+D581+D583+D585+D587+D589+D591+D593+D595+D597+D599+D601+D603+D605+D607+D609+D611+D613+D615+D617+D619+D621+D623+D625+D627+D629+D631+D633+D635+D637+D639+D641+D643+D645+D647+D649+D651+D653+D655+D657+D659+D661+D663+D665+D667+D669+D671+D673+D675+D677+D679+D681+D683+D685+D687+D689+D691+D693+D695+D697+D699+D701+D703+D705+D707+D709+D711+D713+D715+D717+D719+D721+D723+D725+D727+D729+D731+D733+D735+D737+D739+D741+D743+D745+D747+D749+D751+D753+D755+D757+D759+D761+D763+D765+D767+D769+D771+D773+D775+D777+D779+D781+D783+D785+D787+D789</f>
        <v>632115.97353899991</v>
      </c>
      <c r="E790" s="42">
        <f t="shared" ref="E790:AB790" si="1224">E515+E517+E519+E521+E523+E525+E527+E529+E531+E533+E535+E537+E539+E541+E543+E545+E547+E549+E551+E553+E555+E557+E559+E561+E563+E565+E567+E569+E571+E573+E575+E577+E579+E581+E583+E585+E587+E589+E591+E593+E595+E597+E599+E601+E603+E605+E607+E609+E611+E613+E615+E617+E619+E621+E623+E625+E627+E629+E631+E633+E635+E637+E639+E641+E643+E645+E647+E649+E651+E653+E655+E657+E659+E661+E663+E665+E667+E669+E671+E673+E675+E677+E679+E681+E683+E685+E687+E689+E691+E693+E695+E697+E699+E701+E703+E705+E707+E709+E711+E713+E715+E717+E719+E721+E723+E725+E727+E729+E731+E733+E735+E737+E739+E741+E743+E745+E747+E749+E751+E753+E755+E757+E759+E761+E763+E765+E767+E769+E771+E773+E775+E777+E779+E781+E783+E785+E787+E789</f>
        <v>843084.20040999982</v>
      </c>
      <c r="F790" s="42">
        <f t="shared" si="1224"/>
        <v>347986.40086999995</v>
      </c>
      <c r="G790" s="42">
        <f t="shared" si="1224"/>
        <v>464889.66446</v>
      </c>
      <c r="H790" s="42">
        <f t="shared" si="1224"/>
        <v>301906.69080599991</v>
      </c>
      <c r="I790" s="42">
        <f t="shared" si="1224"/>
        <v>851881.38426299987</v>
      </c>
      <c r="J790" s="42">
        <f t="shared" si="1224"/>
        <v>127021.074501</v>
      </c>
      <c r="K790" s="42">
        <f t="shared" si="1224"/>
        <v>184332.35496</v>
      </c>
      <c r="L790" s="42">
        <f t="shared" si="1224"/>
        <v>95711.03045999998</v>
      </c>
      <c r="M790" s="42">
        <f t="shared" si="1224"/>
        <v>267378.88013799995</v>
      </c>
      <c r="N790" s="42">
        <f t="shared" si="1224"/>
        <v>877351.11255000008</v>
      </c>
      <c r="O790" s="42">
        <f t="shared" si="1224"/>
        <v>133522.79558000001</v>
      </c>
      <c r="P790" s="42">
        <f t="shared" si="1224"/>
        <v>855518.11044000008</v>
      </c>
      <c r="Q790" s="42">
        <f t="shared" si="1224"/>
        <v>3076323.2276709992</v>
      </c>
      <c r="R790" s="42">
        <f t="shared" si="1224"/>
        <v>158787.75546000001</v>
      </c>
      <c r="S790" s="42">
        <f t="shared" si="1224"/>
        <v>1669582.824826</v>
      </c>
      <c r="T790" s="42">
        <f t="shared" si="1224"/>
        <v>3769472.1628290005</v>
      </c>
      <c r="U790" s="42">
        <f t="shared" si="1224"/>
        <v>283669.55961399997</v>
      </c>
      <c r="V790" s="42">
        <f t="shared" si="1224"/>
        <v>286804.63082200009</v>
      </c>
      <c r="W790" s="42">
        <f t="shared" si="1224"/>
        <v>418702.45155599999</v>
      </c>
      <c r="X790" s="42">
        <f t="shared" si="1224"/>
        <v>40436458.710175991</v>
      </c>
      <c r="Y790" s="42">
        <f t="shared" si="1224"/>
        <v>1510341.8097030001</v>
      </c>
      <c r="Z790" s="42">
        <f t="shared" si="1224"/>
        <v>148814.50255600005</v>
      </c>
      <c r="AA790" s="42">
        <f t="shared" si="1224"/>
        <v>4135.6618099999996</v>
      </c>
      <c r="AB790" s="42">
        <f t="shared" si="1224"/>
        <v>0</v>
      </c>
      <c r="AC790" s="56"/>
      <c r="AD790" s="23"/>
    </row>
    <row r="791" spans="1:30" s="14" customFormat="1">
      <c r="A791" s="31"/>
      <c r="B791" s="19"/>
      <c r="C791" s="154"/>
      <c r="D791" s="38"/>
      <c r="E791" s="19"/>
      <c r="F791" s="19"/>
      <c r="G791" s="2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56"/>
      <c r="AD791" s="23"/>
    </row>
    <row r="792" spans="1:30" s="14" customFormat="1">
      <c r="A792" s="31"/>
      <c r="B792" s="19"/>
      <c r="C792" s="154"/>
      <c r="D792" s="19"/>
      <c r="E792" s="19"/>
      <c r="F792" s="19"/>
      <c r="G792" s="2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56"/>
      <c r="AD792" s="23"/>
    </row>
    <row r="793" spans="1:30" s="14" customFormat="1" ht="13.8" thickBot="1">
      <c r="A793" s="64" t="s">
        <v>111</v>
      </c>
      <c r="B793" s="65"/>
      <c r="C793" s="152"/>
      <c r="D793" s="65"/>
      <c r="E793" s="65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56"/>
      <c r="AD793" s="23"/>
    </row>
    <row r="794" spans="1:30" s="14" customFormat="1" ht="13.8" thickBot="1">
      <c r="A794" s="93" t="s">
        <v>1</v>
      </c>
      <c r="B794" s="94" t="s">
        <v>2</v>
      </c>
      <c r="C794" s="125" t="s">
        <v>3</v>
      </c>
      <c r="D794" s="211" t="s">
        <v>4</v>
      </c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103"/>
      <c r="AA794" s="103"/>
      <c r="AB794" s="103"/>
      <c r="AC794" s="56"/>
      <c r="AD794" s="23"/>
    </row>
    <row r="795" spans="1:30" s="14" customFormat="1">
      <c r="A795" s="95" t="s">
        <v>5</v>
      </c>
      <c r="B795" s="96" t="s">
        <v>6</v>
      </c>
      <c r="C795" s="126" t="s">
        <v>6</v>
      </c>
      <c r="D795" s="97"/>
      <c r="E795" s="98"/>
      <c r="F795" s="98"/>
      <c r="G795" s="98"/>
      <c r="H795" s="98"/>
      <c r="I795" s="98"/>
      <c r="J795" s="98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9"/>
      <c r="Z795" s="96" t="s">
        <v>7</v>
      </c>
      <c r="AA795" s="96"/>
      <c r="AB795" s="96"/>
      <c r="AC795" s="56"/>
      <c r="AD795" s="23"/>
    </row>
    <row r="796" spans="1:30" s="14" customFormat="1">
      <c r="A796" s="95" t="s">
        <v>8</v>
      </c>
      <c r="B796" s="96" t="s">
        <v>9</v>
      </c>
      <c r="C796" s="126" t="s">
        <v>9</v>
      </c>
      <c r="D796" s="100" t="s">
        <v>10</v>
      </c>
      <c r="E796" s="96" t="s">
        <v>11</v>
      </c>
      <c r="F796" s="96" t="s">
        <v>12</v>
      </c>
      <c r="G796" s="96" t="s">
        <v>13</v>
      </c>
      <c r="H796" s="96" t="s">
        <v>14</v>
      </c>
      <c r="I796" s="96" t="s">
        <v>15</v>
      </c>
      <c r="J796" s="96" t="s">
        <v>16</v>
      </c>
      <c r="K796" s="96" t="s">
        <v>17</v>
      </c>
      <c r="L796" s="96" t="s">
        <v>18</v>
      </c>
      <c r="M796" s="96" t="s">
        <v>19</v>
      </c>
      <c r="N796" s="96" t="s">
        <v>20</v>
      </c>
      <c r="O796" s="96" t="s">
        <v>169</v>
      </c>
      <c r="P796" s="96" t="s">
        <v>21</v>
      </c>
      <c r="Q796" s="96" t="s">
        <v>22</v>
      </c>
      <c r="R796" s="96" t="s">
        <v>23</v>
      </c>
      <c r="S796" s="96" t="s">
        <v>24</v>
      </c>
      <c r="T796" s="96" t="s">
        <v>25</v>
      </c>
      <c r="U796" s="96" t="s">
        <v>26</v>
      </c>
      <c r="V796" s="96" t="s">
        <v>27</v>
      </c>
      <c r="W796" s="96" t="s">
        <v>28</v>
      </c>
      <c r="X796" s="96" t="s">
        <v>29</v>
      </c>
      <c r="Y796" s="96" t="s">
        <v>30</v>
      </c>
      <c r="Z796" s="96" t="s">
        <v>31</v>
      </c>
      <c r="AA796" s="96" t="s">
        <v>484</v>
      </c>
      <c r="AB796" s="96" t="s">
        <v>467</v>
      </c>
      <c r="AC796" s="56"/>
      <c r="AD796" s="23"/>
    </row>
    <row r="797" spans="1:30" s="14" customFormat="1">
      <c r="A797" s="95"/>
      <c r="B797" s="96"/>
      <c r="C797" s="126" t="s">
        <v>696</v>
      </c>
      <c r="D797" s="101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56"/>
      <c r="AD797" s="23"/>
    </row>
    <row r="798" spans="1:30" s="47" customFormat="1" ht="13.35" customHeight="1">
      <c r="A798" s="78" t="s">
        <v>112</v>
      </c>
      <c r="B798" s="15">
        <f>60929689/2</f>
        <v>30464844.5</v>
      </c>
      <c r="C798" s="130">
        <f>ROUND(B798/12,2)</f>
        <v>2538737.04</v>
      </c>
      <c r="D798" s="35">
        <v>1.6299999999999999E-2</v>
      </c>
      <c r="E798" s="35">
        <v>0.14269999999999999</v>
      </c>
      <c r="F798" s="35">
        <v>5.8900000000000001E-2</v>
      </c>
      <c r="G798" s="35">
        <v>7.6200000000000004E-2</v>
      </c>
      <c r="H798" s="35">
        <v>3.9600000000000003E-2</v>
      </c>
      <c r="I798" s="35">
        <v>0.12470000000000001</v>
      </c>
      <c r="J798" s="35">
        <v>2.0400000000000001E-2</v>
      </c>
      <c r="K798" s="35">
        <v>3.1199999999999999E-2</v>
      </c>
      <c r="L798" s="35">
        <v>1.6199999999999999E-2</v>
      </c>
      <c r="M798" s="35">
        <v>2.53E-2</v>
      </c>
      <c r="N798" s="35">
        <v>0.14849999999999999</v>
      </c>
      <c r="O798" s="35">
        <v>2.2599999999999999E-2</v>
      </c>
      <c r="P798" s="35">
        <v>0</v>
      </c>
      <c r="Q798" s="35">
        <v>3.78E-2</v>
      </c>
      <c r="R798" s="35">
        <v>1.8100000000000002E-2</v>
      </c>
      <c r="S798" s="35">
        <v>4.1000000000000003E-3</v>
      </c>
      <c r="T798" s="35">
        <v>5.04E-2</v>
      </c>
      <c r="U798" s="35">
        <v>1.7500000000000002E-2</v>
      </c>
      <c r="V798" s="35">
        <v>3.6200000000000003E-2</v>
      </c>
      <c r="W798" s="35">
        <v>4.8500000000000001E-2</v>
      </c>
      <c r="X798" s="35">
        <v>6.1600000000000002E-2</v>
      </c>
      <c r="Y798" s="35">
        <v>2.5000000000000001E-3</v>
      </c>
      <c r="Z798" s="4">
        <v>0</v>
      </c>
      <c r="AA798" s="4">
        <v>6.9999999999999999E-4</v>
      </c>
      <c r="AB798" s="4">
        <v>0</v>
      </c>
      <c r="AC798" s="56"/>
      <c r="AD798" s="23"/>
    </row>
    <row r="799" spans="1:30" s="47" customFormat="1" ht="13.35" customHeight="1">
      <c r="A799" s="79"/>
      <c r="B799" s="27"/>
      <c r="C799" s="130"/>
      <c r="D799" s="5">
        <f t="shared" ref="D799" si="1225">$C798*D798</f>
        <v>41381.413752</v>
      </c>
      <c r="E799" s="5">
        <f t="shared" ref="E799" si="1226">$C798*E798</f>
        <v>362277.775608</v>
      </c>
      <c r="F799" s="5">
        <f t="shared" ref="F799:O799" si="1227">$C798*F798</f>
        <v>149531.61165599999</v>
      </c>
      <c r="G799" s="5">
        <f t="shared" si="1227"/>
        <v>193451.76244800002</v>
      </c>
      <c r="H799" s="5">
        <f t="shared" si="1227"/>
        <v>100533.98678400001</v>
      </c>
      <c r="I799" s="5">
        <f t="shared" si="1227"/>
        <v>316580.50888800004</v>
      </c>
      <c r="J799" s="5">
        <f t="shared" si="1227"/>
        <v>51790.235616000005</v>
      </c>
      <c r="K799" s="5">
        <f t="shared" si="1227"/>
        <v>79208.595648000002</v>
      </c>
      <c r="L799" s="5">
        <f t="shared" si="1227"/>
        <v>41127.540047999995</v>
      </c>
      <c r="M799" s="5">
        <f t="shared" si="1227"/>
        <v>64230.047112</v>
      </c>
      <c r="N799" s="5">
        <f t="shared" si="1227"/>
        <v>377002.45043999999</v>
      </c>
      <c r="O799" s="5">
        <f t="shared" si="1227"/>
        <v>57375.457103999994</v>
      </c>
      <c r="P799" s="5">
        <f t="shared" ref="P799" si="1228">$C798*P798</f>
        <v>0</v>
      </c>
      <c r="Q799" s="5">
        <f t="shared" ref="Q799" si="1229">$C798*Q798</f>
        <v>95964.260112000004</v>
      </c>
      <c r="R799" s="5">
        <f t="shared" ref="R799:AB799" si="1230">$C798*R798</f>
        <v>45951.140424000005</v>
      </c>
      <c r="S799" s="5">
        <f t="shared" si="1230"/>
        <v>10408.821864000001</v>
      </c>
      <c r="T799" s="5">
        <f t="shared" si="1230"/>
        <v>127952.346816</v>
      </c>
      <c r="U799" s="5">
        <f t="shared" si="1230"/>
        <v>44427.898200000003</v>
      </c>
      <c r="V799" s="5">
        <f t="shared" si="1230"/>
        <v>91902.280848000009</v>
      </c>
      <c r="W799" s="5">
        <f t="shared" si="1230"/>
        <v>123128.74644</v>
      </c>
      <c r="X799" s="5">
        <f t="shared" si="1230"/>
        <v>156386.20166399999</v>
      </c>
      <c r="Y799" s="5">
        <f t="shared" si="1230"/>
        <v>6346.8425999999999</v>
      </c>
      <c r="Z799" s="5">
        <f t="shared" si="1230"/>
        <v>0</v>
      </c>
      <c r="AA799" s="5">
        <f t="shared" si="1230"/>
        <v>1777.1159279999999</v>
      </c>
      <c r="AB799" s="5">
        <f t="shared" si="1230"/>
        <v>0</v>
      </c>
      <c r="AC799" s="56"/>
      <c r="AD799" s="23"/>
    </row>
    <row r="800" spans="1:30" s="14" customFormat="1">
      <c r="A800" s="78" t="s">
        <v>433</v>
      </c>
      <c r="B800" s="15">
        <f>60929689/2</f>
        <v>30464844.5</v>
      </c>
      <c r="C800" s="130">
        <f t="shared" ref="C800:C838" si="1231">ROUND(B800/12,2)</f>
        <v>2538737.04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>
        <v>0.24759999999999999</v>
      </c>
      <c r="R800" s="4"/>
      <c r="S800" s="4">
        <v>3.15E-2</v>
      </c>
      <c r="T800" s="4"/>
      <c r="U800" s="4"/>
      <c r="V800" s="4"/>
      <c r="W800" s="4">
        <v>7.9000000000000008E-3</v>
      </c>
      <c r="X800" s="4">
        <v>0.68799999999999994</v>
      </c>
      <c r="Y800" s="4">
        <v>2.5000000000000001E-2</v>
      </c>
      <c r="Z800" s="4"/>
      <c r="AA800" s="4"/>
      <c r="AB800" s="4"/>
      <c r="AC800" s="56"/>
      <c r="AD800" s="23"/>
    </row>
    <row r="801" spans="1:40" s="14" customFormat="1">
      <c r="A801" s="79"/>
      <c r="B801" s="9"/>
      <c r="C801" s="130"/>
      <c r="D801" s="5">
        <f t="shared" ref="D801" si="1232">$C800*D800</f>
        <v>0</v>
      </c>
      <c r="E801" s="5">
        <f t="shared" ref="E801" si="1233">$C800*E800</f>
        <v>0</v>
      </c>
      <c r="F801" s="5">
        <f t="shared" ref="F801:O801" si="1234">$C800*F800</f>
        <v>0</v>
      </c>
      <c r="G801" s="5">
        <f t="shared" si="1234"/>
        <v>0</v>
      </c>
      <c r="H801" s="5">
        <f t="shared" si="1234"/>
        <v>0</v>
      </c>
      <c r="I801" s="5">
        <f t="shared" si="1234"/>
        <v>0</v>
      </c>
      <c r="J801" s="5">
        <f t="shared" si="1234"/>
        <v>0</v>
      </c>
      <c r="K801" s="5">
        <f t="shared" si="1234"/>
        <v>0</v>
      </c>
      <c r="L801" s="5">
        <f t="shared" si="1234"/>
        <v>0</v>
      </c>
      <c r="M801" s="5">
        <f t="shared" si="1234"/>
        <v>0</v>
      </c>
      <c r="N801" s="5">
        <f t="shared" si="1234"/>
        <v>0</v>
      </c>
      <c r="O801" s="5">
        <f t="shared" si="1234"/>
        <v>0</v>
      </c>
      <c r="P801" s="5">
        <f t="shared" ref="P801" si="1235">$C800*P800</f>
        <v>0</v>
      </c>
      <c r="Q801" s="5">
        <f t="shared" ref="Q801" si="1236">$C800*Q800</f>
        <v>628591.29110399995</v>
      </c>
      <c r="R801" s="5">
        <f t="shared" ref="R801:AB801" si="1237">$C800*R800</f>
        <v>0</v>
      </c>
      <c r="S801" s="5">
        <f t="shared" si="1237"/>
        <v>79970.216759999996</v>
      </c>
      <c r="T801" s="5">
        <f t="shared" si="1237"/>
        <v>0</v>
      </c>
      <c r="U801" s="5">
        <f t="shared" si="1237"/>
        <v>0</v>
      </c>
      <c r="V801" s="5">
        <f t="shared" si="1237"/>
        <v>0</v>
      </c>
      <c r="W801" s="5">
        <f t="shared" si="1237"/>
        <v>20056.022616000002</v>
      </c>
      <c r="X801" s="5">
        <f t="shared" si="1237"/>
        <v>1746651.0835199999</v>
      </c>
      <c r="Y801" s="5">
        <f t="shared" si="1237"/>
        <v>63468.426000000007</v>
      </c>
      <c r="Z801" s="5">
        <f t="shared" si="1237"/>
        <v>0</v>
      </c>
      <c r="AA801" s="5">
        <f t="shared" si="1237"/>
        <v>0</v>
      </c>
      <c r="AB801" s="5">
        <f t="shared" si="1237"/>
        <v>0</v>
      </c>
      <c r="AC801" s="56"/>
      <c r="AD801" s="23"/>
    </row>
    <row r="802" spans="1:40" s="47" customFormat="1" ht="13.35" customHeight="1">
      <c r="A802" s="78" t="s">
        <v>113</v>
      </c>
      <c r="B802" s="26">
        <f>6712/2</f>
        <v>3356</v>
      </c>
      <c r="C802" s="130">
        <f t="shared" si="1231"/>
        <v>279.67</v>
      </c>
      <c r="D802" s="35">
        <v>1.6299999999999999E-2</v>
      </c>
      <c r="E802" s="35">
        <v>0.14269999999999999</v>
      </c>
      <c r="F802" s="35">
        <v>5.8900000000000001E-2</v>
      </c>
      <c r="G802" s="35">
        <v>7.6200000000000004E-2</v>
      </c>
      <c r="H802" s="35">
        <v>3.9600000000000003E-2</v>
      </c>
      <c r="I802" s="35">
        <v>0.12470000000000001</v>
      </c>
      <c r="J802" s="35">
        <v>2.0400000000000001E-2</v>
      </c>
      <c r="K802" s="35">
        <v>3.1199999999999999E-2</v>
      </c>
      <c r="L802" s="35">
        <v>1.6199999999999999E-2</v>
      </c>
      <c r="M802" s="35">
        <v>2.53E-2</v>
      </c>
      <c r="N802" s="35">
        <v>0.14849999999999999</v>
      </c>
      <c r="O802" s="35">
        <v>2.2599999999999999E-2</v>
      </c>
      <c r="P802" s="35">
        <v>0</v>
      </c>
      <c r="Q802" s="35">
        <v>3.78E-2</v>
      </c>
      <c r="R802" s="35">
        <v>1.8100000000000002E-2</v>
      </c>
      <c r="S802" s="35">
        <v>4.1000000000000003E-3</v>
      </c>
      <c r="T802" s="35">
        <v>5.04E-2</v>
      </c>
      <c r="U802" s="35">
        <v>1.7500000000000002E-2</v>
      </c>
      <c r="V802" s="35">
        <v>3.6200000000000003E-2</v>
      </c>
      <c r="W802" s="35">
        <v>4.8500000000000001E-2</v>
      </c>
      <c r="X802" s="35">
        <v>6.1600000000000002E-2</v>
      </c>
      <c r="Y802" s="35">
        <v>2.5000000000000001E-3</v>
      </c>
      <c r="Z802" s="4">
        <v>0</v>
      </c>
      <c r="AA802" s="4">
        <v>6.9999999999999999E-4</v>
      </c>
      <c r="AB802" s="4">
        <v>0</v>
      </c>
      <c r="AC802" s="56"/>
      <c r="AD802" s="23"/>
      <c r="AN802" s="4"/>
    </row>
    <row r="803" spans="1:40" s="47" customFormat="1" ht="13.35" customHeight="1">
      <c r="A803" s="79"/>
      <c r="B803" s="27"/>
      <c r="C803" s="130"/>
      <c r="D803" s="5">
        <f t="shared" ref="D803" si="1238">$C802*D802</f>
        <v>4.5586209999999996</v>
      </c>
      <c r="E803" s="5">
        <f t="shared" ref="E803" si="1239">$C802*E802</f>
        <v>39.908909000000001</v>
      </c>
      <c r="F803" s="5">
        <f t="shared" ref="F803:O803" si="1240">$C802*F802</f>
        <v>16.472563000000001</v>
      </c>
      <c r="G803" s="5">
        <f t="shared" si="1240"/>
        <v>21.310854000000003</v>
      </c>
      <c r="H803" s="5">
        <f t="shared" si="1240"/>
        <v>11.074932000000002</v>
      </c>
      <c r="I803" s="5">
        <f t="shared" si="1240"/>
        <v>34.874849000000005</v>
      </c>
      <c r="J803" s="5">
        <f t="shared" si="1240"/>
        <v>5.7052680000000011</v>
      </c>
      <c r="K803" s="5">
        <f t="shared" si="1240"/>
        <v>8.7257040000000003</v>
      </c>
      <c r="L803" s="5">
        <f t="shared" si="1240"/>
        <v>4.5306540000000002</v>
      </c>
      <c r="M803" s="5">
        <f t="shared" si="1240"/>
        <v>7.0756510000000006</v>
      </c>
      <c r="N803" s="5">
        <f t="shared" si="1240"/>
        <v>41.530994999999997</v>
      </c>
      <c r="O803" s="5">
        <f t="shared" si="1240"/>
        <v>6.3205419999999997</v>
      </c>
      <c r="P803" s="5">
        <f t="shared" ref="P803" si="1241">$C802*P802</f>
        <v>0</v>
      </c>
      <c r="Q803" s="5">
        <f t="shared" ref="Q803" si="1242">$C802*Q802</f>
        <v>10.571526</v>
      </c>
      <c r="R803" s="5">
        <f t="shared" ref="R803:AB803" si="1243">$C802*R802</f>
        <v>5.0620270000000005</v>
      </c>
      <c r="S803" s="5">
        <f t="shared" si="1243"/>
        <v>1.1466470000000002</v>
      </c>
      <c r="T803" s="5">
        <f t="shared" si="1243"/>
        <v>14.095368000000001</v>
      </c>
      <c r="U803" s="5">
        <f t="shared" si="1243"/>
        <v>4.8942250000000005</v>
      </c>
      <c r="V803" s="5">
        <f t="shared" si="1243"/>
        <v>10.124054000000001</v>
      </c>
      <c r="W803" s="5">
        <f t="shared" si="1243"/>
        <v>13.563995000000002</v>
      </c>
      <c r="X803" s="5">
        <f t="shared" si="1243"/>
        <v>17.227672000000002</v>
      </c>
      <c r="Y803" s="5">
        <f t="shared" si="1243"/>
        <v>0.6991750000000001</v>
      </c>
      <c r="Z803" s="5">
        <f t="shared" si="1243"/>
        <v>0</v>
      </c>
      <c r="AA803" s="5">
        <f t="shared" si="1243"/>
        <v>0.195769</v>
      </c>
      <c r="AB803" s="5">
        <f t="shared" si="1243"/>
        <v>0</v>
      </c>
      <c r="AC803" s="56"/>
      <c r="AD803" s="23"/>
    </row>
    <row r="804" spans="1:40" s="14" customFormat="1">
      <c r="A804" s="78" t="s">
        <v>434</v>
      </c>
      <c r="B804" s="26">
        <f>6712/2</f>
        <v>3356</v>
      </c>
      <c r="C804" s="130">
        <f t="shared" si="1231"/>
        <v>279.67</v>
      </c>
      <c r="D804" s="4">
        <v>8.8800000000000004E-2</v>
      </c>
      <c r="E804" s="4"/>
      <c r="F804" s="4"/>
      <c r="G804" s="4"/>
      <c r="H804" s="4"/>
      <c r="I804" s="4"/>
      <c r="J804" s="4"/>
      <c r="K804" s="4"/>
      <c r="L804" s="4"/>
      <c r="M804" s="4">
        <v>0.1061</v>
      </c>
      <c r="N804" s="4"/>
      <c r="O804" s="4"/>
      <c r="P804" s="4"/>
      <c r="Q804" s="4">
        <v>0.1469</v>
      </c>
      <c r="R804" s="4"/>
      <c r="S804" s="4"/>
      <c r="T804" s="4">
        <v>0.65749999999999997</v>
      </c>
      <c r="U804" s="4"/>
      <c r="V804" s="4"/>
      <c r="W804" s="4">
        <v>2.9999999999999997E-4</v>
      </c>
      <c r="X804" s="4">
        <v>4.0000000000000002E-4</v>
      </c>
      <c r="Y804" s="4"/>
      <c r="Z804" s="4"/>
      <c r="AA804" s="4"/>
      <c r="AB804" s="4"/>
      <c r="AC804" s="56"/>
      <c r="AD804" s="23"/>
    </row>
    <row r="805" spans="1:40" s="14" customFormat="1">
      <c r="A805" s="79"/>
      <c r="B805" s="9"/>
      <c r="C805" s="130"/>
      <c r="D805" s="5">
        <f t="shared" ref="D805" si="1244">$C804*D804</f>
        <v>24.834696000000001</v>
      </c>
      <c r="E805" s="5">
        <f t="shared" ref="E805" si="1245">$C804*E804</f>
        <v>0</v>
      </c>
      <c r="F805" s="5">
        <f t="shared" ref="F805:O805" si="1246">$C804*F804</f>
        <v>0</v>
      </c>
      <c r="G805" s="5">
        <f t="shared" si="1246"/>
        <v>0</v>
      </c>
      <c r="H805" s="5">
        <f t="shared" si="1246"/>
        <v>0</v>
      </c>
      <c r="I805" s="5">
        <f t="shared" si="1246"/>
        <v>0</v>
      </c>
      <c r="J805" s="5">
        <f t="shared" si="1246"/>
        <v>0</v>
      </c>
      <c r="K805" s="5">
        <f t="shared" si="1246"/>
        <v>0</v>
      </c>
      <c r="L805" s="5">
        <f t="shared" si="1246"/>
        <v>0</v>
      </c>
      <c r="M805" s="5">
        <f t="shared" si="1246"/>
        <v>29.672987000000003</v>
      </c>
      <c r="N805" s="5">
        <f t="shared" si="1246"/>
        <v>0</v>
      </c>
      <c r="O805" s="5">
        <f t="shared" si="1246"/>
        <v>0</v>
      </c>
      <c r="P805" s="5">
        <f t="shared" ref="P805" si="1247">$C804*P804</f>
        <v>0</v>
      </c>
      <c r="Q805" s="5">
        <f t="shared" ref="Q805" si="1248">$C804*Q804</f>
        <v>41.083523</v>
      </c>
      <c r="R805" s="5">
        <f t="shared" ref="R805:AB805" si="1249">$C804*R804</f>
        <v>0</v>
      </c>
      <c r="S805" s="5">
        <f t="shared" si="1249"/>
        <v>0</v>
      </c>
      <c r="T805" s="5">
        <f t="shared" si="1249"/>
        <v>183.883025</v>
      </c>
      <c r="U805" s="5">
        <f t="shared" si="1249"/>
        <v>0</v>
      </c>
      <c r="V805" s="5">
        <f t="shared" si="1249"/>
        <v>0</v>
      </c>
      <c r="W805" s="5">
        <f t="shared" si="1249"/>
        <v>8.3901000000000003E-2</v>
      </c>
      <c r="X805" s="5">
        <f t="shared" si="1249"/>
        <v>0.11186800000000001</v>
      </c>
      <c r="Y805" s="5">
        <f t="shared" si="1249"/>
        <v>0</v>
      </c>
      <c r="Z805" s="5">
        <f t="shared" si="1249"/>
        <v>0</v>
      </c>
      <c r="AA805" s="5">
        <f t="shared" si="1249"/>
        <v>0</v>
      </c>
      <c r="AB805" s="5">
        <f t="shared" si="1249"/>
        <v>0</v>
      </c>
      <c r="AC805" s="56"/>
      <c r="AD805" s="23"/>
    </row>
    <row r="806" spans="1:40" s="47" customFormat="1" ht="13.35" customHeight="1">
      <c r="A806" s="78" t="s">
        <v>114</v>
      </c>
      <c r="B806" s="26">
        <f>4814/2</f>
        <v>2407</v>
      </c>
      <c r="C806" s="130">
        <f t="shared" si="1231"/>
        <v>200.58</v>
      </c>
      <c r="D806" s="35">
        <v>1.6299999999999999E-2</v>
      </c>
      <c r="E806" s="35">
        <v>0.14269999999999999</v>
      </c>
      <c r="F806" s="35">
        <v>5.8900000000000001E-2</v>
      </c>
      <c r="G806" s="35">
        <v>7.6200000000000004E-2</v>
      </c>
      <c r="H806" s="35">
        <v>3.9600000000000003E-2</v>
      </c>
      <c r="I806" s="35">
        <v>0.12470000000000001</v>
      </c>
      <c r="J806" s="35">
        <v>2.0400000000000001E-2</v>
      </c>
      <c r="K806" s="35">
        <v>3.1199999999999999E-2</v>
      </c>
      <c r="L806" s="35">
        <v>1.6199999999999999E-2</v>
      </c>
      <c r="M806" s="35">
        <v>2.53E-2</v>
      </c>
      <c r="N806" s="35">
        <v>0.14849999999999999</v>
      </c>
      <c r="O806" s="35">
        <v>2.2599999999999999E-2</v>
      </c>
      <c r="P806" s="35">
        <v>0</v>
      </c>
      <c r="Q806" s="35">
        <v>3.78E-2</v>
      </c>
      <c r="R806" s="35">
        <v>1.8100000000000002E-2</v>
      </c>
      <c r="S806" s="35">
        <v>4.1000000000000003E-3</v>
      </c>
      <c r="T806" s="35">
        <v>5.04E-2</v>
      </c>
      <c r="U806" s="35">
        <v>1.7500000000000002E-2</v>
      </c>
      <c r="V806" s="35">
        <v>3.6200000000000003E-2</v>
      </c>
      <c r="W806" s="35">
        <v>4.8500000000000001E-2</v>
      </c>
      <c r="X806" s="35">
        <v>6.1600000000000002E-2</v>
      </c>
      <c r="Y806" s="35">
        <v>2.5000000000000001E-3</v>
      </c>
      <c r="Z806" s="4">
        <v>0</v>
      </c>
      <c r="AA806" s="4">
        <v>6.9999999999999999E-4</v>
      </c>
      <c r="AB806" s="4">
        <v>0</v>
      </c>
      <c r="AC806" s="56"/>
      <c r="AD806" s="23"/>
    </row>
    <row r="807" spans="1:40" s="47" customFormat="1" ht="13.35" customHeight="1">
      <c r="A807" s="79"/>
      <c r="B807" s="27"/>
      <c r="C807" s="130"/>
      <c r="D807" s="5">
        <f t="shared" ref="D807" si="1250">$C806*D806</f>
        <v>3.2694540000000001</v>
      </c>
      <c r="E807" s="5">
        <f t="shared" ref="E807" si="1251">$C806*E806</f>
        <v>28.622766000000002</v>
      </c>
      <c r="F807" s="5">
        <f t="shared" ref="F807:O807" si="1252">$C806*F806</f>
        <v>11.814162000000001</v>
      </c>
      <c r="G807" s="5">
        <f t="shared" si="1252"/>
        <v>15.284196000000001</v>
      </c>
      <c r="H807" s="5">
        <f t="shared" si="1252"/>
        <v>7.9429680000000014</v>
      </c>
      <c r="I807" s="5">
        <f t="shared" si="1252"/>
        <v>25.012326000000002</v>
      </c>
      <c r="J807" s="5">
        <f t="shared" si="1252"/>
        <v>4.0918320000000001</v>
      </c>
      <c r="K807" s="5">
        <f t="shared" si="1252"/>
        <v>6.2580960000000001</v>
      </c>
      <c r="L807" s="5">
        <f t="shared" si="1252"/>
        <v>3.249396</v>
      </c>
      <c r="M807" s="5">
        <f t="shared" si="1252"/>
        <v>5.0746739999999999</v>
      </c>
      <c r="N807" s="5">
        <f t="shared" si="1252"/>
        <v>29.78613</v>
      </c>
      <c r="O807" s="5">
        <f t="shared" si="1252"/>
        <v>4.5331080000000004</v>
      </c>
      <c r="P807" s="5">
        <f t="shared" ref="P807" si="1253">$C806*P806</f>
        <v>0</v>
      </c>
      <c r="Q807" s="5">
        <f t="shared" ref="Q807" si="1254">$C806*Q806</f>
        <v>7.5819240000000008</v>
      </c>
      <c r="R807" s="5">
        <f t="shared" ref="R807:AB807" si="1255">$C806*R806</f>
        <v>3.6304980000000007</v>
      </c>
      <c r="S807" s="5">
        <f t="shared" si="1255"/>
        <v>0.82237800000000016</v>
      </c>
      <c r="T807" s="5">
        <f t="shared" si="1255"/>
        <v>10.109232</v>
      </c>
      <c r="U807" s="5">
        <f t="shared" si="1255"/>
        <v>3.5101500000000008</v>
      </c>
      <c r="V807" s="5">
        <f t="shared" si="1255"/>
        <v>7.2609960000000013</v>
      </c>
      <c r="W807" s="5">
        <f t="shared" si="1255"/>
        <v>9.7281300000000002</v>
      </c>
      <c r="X807" s="5">
        <f t="shared" si="1255"/>
        <v>12.355728000000001</v>
      </c>
      <c r="Y807" s="5">
        <f t="shared" si="1255"/>
        <v>0.50145000000000006</v>
      </c>
      <c r="Z807" s="5">
        <f t="shared" si="1255"/>
        <v>0</v>
      </c>
      <c r="AA807" s="5">
        <f t="shared" si="1255"/>
        <v>0.140406</v>
      </c>
      <c r="AB807" s="5">
        <f t="shared" si="1255"/>
        <v>0</v>
      </c>
      <c r="AC807" s="56"/>
      <c r="AD807" s="23"/>
    </row>
    <row r="808" spans="1:40" s="14" customFormat="1">
      <c r="A808" s="78" t="s">
        <v>435</v>
      </c>
      <c r="B808" s="26">
        <f>4814/2</f>
        <v>2407</v>
      </c>
      <c r="C808" s="130">
        <f t="shared" si="1231"/>
        <v>200.58</v>
      </c>
      <c r="D808" s="4">
        <v>7.0400000000000004E-2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>
        <v>0.25829999999999997</v>
      </c>
      <c r="R808" s="4"/>
      <c r="S808" s="4">
        <v>4.1500000000000002E-2</v>
      </c>
      <c r="T808" s="4"/>
      <c r="U808" s="4"/>
      <c r="V808" s="4"/>
      <c r="W808" s="4"/>
      <c r="X808" s="4">
        <v>0.60770000000000002</v>
      </c>
      <c r="Y808" s="4">
        <v>2.2100000000000002E-2</v>
      </c>
      <c r="Z808" s="4"/>
      <c r="AA808" s="4"/>
      <c r="AC808" s="56"/>
      <c r="AD808" s="23"/>
    </row>
    <row r="809" spans="1:40" s="14" customFormat="1">
      <c r="A809" s="79"/>
      <c r="B809" s="9"/>
      <c r="C809" s="130"/>
      <c r="D809" s="5">
        <f t="shared" ref="D809" si="1256">$C808*D808</f>
        <v>14.120832000000002</v>
      </c>
      <c r="E809" s="5">
        <f t="shared" ref="E809" si="1257">$C808*E808</f>
        <v>0</v>
      </c>
      <c r="F809" s="5">
        <f t="shared" ref="F809:O809" si="1258">$C808*F808</f>
        <v>0</v>
      </c>
      <c r="G809" s="5">
        <f t="shared" si="1258"/>
        <v>0</v>
      </c>
      <c r="H809" s="5">
        <f t="shared" si="1258"/>
        <v>0</v>
      </c>
      <c r="I809" s="5">
        <f t="shared" si="1258"/>
        <v>0</v>
      </c>
      <c r="J809" s="5">
        <f t="shared" si="1258"/>
        <v>0</v>
      </c>
      <c r="K809" s="5">
        <f t="shared" si="1258"/>
        <v>0</v>
      </c>
      <c r="L809" s="5">
        <f t="shared" si="1258"/>
        <v>0</v>
      </c>
      <c r="M809" s="5">
        <f t="shared" si="1258"/>
        <v>0</v>
      </c>
      <c r="N809" s="5">
        <f t="shared" si="1258"/>
        <v>0</v>
      </c>
      <c r="O809" s="5">
        <f t="shared" si="1258"/>
        <v>0</v>
      </c>
      <c r="P809" s="5">
        <f t="shared" ref="P809" si="1259">$C808*P808</f>
        <v>0</v>
      </c>
      <c r="Q809" s="5">
        <f t="shared" ref="Q809" si="1260">$C808*Q808</f>
        <v>51.809813999999996</v>
      </c>
      <c r="R809" s="5">
        <f t="shared" ref="R809:AA809" si="1261">$C808*R808</f>
        <v>0</v>
      </c>
      <c r="S809" s="5">
        <f t="shared" si="1261"/>
        <v>8.3240700000000007</v>
      </c>
      <c r="T809" s="5">
        <f t="shared" si="1261"/>
        <v>0</v>
      </c>
      <c r="U809" s="5">
        <f t="shared" si="1261"/>
        <v>0</v>
      </c>
      <c r="V809" s="5">
        <f t="shared" si="1261"/>
        <v>0</v>
      </c>
      <c r="W809" s="5">
        <f t="shared" si="1261"/>
        <v>0</v>
      </c>
      <c r="X809" s="5">
        <f t="shared" si="1261"/>
        <v>121.89246600000001</v>
      </c>
      <c r="Y809" s="5">
        <f t="shared" si="1261"/>
        <v>4.432818000000001</v>
      </c>
      <c r="Z809" s="5">
        <f t="shared" si="1261"/>
        <v>0</v>
      </c>
      <c r="AA809" s="5">
        <f t="shared" si="1261"/>
        <v>0</v>
      </c>
      <c r="AB809" s="5">
        <f>$C808*AN802</f>
        <v>0</v>
      </c>
      <c r="AC809" s="56"/>
      <c r="AD809" s="23"/>
    </row>
    <row r="810" spans="1:40" s="47" customFormat="1" ht="13.35" customHeight="1">
      <c r="A810" s="78" t="s">
        <v>115</v>
      </c>
      <c r="B810" s="26">
        <f>9770/2</f>
        <v>4885</v>
      </c>
      <c r="C810" s="130">
        <f t="shared" si="1231"/>
        <v>407.08</v>
      </c>
      <c r="D810" s="35">
        <v>1.6299999999999999E-2</v>
      </c>
      <c r="E810" s="35">
        <v>0.14269999999999999</v>
      </c>
      <c r="F810" s="35">
        <v>5.8900000000000001E-2</v>
      </c>
      <c r="G810" s="35">
        <v>7.6200000000000004E-2</v>
      </c>
      <c r="H810" s="35">
        <v>3.9600000000000003E-2</v>
      </c>
      <c r="I810" s="35">
        <v>0.12470000000000001</v>
      </c>
      <c r="J810" s="35">
        <v>2.0400000000000001E-2</v>
      </c>
      <c r="K810" s="35">
        <v>3.1199999999999999E-2</v>
      </c>
      <c r="L810" s="35">
        <v>1.6199999999999999E-2</v>
      </c>
      <c r="M810" s="35">
        <v>2.53E-2</v>
      </c>
      <c r="N810" s="35">
        <v>0.14849999999999999</v>
      </c>
      <c r="O810" s="35">
        <v>2.2599999999999999E-2</v>
      </c>
      <c r="P810" s="35">
        <v>0</v>
      </c>
      <c r="Q810" s="35">
        <v>3.78E-2</v>
      </c>
      <c r="R810" s="35">
        <v>1.8100000000000002E-2</v>
      </c>
      <c r="S810" s="35">
        <v>4.1000000000000003E-3</v>
      </c>
      <c r="T810" s="35">
        <v>5.04E-2</v>
      </c>
      <c r="U810" s="35">
        <v>1.7500000000000002E-2</v>
      </c>
      <c r="V810" s="35">
        <v>3.6200000000000003E-2</v>
      </c>
      <c r="W810" s="35">
        <v>4.8500000000000001E-2</v>
      </c>
      <c r="X810" s="35">
        <v>6.1600000000000002E-2</v>
      </c>
      <c r="Y810" s="35">
        <v>2.5000000000000001E-3</v>
      </c>
      <c r="Z810" s="4">
        <v>0</v>
      </c>
      <c r="AA810" s="4">
        <v>6.9999999999999999E-4</v>
      </c>
      <c r="AB810" s="4">
        <v>0</v>
      </c>
      <c r="AC810" s="56"/>
      <c r="AD810" s="23"/>
    </row>
    <row r="811" spans="1:40" s="47" customFormat="1" ht="13.35" customHeight="1">
      <c r="A811" s="79"/>
      <c r="B811" s="27"/>
      <c r="C811" s="130"/>
      <c r="D811" s="5">
        <f t="shared" ref="D811" si="1262">$C810*D810</f>
        <v>6.6354039999999994</v>
      </c>
      <c r="E811" s="5">
        <f t="shared" ref="E811" si="1263">$C810*E810</f>
        <v>58.090315999999994</v>
      </c>
      <c r="F811" s="5">
        <f t="shared" ref="F811:O811" si="1264">$C810*F810</f>
        <v>23.977011999999998</v>
      </c>
      <c r="G811" s="5">
        <f t="shared" si="1264"/>
        <v>31.019496</v>
      </c>
      <c r="H811" s="5">
        <f t="shared" si="1264"/>
        <v>16.120367999999999</v>
      </c>
      <c r="I811" s="5">
        <f t="shared" si="1264"/>
        <v>50.762875999999999</v>
      </c>
      <c r="J811" s="5">
        <f t="shared" si="1264"/>
        <v>8.3044320000000003</v>
      </c>
      <c r="K811" s="5">
        <f t="shared" si="1264"/>
        <v>12.700895999999998</v>
      </c>
      <c r="L811" s="5">
        <f t="shared" si="1264"/>
        <v>6.594695999999999</v>
      </c>
      <c r="M811" s="5">
        <f t="shared" si="1264"/>
        <v>10.299123999999999</v>
      </c>
      <c r="N811" s="5">
        <f t="shared" si="1264"/>
        <v>60.451379999999993</v>
      </c>
      <c r="O811" s="5">
        <f t="shared" si="1264"/>
        <v>9.2000079999999986</v>
      </c>
      <c r="P811" s="5">
        <f t="shared" ref="P811" si="1265">$C810*P810</f>
        <v>0</v>
      </c>
      <c r="Q811" s="5">
        <f t="shared" ref="Q811" si="1266">$C810*Q810</f>
        <v>15.387623999999999</v>
      </c>
      <c r="R811" s="5">
        <f t="shared" ref="R811:AB811" si="1267">$C810*R810</f>
        <v>7.3681480000000006</v>
      </c>
      <c r="S811" s="5">
        <f t="shared" si="1267"/>
        <v>1.6690280000000002</v>
      </c>
      <c r="T811" s="5">
        <f t="shared" si="1267"/>
        <v>20.516832000000001</v>
      </c>
      <c r="U811" s="5">
        <f t="shared" si="1267"/>
        <v>7.1239000000000008</v>
      </c>
      <c r="V811" s="5">
        <f t="shared" si="1267"/>
        <v>14.736296000000001</v>
      </c>
      <c r="W811" s="5">
        <f t="shared" si="1267"/>
        <v>19.743379999999998</v>
      </c>
      <c r="X811" s="5">
        <f t="shared" si="1267"/>
        <v>25.076128000000001</v>
      </c>
      <c r="Y811" s="5">
        <f t="shared" si="1267"/>
        <v>1.0177</v>
      </c>
      <c r="Z811" s="5">
        <f t="shared" si="1267"/>
        <v>0</v>
      </c>
      <c r="AA811" s="5">
        <f t="shared" si="1267"/>
        <v>0.28495599999999999</v>
      </c>
      <c r="AB811" s="5">
        <f t="shared" si="1267"/>
        <v>0</v>
      </c>
      <c r="AC811" s="56"/>
      <c r="AD811" s="23"/>
    </row>
    <row r="812" spans="1:40" s="14" customFormat="1">
      <c r="A812" s="78" t="s">
        <v>436</v>
      </c>
      <c r="B812" s="26">
        <f>9770/2</f>
        <v>4885</v>
      </c>
      <c r="C812" s="130">
        <f t="shared" si="1231"/>
        <v>407.08</v>
      </c>
      <c r="D812" s="4">
        <v>3.56E-2</v>
      </c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>
        <v>0.1331</v>
      </c>
      <c r="R812" s="4">
        <v>7.2999999999999995E-2</v>
      </c>
      <c r="S812" s="4">
        <v>1.4500000000000001E-2</v>
      </c>
      <c r="T812" s="4">
        <v>0.13569999999999999</v>
      </c>
      <c r="U812" s="4"/>
      <c r="V812" s="4"/>
      <c r="W812" s="4">
        <v>0.38900000000000001</v>
      </c>
      <c r="X812" s="4">
        <v>0.2114</v>
      </c>
      <c r="Y812" s="4">
        <v>7.7000000000000002E-3</v>
      </c>
      <c r="Z812" s="4"/>
      <c r="AA812" s="4"/>
      <c r="AB812" s="4"/>
      <c r="AC812" s="56"/>
      <c r="AD812" s="23"/>
    </row>
    <row r="813" spans="1:40" s="14" customFormat="1">
      <c r="A813" s="79"/>
      <c r="B813" s="9"/>
      <c r="C813" s="130"/>
      <c r="D813" s="5">
        <f t="shared" ref="D813" si="1268">$C812*D812</f>
        <v>14.492047999999999</v>
      </c>
      <c r="E813" s="5">
        <f t="shared" ref="E813" si="1269">$C812*E812</f>
        <v>0</v>
      </c>
      <c r="F813" s="5">
        <f t="shared" ref="F813:O813" si="1270">$C812*F812</f>
        <v>0</v>
      </c>
      <c r="G813" s="5">
        <f t="shared" si="1270"/>
        <v>0</v>
      </c>
      <c r="H813" s="5">
        <f t="shared" si="1270"/>
        <v>0</v>
      </c>
      <c r="I813" s="5">
        <f t="shared" si="1270"/>
        <v>0</v>
      </c>
      <c r="J813" s="5">
        <f t="shared" si="1270"/>
        <v>0</v>
      </c>
      <c r="K813" s="5">
        <f t="shared" si="1270"/>
        <v>0</v>
      </c>
      <c r="L813" s="5">
        <f t="shared" si="1270"/>
        <v>0</v>
      </c>
      <c r="M813" s="5">
        <f t="shared" si="1270"/>
        <v>0</v>
      </c>
      <c r="N813" s="5">
        <f t="shared" si="1270"/>
        <v>0</v>
      </c>
      <c r="O813" s="5">
        <f t="shared" si="1270"/>
        <v>0</v>
      </c>
      <c r="P813" s="5">
        <f t="shared" ref="P813" si="1271">$C812*P812</f>
        <v>0</v>
      </c>
      <c r="Q813" s="5">
        <f t="shared" ref="Q813" si="1272">$C812*Q812</f>
        <v>54.182347999999998</v>
      </c>
      <c r="R813" s="5">
        <f t="shared" ref="R813:AB813" si="1273">$C812*R812</f>
        <v>29.716839999999998</v>
      </c>
      <c r="S813" s="5">
        <f t="shared" si="1273"/>
        <v>5.90266</v>
      </c>
      <c r="T813" s="5">
        <f t="shared" si="1273"/>
        <v>55.24075599999999</v>
      </c>
      <c r="U813" s="5">
        <f t="shared" si="1273"/>
        <v>0</v>
      </c>
      <c r="V813" s="5">
        <f t="shared" si="1273"/>
        <v>0</v>
      </c>
      <c r="W813" s="5">
        <f t="shared" si="1273"/>
        <v>158.35411999999999</v>
      </c>
      <c r="X813" s="5">
        <f t="shared" si="1273"/>
        <v>86.056712000000005</v>
      </c>
      <c r="Y813" s="5">
        <f t="shared" si="1273"/>
        <v>3.1345160000000001</v>
      </c>
      <c r="Z813" s="5">
        <f t="shared" si="1273"/>
        <v>0</v>
      </c>
      <c r="AA813" s="5">
        <f t="shared" si="1273"/>
        <v>0</v>
      </c>
      <c r="AB813" s="5">
        <f t="shared" si="1273"/>
        <v>0</v>
      </c>
      <c r="AC813" s="56"/>
      <c r="AD813" s="23"/>
    </row>
    <row r="814" spans="1:40" s="47" customFormat="1" ht="13.35" customHeight="1">
      <c r="A814" s="78" t="s">
        <v>116</v>
      </c>
      <c r="B814" s="15">
        <v>1448319</v>
      </c>
      <c r="C814" s="130">
        <f t="shared" si="1231"/>
        <v>120693.25</v>
      </c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>
        <v>0.16900000000000001</v>
      </c>
      <c r="V814" s="37"/>
      <c r="W814" s="37">
        <v>0.77590000000000003</v>
      </c>
      <c r="X814" s="37">
        <v>5.1299999999999998E-2</v>
      </c>
      <c r="Y814" s="37">
        <v>1.9E-3</v>
      </c>
      <c r="Z814" s="37">
        <v>1.9E-3</v>
      </c>
      <c r="AA814" s="37">
        <v>0</v>
      </c>
      <c r="AB814" s="37">
        <v>0</v>
      </c>
      <c r="AC814" s="56"/>
      <c r="AD814" s="23"/>
    </row>
    <row r="815" spans="1:40" s="47" customFormat="1" ht="13.35" customHeight="1">
      <c r="A815" s="79"/>
      <c r="B815" s="9"/>
      <c r="C815" s="130"/>
      <c r="D815" s="36">
        <f t="shared" ref="D815" si="1274">$C814*D814</f>
        <v>0</v>
      </c>
      <c r="E815" s="36">
        <f t="shared" ref="E815" si="1275">$C814*E814</f>
        <v>0</v>
      </c>
      <c r="F815" s="36">
        <f t="shared" ref="F815:AB815" si="1276">$C814*F814</f>
        <v>0</v>
      </c>
      <c r="G815" s="36">
        <f t="shared" si="1276"/>
        <v>0</v>
      </c>
      <c r="H815" s="36">
        <f t="shared" si="1276"/>
        <v>0</v>
      </c>
      <c r="I815" s="36">
        <f t="shared" si="1276"/>
        <v>0</v>
      </c>
      <c r="J815" s="36">
        <f t="shared" si="1276"/>
        <v>0</v>
      </c>
      <c r="K815" s="36">
        <f t="shared" si="1276"/>
        <v>0</v>
      </c>
      <c r="L815" s="36">
        <f t="shared" si="1276"/>
        <v>0</v>
      </c>
      <c r="M815" s="36">
        <f t="shared" si="1276"/>
        <v>0</v>
      </c>
      <c r="N815" s="36">
        <f t="shared" si="1276"/>
        <v>0</v>
      </c>
      <c r="O815" s="36">
        <f t="shared" si="1276"/>
        <v>0</v>
      </c>
      <c r="P815" s="36">
        <f t="shared" si="1276"/>
        <v>0</v>
      </c>
      <c r="Q815" s="36">
        <f t="shared" si="1276"/>
        <v>0</v>
      </c>
      <c r="R815" s="36">
        <f t="shared" si="1276"/>
        <v>0</v>
      </c>
      <c r="S815" s="36">
        <f t="shared" si="1276"/>
        <v>0</v>
      </c>
      <c r="T815" s="36">
        <f t="shared" si="1276"/>
        <v>0</v>
      </c>
      <c r="U815" s="36">
        <f t="shared" si="1276"/>
        <v>20397.159250000001</v>
      </c>
      <c r="V815" s="36">
        <f t="shared" si="1276"/>
        <v>0</v>
      </c>
      <c r="W815" s="36">
        <f t="shared" si="1276"/>
        <v>93645.89267500001</v>
      </c>
      <c r="X815" s="36">
        <f t="shared" si="1276"/>
        <v>6191.563725</v>
      </c>
      <c r="Y815" s="36">
        <f t="shared" si="1276"/>
        <v>229.31717499999999</v>
      </c>
      <c r="Z815" s="36">
        <f t="shared" si="1276"/>
        <v>229.31717499999999</v>
      </c>
      <c r="AA815" s="36">
        <f t="shared" si="1276"/>
        <v>0</v>
      </c>
      <c r="AB815" s="36">
        <f t="shared" si="1276"/>
        <v>0</v>
      </c>
      <c r="AC815" s="56"/>
      <c r="AD815" s="23"/>
    </row>
    <row r="816" spans="1:40" s="47" customFormat="1" ht="13.35" customHeight="1">
      <c r="A816" s="78" t="s">
        <v>117</v>
      </c>
      <c r="B816" s="191">
        <v>318674</v>
      </c>
      <c r="C816" s="130">
        <f t="shared" si="1231"/>
        <v>26556.17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>
        <v>9.5500000000000002E-2</v>
      </c>
      <c r="V816" s="4"/>
      <c r="W816" s="4">
        <v>0.90449999999999997</v>
      </c>
      <c r="X816" s="4"/>
      <c r="Y816" s="4"/>
      <c r="Z816" s="4"/>
      <c r="AA816" s="4"/>
      <c r="AB816" s="4"/>
      <c r="AC816" s="56"/>
      <c r="AD816" s="23"/>
    </row>
    <row r="817" spans="1:30" s="47" customFormat="1" ht="13.35" customHeight="1">
      <c r="A817" s="79"/>
      <c r="B817" s="9"/>
      <c r="C817" s="130"/>
      <c r="D817" s="5">
        <f t="shared" ref="D817" si="1277">$C816*D816</f>
        <v>0</v>
      </c>
      <c r="E817" s="5">
        <f t="shared" ref="E817" si="1278">$C816*E816</f>
        <v>0</v>
      </c>
      <c r="F817" s="5">
        <f t="shared" ref="F817:AB817" si="1279">$C816*F816</f>
        <v>0</v>
      </c>
      <c r="G817" s="5">
        <f t="shared" si="1279"/>
        <v>0</v>
      </c>
      <c r="H817" s="5">
        <f t="shared" si="1279"/>
        <v>0</v>
      </c>
      <c r="I817" s="5">
        <f t="shared" si="1279"/>
        <v>0</v>
      </c>
      <c r="J817" s="5">
        <f t="shared" si="1279"/>
        <v>0</v>
      </c>
      <c r="K817" s="5">
        <f t="shared" si="1279"/>
        <v>0</v>
      </c>
      <c r="L817" s="5">
        <f t="shared" si="1279"/>
        <v>0</v>
      </c>
      <c r="M817" s="5">
        <f t="shared" si="1279"/>
        <v>0</v>
      </c>
      <c r="N817" s="5">
        <f t="shared" si="1279"/>
        <v>0</v>
      </c>
      <c r="O817" s="5">
        <f t="shared" si="1279"/>
        <v>0</v>
      </c>
      <c r="P817" s="5">
        <f t="shared" si="1279"/>
        <v>0</v>
      </c>
      <c r="Q817" s="5">
        <f t="shared" si="1279"/>
        <v>0</v>
      </c>
      <c r="R817" s="5">
        <f t="shared" si="1279"/>
        <v>0</v>
      </c>
      <c r="S817" s="5">
        <f t="shared" si="1279"/>
        <v>0</v>
      </c>
      <c r="T817" s="5">
        <f t="shared" si="1279"/>
        <v>0</v>
      </c>
      <c r="U817" s="5">
        <f t="shared" si="1279"/>
        <v>2536.114235</v>
      </c>
      <c r="V817" s="5">
        <f t="shared" si="1279"/>
        <v>0</v>
      </c>
      <c r="W817" s="5">
        <f t="shared" si="1279"/>
        <v>24020.055764999997</v>
      </c>
      <c r="X817" s="5">
        <f t="shared" si="1279"/>
        <v>0</v>
      </c>
      <c r="Y817" s="5">
        <f t="shared" si="1279"/>
        <v>0</v>
      </c>
      <c r="Z817" s="5">
        <f t="shared" si="1279"/>
        <v>0</v>
      </c>
      <c r="AA817" s="5">
        <f t="shared" si="1279"/>
        <v>0</v>
      </c>
      <c r="AB817" s="5">
        <f t="shared" si="1279"/>
        <v>0</v>
      </c>
      <c r="AC817" s="56"/>
      <c r="AD817" s="23"/>
    </row>
    <row r="818" spans="1:30" s="47" customFormat="1" ht="13.35" customHeight="1">
      <c r="A818" s="78" t="s">
        <v>118</v>
      </c>
      <c r="B818" s="191">
        <v>1967421</v>
      </c>
      <c r="C818" s="130">
        <f t="shared" si="1231"/>
        <v>163951.75</v>
      </c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>
        <v>4.5499999999999999E-2</v>
      </c>
      <c r="R818" s="37"/>
      <c r="S818" s="37">
        <v>3.7000000000000002E-3</v>
      </c>
      <c r="T818" s="37">
        <v>1.7899999999999999E-2</v>
      </c>
      <c r="U818" s="37">
        <v>3.3E-3</v>
      </c>
      <c r="V818" s="37"/>
      <c r="W818" s="37">
        <v>0.86629999999999996</v>
      </c>
      <c r="X818" s="37">
        <v>5.9299999999999999E-2</v>
      </c>
      <c r="Y818" s="37">
        <v>2.2000000000000001E-3</v>
      </c>
      <c r="Z818" s="37">
        <v>1.8E-3</v>
      </c>
      <c r="AA818" s="37">
        <v>0</v>
      </c>
      <c r="AB818" s="37">
        <v>0</v>
      </c>
      <c r="AC818" s="56"/>
      <c r="AD818" s="23"/>
    </row>
    <row r="819" spans="1:30" s="47" customFormat="1" ht="13.35" customHeight="1">
      <c r="A819" s="79"/>
      <c r="B819" s="9"/>
      <c r="C819" s="130"/>
      <c r="D819" s="36">
        <f t="shared" ref="D819" si="1280">$C818*D818</f>
        <v>0</v>
      </c>
      <c r="E819" s="36">
        <f t="shared" ref="E819" si="1281">$C818*E818</f>
        <v>0</v>
      </c>
      <c r="F819" s="36">
        <f t="shared" ref="F819:AB819" si="1282">$C818*F818</f>
        <v>0</v>
      </c>
      <c r="G819" s="36">
        <f t="shared" si="1282"/>
        <v>0</v>
      </c>
      <c r="H819" s="36">
        <f t="shared" si="1282"/>
        <v>0</v>
      </c>
      <c r="I819" s="36">
        <f t="shared" si="1282"/>
        <v>0</v>
      </c>
      <c r="J819" s="36">
        <f t="shared" si="1282"/>
        <v>0</v>
      </c>
      <c r="K819" s="36">
        <f t="shared" si="1282"/>
        <v>0</v>
      </c>
      <c r="L819" s="36">
        <f t="shared" si="1282"/>
        <v>0</v>
      </c>
      <c r="M819" s="36">
        <f t="shared" si="1282"/>
        <v>0</v>
      </c>
      <c r="N819" s="36">
        <f t="shared" si="1282"/>
        <v>0</v>
      </c>
      <c r="O819" s="36">
        <f t="shared" si="1282"/>
        <v>0</v>
      </c>
      <c r="P819" s="36">
        <f t="shared" si="1282"/>
        <v>0</v>
      </c>
      <c r="Q819" s="36">
        <f t="shared" si="1282"/>
        <v>7459.8046249999998</v>
      </c>
      <c r="R819" s="36">
        <f t="shared" si="1282"/>
        <v>0</v>
      </c>
      <c r="S819" s="36">
        <f t="shared" si="1282"/>
        <v>606.62147500000003</v>
      </c>
      <c r="T819" s="36">
        <f t="shared" si="1282"/>
        <v>2934.7363249999999</v>
      </c>
      <c r="U819" s="36">
        <f t="shared" si="1282"/>
        <v>541.04077500000005</v>
      </c>
      <c r="V819" s="36">
        <f t="shared" si="1282"/>
        <v>0</v>
      </c>
      <c r="W819" s="36">
        <f t="shared" si="1282"/>
        <v>142031.401025</v>
      </c>
      <c r="X819" s="36">
        <f t="shared" si="1282"/>
        <v>9722.3387750000002</v>
      </c>
      <c r="Y819" s="36">
        <f t="shared" si="1282"/>
        <v>360.69385</v>
      </c>
      <c r="Z819" s="36">
        <f t="shared" si="1282"/>
        <v>295.11315000000002</v>
      </c>
      <c r="AA819" s="36">
        <f t="shared" si="1282"/>
        <v>0</v>
      </c>
      <c r="AB819" s="36">
        <f t="shared" si="1282"/>
        <v>0</v>
      </c>
      <c r="AC819" s="56"/>
      <c r="AD819" s="23"/>
    </row>
    <row r="820" spans="1:30" s="47" customFormat="1" ht="13.35" customHeight="1">
      <c r="A820" s="78" t="s">
        <v>383</v>
      </c>
      <c r="B820" s="191">
        <v>933447</v>
      </c>
      <c r="C820" s="130">
        <f t="shared" si="1231"/>
        <v>77787.25</v>
      </c>
      <c r="D820" s="37">
        <v>1.0999999999999999E-2</v>
      </c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>
        <v>3.7000000000000002E-3</v>
      </c>
      <c r="Q820" s="37">
        <v>9.6100000000000005E-2</v>
      </c>
      <c r="R820" s="37">
        <v>0.19420000000000001</v>
      </c>
      <c r="S820" s="37">
        <v>7.4999999999999997E-3</v>
      </c>
      <c r="T820" s="37">
        <v>6.0100000000000001E-2</v>
      </c>
      <c r="U820" s="37"/>
      <c r="V820" s="37"/>
      <c r="W820" s="37">
        <v>0.50570000000000004</v>
      </c>
      <c r="X820" s="37">
        <v>0.1135</v>
      </c>
      <c r="Y820" s="37">
        <v>4.4999999999999997E-3</v>
      </c>
      <c r="Z820" s="37">
        <v>3.7000000000000002E-3</v>
      </c>
      <c r="AA820" s="37"/>
      <c r="AB820" s="37"/>
      <c r="AC820" s="56"/>
      <c r="AD820" s="23"/>
    </row>
    <row r="821" spans="1:30" s="47" customFormat="1" ht="13.35" customHeight="1">
      <c r="A821" s="79"/>
      <c r="B821" s="9"/>
      <c r="C821" s="130"/>
      <c r="D821" s="36">
        <f t="shared" ref="D821" si="1283">$C820*D820</f>
        <v>855.65974999999992</v>
      </c>
      <c r="E821" s="36">
        <f t="shared" ref="E821" si="1284">$C820*E820</f>
        <v>0</v>
      </c>
      <c r="F821" s="36">
        <f t="shared" ref="F821:O821" si="1285">$C820*F820</f>
        <v>0</v>
      </c>
      <c r="G821" s="36">
        <f t="shared" si="1285"/>
        <v>0</v>
      </c>
      <c r="H821" s="36">
        <f t="shared" si="1285"/>
        <v>0</v>
      </c>
      <c r="I821" s="36">
        <f t="shared" si="1285"/>
        <v>0</v>
      </c>
      <c r="J821" s="36">
        <f t="shared" si="1285"/>
        <v>0</v>
      </c>
      <c r="K821" s="36">
        <f t="shared" si="1285"/>
        <v>0</v>
      </c>
      <c r="L821" s="36">
        <f t="shared" si="1285"/>
        <v>0</v>
      </c>
      <c r="M821" s="36">
        <f t="shared" si="1285"/>
        <v>0</v>
      </c>
      <c r="N821" s="36">
        <f t="shared" si="1285"/>
        <v>0</v>
      </c>
      <c r="O821" s="36">
        <f t="shared" si="1285"/>
        <v>0</v>
      </c>
      <c r="P821" s="36">
        <f t="shared" ref="P821" si="1286">$C820*P820</f>
        <v>287.81282500000003</v>
      </c>
      <c r="Q821" s="36">
        <f t="shared" ref="Q821" si="1287">$C820*Q820</f>
        <v>7475.3547250000001</v>
      </c>
      <c r="R821" s="36">
        <f t="shared" ref="R821:AB821" si="1288">$C820*R820</f>
        <v>15106.283950000001</v>
      </c>
      <c r="S821" s="36">
        <f t="shared" si="1288"/>
        <v>583.40437499999996</v>
      </c>
      <c r="T821" s="36">
        <f t="shared" si="1288"/>
        <v>4675.0137249999998</v>
      </c>
      <c r="U821" s="36">
        <f t="shared" si="1288"/>
        <v>0</v>
      </c>
      <c r="V821" s="36">
        <f t="shared" si="1288"/>
        <v>0</v>
      </c>
      <c r="W821" s="36">
        <f t="shared" si="1288"/>
        <v>39337.012325000003</v>
      </c>
      <c r="X821" s="36">
        <f t="shared" si="1288"/>
        <v>8828.8528750000005</v>
      </c>
      <c r="Y821" s="36">
        <f t="shared" si="1288"/>
        <v>350.04262499999999</v>
      </c>
      <c r="Z821" s="36">
        <f t="shared" si="1288"/>
        <v>287.81282500000003</v>
      </c>
      <c r="AA821" s="36">
        <f t="shared" si="1288"/>
        <v>0</v>
      </c>
      <c r="AB821" s="36">
        <f t="shared" si="1288"/>
        <v>0</v>
      </c>
      <c r="AC821" s="56"/>
      <c r="AD821" s="23"/>
    </row>
    <row r="822" spans="1:30" s="47" customFormat="1" ht="13.35" customHeight="1">
      <c r="A822" s="78" t="s">
        <v>384</v>
      </c>
      <c r="B822" s="26">
        <f>3956307/2</f>
        <v>1978153.5</v>
      </c>
      <c r="C822" s="130">
        <f t="shared" si="1231"/>
        <v>164846.13</v>
      </c>
      <c r="D822" s="35">
        <v>1.6299999999999999E-2</v>
      </c>
      <c r="E822" s="35">
        <v>0.14269999999999999</v>
      </c>
      <c r="F822" s="35">
        <v>5.8900000000000001E-2</v>
      </c>
      <c r="G822" s="35">
        <v>7.6200000000000004E-2</v>
      </c>
      <c r="H822" s="35">
        <v>3.9600000000000003E-2</v>
      </c>
      <c r="I822" s="35">
        <v>0.12470000000000001</v>
      </c>
      <c r="J822" s="35">
        <v>2.0400000000000001E-2</v>
      </c>
      <c r="K822" s="35">
        <v>3.1199999999999999E-2</v>
      </c>
      <c r="L822" s="35">
        <v>1.6199999999999999E-2</v>
      </c>
      <c r="M822" s="35">
        <v>2.53E-2</v>
      </c>
      <c r="N822" s="35">
        <v>0.14849999999999999</v>
      </c>
      <c r="O822" s="35">
        <v>2.2599999999999999E-2</v>
      </c>
      <c r="P822" s="35">
        <v>0</v>
      </c>
      <c r="Q822" s="35">
        <v>3.78E-2</v>
      </c>
      <c r="R822" s="35">
        <v>1.8100000000000002E-2</v>
      </c>
      <c r="S822" s="35">
        <v>4.1000000000000003E-3</v>
      </c>
      <c r="T822" s="35">
        <v>5.04E-2</v>
      </c>
      <c r="U822" s="35">
        <v>1.7500000000000002E-2</v>
      </c>
      <c r="V822" s="35">
        <v>3.6200000000000003E-2</v>
      </c>
      <c r="W822" s="35">
        <v>4.8500000000000001E-2</v>
      </c>
      <c r="X822" s="35">
        <v>6.1600000000000002E-2</v>
      </c>
      <c r="Y822" s="35">
        <v>2.5000000000000001E-3</v>
      </c>
      <c r="Z822" s="4">
        <v>0</v>
      </c>
      <c r="AA822" s="4">
        <v>6.9999999999999999E-4</v>
      </c>
      <c r="AB822" s="4">
        <v>0</v>
      </c>
      <c r="AC822" s="56"/>
      <c r="AD822" s="23"/>
    </row>
    <row r="823" spans="1:30" s="47" customFormat="1" ht="13.35" customHeight="1">
      <c r="A823" s="79"/>
      <c r="B823" s="27"/>
      <c r="C823" s="130"/>
      <c r="D823" s="5">
        <f t="shared" ref="D823" si="1289">$C822*D822</f>
        <v>2686.9919190000001</v>
      </c>
      <c r="E823" s="5">
        <f t="shared" ref="E823" si="1290">$C822*E822</f>
        <v>23523.542751000001</v>
      </c>
      <c r="F823" s="5">
        <f t="shared" ref="F823:O823" si="1291">$C822*F822</f>
        <v>9709.437057000001</v>
      </c>
      <c r="G823" s="5">
        <f t="shared" si="1291"/>
        <v>12561.275106000001</v>
      </c>
      <c r="H823" s="5">
        <f t="shared" si="1291"/>
        <v>6527.9067480000003</v>
      </c>
      <c r="I823" s="5">
        <f t="shared" si="1291"/>
        <v>20556.312411000003</v>
      </c>
      <c r="J823" s="5">
        <f t="shared" si="1291"/>
        <v>3362.8610520000002</v>
      </c>
      <c r="K823" s="5">
        <f t="shared" si="1291"/>
        <v>5143.1992559999999</v>
      </c>
      <c r="L823" s="5">
        <f t="shared" si="1291"/>
        <v>2670.507306</v>
      </c>
      <c r="M823" s="5">
        <f t="shared" si="1291"/>
        <v>4170.6070890000001</v>
      </c>
      <c r="N823" s="5">
        <f t="shared" si="1291"/>
        <v>24479.650304999999</v>
      </c>
      <c r="O823" s="5">
        <f t="shared" si="1291"/>
        <v>3725.5225379999997</v>
      </c>
      <c r="P823" s="5">
        <f t="shared" ref="P823" si="1292">$C822*P822</f>
        <v>0</v>
      </c>
      <c r="Q823" s="5">
        <f t="shared" ref="Q823" si="1293">$C822*Q822</f>
        <v>6231.1837139999998</v>
      </c>
      <c r="R823" s="5">
        <f t="shared" ref="R823:AB823" si="1294">$C822*R822</f>
        <v>2983.7149530000002</v>
      </c>
      <c r="S823" s="5">
        <f t="shared" si="1294"/>
        <v>675.86913300000003</v>
      </c>
      <c r="T823" s="5">
        <f t="shared" si="1294"/>
        <v>8308.2449520000009</v>
      </c>
      <c r="U823" s="5">
        <f t="shared" si="1294"/>
        <v>2884.8072750000006</v>
      </c>
      <c r="V823" s="5">
        <f t="shared" si="1294"/>
        <v>5967.4299060000003</v>
      </c>
      <c r="W823" s="5">
        <f t="shared" si="1294"/>
        <v>7995.0373050000007</v>
      </c>
      <c r="X823" s="5">
        <f t="shared" si="1294"/>
        <v>10154.521608000001</v>
      </c>
      <c r="Y823" s="5">
        <f t="shared" si="1294"/>
        <v>412.11532500000004</v>
      </c>
      <c r="Z823" s="5">
        <f t="shared" si="1294"/>
        <v>0</v>
      </c>
      <c r="AA823" s="5">
        <f t="shared" si="1294"/>
        <v>115.392291</v>
      </c>
      <c r="AB823" s="5">
        <f t="shared" si="1294"/>
        <v>0</v>
      </c>
      <c r="AC823" s="56"/>
      <c r="AD823" s="23"/>
    </row>
    <row r="824" spans="1:30" s="14" customFormat="1">
      <c r="A824" s="78" t="s">
        <v>437</v>
      </c>
      <c r="B824" s="26">
        <f>3956307/2</f>
        <v>1978153.5</v>
      </c>
      <c r="C824" s="130">
        <f t="shared" si="1231"/>
        <v>164846.13</v>
      </c>
      <c r="D824" s="4"/>
      <c r="E824" s="4"/>
      <c r="F824" s="4"/>
      <c r="G824" s="4"/>
      <c r="H824" s="4">
        <v>0.2238</v>
      </c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>
        <v>0.7762</v>
      </c>
      <c r="X824" s="4"/>
      <c r="Y824" s="4"/>
      <c r="Z824" s="4"/>
      <c r="AA824" s="4"/>
      <c r="AB824" s="4"/>
      <c r="AC824" s="56"/>
      <c r="AD824" s="23"/>
    </row>
    <row r="825" spans="1:30" s="14" customFormat="1">
      <c r="A825" s="79"/>
      <c r="B825" s="9"/>
      <c r="C825" s="130"/>
      <c r="D825" s="5">
        <f t="shared" ref="D825" si="1295">$C824*D824</f>
        <v>0</v>
      </c>
      <c r="E825" s="5">
        <f t="shared" ref="E825" si="1296">$C824*E824</f>
        <v>0</v>
      </c>
      <c r="F825" s="5">
        <f t="shared" ref="F825:O825" si="1297">$C824*F824</f>
        <v>0</v>
      </c>
      <c r="G825" s="5">
        <f t="shared" si="1297"/>
        <v>0</v>
      </c>
      <c r="H825" s="5">
        <f t="shared" si="1297"/>
        <v>36892.563893999999</v>
      </c>
      <c r="I825" s="5">
        <f t="shared" si="1297"/>
        <v>0</v>
      </c>
      <c r="J825" s="5">
        <f t="shared" si="1297"/>
        <v>0</v>
      </c>
      <c r="K825" s="5">
        <f t="shared" si="1297"/>
        <v>0</v>
      </c>
      <c r="L825" s="5">
        <f t="shared" si="1297"/>
        <v>0</v>
      </c>
      <c r="M825" s="5">
        <f t="shared" si="1297"/>
        <v>0</v>
      </c>
      <c r="N825" s="5">
        <f t="shared" si="1297"/>
        <v>0</v>
      </c>
      <c r="O825" s="5">
        <f t="shared" si="1297"/>
        <v>0</v>
      </c>
      <c r="P825" s="5">
        <f t="shared" ref="P825" si="1298">$C824*P824</f>
        <v>0</v>
      </c>
      <c r="Q825" s="5">
        <f t="shared" ref="Q825" si="1299">$C824*Q824</f>
        <v>0</v>
      </c>
      <c r="R825" s="5">
        <f t="shared" ref="R825:AB825" si="1300">$C824*R824</f>
        <v>0</v>
      </c>
      <c r="S825" s="5">
        <f t="shared" si="1300"/>
        <v>0</v>
      </c>
      <c r="T825" s="5">
        <f t="shared" si="1300"/>
        <v>0</v>
      </c>
      <c r="U825" s="5">
        <f t="shared" si="1300"/>
        <v>0</v>
      </c>
      <c r="V825" s="5">
        <f t="shared" si="1300"/>
        <v>0</v>
      </c>
      <c r="W825" s="5">
        <f t="shared" si="1300"/>
        <v>127953.566106</v>
      </c>
      <c r="X825" s="5">
        <f t="shared" si="1300"/>
        <v>0</v>
      </c>
      <c r="Y825" s="5">
        <f t="shared" si="1300"/>
        <v>0</v>
      </c>
      <c r="Z825" s="5">
        <f t="shared" si="1300"/>
        <v>0</v>
      </c>
      <c r="AA825" s="5">
        <f t="shared" si="1300"/>
        <v>0</v>
      </c>
      <c r="AB825" s="5">
        <f t="shared" si="1300"/>
        <v>0</v>
      </c>
      <c r="AC825" s="56"/>
      <c r="AD825" s="23"/>
    </row>
    <row r="826" spans="1:30" s="47" customFormat="1" ht="13.35" customHeight="1">
      <c r="A826" s="78" t="s">
        <v>385</v>
      </c>
      <c r="B826" s="191">
        <f>1430776/2</f>
        <v>715388</v>
      </c>
      <c r="C826" s="130">
        <f t="shared" si="1231"/>
        <v>59615.67</v>
      </c>
      <c r="D826" s="35">
        <v>1.6299999999999999E-2</v>
      </c>
      <c r="E826" s="35">
        <v>0.14269999999999999</v>
      </c>
      <c r="F826" s="35">
        <v>5.8900000000000001E-2</v>
      </c>
      <c r="G826" s="35">
        <v>7.6200000000000004E-2</v>
      </c>
      <c r="H826" s="35">
        <v>3.9600000000000003E-2</v>
      </c>
      <c r="I826" s="35">
        <v>0.12470000000000001</v>
      </c>
      <c r="J826" s="35">
        <v>2.0400000000000001E-2</v>
      </c>
      <c r="K826" s="35">
        <v>3.1199999999999999E-2</v>
      </c>
      <c r="L826" s="35">
        <v>1.6199999999999999E-2</v>
      </c>
      <c r="M826" s="35">
        <v>2.53E-2</v>
      </c>
      <c r="N826" s="35">
        <v>0.14849999999999999</v>
      </c>
      <c r="O826" s="35">
        <v>2.2599999999999999E-2</v>
      </c>
      <c r="P826" s="35">
        <v>0</v>
      </c>
      <c r="Q826" s="35">
        <v>3.78E-2</v>
      </c>
      <c r="R826" s="35">
        <v>1.8100000000000002E-2</v>
      </c>
      <c r="S826" s="35">
        <v>4.1000000000000003E-3</v>
      </c>
      <c r="T826" s="35">
        <v>5.04E-2</v>
      </c>
      <c r="U826" s="35">
        <v>1.7500000000000002E-2</v>
      </c>
      <c r="V826" s="35">
        <v>3.6200000000000003E-2</v>
      </c>
      <c r="W826" s="35">
        <v>4.8500000000000001E-2</v>
      </c>
      <c r="X826" s="35">
        <v>6.1600000000000002E-2</v>
      </c>
      <c r="Y826" s="35">
        <v>2.5000000000000001E-3</v>
      </c>
      <c r="Z826" s="4">
        <v>0</v>
      </c>
      <c r="AA826" s="4">
        <v>6.9999999999999999E-4</v>
      </c>
      <c r="AB826" s="4">
        <v>0</v>
      </c>
      <c r="AC826" s="56"/>
      <c r="AD826" s="23"/>
    </row>
    <row r="827" spans="1:30" s="47" customFormat="1" ht="13.35" customHeight="1">
      <c r="A827" s="79"/>
      <c r="B827" s="9"/>
      <c r="C827" s="130"/>
      <c r="D827" s="5">
        <f t="shared" ref="D827" si="1301">$C826*D826</f>
        <v>971.73542099999986</v>
      </c>
      <c r="E827" s="5">
        <f t="shared" ref="E827" si="1302">$C826*E826</f>
        <v>8507.1561089999996</v>
      </c>
      <c r="F827" s="5">
        <f t="shared" ref="F827:O827" si="1303">$C826*F826</f>
        <v>3511.362963</v>
      </c>
      <c r="G827" s="5">
        <f t="shared" si="1303"/>
        <v>4542.714054</v>
      </c>
      <c r="H827" s="5">
        <f t="shared" si="1303"/>
        <v>2360.7805320000002</v>
      </c>
      <c r="I827" s="5">
        <f t="shared" si="1303"/>
        <v>7434.0740489999998</v>
      </c>
      <c r="J827" s="5">
        <f t="shared" si="1303"/>
        <v>1216.159668</v>
      </c>
      <c r="K827" s="5">
        <f t="shared" si="1303"/>
        <v>1860.0089039999998</v>
      </c>
      <c r="L827" s="5">
        <f t="shared" si="1303"/>
        <v>965.77385399999991</v>
      </c>
      <c r="M827" s="5">
        <f t="shared" si="1303"/>
        <v>1508.276451</v>
      </c>
      <c r="N827" s="5">
        <f t="shared" si="1303"/>
        <v>8852.9269949999998</v>
      </c>
      <c r="O827" s="5">
        <f t="shared" si="1303"/>
        <v>1347.3141419999999</v>
      </c>
      <c r="P827" s="5">
        <f t="shared" ref="P827" si="1304">$C826*P826</f>
        <v>0</v>
      </c>
      <c r="Q827" s="5">
        <f t="shared" ref="Q827" si="1305">$C826*Q826</f>
        <v>2253.4723260000001</v>
      </c>
      <c r="R827" s="5">
        <f t="shared" ref="R827:AB827" si="1306">$C826*R826</f>
        <v>1079.043627</v>
      </c>
      <c r="S827" s="5">
        <f t="shared" si="1306"/>
        <v>244.42424700000001</v>
      </c>
      <c r="T827" s="5">
        <f t="shared" si="1306"/>
        <v>3004.6297679999998</v>
      </c>
      <c r="U827" s="5">
        <f t="shared" si="1306"/>
        <v>1043.2742250000001</v>
      </c>
      <c r="V827" s="5">
        <f t="shared" si="1306"/>
        <v>2158.087254</v>
      </c>
      <c r="W827" s="5">
        <f t="shared" si="1306"/>
        <v>2891.3599949999998</v>
      </c>
      <c r="X827" s="5">
        <f t="shared" si="1306"/>
        <v>3672.325272</v>
      </c>
      <c r="Y827" s="5">
        <f t="shared" si="1306"/>
        <v>149.039175</v>
      </c>
      <c r="Z827" s="5">
        <f t="shared" si="1306"/>
        <v>0</v>
      </c>
      <c r="AA827" s="5">
        <f t="shared" si="1306"/>
        <v>41.730969000000002</v>
      </c>
      <c r="AB827" s="5">
        <f t="shared" si="1306"/>
        <v>0</v>
      </c>
      <c r="AC827" s="56"/>
      <c r="AD827" s="23"/>
    </row>
    <row r="828" spans="1:30" s="47" customFormat="1" ht="13.35" customHeight="1">
      <c r="A828" s="78" t="s">
        <v>390</v>
      </c>
      <c r="B828" s="191">
        <f>1430776/2</f>
        <v>715388</v>
      </c>
      <c r="C828" s="130">
        <f t="shared" si="1231"/>
        <v>59615.67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>
        <v>1</v>
      </c>
      <c r="X828" s="4"/>
      <c r="Y828" s="4"/>
      <c r="Z828" s="4"/>
      <c r="AA828" s="4"/>
      <c r="AB828" s="4"/>
      <c r="AC828" s="56"/>
      <c r="AD828" s="23"/>
    </row>
    <row r="829" spans="1:30" s="47" customFormat="1" ht="13.35" customHeight="1">
      <c r="A829" s="79"/>
      <c r="B829" s="9"/>
      <c r="C829" s="130"/>
      <c r="D829" s="5">
        <f t="shared" ref="D829" si="1307">$C828*D828</f>
        <v>0</v>
      </c>
      <c r="E829" s="5">
        <f t="shared" ref="E829" si="1308">$C828*E828</f>
        <v>0</v>
      </c>
      <c r="F829" s="5">
        <f t="shared" ref="F829:O829" si="1309">$C828*F828</f>
        <v>0</v>
      </c>
      <c r="G829" s="5">
        <f t="shared" si="1309"/>
        <v>0</v>
      </c>
      <c r="H829" s="5">
        <f t="shared" si="1309"/>
        <v>0</v>
      </c>
      <c r="I829" s="5">
        <f t="shared" si="1309"/>
        <v>0</v>
      </c>
      <c r="J829" s="5">
        <f t="shared" si="1309"/>
        <v>0</v>
      </c>
      <c r="K829" s="5">
        <f t="shared" si="1309"/>
        <v>0</v>
      </c>
      <c r="L829" s="5">
        <f t="shared" si="1309"/>
        <v>0</v>
      </c>
      <c r="M829" s="5">
        <f t="shared" si="1309"/>
        <v>0</v>
      </c>
      <c r="N829" s="5">
        <f t="shared" si="1309"/>
        <v>0</v>
      </c>
      <c r="O829" s="5">
        <f t="shared" si="1309"/>
        <v>0</v>
      </c>
      <c r="P829" s="5">
        <f t="shared" ref="P829" si="1310">$C828*P828</f>
        <v>0</v>
      </c>
      <c r="Q829" s="5">
        <f t="shared" ref="Q829" si="1311">$C828*Q828</f>
        <v>0</v>
      </c>
      <c r="R829" s="5">
        <f t="shared" ref="R829:AB829" si="1312">$C828*R828</f>
        <v>0</v>
      </c>
      <c r="S829" s="5">
        <f t="shared" si="1312"/>
        <v>0</v>
      </c>
      <c r="T829" s="5">
        <f t="shared" si="1312"/>
        <v>0</v>
      </c>
      <c r="U829" s="5">
        <f t="shared" si="1312"/>
        <v>0</v>
      </c>
      <c r="V829" s="5">
        <f t="shared" si="1312"/>
        <v>0</v>
      </c>
      <c r="W829" s="5">
        <f t="shared" si="1312"/>
        <v>59615.67</v>
      </c>
      <c r="X829" s="5">
        <f t="shared" si="1312"/>
        <v>0</v>
      </c>
      <c r="Y829" s="5">
        <f t="shared" si="1312"/>
        <v>0</v>
      </c>
      <c r="Z829" s="5">
        <f t="shared" si="1312"/>
        <v>0</v>
      </c>
      <c r="AA829" s="5">
        <f t="shared" si="1312"/>
        <v>0</v>
      </c>
      <c r="AB829" s="5">
        <f t="shared" si="1312"/>
        <v>0</v>
      </c>
      <c r="AC829" s="56"/>
      <c r="AD829" s="23"/>
    </row>
    <row r="830" spans="1:30" s="47" customFormat="1" ht="13.35" customHeight="1">
      <c r="A830" s="78" t="s">
        <v>482</v>
      </c>
      <c r="B830" s="191">
        <f>1343746/2</f>
        <v>671873</v>
      </c>
      <c r="C830" s="130">
        <f t="shared" si="1231"/>
        <v>55989.42</v>
      </c>
      <c r="D830" s="35">
        <v>1.6299999999999999E-2</v>
      </c>
      <c r="E830" s="35">
        <v>0.14269999999999999</v>
      </c>
      <c r="F830" s="35">
        <v>5.8900000000000001E-2</v>
      </c>
      <c r="G830" s="35">
        <v>7.6200000000000004E-2</v>
      </c>
      <c r="H830" s="35">
        <v>3.9600000000000003E-2</v>
      </c>
      <c r="I830" s="35">
        <v>0.12470000000000001</v>
      </c>
      <c r="J830" s="35">
        <v>2.0400000000000001E-2</v>
      </c>
      <c r="K830" s="35">
        <v>3.1199999999999999E-2</v>
      </c>
      <c r="L830" s="35">
        <v>1.6199999999999999E-2</v>
      </c>
      <c r="M830" s="35">
        <v>2.53E-2</v>
      </c>
      <c r="N830" s="35">
        <v>0.14849999999999999</v>
      </c>
      <c r="O830" s="35">
        <v>2.2599999999999999E-2</v>
      </c>
      <c r="P830" s="35">
        <v>0</v>
      </c>
      <c r="Q830" s="35">
        <v>3.78E-2</v>
      </c>
      <c r="R830" s="35">
        <v>1.8100000000000002E-2</v>
      </c>
      <c r="S830" s="35">
        <v>4.1000000000000003E-3</v>
      </c>
      <c r="T830" s="35">
        <v>5.04E-2</v>
      </c>
      <c r="U830" s="35">
        <v>1.7500000000000002E-2</v>
      </c>
      <c r="V830" s="35">
        <v>3.6200000000000003E-2</v>
      </c>
      <c r="W830" s="35">
        <v>4.8500000000000001E-2</v>
      </c>
      <c r="X830" s="35">
        <v>6.1600000000000002E-2</v>
      </c>
      <c r="Y830" s="35">
        <v>2.5000000000000001E-3</v>
      </c>
      <c r="Z830" s="4">
        <v>0</v>
      </c>
      <c r="AA830" s="4">
        <v>6.9999999999999999E-4</v>
      </c>
      <c r="AB830" s="4">
        <v>0</v>
      </c>
      <c r="AC830" s="56"/>
      <c r="AD830" s="23"/>
    </row>
    <row r="831" spans="1:30" s="47" customFormat="1" ht="13.35" customHeight="1">
      <c r="A831" s="79"/>
      <c r="B831" s="9"/>
      <c r="C831" s="130"/>
      <c r="D831" s="5">
        <f t="shared" ref="D831" si="1313">$C830*D830</f>
        <v>912.62754599999994</v>
      </c>
      <c r="E831" s="5">
        <f t="shared" ref="E831" si="1314">$C830*E830</f>
        <v>7989.6902339999997</v>
      </c>
      <c r="F831" s="5">
        <f t="shared" ref="F831:O831" si="1315">$C830*F830</f>
        <v>3297.7768379999998</v>
      </c>
      <c r="G831" s="5">
        <f t="shared" si="1315"/>
        <v>4266.3938040000003</v>
      </c>
      <c r="H831" s="5">
        <f t="shared" si="1315"/>
        <v>2217.181032</v>
      </c>
      <c r="I831" s="5">
        <f t="shared" si="1315"/>
        <v>6981.880674</v>
      </c>
      <c r="J831" s="5">
        <f t="shared" si="1315"/>
        <v>1142.184168</v>
      </c>
      <c r="K831" s="5">
        <f t="shared" si="1315"/>
        <v>1746.8699039999999</v>
      </c>
      <c r="L831" s="5">
        <f t="shared" si="1315"/>
        <v>907.02860399999997</v>
      </c>
      <c r="M831" s="5">
        <f t="shared" si="1315"/>
        <v>1416.532326</v>
      </c>
      <c r="N831" s="5">
        <f t="shared" si="1315"/>
        <v>8314.4288699999997</v>
      </c>
      <c r="O831" s="5">
        <f t="shared" si="1315"/>
        <v>1265.3608919999999</v>
      </c>
      <c r="P831" s="5">
        <f t="shared" ref="P831" si="1316">$C830*P830</f>
        <v>0</v>
      </c>
      <c r="Q831" s="5">
        <f t="shared" ref="Q831" si="1317">$C830*Q830</f>
        <v>2116.4000759999999</v>
      </c>
      <c r="R831" s="5">
        <f t="shared" ref="R831:AB831" si="1318">$C830*R830</f>
        <v>1013.408502</v>
      </c>
      <c r="S831" s="5">
        <f t="shared" si="1318"/>
        <v>229.556622</v>
      </c>
      <c r="T831" s="5">
        <f t="shared" si="1318"/>
        <v>2821.8667679999999</v>
      </c>
      <c r="U831" s="5">
        <f t="shared" si="1318"/>
        <v>979.81485000000009</v>
      </c>
      <c r="V831" s="5">
        <f t="shared" si="1318"/>
        <v>2026.817004</v>
      </c>
      <c r="W831" s="5">
        <f t="shared" si="1318"/>
        <v>2715.4868700000002</v>
      </c>
      <c r="X831" s="5">
        <f t="shared" si="1318"/>
        <v>3448.9482720000001</v>
      </c>
      <c r="Y831" s="5">
        <f t="shared" si="1318"/>
        <v>139.97354999999999</v>
      </c>
      <c r="Z831" s="5">
        <f t="shared" si="1318"/>
        <v>0</v>
      </c>
      <c r="AA831" s="5">
        <f t="shared" si="1318"/>
        <v>39.192594</v>
      </c>
      <c r="AB831" s="5">
        <f t="shared" si="1318"/>
        <v>0</v>
      </c>
      <c r="AC831" s="56"/>
      <c r="AD831" s="23"/>
    </row>
    <row r="832" spans="1:30" s="47" customFormat="1" ht="13.35" customHeight="1">
      <c r="A832" s="78" t="s">
        <v>483</v>
      </c>
      <c r="B832" s="191">
        <f>1343746/2</f>
        <v>671873</v>
      </c>
      <c r="C832" s="130">
        <f t="shared" ref="C832" si="1319">ROUND(B832/12,2)</f>
        <v>55989.42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>
        <v>1</v>
      </c>
      <c r="X832" s="4"/>
      <c r="Y832" s="4"/>
      <c r="Z832" s="4"/>
      <c r="AA832" s="4"/>
      <c r="AB832" s="4"/>
      <c r="AC832" s="56"/>
      <c r="AD832" s="23"/>
    </row>
    <row r="833" spans="1:30" s="47" customFormat="1" ht="13.35" customHeight="1">
      <c r="A833" s="79"/>
      <c r="B833" s="9"/>
      <c r="C833" s="130"/>
      <c r="D833" s="5">
        <f t="shared" ref="D833" si="1320">$C832*D832</f>
        <v>0</v>
      </c>
      <c r="E833" s="5">
        <f t="shared" ref="E833" si="1321">$C832*E832</f>
        <v>0</v>
      </c>
      <c r="F833" s="5">
        <f t="shared" ref="F833:O833" si="1322">$C832*F832</f>
        <v>0</v>
      </c>
      <c r="G833" s="5">
        <f t="shared" si="1322"/>
        <v>0</v>
      </c>
      <c r="H833" s="5">
        <f t="shared" si="1322"/>
        <v>0</v>
      </c>
      <c r="I833" s="5">
        <f t="shared" si="1322"/>
        <v>0</v>
      </c>
      <c r="J833" s="5">
        <f t="shared" si="1322"/>
        <v>0</v>
      </c>
      <c r="K833" s="5">
        <f t="shared" si="1322"/>
        <v>0</v>
      </c>
      <c r="L833" s="5">
        <f t="shared" si="1322"/>
        <v>0</v>
      </c>
      <c r="M833" s="5">
        <f t="shared" si="1322"/>
        <v>0</v>
      </c>
      <c r="N833" s="5">
        <f t="shared" si="1322"/>
        <v>0</v>
      </c>
      <c r="O833" s="5">
        <f t="shared" si="1322"/>
        <v>0</v>
      </c>
      <c r="P833" s="5">
        <f t="shared" ref="P833" si="1323">$C832*P832</f>
        <v>0</v>
      </c>
      <c r="Q833" s="5">
        <f t="shared" ref="Q833" si="1324">$C832*Q832</f>
        <v>0</v>
      </c>
      <c r="R833" s="5">
        <f t="shared" ref="R833:AB833" si="1325">$C832*R832</f>
        <v>0</v>
      </c>
      <c r="S833" s="5">
        <f t="shared" si="1325"/>
        <v>0</v>
      </c>
      <c r="T833" s="5">
        <f t="shared" si="1325"/>
        <v>0</v>
      </c>
      <c r="U833" s="5">
        <f t="shared" si="1325"/>
        <v>0</v>
      </c>
      <c r="V833" s="5">
        <f t="shared" si="1325"/>
        <v>0</v>
      </c>
      <c r="W833" s="5">
        <f t="shared" si="1325"/>
        <v>55989.42</v>
      </c>
      <c r="X833" s="5">
        <f t="shared" si="1325"/>
        <v>0</v>
      </c>
      <c r="Y833" s="5">
        <f t="shared" si="1325"/>
        <v>0</v>
      </c>
      <c r="Z833" s="5">
        <f t="shared" si="1325"/>
        <v>0</v>
      </c>
      <c r="AA833" s="5">
        <f t="shared" si="1325"/>
        <v>0</v>
      </c>
      <c r="AB833" s="5">
        <f t="shared" si="1325"/>
        <v>0</v>
      </c>
      <c r="AC833" s="56"/>
      <c r="AD833" s="23"/>
    </row>
    <row r="834" spans="1:30" s="47" customFormat="1" ht="13.35" customHeight="1">
      <c r="A834" s="78" t="s">
        <v>481</v>
      </c>
      <c r="B834" s="191">
        <f>1638262/2</f>
        <v>819131</v>
      </c>
      <c r="C834" s="130">
        <f t="shared" si="1231"/>
        <v>68260.92</v>
      </c>
      <c r="D834" s="35">
        <v>1.6299999999999999E-2</v>
      </c>
      <c r="E834" s="35">
        <v>0.14269999999999999</v>
      </c>
      <c r="F834" s="35">
        <v>5.8900000000000001E-2</v>
      </c>
      <c r="G834" s="35">
        <v>7.6200000000000004E-2</v>
      </c>
      <c r="H834" s="35">
        <v>3.9600000000000003E-2</v>
      </c>
      <c r="I834" s="35">
        <v>0.12470000000000001</v>
      </c>
      <c r="J834" s="35">
        <v>2.0400000000000001E-2</v>
      </c>
      <c r="K834" s="35">
        <v>3.1199999999999999E-2</v>
      </c>
      <c r="L834" s="35">
        <v>1.6199999999999999E-2</v>
      </c>
      <c r="M834" s="35">
        <v>2.53E-2</v>
      </c>
      <c r="N834" s="35">
        <v>0.14849999999999999</v>
      </c>
      <c r="O834" s="35">
        <v>2.2599999999999999E-2</v>
      </c>
      <c r="P834" s="35">
        <v>0</v>
      </c>
      <c r="Q834" s="35">
        <v>3.78E-2</v>
      </c>
      <c r="R834" s="35">
        <v>1.8100000000000002E-2</v>
      </c>
      <c r="S834" s="35">
        <v>4.1000000000000003E-3</v>
      </c>
      <c r="T834" s="35">
        <v>5.04E-2</v>
      </c>
      <c r="U834" s="35">
        <v>1.7500000000000002E-2</v>
      </c>
      <c r="V834" s="35">
        <v>3.6200000000000003E-2</v>
      </c>
      <c r="W834" s="35">
        <v>4.8500000000000001E-2</v>
      </c>
      <c r="X834" s="35">
        <v>6.1600000000000002E-2</v>
      </c>
      <c r="Y834" s="35">
        <v>2.5000000000000001E-3</v>
      </c>
      <c r="Z834" s="4">
        <v>0</v>
      </c>
      <c r="AA834" s="4">
        <v>6.9999999999999999E-4</v>
      </c>
      <c r="AB834" s="4">
        <v>0</v>
      </c>
      <c r="AC834" s="56"/>
      <c r="AD834" s="23"/>
    </row>
    <row r="835" spans="1:30" s="47" customFormat="1" ht="13.35" customHeight="1">
      <c r="A835" s="79"/>
      <c r="B835" s="9"/>
      <c r="C835" s="130"/>
      <c r="D835" s="5">
        <f t="shared" ref="D835" si="1326">$C834*D834</f>
        <v>1112.6529959999998</v>
      </c>
      <c r="E835" s="5">
        <f t="shared" ref="E835" si="1327">$C834*E834</f>
        <v>9740.8332839999985</v>
      </c>
      <c r="F835" s="5">
        <f t="shared" ref="F835:O835" si="1328">$C834*F834</f>
        <v>4020.5681879999997</v>
      </c>
      <c r="G835" s="5">
        <f t="shared" si="1328"/>
        <v>5201.4821039999997</v>
      </c>
      <c r="H835" s="5">
        <f t="shared" si="1328"/>
        <v>2703.1324320000003</v>
      </c>
      <c r="I835" s="5">
        <f t="shared" si="1328"/>
        <v>8512.136724</v>
      </c>
      <c r="J835" s="5">
        <f t="shared" si="1328"/>
        <v>1392.522768</v>
      </c>
      <c r="K835" s="5">
        <f t="shared" si="1328"/>
        <v>2129.7407039999998</v>
      </c>
      <c r="L835" s="5">
        <f t="shared" si="1328"/>
        <v>1105.826904</v>
      </c>
      <c r="M835" s="5">
        <f t="shared" si="1328"/>
        <v>1727.001276</v>
      </c>
      <c r="N835" s="5">
        <f t="shared" si="1328"/>
        <v>10136.74662</v>
      </c>
      <c r="O835" s="5">
        <f t="shared" si="1328"/>
        <v>1542.696792</v>
      </c>
      <c r="P835" s="5">
        <f t="shared" ref="P835" si="1329">$C834*P834</f>
        <v>0</v>
      </c>
      <c r="Q835" s="5">
        <f t="shared" ref="Q835" si="1330">$C834*Q834</f>
        <v>2580.262776</v>
      </c>
      <c r="R835" s="5">
        <f t="shared" ref="R835:AB835" si="1331">$C834*R834</f>
        <v>1235.5226520000001</v>
      </c>
      <c r="S835" s="5">
        <f t="shared" si="1331"/>
        <v>279.86977200000001</v>
      </c>
      <c r="T835" s="5">
        <f t="shared" si="1331"/>
        <v>3440.3503679999999</v>
      </c>
      <c r="U835" s="5">
        <f t="shared" si="1331"/>
        <v>1194.5661</v>
      </c>
      <c r="V835" s="5">
        <f t="shared" si="1331"/>
        <v>2471.0453040000002</v>
      </c>
      <c r="W835" s="5">
        <f t="shared" si="1331"/>
        <v>3310.6546199999998</v>
      </c>
      <c r="X835" s="5">
        <f t="shared" si="1331"/>
        <v>4204.8726720000004</v>
      </c>
      <c r="Y835" s="5">
        <f t="shared" si="1331"/>
        <v>170.6523</v>
      </c>
      <c r="Z835" s="5">
        <f t="shared" si="1331"/>
        <v>0</v>
      </c>
      <c r="AA835" s="5">
        <f t="shared" si="1331"/>
        <v>47.782643999999998</v>
      </c>
      <c r="AB835" s="5">
        <f t="shared" si="1331"/>
        <v>0</v>
      </c>
      <c r="AC835" s="56"/>
      <c r="AD835" s="23"/>
    </row>
    <row r="836" spans="1:30" s="47" customFormat="1" ht="13.35" customHeight="1">
      <c r="A836" s="78" t="s">
        <v>509</v>
      </c>
      <c r="B836" s="191">
        <f>1638262/2</f>
        <v>819131</v>
      </c>
      <c r="C836" s="130">
        <f t="shared" si="1231"/>
        <v>68260.92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>
        <v>1</v>
      </c>
      <c r="X836" s="4"/>
      <c r="Y836" s="4"/>
      <c r="Z836" s="4"/>
      <c r="AA836" s="4"/>
      <c r="AB836" s="4"/>
      <c r="AC836" s="56"/>
      <c r="AD836" s="23"/>
    </row>
    <row r="837" spans="1:30" s="47" customFormat="1" ht="13.35" customHeight="1">
      <c r="A837" s="79"/>
      <c r="B837" s="9"/>
      <c r="C837" s="130"/>
      <c r="D837" s="5">
        <f t="shared" ref="D837" si="1332">$C836*D836</f>
        <v>0</v>
      </c>
      <c r="E837" s="5">
        <f t="shared" ref="E837" si="1333">$C836*E836</f>
        <v>0</v>
      </c>
      <c r="F837" s="5">
        <f t="shared" ref="F837:O837" si="1334">$C836*F836</f>
        <v>0</v>
      </c>
      <c r="G837" s="5">
        <f t="shared" si="1334"/>
        <v>0</v>
      </c>
      <c r="H837" s="5">
        <f t="shared" si="1334"/>
        <v>0</v>
      </c>
      <c r="I837" s="5">
        <f t="shared" si="1334"/>
        <v>0</v>
      </c>
      <c r="J837" s="5">
        <f t="shared" si="1334"/>
        <v>0</v>
      </c>
      <c r="K837" s="5">
        <f t="shared" si="1334"/>
        <v>0</v>
      </c>
      <c r="L837" s="5">
        <f t="shared" si="1334"/>
        <v>0</v>
      </c>
      <c r="M837" s="5">
        <f t="shared" si="1334"/>
        <v>0</v>
      </c>
      <c r="N837" s="5">
        <f t="shared" si="1334"/>
        <v>0</v>
      </c>
      <c r="O837" s="5">
        <f t="shared" si="1334"/>
        <v>0</v>
      </c>
      <c r="P837" s="5">
        <f t="shared" ref="P837" si="1335">$C836*P836</f>
        <v>0</v>
      </c>
      <c r="Q837" s="5">
        <f t="shared" ref="Q837" si="1336">$C836*Q836</f>
        <v>0</v>
      </c>
      <c r="R837" s="5">
        <f t="shared" ref="R837:AB837" si="1337">$C836*R836</f>
        <v>0</v>
      </c>
      <c r="S837" s="5">
        <f t="shared" si="1337"/>
        <v>0</v>
      </c>
      <c r="T837" s="5">
        <f t="shared" si="1337"/>
        <v>0</v>
      </c>
      <c r="U837" s="5">
        <f t="shared" si="1337"/>
        <v>0</v>
      </c>
      <c r="V837" s="5">
        <f t="shared" si="1337"/>
        <v>0</v>
      </c>
      <c r="W837" s="5">
        <f t="shared" si="1337"/>
        <v>68260.92</v>
      </c>
      <c r="X837" s="5">
        <f t="shared" si="1337"/>
        <v>0</v>
      </c>
      <c r="Y837" s="5">
        <f t="shared" si="1337"/>
        <v>0</v>
      </c>
      <c r="Z837" s="5">
        <f t="shared" si="1337"/>
        <v>0</v>
      </c>
      <c r="AA837" s="5">
        <f t="shared" si="1337"/>
        <v>0</v>
      </c>
      <c r="AB837" s="5">
        <f t="shared" si="1337"/>
        <v>0</v>
      </c>
      <c r="AC837" s="56"/>
      <c r="AD837" s="23"/>
    </row>
    <row r="838" spans="1:30" s="47" customFormat="1" ht="13.35" customHeight="1">
      <c r="A838" s="78" t="s">
        <v>512</v>
      </c>
      <c r="B838" s="191">
        <v>64800</v>
      </c>
      <c r="C838" s="130">
        <f t="shared" si="1231"/>
        <v>5400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>
        <v>0.63819999999999999</v>
      </c>
      <c r="V838" s="4"/>
      <c r="W838" s="4">
        <v>0.36180000000000001</v>
      </c>
      <c r="X838" s="4"/>
      <c r="Y838" s="4"/>
      <c r="Z838" s="4"/>
      <c r="AA838" s="4"/>
      <c r="AB838" s="4"/>
      <c r="AC838" s="56"/>
      <c r="AD838" s="23"/>
    </row>
    <row r="839" spans="1:30" s="47" customFormat="1" ht="13.35" customHeight="1">
      <c r="A839" s="79"/>
      <c r="B839" s="9"/>
      <c r="C839" s="130"/>
      <c r="D839" s="5">
        <f t="shared" ref="D839" si="1338">$C838*D838</f>
        <v>0</v>
      </c>
      <c r="E839" s="5">
        <f t="shared" ref="E839:O841" si="1339">$C838*E838</f>
        <v>0</v>
      </c>
      <c r="F839" s="5">
        <f t="shared" ref="F839:O839" si="1340">$C838*F838</f>
        <v>0</v>
      </c>
      <c r="G839" s="5">
        <f t="shared" si="1340"/>
        <v>0</v>
      </c>
      <c r="H839" s="5">
        <f t="shared" si="1340"/>
        <v>0</v>
      </c>
      <c r="I839" s="5">
        <f t="shared" si="1340"/>
        <v>0</v>
      </c>
      <c r="J839" s="5">
        <f t="shared" si="1340"/>
        <v>0</v>
      </c>
      <c r="K839" s="5">
        <f t="shared" si="1340"/>
        <v>0</v>
      </c>
      <c r="L839" s="5">
        <f t="shared" si="1340"/>
        <v>0</v>
      </c>
      <c r="M839" s="5">
        <f t="shared" si="1340"/>
        <v>0</v>
      </c>
      <c r="N839" s="5">
        <f t="shared" si="1340"/>
        <v>0</v>
      </c>
      <c r="O839" s="5">
        <f t="shared" si="1340"/>
        <v>0</v>
      </c>
      <c r="P839" s="5">
        <f t="shared" ref="P839:P841" si="1341">$C838*P838</f>
        <v>0</v>
      </c>
      <c r="Q839" s="5">
        <f t="shared" ref="Q839:AB841" si="1342">$C838*Q838</f>
        <v>0</v>
      </c>
      <c r="R839" s="5">
        <f t="shared" ref="R839:AB839" si="1343">$C838*R838</f>
        <v>0</v>
      </c>
      <c r="S839" s="5">
        <f t="shared" si="1343"/>
        <v>0</v>
      </c>
      <c r="T839" s="5">
        <f t="shared" si="1343"/>
        <v>0</v>
      </c>
      <c r="U839" s="5">
        <f t="shared" si="1343"/>
        <v>3446.2799999999997</v>
      </c>
      <c r="V839" s="5">
        <f t="shared" si="1343"/>
        <v>0</v>
      </c>
      <c r="W839" s="5">
        <f t="shared" si="1343"/>
        <v>1953.72</v>
      </c>
      <c r="X839" s="5">
        <f t="shared" si="1343"/>
        <v>0</v>
      </c>
      <c r="Y839" s="5">
        <f t="shared" si="1343"/>
        <v>0</v>
      </c>
      <c r="Z839" s="5">
        <f t="shared" si="1343"/>
        <v>0</v>
      </c>
      <c r="AA839" s="5">
        <f t="shared" si="1343"/>
        <v>0</v>
      </c>
      <c r="AB839" s="5">
        <f t="shared" si="1343"/>
        <v>0</v>
      </c>
      <c r="AC839" s="56"/>
      <c r="AD839" s="23"/>
    </row>
    <row r="840" spans="1:30" s="47" customFormat="1" ht="13.35" customHeight="1">
      <c r="A840" s="78" t="s">
        <v>666</v>
      </c>
      <c r="B840" s="191">
        <v>1154160</v>
      </c>
      <c r="C840" s="130">
        <f t="shared" ref="C840" si="1344">ROUND(B840/12,2)</f>
        <v>96180</v>
      </c>
      <c r="D840" s="4">
        <v>4.1700000000000001E-2</v>
      </c>
      <c r="E840" s="4"/>
      <c r="F840" s="4"/>
      <c r="G840" s="4"/>
      <c r="H840" s="4">
        <v>0.1318</v>
      </c>
      <c r="I840" s="4"/>
      <c r="J840" s="4"/>
      <c r="K840" s="4">
        <v>1.2200000000000001E-2</v>
      </c>
      <c r="L840" s="4"/>
      <c r="M840" s="4">
        <v>9.1399999999999995E-2</v>
      </c>
      <c r="N840" s="4">
        <v>3.2500000000000001E-2</v>
      </c>
      <c r="O840" s="4">
        <v>2.2000000000000001E-3</v>
      </c>
      <c r="P840" s="4">
        <v>2E-3</v>
      </c>
      <c r="Q840" s="4">
        <v>1.15E-2</v>
      </c>
      <c r="R840" s="4">
        <v>0.2702</v>
      </c>
      <c r="S840" s="4">
        <v>6.4000000000000003E-3</v>
      </c>
      <c r="T840" s="4">
        <v>0.1888</v>
      </c>
      <c r="U840" s="4"/>
      <c r="V840" s="4">
        <v>4.6800000000000001E-2</v>
      </c>
      <c r="W840" s="4"/>
      <c r="X840" s="4">
        <v>0.16139999999999999</v>
      </c>
      <c r="Y840" s="4"/>
      <c r="Z840" s="4">
        <v>1.1000000000000001E-3</v>
      </c>
      <c r="AA840" s="4"/>
      <c r="AB840" s="4"/>
      <c r="AC840" s="56"/>
      <c r="AD840" s="23"/>
    </row>
    <row r="841" spans="1:30" s="47" customFormat="1" ht="13.35" customHeight="1">
      <c r="A841" s="79"/>
      <c r="B841" s="9"/>
      <c r="C841" s="130"/>
      <c r="D841" s="5">
        <f>$C840*D840</f>
        <v>4010.7060000000001</v>
      </c>
      <c r="E841" s="5">
        <f t="shared" si="1339"/>
        <v>0</v>
      </c>
      <c r="F841" s="5">
        <f t="shared" si="1339"/>
        <v>0</v>
      </c>
      <c r="G841" s="5">
        <f t="shared" si="1339"/>
        <v>0</v>
      </c>
      <c r="H841" s="5">
        <f t="shared" si="1339"/>
        <v>12676.523999999999</v>
      </c>
      <c r="I841" s="5">
        <f t="shared" si="1339"/>
        <v>0</v>
      </c>
      <c r="J841" s="5">
        <f t="shared" si="1339"/>
        <v>0</v>
      </c>
      <c r="K841" s="5">
        <f t="shared" si="1339"/>
        <v>1173.3960000000002</v>
      </c>
      <c r="L841" s="5">
        <f t="shared" si="1339"/>
        <v>0</v>
      </c>
      <c r="M841" s="5">
        <f t="shared" si="1339"/>
        <v>8790.851999999999</v>
      </c>
      <c r="N841" s="5">
        <f t="shared" si="1339"/>
        <v>3125.85</v>
      </c>
      <c r="O841" s="5">
        <f t="shared" si="1339"/>
        <v>211.596</v>
      </c>
      <c r="P841" s="5">
        <f t="shared" si="1341"/>
        <v>192.36</v>
      </c>
      <c r="Q841" s="5">
        <f t="shared" si="1342"/>
        <v>1106.07</v>
      </c>
      <c r="R841" s="5">
        <f t="shared" si="1342"/>
        <v>25987.835999999999</v>
      </c>
      <c r="S841" s="5">
        <f t="shared" si="1342"/>
        <v>615.55200000000002</v>
      </c>
      <c r="T841" s="5">
        <f t="shared" si="1342"/>
        <v>18158.784</v>
      </c>
      <c r="U841" s="5">
        <f t="shared" si="1342"/>
        <v>0</v>
      </c>
      <c r="V841" s="5">
        <f t="shared" si="1342"/>
        <v>4501.2240000000002</v>
      </c>
      <c r="W841" s="5">
        <f t="shared" si="1342"/>
        <v>0</v>
      </c>
      <c r="X841" s="5">
        <f t="shared" si="1342"/>
        <v>15523.451999999999</v>
      </c>
      <c r="Y841" s="5">
        <f t="shared" si="1342"/>
        <v>0</v>
      </c>
      <c r="Z841" s="5">
        <f t="shared" si="1342"/>
        <v>105.798</v>
      </c>
      <c r="AA841" s="5">
        <f t="shared" si="1342"/>
        <v>0</v>
      </c>
      <c r="AB841" s="5">
        <f t="shared" si="1342"/>
        <v>0</v>
      </c>
      <c r="AC841" s="56"/>
      <c r="AD841" s="23"/>
    </row>
    <row r="842" spans="1:30" s="47" customFormat="1">
      <c r="A842" s="13" t="s">
        <v>50</v>
      </c>
      <c r="B842" s="6">
        <f>SUM(B798:B840)</f>
        <v>75206897</v>
      </c>
      <c r="C842" s="131">
        <f>SUM(C798:C840)</f>
        <v>6267241.4399999995</v>
      </c>
      <c r="D842" s="6">
        <f>D799+D801+D803+D805+D807+D809+D811+D813+D815+D817+D819+D821+D823+D825+D827+D829+D831+D835+D833+D837+D839+D841</f>
        <v>51999.698438999993</v>
      </c>
      <c r="E842" s="6">
        <f t="shared" ref="E842:AB842" si="1345">E799+E801+E803+E805+E807+E809+E811+E813+E815+E817+E819+E821+E823+E825+E827+E829+E831+E835+E833+E837+E839+E841</f>
        <v>412165.61997699988</v>
      </c>
      <c r="F842" s="6">
        <f t="shared" si="1345"/>
        <v>170123.02043899996</v>
      </c>
      <c r="G842" s="6">
        <f t="shared" si="1345"/>
        <v>220091.242062</v>
      </c>
      <c r="H842" s="6">
        <f t="shared" si="1345"/>
        <v>163947.21369000003</v>
      </c>
      <c r="I842" s="6">
        <f t="shared" si="1345"/>
        <v>360175.56279700011</v>
      </c>
      <c r="J842" s="6">
        <f t="shared" si="1345"/>
        <v>58922.064804000001</v>
      </c>
      <c r="K842" s="6">
        <f t="shared" si="1345"/>
        <v>91289.49511199999</v>
      </c>
      <c r="L842" s="6">
        <f t="shared" si="1345"/>
        <v>46791.051461999996</v>
      </c>
      <c r="M842" s="6">
        <f t="shared" si="1345"/>
        <v>81895.438689999995</v>
      </c>
      <c r="N842" s="6">
        <f t="shared" si="1345"/>
        <v>432043.82173499995</v>
      </c>
      <c r="O842" s="6">
        <f t="shared" si="1345"/>
        <v>65488.001125999996</v>
      </c>
      <c r="P842" s="6">
        <f t="shared" si="1345"/>
        <v>480.17282500000005</v>
      </c>
      <c r="Q842" s="6">
        <f t="shared" si="1345"/>
        <v>753958.71621700004</v>
      </c>
      <c r="R842" s="6">
        <f t="shared" si="1345"/>
        <v>93402.727620999998</v>
      </c>
      <c r="S842" s="6">
        <f t="shared" si="1345"/>
        <v>93632.201031000019</v>
      </c>
      <c r="T842" s="6">
        <f t="shared" si="1345"/>
        <v>171579.81793500006</v>
      </c>
      <c r="U842" s="6">
        <f t="shared" si="1345"/>
        <v>77466.48318499999</v>
      </c>
      <c r="V842" s="6">
        <f t="shared" si="1345"/>
        <v>109059.00566200001</v>
      </c>
      <c r="W842" s="6">
        <f t="shared" si="1345"/>
        <v>773106.43926800019</v>
      </c>
      <c r="X842" s="6">
        <f>X799+X801+X803+X805+X807+X809+X811+X813+X815+X817+X819+X821+X823+X825+X827+X829+X831+X835+X833+X837+X839+X841</f>
        <v>1965046.8809569997</v>
      </c>
      <c r="Y842" s="6">
        <f t="shared" si="1345"/>
        <v>71636.888259000014</v>
      </c>
      <c r="Z842" s="6">
        <f>Z799+Z801+Z803+Z805+Z807+Z809+Z811+Z813+Z815+Z817+Z819+Z821+Z823+Z825+Z827+Z829+Z831+Z835+Z833+Z837+Z839+Z841</f>
        <v>918.04115000000002</v>
      </c>
      <c r="AA842" s="6">
        <f t="shared" si="1345"/>
        <v>2021.8355569999997</v>
      </c>
      <c r="AB842" s="6">
        <f t="shared" si="1345"/>
        <v>0</v>
      </c>
      <c r="AC842" s="56"/>
      <c r="AD842" s="23"/>
    </row>
    <row r="843" spans="1:30" s="47" customFormat="1">
      <c r="A843" s="13"/>
      <c r="B843" s="6"/>
      <c r="C843" s="153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56"/>
      <c r="AD843" s="23"/>
    </row>
    <row r="844" spans="1:30" s="14" customFormat="1">
      <c r="A844" s="147"/>
      <c r="B844" s="148"/>
      <c r="C844" s="155"/>
      <c r="D844" s="149"/>
      <c r="E844" s="146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56"/>
      <c r="AD844" s="23"/>
    </row>
    <row r="845" spans="1:30" s="14" customFormat="1">
      <c r="A845" s="69"/>
      <c r="C845" s="154"/>
      <c r="AC845" s="56"/>
      <c r="AD845" s="23"/>
    </row>
    <row r="846" spans="1:30" s="14" customFormat="1" ht="13.8" thickBot="1">
      <c r="A846" s="66" t="s">
        <v>675</v>
      </c>
      <c r="B846" s="65"/>
      <c r="C846" s="152"/>
      <c r="D846" s="65"/>
      <c r="E846" s="65"/>
      <c r="F846" s="65"/>
      <c r="G846" s="140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56"/>
      <c r="AD846" s="23"/>
    </row>
    <row r="847" spans="1:30" s="14" customFormat="1" ht="13.8" thickBot="1">
      <c r="A847" s="93" t="s">
        <v>1</v>
      </c>
      <c r="B847" s="94" t="s">
        <v>2</v>
      </c>
      <c r="C847" s="125" t="s">
        <v>3</v>
      </c>
      <c r="D847" s="211" t="s">
        <v>4</v>
      </c>
      <c r="E847" s="212"/>
      <c r="F847" s="212"/>
      <c r="G847" s="212"/>
      <c r="H847" s="212"/>
      <c r="I847" s="212"/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103"/>
      <c r="AA847" s="103"/>
      <c r="AB847" s="103"/>
      <c r="AC847" s="56"/>
      <c r="AD847" s="23"/>
    </row>
    <row r="848" spans="1:30" s="14" customFormat="1">
      <c r="A848" s="95" t="s">
        <v>5</v>
      </c>
      <c r="B848" s="96" t="s">
        <v>6</v>
      </c>
      <c r="C848" s="126" t="s">
        <v>6</v>
      </c>
      <c r="D848" s="97"/>
      <c r="E848" s="98"/>
      <c r="F848" s="98"/>
      <c r="G848" s="98"/>
      <c r="H848" s="98"/>
      <c r="I848" s="98"/>
      <c r="J848" s="98"/>
      <c r="K848" s="98"/>
      <c r="L848" s="98"/>
      <c r="M848" s="98"/>
      <c r="N848" s="98"/>
      <c r="O848" s="98"/>
      <c r="P848" s="98"/>
      <c r="Q848" s="98"/>
      <c r="R848" s="98"/>
      <c r="S848" s="98"/>
      <c r="T848" s="98"/>
      <c r="U848" s="98"/>
      <c r="V848" s="98"/>
      <c r="W848" s="98"/>
      <c r="X848" s="98"/>
      <c r="Y848" s="99"/>
      <c r="Z848" s="96" t="s">
        <v>7</v>
      </c>
      <c r="AA848" s="96"/>
      <c r="AB848" s="96"/>
      <c r="AC848" s="56"/>
      <c r="AD848" s="23"/>
    </row>
    <row r="849" spans="1:30" s="14" customFormat="1">
      <c r="A849" s="95" t="s">
        <v>8</v>
      </c>
      <c r="B849" s="96" t="s">
        <v>9</v>
      </c>
      <c r="C849" s="126" t="s">
        <v>9</v>
      </c>
      <c r="D849" s="100" t="s">
        <v>10</v>
      </c>
      <c r="E849" s="96" t="s">
        <v>11</v>
      </c>
      <c r="F849" s="96" t="s">
        <v>12</v>
      </c>
      <c r="G849" s="96" t="s">
        <v>13</v>
      </c>
      <c r="H849" s="96" t="s">
        <v>14</v>
      </c>
      <c r="I849" s="96" t="s">
        <v>15</v>
      </c>
      <c r="J849" s="96" t="s">
        <v>16</v>
      </c>
      <c r="K849" s="96" t="s">
        <v>17</v>
      </c>
      <c r="L849" s="96" t="s">
        <v>18</v>
      </c>
      <c r="M849" s="96" t="s">
        <v>19</v>
      </c>
      <c r="N849" s="96" t="s">
        <v>20</v>
      </c>
      <c r="O849" s="96" t="s">
        <v>169</v>
      </c>
      <c r="P849" s="96" t="s">
        <v>21</v>
      </c>
      <c r="Q849" s="96" t="s">
        <v>22</v>
      </c>
      <c r="R849" s="96" t="s">
        <v>23</v>
      </c>
      <c r="S849" s="96" t="s">
        <v>24</v>
      </c>
      <c r="T849" s="96" t="s">
        <v>25</v>
      </c>
      <c r="U849" s="96" t="s">
        <v>26</v>
      </c>
      <c r="V849" s="96" t="s">
        <v>27</v>
      </c>
      <c r="W849" s="96" t="s">
        <v>28</v>
      </c>
      <c r="X849" s="96" t="s">
        <v>29</v>
      </c>
      <c r="Y849" s="96" t="s">
        <v>30</v>
      </c>
      <c r="Z849" s="96" t="s">
        <v>31</v>
      </c>
      <c r="AA849" s="96" t="s">
        <v>484</v>
      </c>
      <c r="AB849" s="96" t="s">
        <v>467</v>
      </c>
      <c r="AC849" s="56"/>
      <c r="AD849" s="23"/>
    </row>
    <row r="850" spans="1:30" s="14" customFormat="1">
      <c r="A850" s="95"/>
      <c r="B850" s="96"/>
      <c r="C850" s="126" t="s">
        <v>744</v>
      </c>
      <c r="D850" s="101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56"/>
      <c r="AD850" s="23"/>
    </row>
    <row r="851" spans="1:30" s="14" customFormat="1">
      <c r="A851" s="78" t="s">
        <v>119</v>
      </c>
      <c r="B851" s="26">
        <v>311709</v>
      </c>
      <c r="C851" s="130">
        <f>ROUND(B851/12,2)</f>
        <v>25975.75</v>
      </c>
      <c r="D851" s="35">
        <v>1.6299999999999999E-2</v>
      </c>
      <c r="E851" s="35">
        <v>0.14269999999999999</v>
      </c>
      <c r="F851" s="35">
        <v>5.8900000000000001E-2</v>
      </c>
      <c r="G851" s="35">
        <v>7.6200000000000004E-2</v>
      </c>
      <c r="H851" s="35">
        <v>3.9600000000000003E-2</v>
      </c>
      <c r="I851" s="35">
        <v>0.12470000000000001</v>
      </c>
      <c r="J851" s="35">
        <v>2.0400000000000001E-2</v>
      </c>
      <c r="K851" s="35">
        <v>3.1199999999999999E-2</v>
      </c>
      <c r="L851" s="35">
        <v>1.6199999999999999E-2</v>
      </c>
      <c r="M851" s="35">
        <v>2.53E-2</v>
      </c>
      <c r="N851" s="35">
        <v>0.14849999999999999</v>
      </c>
      <c r="O851" s="35">
        <v>2.2599999999999999E-2</v>
      </c>
      <c r="P851" s="35">
        <v>0</v>
      </c>
      <c r="Q851" s="35">
        <v>3.78E-2</v>
      </c>
      <c r="R851" s="35">
        <v>1.8100000000000002E-2</v>
      </c>
      <c r="S851" s="35">
        <v>4.1000000000000003E-3</v>
      </c>
      <c r="T851" s="35">
        <v>5.04E-2</v>
      </c>
      <c r="U851" s="35">
        <v>1.7500000000000002E-2</v>
      </c>
      <c r="V851" s="35">
        <v>3.6200000000000003E-2</v>
      </c>
      <c r="W851" s="35">
        <v>4.8500000000000001E-2</v>
      </c>
      <c r="X851" s="35">
        <v>6.1600000000000002E-2</v>
      </c>
      <c r="Y851" s="35">
        <v>2.5000000000000001E-3</v>
      </c>
      <c r="Z851" s="4">
        <v>0</v>
      </c>
      <c r="AA851" s="4">
        <v>6.9999999999999999E-4</v>
      </c>
      <c r="AB851" s="4">
        <v>0</v>
      </c>
      <c r="AC851" s="56"/>
      <c r="AD851" s="23"/>
    </row>
    <row r="852" spans="1:30" s="14" customFormat="1">
      <c r="A852" s="79"/>
      <c r="B852" s="27"/>
      <c r="C852" s="130"/>
      <c r="D852" s="5">
        <f>$C851*D851</f>
        <v>423.40472499999998</v>
      </c>
      <c r="E852" s="5">
        <f t="shared" ref="E852" si="1346">$C851*E851</f>
        <v>3706.739525</v>
      </c>
      <c r="F852" s="5">
        <f t="shared" ref="F852" si="1347">$C851*F851</f>
        <v>1529.971675</v>
      </c>
      <c r="G852" s="5">
        <f t="shared" ref="G852:AB852" si="1348">$C851*G851</f>
        <v>1979.3521500000002</v>
      </c>
      <c r="H852" s="5">
        <f t="shared" si="1348"/>
        <v>1028.6397000000002</v>
      </c>
      <c r="I852" s="5">
        <f t="shared" si="1348"/>
        <v>3239.1760250000002</v>
      </c>
      <c r="J852" s="5">
        <f t="shared" si="1348"/>
        <v>529.90530000000001</v>
      </c>
      <c r="K852" s="5">
        <f t="shared" si="1348"/>
        <v>810.4434</v>
      </c>
      <c r="L852" s="5">
        <f t="shared" si="1348"/>
        <v>420.80714999999998</v>
      </c>
      <c r="M852" s="5">
        <f t="shared" si="1348"/>
        <v>657.18647499999997</v>
      </c>
      <c r="N852" s="5">
        <f t="shared" si="1348"/>
        <v>3857.3988749999999</v>
      </c>
      <c r="O852" s="5">
        <f t="shared" si="1348"/>
        <v>587.05194999999992</v>
      </c>
      <c r="P852" s="5">
        <f t="shared" si="1348"/>
        <v>0</v>
      </c>
      <c r="Q852" s="5">
        <f t="shared" si="1348"/>
        <v>981.88334999999995</v>
      </c>
      <c r="R852" s="5">
        <f t="shared" si="1348"/>
        <v>470.16107500000004</v>
      </c>
      <c r="S852" s="5">
        <f t="shared" si="1348"/>
        <v>106.50057500000001</v>
      </c>
      <c r="T852" s="5">
        <f t="shared" si="1348"/>
        <v>1309.1777999999999</v>
      </c>
      <c r="U852" s="5">
        <f t="shared" si="1348"/>
        <v>454.57562500000006</v>
      </c>
      <c r="V852" s="5">
        <f t="shared" si="1348"/>
        <v>940.32215000000008</v>
      </c>
      <c r="W852" s="5">
        <f t="shared" si="1348"/>
        <v>1259.823875</v>
      </c>
      <c r="X852" s="5">
        <f t="shared" si="1348"/>
        <v>1600.1061999999999</v>
      </c>
      <c r="Y852" s="5">
        <f t="shared" si="1348"/>
        <v>64.939374999999998</v>
      </c>
      <c r="Z852" s="5">
        <f t="shared" si="1348"/>
        <v>0</v>
      </c>
      <c r="AA852" s="5">
        <f t="shared" si="1348"/>
        <v>18.183025000000001</v>
      </c>
      <c r="AB852" s="5">
        <f t="shared" si="1348"/>
        <v>0</v>
      </c>
      <c r="AC852" s="56"/>
      <c r="AD852" s="23"/>
    </row>
    <row r="853" spans="1:30" s="14" customFormat="1">
      <c r="A853" s="78" t="s">
        <v>438</v>
      </c>
      <c r="B853" s="26">
        <v>311709</v>
      </c>
      <c r="C853" s="130">
        <f t="shared" ref="C853:C915" si="1349">ROUND(B853/12,2)</f>
        <v>25975.75</v>
      </c>
      <c r="D853" s="4"/>
      <c r="E853" s="4">
        <v>1</v>
      </c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56"/>
      <c r="AD853" s="23"/>
    </row>
    <row r="854" spans="1:30" s="14" customFormat="1">
      <c r="A854" s="79"/>
      <c r="B854" s="9"/>
      <c r="C854" s="130"/>
      <c r="D854" s="5">
        <f t="shared" ref="D854" si="1350">$C853*D853</f>
        <v>0</v>
      </c>
      <c r="E854" s="5">
        <f t="shared" ref="E854" si="1351">$C853*E853</f>
        <v>25975.75</v>
      </c>
      <c r="F854" s="5">
        <f t="shared" ref="F854:O854" si="1352">$C853*F853</f>
        <v>0</v>
      </c>
      <c r="G854" s="5">
        <f t="shared" si="1352"/>
        <v>0</v>
      </c>
      <c r="H854" s="5">
        <f t="shared" si="1352"/>
        <v>0</v>
      </c>
      <c r="I854" s="5">
        <f t="shared" si="1352"/>
        <v>0</v>
      </c>
      <c r="J854" s="5">
        <f t="shared" si="1352"/>
        <v>0</v>
      </c>
      <c r="K854" s="5">
        <f t="shared" si="1352"/>
        <v>0</v>
      </c>
      <c r="L854" s="5">
        <f t="shared" si="1352"/>
        <v>0</v>
      </c>
      <c r="M854" s="5">
        <f t="shared" si="1352"/>
        <v>0</v>
      </c>
      <c r="N854" s="5">
        <f t="shared" si="1352"/>
        <v>0</v>
      </c>
      <c r="O854" s="5">
        <f t="shared" si="1352"/>
        <v>0</v>
      </c>
      <c r="P854" s="5">
        <f t="shared" ref="P854" si="1353">$C853*P853</f>
        <v>0</v>
      </c>
      <c r="Q854" s="5">
        <f t="shared" ref="Q854" si="1354">$C853*Q853</f>
        <v>0</v>
      </c>
      <c r="R854" s="5">
        <f t="shared" ref="R854:AB854" si="1355">$C853*R853</f>
        <v>0</v>
      </c>
      <c r="S854" s="5">
        <f t="shared" si="1355"/>
        <v>0</v>
      </c>
      <c r="T854" s="5">
        <f t="shared" si="1355"/>
        <v>0</v>
      </c>
      <c r="U854" s="5">
        <f t="shared" si="1355"/>
        <v>0</v>
      </c>
      <c r="V854" s="5">
        <f t="shared" si="1355"/>
        <v>0</v>
      </c>
      <c r="W854" s="5">
        <f t="shared" si="1355"/>
        <v>0</v>
      </c>
      <c r="X854" s="5">
        <f t="shared" si="1355"/>
        <v>0</v>
      </c>
      <c r="Y854" s="5">
        <f t="shared" si="1355"/>
        <v>0</v>
      </c>
      <c r="Z854" s="5">
        <f t="shared" si="1355"/>
        <v>0</v>
      </c>
      <c r="AA854" s="5">
        <f t="shared" si="1355"/>
        <v>0</v>
      </c>
      <c r="AB854" s="5">
        <f t="shared" si="1355"/>
        <v>0</v>
      </c>
      <c r="AC854" s="56"/>
      <c r="AD854" s="23"/>
    </row>
    <row r="855" spans="1:30" s="14" customFormat="1">
      <c r="A855" s="78" t="s">
        <v>120</v>
      </c>
      <c r="B855" s="192">
        <v>1188989</v>
      </c>
      <c r="C855" s="130">
        <f t="shared" si="1349"/>
        <v>99082.42</v>
      </c>
      <c r="D855" s="4"/>
      <c r="E855" s="4">
        <v>0.99</v>
      </c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>
        <v>0.01</v>
      </c>
      <c r="W855" s="4"/>
      <c r="X855" s="4"/>
      <c r="Y855" s="4"/>
      <c r="Z855" s="4"/>
      <c r="AA855" s="4"/>
      <c r="AB855" s="4"/>
      <c r="AC855" s="56"/>
      <c r="AD855" s="23"/>
    </row>
    <row r="856" spans="1:30" s="14" customFormat="1">
      <c r="A856" s="79"/>
      <c r="B856" s="27"/>
      <c r="C856" s="130"/>
      <c r="D856" s="5">
        <f t="shared" ref="D856" si="1356">$C855*D855</f>
        <v>0</v>
      </c>
      <c r="E856" s="5">
        <f t="shared" ref="E856" si="1357">$C855*E855</f>
        <v>98091.595799999996</v>
      </c>
      <c r="F856" s="5">
        <f t="shared" ref="F856:O856" si="1358">$C855*F855</f>
        <v>0</v>
      </c>
      <c r="G856" s="5">
        <f t="shared" si="1358"/>
        <v>0</v>
      </c>
      <c r="H856" s="5">
        <f t="shared" si="1358"/>
        <v>0</v>
      </c>
      <c r="I856" s="5">
        <f t="shared" si="1358"/>
        <v>0</v>
      </c>
      <c r="J856" s="5">
        <f t="shared" si="1358"/>
        <v>0</v>
      </c>
      <c r="K856" s="5">
        <f t="shared" si="1358"/>
        <v>0</v>
      </c>
      <c r="L856" s="5">
        <f t="shared" si="1358"/>
        <v>0</v>
      </c>
      <c r="M856" s="5">
        <f t="shared" si="1358"/>
        <v>0</v>
      </c>
      <c r="N856" s="5">
        <f t="shared" si="1358"/>
        <v>0</v>
      </c>
      <c r="O856" s="5">
        <f t="shared" si="1358"/>
        <v>0</v>
      </c>
      <c r="P856" s="5">
        <f t="shared" ref="P856" si="1359">$C855*P855</f>
        <v>0</v>
      </c>
      <c r="Q856" s="5">
        <f t="shared" ref="Q856" si="1360">$C855*Q855</f>
        <v>0</v>
      </c>
      <c r="R856" s="5">
        <f t="shared" ref="R856:AB856" si="1361">$C855*R855</f>
        <v>0</v>
      </c>
      <c r="S856" s="5">
        <f t="shared" si="1361"/>
        <v>0</v>
      </c>
      <c r="T856" s="5">
        <f t="shared" si="1361"/>
        <v>0</v>
      </c>
      <c r="U856" s="5">
        <f t="shared" si="1361"/>
        <v>0</v>
      </c>
      <c r="V856" s="5">
        <f t="shared" si="1361"/>
        <v>990.82420000000002</v>
      </c>
      <c r="W856" s="5">
        <f t="shared" si="1361"/>
        <v>0</v>
      </c>
      <c r="X856" s="5">
        <f t="shared" si="1361"/>
        <v>0</v>
      </c>
      <c r="Y856" s="5">
        <f t="shared" si="1361"/>
        <v>0</v>
      </c>
      <c r="Z856" s="5">
        <f t="shared" si="1361"/>
        <v>0</v>
      </c>
      <c r="AA856" s="5">
        <f t="shared" si="1361"/>
        <v>0</v>
      </c>
      <c r="AB856" s="5">
        <f t="shared" si="1361"/>
        <v>0</v>
      </c>
      <c r="AC856" s="56"/>
      <c r="AD856" s="23"/>
    </row>
    <row r="857" spans="1:30" s="14" customFormat="1">
      <c r="A857" s="78" t="s">
        <v>121</v>
      </c>
      <c r="B857" s="26">
        <v>680457</v>
      </c>
      <c r="C857" s="130">
        <f>ROUND(B857/12,2)</f>
        <v>56704.75</v>
      </c>
      <c r="D857" s="4"/>
      <c r="E857" s="4">
        <v>0.99729999999999996</v>
      </c>
      <c r="F857" s="4"/>
      <c r="G857" s="4"/>
      <c r="H857" s="4"/>
      <c r="I857" s="4"/>
      <c r="J857" s="4">
        <v>2.7000000000000001E-3</v>
      </c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56"/>
      <c r="AD857" s="23"/>
    </row>
    <row r="858" spans="1:30" s="14" customFormat="1">
      <c r="A858" s="79"/>
      <c r="B858" s="27"/>
      <c r="C858" s="130"/>
      <c r="D858" s="5">
        <f t="shared" ref="D858" si="1362">$C857*D857</f>
        <v>0</v>
      </c>
      <c r="E858" s="5">
        <f t="shared" ref="E858" si="1363">$C857*E857</f>
        <v>56551.647174999998</v>
      </c>
      <c r="F858" s="5">
        <f t="shared" ref="F858:O858" si="1364">$C857*F857</f>
        <v>0</v>
      </c>
      <c r="G858" s="5">
        <f t="shared" si="1364"/>
        <v>0</v>
      </c>
      <c r="H858" s="5">
        <f t="shared" si="1364"/>
        <v>0</v>
      </c>
      <c r="I858" s="5">
        <f t="shared" si="1364"/>
        <v>0</v>
      </c>
      <c r="J858" s="5">
        <f t="shared" si="1364"/>
        <v>153.102825</v>
      </c>
      <c r="K858" s="5">
        <f t="shared" si="1364"/>
        <v>0</v>
      </c>
      <c r="L858" s="5">
        <f t="shared" si="1364"/>
        <v>0</v>
      </c>
      <c r="M858" s="5">
        <f t="shared" si="1364"/>
        <v>0</v>
      </c>
      <c r="N858" s="5">
        <f t="shared" si="1364"/>
        <v>0</v>
      </c>
      <c r="O858" s="5">
        <f t="shared" si="1364"/>
        <v>0</v>
      </c>
      <c r="P858" s="5">
        <f t="shared" ref="P858" si="1365">$C857*P857</f>
        <v>0</v>
      </c>
      <c r="Q858" s="5">
        <f t="shared" ref="Q858" si="1366">$C857*Q857</f>
        <v>0</v>
      </c>
      <c r="R858" s="5">
        <f t="shared" ref="R858:AB858" si="1367">$C857*R857</f>
        <v>0</v>
      </c>
      <c r="S858" s="5">
        <f t="shared" si="1367"/>
        <v>0</v>
      </c>
      <c r="T858" s="5">
        <f t="shared" si="1367"/>
        <v>0</v>
      </c>
      <c r="U858" s="5">
        <f t="shared" si="1367"/>
        <v>0</v>
      </c>
      <c r="V858" s="5">
        <f t="shared" si="1367"/>
        <v>0</v>
      </c>
      <c r="W858" s="5">
        <f t="shared" si="1367"/>
        <v>0</v>
      </c>
      <c r="X858" s="5">
        <f t="shared" si="1367"/>
        <v>0</v>
      </c>
      <c r="Y858" s="5">
        <f t="shared" si="1367"/>
        <v>0</v>
      </c>
      <c r="Z858" s="5">
        <f t="shared" si="1367"/>
        <v>0</v>
      </c>
      <c r="AA858" s="5">
        <f t="shared" si="1367"/>
        <v>0</v>
      </c>
      <c r="AB858" s="5">
        <f t="shared" si="1367"/>
        <v>0</v>
      </c>
      <c r="AC858" s="56"/>
      <c r="AD858" s="23"/>
    </row>
    <row r="859" spans="1:30" s="14" customFormat="1">
      <c r="A859" s="78" t="s">
        <v>122</v>
      </c>
      <c r="B859" s="26">
        <v>1209544</v>
      </c>
      <c r="C859" s="130">
        <f t="shared" si="1349"/>
        <v>100795.33</v>
      </c>
      <c r="D859" s="4"/>
      <c r="E859" s="4">
        <v>0.96689999999999998</v>
      </c>
      <c r="F859" s="4"/>
      <c r="G859" s="4"/>
      <c r="H859" s="4"/>
      <c r="I859" s="4"/>
      <c r="J859" s="4">
        <v>3.3099999999999997E-2</v>
      </c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56"/>
      <c r="AD859" s="23"/>
    </row>
    <row r="860" spans="1:30" s="14" customFormat="1">
      <c r="A860" s="79"/>
      <c r="B860" s="27"/>
      <c r="C860" s="130"/>
      <c r="D860" s="5">
        <f t="shared" ref="D860" si="1368">$C859*D859</f>
        <v>0</v>
      </c>
      <c r="E860" s="5">
        <f t="shared" ref="E860" si="1369">$C859*E859</f>
        <v>97459.004577</v>
      </c>
      <c r="F860" s="5">
        <f t="shared" ref="F860:O860" si="1370">$C859*F859</f>
        <v>0</v>
      </c>
      <c r="G860" s="5">
        <f t="shared" si="1370"/>
        <v>0</v>
      </c>
      <c r="H860" s="5">
        <f t="shared" si="1370"/>
        <v>0</v>
      </c>
      <c r="I860" s="5">
        <f t="shared" si="1370"/>
        <v>0</v>
      </c>
      <c r="J860" s="5">
        <f t="shared" si="1370"/>
        <v>3336.3254229999998</v>
      </c>
      <c r="K860" s="5">
        <f t="shared" si="1370"/>
        <v>0</v>
      </c>
      <c r="L860" s="5">
        <f t="shared" si="1370"/>
        <v>0</v>
      </c>
      <c r="M860" s="5">
        <f t="shared" si="1370"/>
        <v>0</v>
      </c>
      <c r="N860" s="5">
        <f t="shared" si="1370"/>
        <v>0</v>
      </c>
      <c r="O860" s="5">
        <f t="shared" si="1370"/>
        <v>0</v>
      </c>
      <c r="P860" s="5">
        <f t="shared" ref="P860" si="1371">$C859*P859</f>
        <v>0</v>
      </c>
      <c r="Q860" s="5">
        <f t="shared" ref="Q860" si="1372">$C859*Q859</f>
        <v>0</v>
      </c>
      <c r="R860" s="5">
        <f t="shared" ref="R860:AB860" si="1373">$C859*R859</f>
        <v>0</v>
      </c>
      <c r="S860" s="5">
        <f t="shared" si="1373"/>
        <v>0</v>
      </c>
      <c r="T860" s="5">
        <f t="shared" si="1373"/>
        <v>0</v>
      </c>
      <c r="U860" s="5">
        <f t="shared" si="1373"/>
        <v>0</v>
      </c>
      <c r="V860" s="5">
        <f t="shared" si="1373"/>
        <v>0</v>
      </c>
      <c r="W860" s="5">
        <f t="shared" si="1373"/>
        <v>0</v>
      </c>
      <c r="X860" s="5">
        <f t="shared" si="1373"/>
        <v>0</v>
      </c>
      <c r="Y860" s="5">
        <f t="shared" si="1373"/>
        <v>0</v>
      </c>
      <c r="Z860" s="5">
        <f t="shared" si="1373"/>
        <v>0</v>
      </c>
      <c r="AA860" s="5">
        <f t="shared" si="1373"/>
        <v>0</v>
      </c>
      <c r="AB860" s="5">
        <f t="shared" si="1373"/>
        <v>0</v>
      </c>
      <c r="AC860" s="56"/>
      <c r="AD860" s="23"/>
    </row>
    <row r="861" spans="1:30" s="14" customFormat="1">
      <c r="A861" s="78" t="s">
        <v>123</v>
      </c>
      <c r="B861" s="26">
        <v>1366505</v>
      </c>
      <c r="C861" s="130">
        <f t="shared" si="1349"/>
        <v>113875.42</v>
      </c>
      <c r="D861" s="4"/>
      <c r="E861" s="4">
        <v>0.4199</v>
      </c>
      <c r="F861" s="4"/>
      <c r="G861" s="4"/>
      <c r="H861" s="4"/>
      <c r="I861" s="4">
        <v>0.58009999999999995</v>
      </c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56"/>
      <c r="AD861" s="23"/>
    </row>
    <row r="862" spans="1:30" s="14" customFormat="1">
      <c r="A862" s="79"/>
      <c r="B862" s="27"/>
      <c r="C862" s="130"/>
      <c r="D862" s="5">
        <f t="shared" ref="D862" si="1374">$C861*D861</f>
        <v>0</v>
      </c>
      <c r="E862" s="5">
        <f t="shared" ref="E862" si="1375">$C861*E861</f>
        <v>47816.288858</v>
      </c>
      <c r="F862" s="5">
        <f t="shared" ref="F862:O862" si="1376">$C861*F861</f>
        <v>0</v>
      </c>
      <c r="G862" s="5">
        <f t="shared" si="1376"/>
        <v>0</v>
      </c>
      <c r="H862" s="5">
        <f t="shared" si="1376"/>
        <v>0</v>
      </c>
      <c r="I862" s="5">
        <f t="shared" si="1376"/>
        <v>66059.131141999998</v>
      </c>
      <c r="J862" s="5">
        <f t="shared" si="1376"/>
        <v>0</v>
      </c>
      <c r="K862" s="5">
        <f t="shared" si="1376"/>
        <v>0</v>
      </c>
      <c r="L862" s="5">
        <f t="shared" si="1376"/>
        <v>0</v>
      </c>
      <c r="M862" s="5">
        <f t="shared" si="1376"/>
        <v>0</v>
      </c>
      <c r="N862" s="5">
        <f t="shared" si="1376"/>
        <v>0</v>
      </c>
      <c r="O862" s="5">
        <f t="shared" si="1376"/>
        <v>0</v>
      </c>
      <c r="P862" s="5">
        <f t="shared" ref="P862" si="1377">$C861*P861</f>
        <v>0</v>
      </c>
      <c r="Q862" s="5">
        <f t="shared" ref="Q862" si="1378">$C861*Q861</f>
        <v>0</v>
      </c>
      <c r="R862" s="5">
        <f t="shared" ref="R862:AB862" si="1379">$C861*R861</f>
        <v>0</v>
      </c>
      <c r="S862" s="5">
        <f t="shared" si="1379"/>
        <v>0</v>
      </c>
      <c r="T862" s="5">
        <f t="shared" si="1379"/>
        <v>0</v>
      </c>
      <c r="U862" s="5">
        <f t="shared" si="1379"/>
        <v>0</v>
      </c>
      <c r="V862" s="5">
        <f t="shared" si="1379"/>
        <v>0</v>
      </c>
      <c r="W862" s="5">
        <f t="shared" si="1379"/>
        <v>0</v>
      </c>
      <c r="X862" s="5">
        <f t="shared" si="1379"/>
        <v>0</v>
      </c>
      <c r="Y862" s="5">
        <f t="shared" si="1379"/>
        <v>0</v>
      </c>
      <c r="Z862" s="5">
        <f t="shared" si="1379"/>
        <v>0</v>
      </c>
      <c r="AA862" s="5">
        <f t="shared" si="1379"/>
        <v>0</v>
      </c>
      <c r="AB862" s="5">
        <f t="shared" si="1379"/>
        <v>0</v>
      </c>
      <c r="AC862" s="56"/>
      <c r="AD862" s="23"/>
    </row>
    <row r="863" spans="1:30" s="14" customFormat="1">
      <c r="A863" s="78" t="s">
        <v>124</v>
      </c>
      <c r="B863" s="26">
        <v>790114</v>
      </c>
      <c r="C863" s="130">
        <f t="shared" si="1349"/>
        <v>65842.83</v>
      </c>
      <c r="D863" s="35">
        <v>1.6299999999999999E-2</v>
      </c>
      <c r="E863" s="35">
        <v>0.14269999999999999</v>
      </c>
      <c r="F863" s="35">
        <v>5.8900000000000001E-2</v>
      </c>
      <c r="G863" s="35">
        <v>7.6200000000000004E-2</v>
      </c>
      <c r="H863" s="35">
        <v>3.9600000000000003E-2</v>
      </c>
      <c r="I863" s="35">
        <v>0.12470000000000001</v>
      </c>
      <c r="J863" s="35">
        <v>2.0400000000000001E-2</v>
      </c>
      <c r="K863" s="35">
        <v>3.1199999999999999E-2</v>
      </c>
      <c r="L863" s="35">
        <v>1.6199999999999999E-2</v>
      </c>
      <c r="M863" s="35">
        <v>2.53E-2</v>
      </c>
      <c r="N863" s="35">
        <v>0.14849999999999999</v>
      </c>
      <c r="O863" s="35">
        <v>2.2599999999999999E-2</v>
      </c>
      <c r="P863" s="35">
        <v>0</v>
      </c>
      <c r="Q863" s="35">
        <v>3.78E-2</v>
      </c>
      <c r="R863" s="35">
        <v>1.8100000000000002E-2</v>
      </c>
      <c r="S863" s="35">
        <v>4.1000000000000003E-3</v>
      </c>
      <c r="T863" s="35">
        <v>5.04E-2</v>
      </c>
      <c r="U863" s="35">
        <v>1.7500000000000002E-2</v>
      </c>
      <c r="V863" s="35">
        <v>3.6200000000000003E-2</v>
      </c>
      <c r="W863" s="35">
        <v>4.8500000000000001E-2</v>
      </c>
      <c r="X863" s="35">
        <v>6.1600000000000002E-2</v>
      </c>
      <c r="Y863" s="35">
        <v>2.5000000000000001E-3</v>
      </c>
      <c r="Z863" s="4">
        <v>0</v>
      </c>
      <c r="AA863" s="4">
        <v>6.9999999999999999E-4</v>
      </c>
      <c r="AB863" s="4">
        <v>0</v>
      </c>
      <c r="AC863" s="56"/>
      <c r="AD863" s="23"/>
    </row>
    <row r="864" spans="1:30" s="14" customFormat="1">
      <c r="A864" s="79"/>
      <c r="B864" s="27"/>
      <c r="C864" s="130"/>
      <c r="D864" s="5">
        <f t="shared" ref="D864" si="1380">$C863*D863</f>
        <v>1073.2381289999998</v>
      </c>
      <c r="E864" s="5">
        <f t="shared" ref="E864" si="1381">$C863*E863</f>
        <v>9395.7718409999998</v>
      </c>
      <c r="F864" s="5">
        <f t="shared" ref="F864:O864" si="1382">$C863*F863</f>
        <v>3878.142687</v>
      </c>
      <c r="G864" s="5">
        <f t="shared" si="1382"/>
        <v>5017.2236460000004</v>
      </c>
      <c r="H864" s="5">
        <f t="shared" si="1382"/>
        <v>2607.3760680000005</v>
      </c>
      <c r="I864" s="5">
        <f t="shared" si="1382"/>
        <v>8210.6009009999998</v>
      </c>
      <c r="J864" s="5">
        <f t="shared" si="1382"/>
        <v>1343.1937320000002</v>
      </c>
      <c r="K864" s="5">
        <f t="shared" si="1382"/>
        <v>2054.296296</v>
      </c>
      <c r="L864" s="5">
        <f t="shared" si="1382"/>
        <v>1066.6538459999999</v>
      </c>
      <c r="M864" s="5">
        <f t="shared" si="1382"/>
        <v>1665.8235990000001</v>
      </c>
      <c r="N864" s="5">
        <f t="shared" si="1382"/>
        <v>9777.6602550000007</v>
      </c>
      <c r="O864" s="5">
        <f t="shared" si="1382"/>
        <v>1488.0479579999999</v>
      </c>
      <c r="P864" s="5">
        <f t="shared" ref="P864" si="1383">$C863*P863</f>
        <v>0</v>
      </c>
      <c r="Q864" s="5">
        <f t="shared" ref="Q864" si="1384">$C863*Q863</f>
        <v>2488.8589740000002</v>
      </c>
      <c r="R864" s="5">
        <f t="shared" ref="R864:AB864" si="1385">$C863*R863</f>
        <v>1191.7552230000001</v>
      </c>
      <c r="S864" s="5">
        <f t="shared" si="1385"/>
        <v>269.95560300000005</v>
      </c>
      <c r="T864" s="5">
        <f t="shared" si="1385"/>
        <v>3318.4786320000003</v>
      </c>
      <c r="U864" s="5">
        <f t="shared" si="1385"/>
        <v>1152.2495250000002</v>
      </c>
      <c r="V864" s="5">
        <f t="shared" si="1385"/>
        <v>2383.5104460000002</v>
      </c>
      <c r="W864" s="5">
        <f t="shared" si="1385"/>
        <v>3193.3772550000003</v>
      </c>
      <c r="X864" s="5">
        <f t="shared" si="1385"/>
        <v>4055.9183280000002</v>
      </c>
      <c r="Y864" s="5">
        <f t="shared" si="1385"/>
        <v>164.60707500000001</v>
      </c>
      <c r="Z864" s="5">
        <f t="shared" si="1385"/>
        <v>0</v>
      </c>
      <c r="AA864" s="5">
        <f t="shared" si="1385"/>
        <v>46.089981000000002</v>
      </c>
      <c r="AB864" s="5">
        <f t="shared" si="1385"/>
        <v>0</v>
      </c>
      <c r="AC864" s="56"/>
      <c r="AD864" s="23"/>
    </row>
    <row r="865" spans="1:30" s="14" customFormat="1">
      <c r="A865" s="78" t="s">
        <v>439</v>
      </c>
      <c r="B865" s="15">
        <v>790114</v>
      </c>
      <c r="C865" s="130">
        <f t="shared" si="1349"/>
        <v>65842.83</v>
      </c>
      <c r="D865" s="4"/>
      <c r="E865" s="4">
        <v>0.99070000000000003</v>
      </c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>
        <v>9.2999999999999992E-3</v>
      </c>
      <c r="AB865" s="4"/>
      <c r="AC865" s="56"/>
      <c r="AD865" s="23"/>
    </row>
    <row r="866" spans="1:30" s="14" customFormat="1">
      <c r="A866" s="79"/>
      <c r="B866" s="9"/>
      <c r="C866" s="130"/>
      <c r="D866" s="5">
        <f t="shared" ref="D866" si="1386">$C865*D865</f>
        <v>0</v>
      </c>
      <c r="E866" s="5">
        <f t="shared" ref="E866" si="1387">$C865*E865</f>
        <v>65230.491681000007</v>
      </c>
      <c r="F866" s="5">
        <f t="shared" ref="F866:O866" si="1388">$C865*F865</f>
        <v>0</v>
      </c>
      <c r="G866" s="5">
        <f t="shared" si="1388"/>
        <v>0</v>
      </c>
      <c r="H866" s="5">
        <f t="shared" si="1388"/>
        <v>0</v>
      </c>
      <c r="I866" s="5">
        <f t="shared" si="1388"/>
        <v>0</v>
      </c>
      <c r="J866" s="5">
        <f t="shared" si="1388"/>
        <v>0</v>
      </c>
      <c r="K866" s="5">
        <f t="shared" si="1388"/>
        <v>0</v>
      </c>
      <c r="L866" s="5">
        <f t="shared" si="1388"/>
        <v>0</v>
      </c>
      <c r="M866" s="5">
        <f t="shared" si="1388"/>
        <v>0</v>
      </c>
      <c r="N866" s="5">
        <f t="shared" si="1388"/>
        <v>0</v>
      </c>
      <c r="O866" s="5">
        <f t="shared" si="1388"/>
        <v>0</v>
      </c>
      <c r="P866" s="5">
        <f t="shared" ref="P866" si="1389">$C865*P865</f>
        <v>0</v>
      </c>
      <c r="Q866" s="5">
        <f t="shared" ref="Q866" si="1390">$C865*Q865</f>
        <v>0</v>
      </c>
      <c r="R866" s="5">
        <f t="shared" ref="R866:AB866" si="1391">$C865*R865</f>
        <v>0</v>
      </c>
      <c r="S866" s="5">
        <f t="shared" si="1391"/>
        <v>0</v>
      </c>
      <c r="T866" s="5">
        <f t="shared" si="1391"/>
        <v>0</v>
      </c>
      <c r="U866" s="5">
        <f t="shared" si="1391"/>
        <v>0</v>
      </c>
      <c r="V866" s="5">
        <f t="shared" si="1391"/>
        <v>0</v>
      </c>
      <c r="W866" s="5">
        <f t="shared" si="1391"/>
        <v>0</v>
      </c>
      <c r="X866" s="5">
        <f t="shared" si="1391"/>
        <v>0</v>
      </c>
      <c r="Y866" s="5">
        <f t="shared" si="1391"/>
        <v>0</v>
      </c>
      <c r="Z866" s="5">
        <f t="shared" si="1391"/>
        <v>0</v>
      </c>
      <c r="AA866" s="5">
        <f t="shared" si="1391"/>
        <v>612.33831899999996</v>
      </c>
      <c r="AB866" s="5">
        <f t="shared" si="1391"/>
        <v>0</v>
      </c>
      <c r="AC866" s="56"/>
      <c r="AD866" s="23"/>
    </row>
    <row r="867" spans="1:30" s="14" customFormat="1">
      <c r="A867" s="78" t="s">
        <v>125</v>
      </c>
      <c r="B867" s="26">
        <v>327314.5</v>
      </c>
      <c r="C867" s="130">
        <f t="shared" si="1349"/>
        <v>27276.21</v>
      </c>
      <c r="D867" s="35">
        <v>1.6299999999999999E-2</v>
      </c>
      <c r="E867" s="35">
        <v>0.14269999999999999</v>
      </c>
      <c r="F867" s="35">
        <v>5.8900000000000001E-2</v>
      </c>
      <c r="G867" s="35">
        <v>7.6200000000000004E-2</v>
      </c>
      <c r="H867" s="35">
        <v>3.9600000000000003E-2</v>
      </c>
      <c r="I867" s="35">
        <v>0.12470000000000001</v>
      </c>
      <c r="J867" s="35">
        <v>2.0400000000000001E-2</v>
      </c>
      <c r="K867" s="35">
        <v>3.1199999999999999E-2</v>
      </c>
      <c r="L867" s="35">
        <v>1.6199999999999999E-2</v>
      </c>
      <c r="M867" s="35">
        <v>2.53E-2</v>
      </c>
      <c r="N867" s="35">
        <v>0.14849999999999999</v>
      </c>
      <c r="O867" s="35">
        <v>2.2599999999999999E-2</v>
      </c>
      <c r="P867" s="35">
        <v>0</v>
      </c>
      <c r="Q867" s="35">
        <v>3.78E-2</v>
      </c>
      <c r="R867" s="35">
        <v>1.8100000000000002E-2</v>
      </c>
      <c r="S867" s="35">
        <v>4.1000000000000003E-3</v>
      </c>
      <c r="T867" s="35">
        <v>5.04E-2</v>
      </c>
      <c r="U867" s="35">
        <v>1.7500000000000002E-2</v>
      </c>
      <c r="V867" s="35">
        <v>3.6200000000000003E-2</v>
      </c>
      <c r="W867" s="35">
        <v>4.8500000000000001E-2</v>
      </c>
      <c r="X867" s="35">
        <v>6.1600000000000002E-2</v>
      </c>
      <c r="Y867" s="35">
        <v>2.5000000000000001E-3</v>
      </c>
      <c r="Z867" s="4">
        <v>0</v>
      </c>
      <c r="AA867" s="4">
        <v>6.9999999999999999E-4</v>
      </c>
      <c r="AB867" s="4">
        <v>0</v>
      </c>
      <c r="AC867" s="56"/>
      <c r="AD867" s="23"/>
    </row>
    <row r="868" spans="1:30" s="14" customFormat="1">
      <c r="A868" s="79"/>
      <c r="B868" s="27"/>
      <c r="C868" s="130"/>
      <c r="D868" s="5">
        <f t="shared" ref="D868" si="1392">$C867*D867</f>
        <v>444.60222299999992</v>
      </c>
      <c r="E868" s="5">
        <f t="shared" ref="E868" si="1393">$C867*E867</f>
        <v>3892.3151669999997</v>
      </c>
      <c r="F868" s="5">
        <f t="shared" ref="F868:O868" si="1394">$C867*F867</f>
        <v>1606.568769</v>
      </c>
      <c r="G868" s="5">
        <f t="shared" si="1394"/>
        <v>2078.4472019999998</v>
      </c>
      <c r="H868" s="5">
        <f t="shared" si="1394"/>
        <v>1080.1379160000001</v>
      </c>
      <c r="I868" s="5">
        <f t="shared" si="1394"/>
        <v>3401.3433869999999</v>
      </c>
      <c r="J868" s="5">
        <f t="shared" si="1394"/>
        <v>556.43468400000006</v>
      </c>
      <c r="K868" s="5">
        <f t="shared" si="1394"/>
        <v>851.01775199999997</v>
      </c>
      <c r="L868" s="5">
        <f t="shared" si="1394"/>
        <v>441.87460199999998</v>
      </c>
      <c r="M868" s="5">
        <f t="shared" si="1394"/>
        <v>690.08811300000002</v>
      </c>
      <c r="N868" s="5">
        <f t="shared" si="1394"/>
        <v>4050.5171849999997</v>
      </c>
      <c r="O868" s="5">
        <f t="shared" si="1394"/>
        <v>616.44234599999993</v>
      </c>
      <c r="P868" s="5">
        <f t="shared" ref="P868" si="1395">$C867*P867</f>
        <v>0</v>
      </c>
      <c r="Q868" s="5">
        <f t="shared" ref="Q868" si="1396">$C867*Q867</f>
        <v>1031.0407379999999</v>
      </c>
      <c r="R868" s="5">
        <f t="shared" ref="R868:AB868" si="1397">$C867*R867</f>
        <v>493.69940100000002</v>
      </c>
      <c r="S868" s="5">
        <f t="shared" si="1397"/>
        <v>111.83246100000001</v>
      </c>
      <c r="T868" s="5">
        <f t="shared" si="1397"/>
        <v>1374.720984</v>
      </c>
      <c r="U868" s="5">
        <f t="shared" si="1397"/>
        <v>477.33367500000003</v>
      </c>
      <c r="V868" s="5">
        <f t="shared" si="1397"/>
        <v>987.39880200000005</v>
      </c>
      <c r="W868" s="5">
        <f t="shared" si="1397"/>
        <v>1322.8961850000001</v>
      </c>
      <c r="X868" s="5">
        <f t="shared" si="1397"/>
        <v>1680.214536</v>
      </c>
      <c r="Y868" s="5">
        <f t="shared" si="1397"/>
        <v>68.190524999999994</v>
      </c>
      <c r="Z868" s="5">
        <f t="shared" si="1397"/>
        <v>0</v>
      </c>
      <c r="AA868" s="5">
        <f t="shared" si="1397"/>
        <v>19.093346999999998</v>
      </c>
      <c r="AB868" s="5">
        <f t="shared" si="1397"/>
        <v>0</v>
      </c>
      <c r="AC868" s="56"/>
      <c r="AD868" s="23"/>
    </row>
    <row r="869" spans="1:30" s="14" customFormat="1">
      <c r="A869" s="78" t="s">
        <v>440</v>
      </c>
      <c r="B869" s="26">
        <v>327314.5</v>
      </c>
      <c r="C869" s="130">
        <f t="shared" si="1349"/>
        <v>27276.21</v>
      </c>
      <c r="D869" s="4"/>
      <c r="E869" s="4">
        <v>0.99070000000000003</v>
      </c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>
        <v>9.2999999999999992E-3</v>
      </c>
      <c r="AB869" s="4"/>
      <c r="AC869" s="56"/>
      <c r="AD869" s="23"/>
    </row>
    <row r="870" spans="1:30" s="14" customFormat="1">
      <c r="A870" s="79"/>
      <c r="B870" s="9"/>
      <c r="C870" s="130"/>
      <c r="D870" s="5">
        <f t="shared" ref="D870" si="1398">$C869*D869</f>
        <v>0</v>
      </c>
      <c r="E870" s="5">
        <f t="shared" ref="E870" si="1399">$C869*E869</f>
        <v>27022.541247000001</v>
      </c>
      <c r="F870" s="5">
        <f t="shared" ref="F870:O870" si="1400">$C869*F869</f>
        <v>0</v>
      </c>
      <c r="G870" s="5">
        <f t="shared" si="1400"/>
        <v>0</v>
      </c>
      <c r="H870" s="5">
        <f t="shared" si="1400"/>
        <v>0</v>
      </c>
      <c r="I870" s="5">
        <f t="shared" si="1400"/>
        <v>0</v>
      </c>
      <c r="J870" s="5">
        <f t="shared" si="1400"/>
        <v>0</v>
      </c>
      <c r="K870" s="5">
        <f t="shared" si="1400"/>
        <v>0</v>
      </c>
      <c r="L870" s="5">
        <f t="shared" si="1400"/>
        <v>0</v>
      </c>
      <c r="M870" s="5">
        <f t="shared" si="1400"/>
        <v>0</v>
      </c>
      <c r="N870" s="5">
        <f t="shared" si="1400"/>
        <v>0</v>
      </c>
      <c r="O870" s="5">
        <f t="shared" si="1400"/>
        <v>0</v>
      </c>
      <c r="P870" s="5">
        <f t="shared" ref="P870" si="1401">$C869*P869</f>
        <v>0</v>
      </c>
      <c r="Q870" s="5">
        <f t="shared" ref="Q870" si="1402">$C869*Q869</f>
        <v>0</v>
      </c>
      <c r="R870" s="5">
        <f t="shared" ref="R870:AB870" si="1403">$C869*R869</f>
        <v>0</v>
      </c>
      <c r="S870" s="5">
        <f t="shared" si="1403"/>
        <v>0</v>
      </c>
      <c r="T870" s="5">
        <f t="shared" si="1403"/>
        <v>0</v>
      </c>
      <c r="U870" s="5">
        <f t="shared" si="1403"/>
        <v>0</v>
      </c>
      <c r="V870" s="5">
        <f t="shared" si="1403"/>
        <v>0</v>
      </c>
      <c r="W870" s="5">
        <f t="shared" si="1403"/>
        <v>0</v>
      </c>
      <c r="X870" s="5">
        <f t="shared" si="1403"/>
        <v>0</v>
      </c>
      <c r="Y870" s="5">
        <f t="shared" si="1403"/>
        <v>0</v>
      </c>
      <c r="Z870" s="5">
        <f t="shared" si="1403"/>
        <v>0</v>
      </c>
      <c r="AA870" s="5">
        <f t="shared" si="1403"/>
        <v>253.66875299999998</v>
      </c>
      <c r="AB870" s="5">
        <f t="shared" si="1403"/>
        <v>0</v>
      </c>
      <c r="AC870" s="56"/>
      <c r="AD870" s="23"/>
    </row>
    <row r="871" spans="1:30" s="14" customFormat="1">
      <c r="A871" s="84" t="s">
        <v>160</v>
      </c>
      <c r="B871" s="26">
        <v>1740626</v>
      </c>
      <c r="C871" s="130">
        <f>ROUND(B871/12,2)</f>
        <v>145052.17000000001</v>
      </c>
      <c r="D871" s="6"/>
      <c r="E871" s="17">
        <v>0.96009999999999995</v>
      </c>
      <c r="F871" s="17">
        <v>6.1999999999999998E-3</v>
      </c>
      <c r="G871" s="6"/>
      <c r="H871" s="6"/>
      <c r="I871" s="17">
        <v>1.9E-3</v>
      </c>
      <c r="J871" s="17">
        <v>4.4000000000000003E-3</v>
      </c>
      <c r="K871" s="6"/>
      <c r="L871" s="17">
        <v>1.2999999999999999E-3</v>
      </c>
      <c r="M871" s="6"/>
      <c r="N871" s="6"/>
      <c r="O871" s="6"/>
      <c r="P871" s="6"/>
      <c r="Q871" s="6"/>
      <c r="R871" s="6"/>
      <c r="S871" s="6"/>
      <c r="T871" s="6"/>
      <c r="U871" s="17">
        <v>2.6100000000000002E-2</v>
      </c>
      <c r="V871" s="6"/>
      <c r="W871" s="6"/>
      <c r="X871" s="6"/>
      <c r="Y871" s="6"/>
      <c r="Z871" s="6"/>
      <c r="AA871" s="6"/>
      <c r="AB871" s="6"/>
      <c r="AC871" s="56"/>
      <c r="AD871" s="23"/>
    </row>
    <row r="872" spans="1:30" s="14" customFormat="1">
      <c r="A872" s="84"/>
      <c r="B872" s="27"/>
      <c r="C872" s="130"/>
      <c r="D872" s="6">
        <f t="shared" ref="D872" si="1404">$C871*D871</f>
        <v>0</v>
      </c>
      <c r="E872" s="6">
        <f t="shared" ref="E872" si="1405">$C871*E871</f>
        <v>139264.58841699999</v>
      </c>
      <c r="F872" s="6">
        <f t="shared" ref="F872:O872" si="1406">$C871*F871</f>
        <v>899.32345400000008</v>
      </c>
      <c r="G872" s="6">
        <f t="shared" si="1406"/>
        <v>0</v>
      </c>
      <c r="H872" s="6">
        <f t="shared" si="1406"/>
        <v>0</v>
      </c>
      <c r="I872" s="6">
        <f t="shared" si="1406"/>
        <v>275.59912300000002</v>
      </c>
      <c r="J872" s="6">
        <f t="shared" si="1406"/>
        <v>638.22954800000014</v>
      </c>
      <c r="K872" s="6">
        <f t="shared" si="1406"/>
        <v>0</v>
      </c>
      <c r="L872" s="6">
        <f t="shared" si="1406"/>
        <v>188.56782100000001</v>
      </c>
      <c r="M872" s="6">
        <f t="shared" si="1406"/>
        <v>0</v>
      </c>
      <c r="N872" s="6">
        <f t="shared" si="1406"/>
        <v>0</v>
      </c>
      <c r="O872" s="6">
        <f t="shared" si="1406"/>
        <v>0</v>
      </c>
      <c r="P872" s="6">
        <f t="shared" ref="P872" si="1407">$C871*P871</f>
        <v>0</v>
      </c>
      <c r="Q872" s="6">
        <f t="shared" ref="Q872" si="1408">$C871*Q871</f>
        <v>0</v>
      </c>
      <c r="R872" s="6">
        <f t="shared" ref="R872:AB872" si="1409">$C871*R871</f>
        <v>0</v>
      </c>
      <c r="S872" s="6">
        <f t="shared" si="1409"/>
        <v>0</v>
      </c>
      <c r="T872" s="6">
        <f t="shared" si="1409"/>
        <v>0</v>
      </c>
      <c r="U872" s="6">
        <f t="shared" si="1409"/>
        <v>3785.8616370000004</v>
      </c>
      <c r="V872" s="6">
        <f t="shared" si="1409"/>
        <v>0</v>
      </c>
      <c r="W872" s="6">
        <f t="shared" si="1409"/>
        <v>0</v>
      </c>
      <c r="X872" s="6">
        <f t="shared" si="1409"/>
        <v>0</v>
      </c>
      <c r="Y872" s="6">
        <f t="shared" si="1409"/>
        <v>0</v>
      </c>
      <c r="Z872" s="6">
        <f t="shared" si="1409"/>
        <v>0</v>
      </c>
      <c r="AA872" s="6">
        <f t="shared" si="1409"/>
        <v>0</v>
      </c>
      <c r="AB872" s="6">
        <f t="shared" si="1409"/>
        <v>0</v>
      </c>
      <c r="AC872" s="56"/>
      <c r="AD872" s="23"/>
    </row>
    <row r="873" spans="1:30" s="14" customFormat="1">
      <c r="A873" s="85" t="s">
        <v>161</v>
      </c>
      <c r="B873" s="26">
        <v>270883</v>
      </c>
      <c r="C873" s="130">
        <f t="shared" si="1349"/>
        <v>22573.58</v>
      </c>
      <c r="D873" s="30"/>
      <c r="E873" s="7">
        <v>0.96009999999999995</v>
      </c>
      <c r="F873" s="7">
        <v>6.1999999999999998E-3</v>
      </c>
      <c r="G873" s="30"/>
      <c r="H873" s="30"/>
      <c r="I873" s="7">
        <v>1.9E-3</v>
      </c>
      <c r="J873" s="7">
        <v>4.4000000000000003E-3</v>
      </c>
      <c r="K873" s="30"/>
      <c r="L873" s="7">
        <v>1.2999999999999999E-3</v>
      </c>
      <c r="M873" s="30"/>
      <c r="N873" s="30"/>
      <c r="O873" s="30"/>
      <c r="P873" s="30"/>
      <c r="Q873" s="30"/>
      <c r="R873" s="30"/>
      <c r="S873" s="30"/>
      <c r="T873" s="30"/>
      <c r="U873" s="7">
        <v>2.6100000000000002E-2</v>
      </c>
      <c r="V873" s="30"/>
      <c r="W873" s="30"/>
      <c r="X873" s="30"/>
      <c r="Y873" s="30"/>
      <c r="Z873" s="30"/>
      <c r="AA873" s="30"/>
      <c r="AB873" s="30"/>
      <c r="AC873" s="56"/>
      <c r="AD873" s="23"/>
    </row>
    <row r="874" spans="1:30" s="14" customFormat="1">
      <c r="A874" s="84"/>
      <c r="B874" s="27"/>
      <c r="C874" s="130"/>
      <c r="D874" s="6">
        <f t="shared" ref="D874" si="1410">$C873*D873</f>
        <v>0</v>
      </c>
      <c r="E874" s="6">
        <f t="shared" ref="E874" si="1411">$C873*E873</f>
        <v>21672.894157999999</v>
      </c>
      <c r="F874" s="6">
        <f t="shared" ref="F874:O874" si="1412">$C873*F873</f>
        <v>139.95619600000001</v>
      </c>
      <c r="G874" s="6">
        <f t="shared" si="1412"/>
        <v>0</v>
      </c>
      <c r="H874" s="6">
        <f t="shared" si="1412"/>
        <v>0</v>
      </c>
      <c r="I874" s="6">
        <f t="shared" si="1412"/>
        <v>42.889802000000003</v>
      </c>
      <c r="J874" s="6">
        <f t="shared" si="1412"/>
        <v>99.323752000000013</v>
      </c>
      <c r="K874" s="6">
        <f t="shared" si="1412"/>
        <v>0</v>
      </c>
      <c r="L874" s="6">
        <f t="shared" si="1412"/>
        <v>29.345654</v>
      </c>
      <c r="M874" s="6">
        <f t="shared" si="1412"/>
        <v>0</v>
      </c>
      <c r="N874" s="6">
        <f t="shared" si="1412"/>
        <v>0</v>
      </c>
      <c r="O874" s="6">
        <f t="shared" si="1412"/>
        <v>0</v>
      </c>
      <c r="P874" s="6">
        <f t="shared" ref="P874" si="1413">$C873*P873</f>
        <v>0</v>
      </c>
      <c r="Q874" s="6">
        <f t="shared" ref="Q874" si="1414">$C873*Q873</f>
        <v>0</v>
      </c>
      <c r="R874" s="6">
        <f t="shared" ref="R874:AB874" si="1415">$C873*R873</f>
        <v>0</v>
      </c>
      <c r="S874" s="6">
        <f t="shared" si="1415"/>
        <v>0</v>
      </c>
      <c r="T874" s="6">
        <f t="shared" si="1415"/>
        <v>0</v>
      </c>
      <c r="U874" s="6">
        <f t="shared" si="1415"/>
        <v>589.1704380000001</v>
      </c>
      <c r="V874" s="6">
        <f t="shared" si="1415"/>
        <v>0</v>
      </c>
      <c r="W874" s="6">
        <f t="shared" si="1415"/>
        <v>0</v>
      </c>
      <c r="X874" s="6">
        <f t="shared" si="1415"/>
        <v>0</v>
      </c>
      <c r="Y874" s="6">
        <f t="shared" si="1415"/>
        <v>0</v>
      </c>
      <c r="Z874" s="6">
        <f t="shared" si="1415"/>
        <v>0</v>
      </c>
      <c r="AA874" s="6">
        <f t="shared" si="1415"/>
        <v>0</v>
      </c>
      <c r="AB874" s="6">
        <f t="shared" si="1415"/>
        <v>0</v>
      </c>
      <c r="AC874" s="56"/>
      <c r="AD874" s="23"/>
    </row>
    <row r="875" spans="1:30" s="14" customFormat="1">
      <c r="A875" s="78" t="s">
        <v>162</v>
      </c>
      <c r="B875" s="26">
        <v>1019183.5</v>
      </c>
      <c r="C875" s="130">
        <f t="shared" si="1349"/>
        <v>84931.96</v>
      </c>
      <c r="D875" s="35">
        <v>1.6299999999999999E-2</v>
      </c>
      <c r="E875" s="35">
        <v>0.14269999999999999</v>
      </c>
      <c r="F875" s="35">
        <v>5.8900000000000001E-2</v>
      </c>
      <c r="G875" s="35">
        <v>7.6200000000000004E-2</v>
      </c>
      <c r="H875" s="35">
        <v>3.9600000000000003E-2</v>
      </c>
      <c r="I875" s="35">
        <v>0.12470000000000001</v>
      </c>
      <c r="J875" s="35">
        <v>2.0400000000000001E-2</v>
      </c>
      <c r="K875" s="35">
        <v>3.1199999999999999E-2</v>
      </c>
      <c r="L875" s="35">
        <v>1.6199999999999999E-2</v>
      </c>
      <c r="M875" s="35">
        <v>2.53E-2</v>
      </c>
      <c r="N875" s="35">
        <v>0.14849999999999999</v>
      </c>
      <c r="O875" s="35">
        <v>2.2599999999999999E-2</v>
      </c>
      <c r="P875" s="35">
        <v>0</v>
      </c>
      <c r="Q875" s="35">
        <v>3.78E-2</v>
      </c>
      <c r="R875" s="35">
        <v>1.8100000000000002E-2</v>
      </c>
      <c r="S875" s="35">
        <v>4.1000000000000003E-3</v>
      </c>
      <c r="T875" s="35">
        <v>5.04E-2</v>
      </c>
      <c r="U875" s="35">
        <v>1.7500000000000002E-2</v>
      </c>
      <c r="V875" s="35">
        <v>3.6200000000000003E-2</v>
      </c>
      <c r="W875" s="35">
        <v>4.8500000000000001E-2</v>
      </c>
      <c r="X875" s="35">
        <v>6.1600000000000002E-2</v>
      </c>
      <c r="Y875" s="35">
        <v>2.5000000000000001E-3</v>
      </c>
      <c r="Z875" s="4">
        <v>0</v>
      </c>
      <c r="AA875" s="4">
        <v>6.9999999999999999E-4</v>
      </c>
      <c r="AB875" s="4">
        <v>0</v>
      </c>
      <c r="AC875" s="56"/>
      <c r="AD875" s="23"/>
    </row>
    <row r="876" spans="1:30" s="14" customFormat="1">
      <c r="A876" s="79"/>
      <c r="B876" s="27"/>
      <c r="C876" s="130"/>
      <c r="D876" s="5">
        <f t="shared" ref="D876" si="1416">$C875*D875</f>
        <v>1384.390948</v>
      </c>
      <c r="E876" s="5">
        <f t="shared" ref="E876" si="1417">$C875*E875</f>
        <v>12119.790692</v>
      </c>
      <c r="F876" s="5">
        <f t="shared" ref="F876:O876" si="1418">$C875*F875</f>
        <v>5002.4924440000004</v>
      </c>
      <c r="G876" s="5">
        <f t="shared" si="1418"/>
        <v>6471.8153520000005</v>
      </c>
      <c r="H876" s="5">
        <f t="shared" si="1418"/>
        <v>3363.3056160000006</v>
      </c>
      <c r="I876" s="5">
        <f t="shared" si="1418"/>
        <v>10591.015412000001</v>
      </c>
      <c r="J876" s="5">
        <f t="shared" si="1418"/>
        <v>1732.6119840000003</v>
      </c>
      <c r="K876" s="5">
        <f t="shared" si="1418"/>
        <v>2649.877152</v>
      </c>
      <c r="L876" s="5">
        <f t="shared" si="1418"/>
        <v>1375.8977520000001</v>
      </c>
      <c r="M876" s="5">
        <f t="shared" si="1418"/>
        <v>2148.7785880000001</v>
      </c>
      <c r="N876" s="5">
        <f t="shared" si="1418"/>
        <v>12612.396060000001</v>
      </c>
      <c r="O876" s="5">
        <f t="shared" si="1418"/>
        <v>1919.4622959999999</v>
      </c>
      <c r="P876" s="5">
        <f t="shared" ref="P876" si="1419">$C875*P875</f>
        <v>0</v>
      </c>
      <c r="Q876" s="5">
        <f t="shared" ref="Q876" si="1420">$C875*Q875</f>
        <v>3210.4280880000001</v>
      </c>
      <c r="R876" s="5">
        <f t="shared" ref="R876:AB876" si="1421">$C875*R875</f>
        <v>1537.2684760000002</v>
      </c>
      <c r="S876" s="5">
        <f t="shared" si="1421"/>
        <v>348.22103600000008</v>
      </c>
      <c r="T876" s="5">
        <f t="shared" si="1421"/>
        <v>4280.5707840000005</v>
      </c>
      <c r="U876" s="5">
        <f t="shared" si="1421"/>
        <v>1486.3093000000003</v>
      </c>
      <c r="V876" s="5">
        <f t="shared" si="1421"/>
        <v>3074.5369520000004</v>
      </c>
      <c r="W876" s="5">
        <f t="shared" si="1421"/>
        <v>4119.2000600000001</v>
      </c>
      <c r="X876" s="5">
        <f t="shared" si="1421"/>
        <v>5231.8087360000009</v>
      </c>
      <c r="Y876" s="5">
        <f t="shared" si="1421"/>
        <v>212.32990000000001</v>
      </c>
      <c r="Z876" s="5">
        <f t="shared" si="1421"/>
        <v>0</v>
      </c>
      <c r="AA876" s="5">
        <f t="shared" si="1421"/>
        <v>59.452372000000004</v>
      </c>
      <c r="AB876" s="5">
        <f t="shared" si="1421"/>
        <v>0</v>
      </c>
      <c r="AC876" s="56"/>
      <c r="AD876" s="23"/>
    </row>
    <row r="877" spans="1:30" s="14" customFormat="1">
      <c r="A877" s="78" t="s">
        <v>441</v>
      </c>
      <c r="B877" s="26">
        <v>1019183.5</v>
      </c>
      <c r="C877" s="130">
        <f t="shared" si="1349"/>
        <v>84931.96</v>
      </c>
      <c r="D877" s="4"/>
      <c r="E877" s="4">
        <v>0.99070000000000003</v>
      </c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>
        <v>9.2999999999999992E-3</v>
      </c>
      <c r="AB877" s="4"/>
      <c r="AC877" s="56"/>
      <c r="AD877" s="23"/>
    </row>
    <row r="878" spans="1:30" s="14" customFormat="1">
      <c r="A878" s="79"/>
      <c r="B878" s="9"/>
      <c r="C878" s="130"/>
      <c r="D878" s="5">
        <f t="shared" ref="D878" si="1422">$C877*D877</f>
        <v>0</v>
      </c>
      <c r="E878" s="5">
        <f t="shared" ref="E878" si="1423">$C877*E877</f>
        <v>84142.092772000004</v>
      </c>
      <c r="F878" s="5">
        <f t="shared" ref="F878:O878" si="1424">$C877*F877</f>
        <v>0</v>
      </c>
      <c r="G878" s="5">
        <f t="shared" si="1424"/>
        <v>0</v>
      </c>
      <c r="H878" s="5">
        <f t="shared" si="1424"/>
        <v>0</v>
      </c>
      <c r="I878" s="5">
        <f t="shared" si="1424"/>
        <v>0</v>
      </c>
      <c r="J878" s="5">
        <f t="shared" si="1424"/>
        <v>0</v>
      </c>
      <c r="K878" s="5">
        <f t="shared" si="1424"/>
        <v>0</v>
      </c>
      <c r="L878" s="5">
        <f t="shared" si="1424"/>
        <v>0</v>
      </c>
      <c r="M878" s="5">
        <f t="shared" si="1424"/>
        <v>0</v>
      </c>
      <c r="N878" s="5">
        <f t="shared" si="1424"/>
        <v>0</v>
      </c>
      <c r="O878" s="5">
        <f t="shared" si="1424"/>
        <v>0</v>
      </c>
      <c r="P878" s="5">
        <f t="shared" ref="P878" si="1425">$C877*P877</f>
        <v>0</v>
      </c>
      <c r="Q878" s="5">
        <f t="shared" ref="Q878" si="1426">$C877*Q877</f>
        <v>0</v>
      </c>
      <c r="R878" s="5">
        <f t="shared" ref="R878:AB878" si="1427">$C877*R877</f>
        <v>0</v>
      </c>
      <c r="S878" s="5">
        <f t="shared" si="1427"/>
        <v>0</v>
      </c>
      <c r="T878" s="5">
        <f t="shared" si="1427"/>
        <v>0</v>
      </c>
      <c r="U878" s="5">
        <f t="shared" si="1427"/>
        <v>0</v>
      </c>
      <c r="V878" s="5">
        <f t="shared" si="1427"/>
        <v>0</v>
      </c>
      <c r="W878" s="5">
        <f t="shared" si="1427"/>
        <v>0</v>
      </c>
      <c r="X878" s="5">
        <f t="shared" si="1427"/>
        <v>0</v>
      </c>
      <c r="Y878" s="5">
        <f t="shared" si="1427"/>
        <v>0</v>
      </c>
      <c r="Z878" s="5">
        <f t="shared" si="1427"/>
        <v>0</v>
      </c>
      <c r="AA878" s="5">
        <f t="shared" si="1427"/>
        <v>789.86722799999995</v>
      </c>
      <c r="AB878" s="5">
        <f t="shared" si="1427"/>
        <v>0</v>
      </c>
      <c r="AC878" s="56"/>
      <c r="AD878" s="23"/>
    </row>
    <row r="879" spans="1:30" s="14" customFormat="1">
      <c r="A879" s="85" t="s">
        <v>163</v>
      </c>
      <c r="B879" s="26">
        <v>238486</v>
      </c>
      <c r="C879" s="130">
        <f t="shared" si="1349"/>
        <v>19873.830000000002</v>
      </c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7">
        <v>0.753</v>
      </c>
      <c r="O879" s="30"/>
      <c r="P879" s="30"/>
      <c r="Q879" s="30"/>
      <c r="R879" s="30"/>
      <c r="S879" s="30"/>
      <c r="T879" s="30"/>
      <c r="U879" s="30"/>
      <c r="V879" s="7">
        <v>0.247</v>
      </c>
      <c r="W879" s="30"/>
      <c r="X879" s="30"/>
      <c r="Y879" s="30"/>
      <c r="Z879" s="30"/>
      <c r="AA879" s="30"/>
      <c r="AB879" s="30"/>
      <c r="AC879" s="56"/>
      <c r="AD879" s="23"/>
    </row>
    <row r="880" spans="1:30" s="14" customFormat="1">
      <c r="A880" s="84"/>
      <c r="B880" s="27"/>
      <c r="C880" s="130"/>
      <c r="D880" s="6">
        <f t="shared" ref="D880" si="1428">$C879*D879</f>
        <v>0</v>
      </c>
      <c r="E880" s="6">
        <f t="shared" ref="E880" si="1429">$C879*E879</f>
        <v>0</v>
      </c>
      <c r="F880" s="6">
        <f t="shared" ref="F880:O880" si="1430">$C879*F879</f>
        <v>0</v>
      </c>
      <c r="G880" s="6">
        <f t="shared" si="1430"/>
        <v>0</v>
      </c>
      <c r="H880" s="6">
        <f t="shared" si="1430"/>
        <v>0</v>
      </c>
      <c r="I880" s="6">
        <f t="shared" si="1430"/>
        <v>0</v>
      </c>
      <c r="J880" s="6">
        <f t="shared" si="1430"/>
        <v>0</v>
      </c>
      <c r="K880" s="6">
        <f t="shared" si="1430"/>
        <v>0</v>
      </c>
      <c r="L880" s="6">
        <f t="shared" si="1430"/>
        <v>0</v>
      </c>
      <c r="M880" s="6">
        <f t="shared" si="1430"/>
        <v>0</v>
      </c>
      <c r="N880" s="6">
        <f t="shared" si="1430"/>
        <v>14964.993990000001</v>
      </c>
      <c r="O880" s="6">
        <f t="shared" si="1430"/>
        <v>0</v>
      </c>
      <c r="P880" s="6">
        <f t="shared" ref="P880" si="1431">$C879*P879</f>
        <v>0</v>
      </c>
      <c r="Q880" s="6">
        <f t="shared" ref="Q880" si="1432">$C879*Q879</f>
        <v>0</v>
      </c>
      <c r="R880" s="6">
        <f t="shared" ref="R880:AB880" si="1433">$C879*R879</f>
        <v>0</v>
      </c>
      <c r="S880" s="6">
        <f t="shared" si="1433"/>
        <v>0</v>
      </c>
      <c r="T880" s="6">
        <f t="shared" si="1433"/>
        <v>0</v>
      </c>
      <c r="U880" s="6">
        <f t="shared" si="1433"/>
        <v>0</v>
      </c>
      <c r="V880" s="6">
        <f t="shared" si="1433"/>
        <v>4908.83601</v>
      </c>
      <c r="W880" s="6">
        <f t="shared" si="1433"/>
        <v>0</v>
      </c>
      <c r="X880" s="6">
        <f t="shared" si="1433"/>
        <v>0</v>
      </c>
      <c r="Y880" s="6">
        <f t="shared" si="1433"/>
        <v>0</v>
      </c>
      <c r="Z880" s="6">
        <f t="shared" si="1433"/>
        <v>0</v>
      </c>
      <c r="AA880" s="6">
        <f t="shared" si="1433"/>
        <v>0</v>
      </c>
      <c r="AB880" s="6">
        <f t="shared" si="1433"/>
        <v>0</v>
      </c>
      <c r="AC880" s="56"/>
      <c r="AD880" s="23"/>
    </row>
    <row r="881" spans="1:30" s="14" customFormat="1">
      <c r="A881" s="85" t="s">
        <v>165</v>
      </c>
      <c r="B881" s="26">
        <v>283797</v>
      </c>
      <c r="C881" s="130">
        <f t="shared" si="1349"/>
        <v>23649.75</v>
      </c>
      <c r="D881" s="30"/>
      <c r="E881" s="7">
        <v>0.87219999999999998</v>
      </c>
      <c r="F881" s="7">
        <v>8.2199999999999995E-2</v>
      </c>
      <c r="G881" s="7">
        <v>3.5200000000000002E-2</v>
      </c>
      <c r="H881" s="30"/>
      <c r="I881" s="30"/>
      <c r="J881" s="30"/>
      <c r="K881" s="30"/>
      <c r="L881" s="7">
        <v>1.04E-2</v>
      </c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56"/>
      <c r="AD881" s="23"/>
    </row>
    <row r="882" spans="1:30" s="14" customFormat="1">
      <c r="A882" s="84"/>
      <c r="B882" s="27"/>
      <c r="C882" s="130"/>
      <c r="D882" s="6">
        <f t="shared" ref="D882" si="1434">$C881*D881</f>
        <v>0</v>
      </c>
      <c r="E882" s="6">
        <f t="shared" ref="E882" si="1435">$C881*E881</f>
        <v>20627.311949999999</v>
      </c>
      <c r="F882" s="6">
        <f t="shared" ref="F882:O882" si="1436">$C881*F881</f>
        <v>1944.0094499999998</v>
      </c>
      <c r="G882" s="6">
        <f t="shared" si="1436"/>
        <v>832.47120000000007</v>
      </c>
      <c r="H882" s="6">
        <f t="shared" si="1436"/>
        <v>0</v>
      </c>
      <c r="I882" s="6">
        <f t="shared" si="1436"/>
        <v>0</v>
      </c>
      <c r="J882" s="6">
        <f t="shared" si="1436"/>
        <v>0</v>
      </c>
      <c r="K882" s="6">
        <f t="shared" si="1436"/>
        <v>0</v>
      </c>
      <c r="L882" s="6">
        <f t="shared" si="1436"/>
        <v>245.95739999999998</v>
      </c>
      <c r="M882" s="6">
        <f t="shared" si="1436"/>
        <v>0</v>
      </c>
      <c r="N882" s="6">
        <f t="shared" si="1436"/>
        <v>0</v>
      </c>
      <c r="O882" s="6">
        <f t="shared" si="1436"/>
        <v>0</v>
      </c>
      <c r="P882" s="6">
        <f t="shared" ref="P882" si="1437">$C881*P881</f>
        <v>0</v>
      </c>
      <c r="Q882" s="6">
        <f t="shared" ref="Q882" si="1438">$C881*Q881</f>
        <v>0</v>
      </c>
      <c r="R882" s="6">
        <f t="shared" ref="R882:AB882" si="1439">$C881*R881</f>
        <v>0</v>
      </c>
      <c r="S882" s="6">
        <f t="shared" si="1439"/>
        <v>0</v>
      </c>
      <c r="T882" s="6">
        <f t="shared" si="1439"/>
        <v>0</v>
      </c>
      <c r="U882" s="6">
        <f t="shared" si="1439"/>
        <v>0</v>
      </c>
      <c r="V882" s="6">
        <f t="shared" si="1439"/>
        <v>0</v>
      </c>
      <c r="W882" s="6">
        <f t="shared" si="1439"/>
        <v>0</v>
      </c>
      <c r="X882" s="6">
        <f t="shared" si="1439"/>
        <v>0</v>
      </c>
      <c r="Y882" s="6">
        <f t="shared" si="1439"/>
        <v>0</v>
      </c>
      <c r="Z882" s="6">
        <f t="shared" si="1439"/>
        <v>0</v>
      </c>
      <c r="AA882" s="6">
        <f t="shared" si="1439"/>
        <v>0</v>
      </c>
      <c r="AB882" s="6">
        <f t="shared" si="1439"/>
        <v>0</v>
      </c>
      <c r="AC882" s="56"/>
      <c r="AD882" s="23"/>
    </row>
    <row r="883" spans="1:30" s="14" customFormat="1">
      <c r="A883" s="85" t="s">
        <v>166</v>
      </c>
      <c r="B883" s="26">
        <v>666824</v>
      </c>
      <c r="C883" s="130">
        <f t="shared" si="1349"/>
        <v>55568.67</v>
      </c>
      <c r="D883" s="30"/>
      <c r="E883" s="7">
        <v>0.92490000000000006</v>
      </c>
      <c r="F883" s="30"/>
      <c r="G883" s="30"/>
      <c r="H883" s="30"/>
      <c r="I883" s="30"/>
      <c r="J883" s="7">
        <v>7.51E-2</v>
      </c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56"/>
      <c r="AD883" s="23"/>
    </row>
    <row r="884" spans="1:30" s="14" customFormat="1">
      <c r="A884" s="84"/>
      <c r="B884" s="27"/>
      <c r="C884" s="130"/>
      <c r="D884" s="6">
        <f t="shared" ref="D884" si="1440">$C883*D883</f>
        <v>0</v>
      </c>
      <c r="E884" s="6">
        <f t="shared" ref="E884" si="1441">$C883*E883</f>
        <v>51395.462883</v>
      </c>
      <c r="F884" s="6">
        <f t="shared" ref="F884:O884" si="1442">$C883*F883</f>
        <v>0</v>
      </c>
      <c r="G884" s="6">
        <f t="shared" si="1442"/>
        <v>0</v>
      </c>
      <c r="H884" s="6">
        <f t="shared" si="1442"/>
        <v>0</v>
      </c>
      <c r="I884" s="6">
        <f t="shared" si="1442"/>
        <v>0</v>
      </c>
      <c r="J884" s="6">
        <f t="shared" si="1442"/>
        <v>4173.2071169999999</v>
      </c>
      <c r="K884" s="6">
        <f t="shared" si="1442"/>
        <v>0</v>
      </c>
      <c r="L884" s="6">
        <f t="shared" si="1442"/>
        <v>0</v>
      </c>
      <c r="M884" s="6">
        <f t="shared" si="1442"/>
        <v>0</v>
      </c>
      <c r="N884" s="6">
        <f t="shared" si="1442"/>
        <v>0</v>
      </c>
      <c r="O884" s="6">
        <f t="shared" si="1442"/>
        <v>0</v>
      </c>
      <c r="P884" s="6">
        <f t="shared" ref="P884" si="1443">$C883*P883</f>
        <v>0</v>
      </c>
      <c r="Q884" s="6">
        <f t="shared" ref="Q884" si="1444">$C883*Q883</f>
        <v>0</v>
      </c>
      <c r="R884" s="6">
        <f t="shared" ref="R884:AB884" si="1445">$C883*R883</f>
        <v>0</v>
      </c>
      <c r="S884" s="6">
        <f t="shared" si="1445"/>
        <v>0</v>
      </c>
      <c r="T884" s="6">
        <f t="shared" si="1445"/>
        <v>0</v>
      </c>
      <c r="U884" s="6">
        <f t="shared" si="1445"/>
        <v>0</v>
      </c>
      <c r="V884" s="6">
        <f t="shared" si="1445"/>
        <v>0</v>
      </c>
      <c r="W884" s="6">
        <f t="shared" si="1445"/>
        <v>0</v>
      </c>
      <c r="X884" s="6">
        <f t="shared" si="1445"/>
        <v>0</v>
      </c>
      <c r="Y884" s="6">
        <f t="shared" si="1445"/>
        <v>0</v>
      </c>
      <c r="Z884" s="6">
        <f t="shared" si="1445"/>
        <v>0</v>
      </c>
      <c r="AA884" s="6">
        <f t="shared" si="1445"/>
        <v>0</v>
      </c>
      <c r="AB884" s="6">
        <f t="shared" si="1445"/>
        <v>0</v>
      </c>
      <c r="AC884" s="56"/>
      <c r="AD884" s="23"/>
    </row>
    <row r="885" spans="1:30" s="14" customFormat="1">
      <c r="A885" s="85" t="s">
        <v>167</v>
      </c>
      <c r="B885" s="26">
        <v>518668</v>
      </c>
      <c r="C885" s="130">
        <f t="shared" si="1349"/>
        <v>43222.33</v>
      </c>
      <c r="D885" s="30"/>
      <c r="E885" s="7">
        <v>0.96009999999999995</v>
      </c>
      <c r="F885" s="7">
        <v>6.1999999999999998E-3</v>
      </c>
      <c r="G885" s="30"/>
      <c r="H885" s="30"/>
      <c r="I885" s="7">
        <v>1.9E-3</v>
      </c>
      <c r="J885" s="7">
        <v>4.4000000000000003E-3</v>
      </c>
      <c r="K885" s="30"/>
      <c r="L885" s="7">
        <v>1.2999999999999999E-3</v>
      </c>
      <c r="M885" s="30"/>
      <c r="N885" s="30"/>
      <c r="O885" s="30"/>
      <c r="P885" s="30"/>
      <c r="Q885" s="30"/>
      <c r="R885" s="30"/>
      <c r="S885" s="30"/>
      <c r="T885" s="30"/>
      <c r="U885" s="7">
        <v>2.6100000000000002E-2</v>
      </c>
      <c r="V885" s="30"/>
      <c r="W885" s="30"/>
      <c r="X885" s="30"/>
      <c r="Y885" s="30"/>
      <c r="Z885" s="30"/>
      <c r="AA885" s="30"/>
      <c r="AB885" s="30"/>
      <c r="AC885" s="56"/>
      <c r="AD885" s="23"/>
    </row>
    <row r="886" spans="1:30" s="14" customFormat="1">
      <c r="A886" s="84"/>
      <c r="B886" s="27"/>
      <c r="C886" s="130"/>
      <c r="D886" s="6">
        <f t="shared" ref="D886" si="1446">$C885*D885</f>
        <v>0</v>
      </c>
      <c r="E886" s="6">
        <f t="shared" ref="E886" si="1447">$C885*E885</f>
        <v>41497.759033000002</v>
      </c>
      <c r="F886" s="6">
        <f t="shared" ref="F886:O886" si="1448">$C885*F885</f>
        <v>267.97844600000002</v>
      </c>
      <c r="G886" s="6">
        <f t="shared" si="1448"/>
        <v>0</v>
      </c>
      <c r="H886" s="6">
        <f t="shared" si="1448"/>
        <v>0</v>
      </c>
      <c r="I886" s="6">
        <f t="shared" si="1448"/>
        <v>82.122427000000002</v>
      </c>
      <c r="J886" s="6">
        <f t="shared" si="1448"/>
        <v>190.17825200000001</v>
      </c>
      <c r="K886" s="6">
        <f t="shared" si="1448"/>
        <v>0</v>
      </c>
      <c r="L886" s="6">
        <f t="shared" si="1448"/>
        <v>56.189028999999998</v>
      </c>
      <c r="M886" s="6">
        <f t="shared" si="1448"/>
        <v>0</v>
      </c>
      <c r="N886" s="6">
        <f t="shared" si="1448"/>
        <v>0</v>
      </c>
      <c r="O886" s="6">
        <f t="shared" si="1448"/>
        <v>0</v>
      </c>
      <c r="P886" s="6">
        <f t="shared" ref="P886" si="1449">$C885*P885</f>
        <v>0</v>
      </c>
      <c r="Q886" s="6">
        <f t="shared" ref="Q886" si="1450">$C885*Q885</f>
        <v>0</v>
      </c>
      <c r="R886" s="6">
        <f t="shared" ref="R886:AB886" si="1451">$C885*R885</f>
        <v>0</v>
      </c>
      <c r="S886" s="6">
        <f t="shared" si="1451"/>
        <v>0</v>
      </c>
      <c r="T886" s="6">
        <f t="shared" si="1451"/>
        <v>0</v>
      </c>
      <c r="U886" s="6">
        <f t="shared" si="1451"/>
        <v>1128.1028130000002</v>
      </c>
      <c r="V886" s="6">
        <f t="shared" si="1451"/>
        <v>0</v>
      </c>
      <c r="W886" s="6">
        <f t="shared" si="1451"/>
        <v>0</v>
      </c>
      <c r="X886" s="6">
        <f t="shared" si="1451"/>
        <v>0</v>
      </c>
      <c r="Y886" s="6">
        <f t="shared" si="1451"/>
        <v>0</v>
      </c>
      <c r="Z886" s="6">
        <f t="shared" si="1451"/>
        <v>0</v>
      </c>
      <c r="AA886" s="6">
        <f t="shared" si="1451"/>
        <v>0</v>
      </c>
      <c r="AB886" s="6">
        <f t="shared" si="1451"/>
        <v>0</v>
      </c>
      <c r="AC886" s="56"/>
      <c r="AD886" s="23"/>
    </row>
    <row r="887" spans="1:30" s="14" customFormat="1">
      <c r="A887" s="85" t="s">
        <v>168</v>
      </c>
      <c r="B887" s="26">
        <v>826363</v>
      </c>
      <c r="C887" s="130">
        <f t="shared" si="1349"/>
        <v>68863.58</v>
      </c>
      <c r="D887" s="30"/>
      <c r="E887" s="7">
        <v>0.68159999999999998</v>
      </c>
      <c r="F887" s="30"/>
      <c r="G887" s="7">
        <v>0.25269999999999998</v>
      </c>
      <c r="H887" s="30"/>
      <c r="I887" s="30"/>
      <c r="J887" s="7">
        <v>3.8800000000000001E-2</v>
      </c>
      <c r="K887" s="7">
        <v>1.0999999999999999E-2</v>
      </c>
      <c r="L887" s="30"/>
      <c r="M887" s="30"/>
      <c r="N887" s="30"/>
      <c r="O887" s="30"/>
      <c r="P887" s="30"/>
      <c r="Q887" s="30"/>
      <c r="R887" s="30"/>
      <c r="S887" s="30"/>
      <c r="T887" s="30"/>
      <c r="U887" s="7">
        <v>1.5900000000000001E-2</v>
      </c>
      <c r="V887" s="30"/>
      <c r="W887" s="30"/>
      <c r="X887" s="30"/>
      <c r="Y887" s="30"/>
      <c r="Z887" s="30"/>
      <c r="AA887" s="30"/>
      <c r="AB887" s="30"/>
      <c r="AC887" s="56"/>
      <c r="AD887" s="23"/>
    </row>
    <row r="888" spans="1:30" s="14" customFormat="1">
      <c r="A888" s="84"/>
      <c r="B888" s="27"/>
      <c r="C888" s="130"/>
      <c r="D888" s="6">
        <f t="shared" ref="D888" si="1452">$C887*D887</f>
        <v>0</v>
      </c>
      <c r="E888" s="6">
        <f t="shared" ref="E888" si="1453">$C887*E887</f>
        <v>46937.416127999997</v>
      </c>
      <c r="F888" s="6">
        <f t="shared" ref="F888:O888" si="1454">$C887*F887</f>
        <v>0</v>
      </c>
      <c r="G888" s="6">
        <f t="shared" si="1454"/>
        <v>17401.826666000001</v>
      </c>
      <c r="H888" s="6">
        <f t="shared" si="1454"/>
        <v>0</v>
      </c>
      <c r="I888" s="6">
        <f t="shared" si="1454"/>
        <v>0</v>
      </c>
      <c r="J888" s="6">
        <f t="shared" si="1454"/>
        <v>2671.9069039999999</v>
      </c>
      <c r="K888" s="6">
        <f t="shared" si="1454"/>
        <v>757.49937999999997</v>
      </c>
      <c r="L888" s="6">
        <f t="shared" si="1454"/>
        <v>0</v>
      </c>
      <c r="M888" s="6">
        <f t="shared" si="1454"/>
        <v>0</v>
      </c>
      <c r="N888" s="6">
        <f t="shared" si="1454"/>
        <v>0</v>
      </c>
      <c r="O888" s="6">
        <f t="shared" si="1454"/>
        <v>0</v>
      </c>
      <c r="P888" s="6">
        <f t="shared" ref="P888" si="1455">$C887*P887</f>
        <v>0</v>
      </c>
      <c r="Q888" s="6">
        <f t="shared" ref="Q888" si="1456">$C887*Q887</f>
        <v>0</v>
      </c>
      <c r="R888" s="6">
        <f t="shared" ref="R888:AB888" si="1457">$C887*R887</f>
        <v>0</v>
      </c>
      <c r="S888" s="6">
        <f t="shared" si="1457"/>
        <v>0</v>
      </c>
      <c r="T888" s="6">
        <f t="shared" si="1457"/>
        <v>0</v>
      </c>
      <c r="U888" s="6">
        <f t="shared" si="1457"/>
        <v>1094.930922</v>
      </c>
      <c r="V888" s="6">
        <f t="shared" si="1457"/>
        <v>0</v>
      </c>
      <c r="W888" s="6">
        <f t="shared" si="1457"/>
        <v>0</v>
      </c>
      <c r="X888" s="6">
        <f t="shared" si="1457"/>
        <v>0</v>
      </c>
      <c r="Y888" s="6">
        <f t="shared" si="1457"/>
        <v>0</v>
      </c>
      <c r="Z888" s="6">
        <f t="shared" si="1457"/>
        <v>0</v>
      </c>
      <c r="AA888" s="6">
        <f t="shared" si="1457"/>
        <v>0</v>
      </c>
      <c r="AB888" s="6">
        <f t="shared" si="1457"/>
        <v>0</v>
      </c>
      <c r="AC888" s="56"/>
      <c r="AD888" s="23"/>
    </row>
    <row r="889" spans="1:30" s="14" customFormat="1">
      <c r="A889" s="85" t="s">
        <v>196</v>
      </c>
      <c r="B889" s="26">
        <v>2870231</v>
      </c>
      <c r="C889" s="130">
        <f t="shared" si="1349"/>
        <v>239185.92000000001</v>
      </c>
      <c r="D889" s="4"/>
      <c r="E889" s="4">
        <v>0.89970000000000006</v>
      </c>
      <c r="F889" s="4"/>
      <c r="G889" s="4"/>
      <c r="H889" s="4"/>
      <c r="I889" s="4"/>
      <c r="J889" s="4">
        <v>0.1003</v>
      </c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56"/>
      <c r="AD889" s="23"/>
    </row>
    <row r="890" spans="1:30" s="14" customFormat="1">
      <c r="A890" s="84"/>
      <c r="B890" s="27"/>
      <c r="C890" s="130"/>
      <c r="D890" s="6">
        <f t="shared" ref="D890" si="1458">$C889*D889</f>
        <v>0</v>
      </c>
      <c r="E890" s="6">
        <f t="shared" ref="E890" si="1459">$C889*E889</f>
        <v>215195.57222400003</v>
      </c>
      <c r="F890" s="6">
        <f t="shared" ref="F890:O890" si="1460">$C889*F889</f>
        <v>0</v>
      </c>
      <c r="G890" s="6">
        <f t="shared" si="1460"/>
        <v>0</v>
      </c>
      <c r="H890" s="6">
        <f t="shared" si="1460"/>
        <v>0</v>
      </c>
      <c r="I890" s="6">
        <f t="shared" si="1460"/>
        <v>0</v>
      </c>
      <c r="J890" s="6">
        <f t="shared" si="1460"/>
        <v>23990.347776000002</v>
      </c>
      <c r="K890" s="6">
        <f t="shared" si="1460"/>
        <v>0</v>
      </c>
      <c r="L890" s="6">
        <f t="shared" si="1460"/>
        <v>0</v>
      </c>
      <c r="M890" s="6">
        <f t="shared" si="1460"/>
        <v>0</v>
      </c>
      <c r="N890" s="6">
        <f t="shared" si="1460"/>
        <v>0</v>
      </c>
      <c r="O890" s="6">
        <f t="shared" si="1460"/>
        <v>0</v>
      </c>
      <c r="P890" s="6">
        <f t="shared" ref="P890" si="1461">$C889*P889</f>
        <v>0</v>
      </c>
      <c r="Q890" s="6">
        <f t="shared" ref="Q890" si="1462">$C889*Q889</f>
        <v>0</v>
      </c>
      <c r="R890" s="6">
        <f t="shared" ref="R890:AB890" si="1463">$C889*R889</f>
        <v>0</v>
      </c>
      <c r="S890" s="6">
        <f t="shared" si="1463"/>
        <v>0</v>
      </c>
      <c r="T890" s="6">
        <f t="shared" si="1463"/>
        <v>0</v>
      </c>
      <c r="U890" s="6">
        <f t="shared" si="1463"/>
        <v>0</v>
      </c>
      <c r="V890" s="6">
        <f t="shared" si="1463"/>
        <v>0</v>
      </c>
      <c r="W890" s="6">
        <f t="shared" si="1463"/>
        <v>0</v>
      </c>
      <c r="X890" s="6">
        <f t="shared" si="1463"/>
        <v>0</v>
      </c>
      <c r="Y890" s="6">
        <f t="shared" si="1463"/>
        <v>0</v>
      </c>
      <c r="Z890" s="6">
        <f t="shared" si="1463"/>
        <v>0</v>
      </c>
      <c r="AA890" s="6">
        <f t="shared" si="1463"/>
        <v>0</v>
      </c>
      <c r="AB890" s="6">
        <f t="shared" si="1463"/>
        <v>0</v>
      </c>
      <c r="AC890" s="56"/>
      <c r="AD890" s="23"/>
    </row>
    <row r="891" spans="1:30" s="14" customFormat="1">
      <c r="A891" s="85" t="s">
        <v>197</v>
      </c>
      <c r="B891" s="26">
        <v>1261054</v>
      </c>
      <c r="C891" s="130">
        <f t="shared" si="1349"/>
        <v>105087.83</v>
      </c>
      <c r="D891" s="4"/>
      <c r="E891" s="4">
        <v>0.96009999999999995</v>
      </c>
      <c r="F891" s="4">
        <v>6.1999999999999998E-3</v>
      </c>
      <c r="G891" s="4"/>
      <c r="H891" s="4"/>
      <c r="I891" s="4">
        <v>1.9E-3</v>
      </c>
      <c r="J891" s="4">
        <v>4.4000000000000003E-3</v>
      </c>
      <c r="K891" s="4"/>
      <c r="L891" s="4">
        <v>1.2999999999999999E-3</v>
      </c>
      <c r="M891" s="4"/>
      <c r="N891" s="4"/>
      <c r="O891" s="4"/>
      <c r="P891" s="4"/>
      <c r="Q891" s="4"/>
      <c r="R891" s="4"/>
      <c r="S891" s="4"/>
      <c r="T891" s="4"/>
      <c r="U891" s="4">
        <v>2.6100000000000002E-2</v>
      </c>
      <c r="V891" s="4"/>
      <c r="W891" s="4"/>
      <c r="X891" s="4"/>
      <c r="Y891" s="4"/>
      <c r="Z891" s="4"/>
      <c r="AA891" s="4"/>
      <c r="AB891" s="4"/>
      <c r="AC891" s="56"/>
      <c r="AD891" s="23"/>
    </row>
    <row r="892" spans="1:30" s="14" customFormat="1">
      <c r="A892" s="84"/>
      <c r="B892" s="67"/>
      <c r="C892" s="130"/>
      <c r="D892" s="6">
        <f t="shared" ref="D892" si="1464">$C891*D891</f>
        <v>0</v>
      </c>
      <c r="E892" s="6">
        <f t="shared" ref="E892" si="1465">$C891*E891</f>
        <v>100894.825583</v>
      </c>
      <c r="F892" s="6">
        <f t="shared" ref="F892:O892" si="1466">$C891*F891</f>
        <v>651.54454599999997</v>
      </c>
      <c r="G892" s="6">
        <f t="shared" si="1466"/>
        <v>0</v>
      </c>
      <c r="H892" s="6">
        <f t="shared" si="1466"/>
        <v>0</v>
      </c>
      <c r="I892" s="6">
        <f t="shared" si="1466"/>
        <v>199.666877</v>
      </c>
      <c r="J892" s="6">
        <f t="shared" si="1466"/>
        <v>462.38645200000002</v>
      </c>
      <c r="K892" s="6">
        <f t="shared" si="1466"/>
        <v>0</v>
      </c>
      <c r="L892" s="6">
        <f t="shared" si="1466"/>
        <v>136.61417900000001</v>
      </c>
      <c r="M892" s="6">
        <f t="shared" si="1466"/>
        <v>0</v>
      </c>
      <c r="N892" s="6">
        <f t="shared" si="1466"/>
        <v>0</v>
      </c>
      <c r="O892" s="6">
        <f t="shared" si="1466"/>
        <v>0</v>
      </c>
      <c r="P892" s="6">
        <f t="shared" ref="P892" si="1467">$C891*P891</f>
        <v>0</v>
      </c>
      <c r="Q892" s="6">
        <f t="shared" ref="Q892" si="1468">$C891*Q891</f>
        <v>0</v>
      </c>
      <c r="R892" s="6">
        <f t="shared" ref="R892:AB892" si="1469">$C891*R891</f>
        <v>0</v>
      </c>
      <c r="S892" s="6">
        <f t="shared" si="1469"/>
        <v>0</v>
      </c>
      <c r="T892" s="6">
        <f t="shared" si="1469"/>
        <v>0</v>
      </c>
      <c r="U892" s="6">
        <f t="shared" si="1469"/>
        <v>2742.792363</v>
      </c>
      <c r="V892" s="6">
        <f t="shared" si="1469"/>
        <v>0</v>
      </c>
      <c r="W892" s="6">
        <f t="shared" si="1469"/>
        <v>0</v>
      </c>
      <c r="X892" s="6">
        <f t="shared" si="1469"/>
        <v>0</v>
      </c>
      <c r="Y892" s="6">
        <f t="shared" si="1469"/>
        <v>0</v>
      </c>
      <c r="Z892" s="6">
        <f t="shared" si="1469"/>
        <v>0</v>
      </c>
      <c r="AA892" s="6">
        <f t="shared" si="1469"/>
        <v>0</v>
      </c>
      <c r="AB892" s="6">
        <f t="shared" si="1469"/>
        <v>0</v>
      </c>
      <c r="AC892" s="56"/>
      <c r="AD892" s="23"/>
    </row>
    <row r="893" spans="1:30" s="14" customFormat="1">
      <c r="A893" s="85" t="s">
        <v>198</v>
      </c>
      <c r="B893" s="26">
        <v>1681347</v>
      </c>
      <c r="C893" s="130">
        <f t="shared" si="1349"/>
        <v>140112.25</v>
      </c>
      <c r="D893" s="4"/>
      <c r="E893" s="4">
        <v>0.96009999999999995</v>
      </c>
      <c r="F893" s="4">
        <v>6.1999999999999998E-3</v>
      </c>
      <c r="G893" s="4"/>
      <c r="H893" s="4"/>
      <c r="I893" s="4">
        <v>1.9E-3</v>
      </c>
      <c r="J893" s="4">
        <v>4.4000000000000003E-3</v>
      </c>
      <c r="K893" s="4"/>
      <c r="L893" s="4">
        <v>1.2999999999999999E-3</v>
      </c>
      <c r="M893" s="4"/>
      <c r="N893" s="4"/>
      <c r="O893" s="4"/>
      <c r="P893" s="4"/>
      <c r="Q893" s="4"/>
      <c r="R893" s="4"/>
      <c r="S893" s="4"/>
      <c r="T893" s="4"/>
      <c r="U893" s="4">
        <v>2.6100000000000002E-2</v>
      </c>
      <c r="V893" s="4"/>
      <c r="W893" s="4"/>
      <c r="X893" s="4"/>
      <c r="Y893" s="4"/>
      <c r="Z893" s="4"/>
      <c r="AA893" s="4"/>
      <c r="AB893" s="4"/>
      <c r="AC893" s="56"/>
      <c r="AD893" s="23"/>
    </row>
    <row r="894" spans="1:30" s="14" customFormat="1">
      <c r="A894" s="84"/>
      <c r="B894" s="27"/>
      <c r="C894" s="130"/>
      <c r="D894" s="6">
        <f t="shared" ref="D894" si="1470">$C893*D893</f>
        <v>0</v>
      </c>
      <c r="E894" s="6">
        <f t="shared" ref="E894" si="1471">$C893*E893</f>
        <v>134521.771225</v>
      </c>
      <c r="F894" s="6">
        <f t="shared" ref="F894:O894" si="1472">$C893*F893</f>
        <v>868.69594999999993</v>
      </c>
      <c r="G894" s="6">
        <f t="shared" si="1472"/>
        <v>0</v>
      </c>
      <c r="H894" s="6">
        <f t="shared" si="1472"/>
        <v>0</v>
      </c>
      <c r="I894" s="6">
        <f t="shared" si="1472"/>
        <v>266.21327500000001</v>
      </c>
      <c r="J894" s="6">
        <f t="shared" si="1472"/>
        <v>616.49390000000005</v>
      </c>
      <c r="K894" s="6">
        <f t="shared" si="1472"/>
        <v>0</v>
      </c>
      <c r="L894" s="6">
        <f t="shared" si="1472"/>
        <v>182.14592500000001</v>
      </c>
      <c r="M894" s="6">
        <f t="shared" si="1472"/>
        <v>0</v>
      </c>
      <c r="N894" s="6">
        <f t="shared" si="1472"/>
        <v>0</v>
      </c>
      <c r="O894" s="6">
        <f t="shared" si="1472"/>
        <v>0</v>
      </c>
      <c r="P894" s="6">
        <f t="shared" ref="P894" si="1473">$C893*P893</f>
        <v>0</v>
      </c>
      <c r="Q894" s="6">
        <f t="shared" ref="Q894" si="1474">$C893*Q893</f>
        <v>0</v>
      </c>
      <c r="R894" s="6">
        <f t="shared" ref="R894:AB894" si="1475">$C893*R893</f>
        <v>0</v>
      </c>
      <c r="S894" s="6">
        <f t="shared" si="1475"/>
        <v>0</v>
      </c>
      <c r="T894" s="6">
        <f t="shared" si="1475"/>
        <v>0</v>
      </c>
      <c r="U894" s="6">
        <f t="shared" si="1475"/>
        <v>3656.9297250000004</v>
      </c>
      <c r="V894" s="6">
        <f t="shared" si="1475"/>
        <v>0</v>
      </c>
      <c r="W894" s="6">
        <f t="shared" si="1475"/>
        <v>0</v>
      </c>
      <c r="X894" s="6">
        <f t="shared" si="1475"/>
        <v>0</v>
      </c>
      <c r="Y894" s="6">
        <f t="shared" si="1475"/>
        <v>0</v>
      </c>
      <c r="Z894" s="6">
        <f t="shared" si="1475"/>
        <v>0</v>
      </c>
      <c r="AA894" s="6">
        <f t="shared" si="1475"/>
        <v>0</v>
      </c>
      <c r="AB894" s="6">
        <f t="shared" si="1475"/>
        <v>0</v>
      </c>
      <c r="AC894" s="56"/>
      <c r="AD894" s="23"/>
    </row>
    <row r="895" spans="1:30" s="14" customFormat="1">
      <c r="A895" s="85" t="s">
        <v>199</v>
      </c>
      <c r="B895" s="26">
        <v>18610674</v>
      </c>
      <c r="C895" s="130">
        <f t="shared" si="1349"/>
        <v>1550889.5</v>
      </c>
      <c r="D895" s="4"/>
      <c r="E895" s="4">
        <v>0.88390000000000002</v>
      </c>
      <c r="F895" s="4">
        <v>7.1199999999999999E-2</v>
      </c>
      <c r="G895" s="4">
        <v>2.8899999999999999E-2</v>
      </c>
      <c r="H895" s="4"/>
      <c r="I895" s="4"/>
      <c r="J895" s="4"/>
      <c r="K895" s="4">
        <v>1.5800000000000002E-2</v>
      </c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>
        <v>2.0000000000000001E-4</v>
      </c>
      <c r="W895" s="4"/>
      <c r="X895" s="4"/>
      <c r="Y895" s="4"/>
      <c r="Z895" s="4"/>
      <c r="AA895" s="4"/>
      <c r="AB895" s="4"/>
      <c r="AC895" s="56"/>
      <c r="AD895" s="23"/>
    </row>
    <row r="896" spans="1:30" s="14" customFormat="1">
      <c r="A896" s="84"/>
      <c r="B896" s="27"/>
      <c r="C896" s="130"/>
      <c r="D896" s="6">
        <f t="shared" ref="D896" si="1476">$C895*D895</f>
        <v>0</v>
      </c>
      <c r="E896" s="6">
        <f t="shared" ref="E896" si="1477">$C895*E895</f>
        <v>1370831.22905</v>
      </c>
      <c r="F896" s="6">
        <f>$C895*F895</f>
        <v>110423.3324</v>
      </c>
      <c r="G896" s="6">
        <f>$C895*G895</f>
        <v>44820.706549999995</v>
      </c>
      <c r="H896" s="6">
        <f>$C895*H895</f>
        <v>0</v>
      </c>
      <c r="I896" s="6">
        <f>$C895*I895</f>
        <v>0</v>
      </c>
      <c r="J896" s="6">
        <f>$C895*J895</f>
        <v>0</v>
      </c>
      <c r="K896" s="6">
        <f t="shared" ref="K896" si="1478">$C895*K895</f>
        <v>24504.054100000001</v>
      </c>
      <c r="L896" s="6">
        <f t="shared" ref="L896" si="1479">$C895*L895</f>
        <v>0</v>
      </c>
      <c r="M896" s="6">
        <f t="shared" ref="M896:AB896" si="1480">$C895*M895</f>
        <v>0</v>
      </c>
      <c r="N896" s="6">
        <f t="shared" si="1480"/>
        <v>0</v>
      </c>
      <c r="O896" s="6">
        <f t="shared" si="1480"/>
        <v>0</v>
      </c>
      <c r="P896" s="6">
        <f t="shared" si="1480"/>
        <v>0</v>
      </c>
      <c r="Q896" s="6">
        <f t="shared" si="1480"/>
        <v>0</v>
      </c>
      <c r="R896" s="6">
        <f t="shared" si="1480"/>
        <v>0</v>
      </c>
      <c r="S896" s="6">
        <f t="shared" si="1480"/>
        <v>0</v>
      </c>
      <c r="T896" s="6">
        <f t="shared" si="1480"/>
        <v>0</v>
      </c>
      <c r="U896" s="6">
        <f t="shared" si="1480"/>
        <v>0</v>
      </c>
      <c r="V896" s="6">
        <f t="shared" si="1480"/>
        <v>310.17790000000002</v>
      </c>
      <c r="W896" s="6">
        <f t="shared" si="1480"/>
        <v>0</v>
      </c>
      <c r="X896" s="6">
        <f t="shared" si="1480"/>
        <v>0</v>
      </c>
      <c r="Y896" s="6">
        <f t="shared" si="1480"/>
        <v>0</v>
      </c>
      <c r="Z896" s="6">
        <f t="shared" si="1480"/>
        <v>0</v>
      </c>
      <c r="AA896" s="6">
        <f t="shared" si="1480"/>
        <v>0</v>
      </c>
      <c r="AB896" s="6">
        <f t="shared" si="1480"/>
        <v>0</v>
      </c>
      <c r="AC896" s="56"/>
      <c r="AD896" s="23"/>
    </row>
    <row r="897" spans="1:30" s="14" customFormat="1">
      <c r="A897" s="85" t="s">
        <v>200</v>
      </c>
      <c r="B897" s="26">
        <v>5382551</v>
      </c>
      <c r="C897" s="130">
        <f t="shared" si="1349"/>
        <v>448545.92</v>
      </c>
      <c r="D897" s="4"/>
      <c r="E897" s="4">
        <v>0.91920000000000002</v>
      </c>
      <c r="F897" s="4">
        <v>2.1899999999999999E-2</v>
      </c>
      <c r="G897" s="4">
        <v>1.14E-2</v>
      </c>
      <c r="H897" s="4">
        <v>2.9999999999999997E-4</v>
      </c>
      <c r="I897" s="4"/>
      <c r="J897" s="4"/>
      <c r="K897" s="4">
        <v>3.5999999999999997E-2</v>
      </c>
      <c r="L897" s="4">
        <v>1.0800000000000001E-2</v>
      </c>
      <c r="M897" s="4"/>
      <c r="N897" s="4"/>
      <c r="O897" s="4"/>
      <c r="P897" s="4"/>
      <c r="Q897" s="4"/>
      <c r="R897" s="4"/>
      <c r="S897" s="4"/>
      <c r="T897" s="4"/>
      <c r="U897" s="4"/>
      <c r="V897" s="4">
        <v>4.0000000000000002E-4</v>
      </c>
      <c r="W897" s="4"/>
      <c r="X897" s="4"/>
      <c r="Y897" s="4"/>
      <c r="Z897" s="4"/>
      <c r="AA897" s="4"/>
      <c r="AB897" s="4"/>
      <c r="AC897" s="56"/>
      <c r="AD897" s="23"/>
    </row>
    <row r="898" spans="1:30" s="14" customFormat="1">
      <c r="A898" s="84"/>
      <c r="B898" s="27"/>
      <c r="C898" s="130"/>
      <c r="D898" s="6">
        <f t="shared" ref="D898" si="1481">$C897*D897</f>
        <v>0</v>
      </c>
      <c r="E898" s="6">
        <f t="shared" ref="E898" si="1482">$C897*E897</f>
        <v>412303.40966399998</v>
      </c>
      <c r="F898" s="6">
        <f t="shared" ref="F898:O898" si="1483">$C897*F897</f>
        <v>9823.1556479999999</v>
      </c>
      <c r="G898" s="6">
        <f t="shared" si="1483"/>
        <v>5113.4234880000004</v>
      </c>
      <c r="H898" s="6">
        <f t="shared" si="1483"/>
        <v>134.56377599999999</v>
      </c>
      <c r="I898" s="6">
        <f t="shared" si="1483"/>
        <v>0</v>
      </c>
      <c r="J898" s="6">
        <f t="shared" si="1483"/>
        <v>0</v>
      </c>
      <c r="K898" s="6">
        <f t="shared" si="1483"/>
        <v>16147.653119999999</v>
      </c>
      <c r="L898" s="6">
        <f t="shared" si="1483"/>
        <v>4844.2959360000004</v>
      </c>
      <c r="M898" s="6">
        <f t="shared" si="1483"/>
        <v>0</v>
      </c>
      <c r="N898" s="6">
        <f t="shared" si="1483"/>
        <v>0</v>
      </c>
      <c r="O898" s="6">
        <f t="shared" si="1483"/>
        <v>0</v>
      </c>
      <c r="P898" s="6">
        <f t="shared" ref="P898" si="1484">$C897*P897</f>
        <v>0</v>
      </c>
      <c r="Q898" s="6">
        <f t="shared" ref="Q898" si="1485">$C897*Q897</f>
        <v>0</v>
      </c>
      <c r="R898" s="6">
        <f t="shared" ref="R898:AB898" si="1486">$C897*R897</f>
        <v>0</v>
      </c>
      <c r="S898" s="6">
        <f t="shared" si="1486"/>
        <v>0</v>
      </c>
      <c r="T898" s="6">
        <f t="shared" si="1486"/>
        <v>0</v>
      </c>
      <c r="U898" s="6">
        <f t="shared" si="1486"/>
        <v>0</v>
      </c>
      <c r="V898" s="6">
        <f t="shared" si="1486"/>
        <v>179.41836800000002</v>
      </c>
      <c r="W898" s="6">
        <f t="shared" si="1486"/>
        <v>0</v>
      </c>
      <c r="X898" s="6">
        <f t="shared" si="1486"/>
        <v>0</v>
      </c>
      <c r="Y898" s="6">
        <f t="shared" si="1486"/>
        <v>0</v>
      </c>
      <c r="Z898" s="6">
        <f t="shared" si="1486"/>
        <v>0</v>
      </c>
      <c r="AA898" s="6">
        <f t="shared" si="1486"/>
        <v>0</v>
      </c>
      <c r="AB898" s="6">
        <f t="shared" si="1486"/>
        <v>0</v>
      </c>
      <c r="AC898" s="56"/>
      <c r="AD898" s="23"/>
    </row>
    <row r="899" spans="1:30" s="14" customFormat="1">
      <c r="A899" s="78" t="s">
        <v>201</v>
      </c>
      <c r="B899" s="26">
        <v>3521939.5</v>
      </c>
      <c r="C899" s="130">
        <f t="shared" si="1349"/>
        <v>293494.96000000002</v>
      </c>
      <c r="D899" s="35">
        <v>1.6299999999999999E-2</v>
      </c>
      <c r="E899" s="35">
        <v>0.14269999999999999</v>
      </c>
      <c r="F899" s="35">
        <v>5.8900000000000001E-2</v>
      </c>
      <c r="G899" s="35">
        <v>7.6200000000000004E-2</v>
      </c>
      <c r="H899" s="35">
        <v>3.9600000000000003E-2</v>
      </c>
      <c r="I899" s="35">
        <v>0.12470000000000001</v>
      </c>
      <c r="J899" s="35">
        <v>2.0400000000000001E-2</v>
      </c>
      <c r="K899" s="35">
        <v>3.1199999999999999E-2</v>
      </c>
      <c r="L899" s="35">
        <v>1.6199999999999999E-2</v>
      </c>
      <c r="M899" s="35">
        <v>2.53E-2</v>
      </c>
      <c r="N899" s="35">
        <v>0.14849999999999999</v>
      </c>
      <c r="O899" s="35">
        <v>2.2599999999999999E-2</v>
      </c>
      <c r="P899" s="35">
        <v>0</v>
      </c>
      <c r="Q899" s="35">
        <v>3.78E-2</v>
      </c>
      <c r="R899" s="35">
        <v>1.8100000000000002E-2</v>
      </c>
      <c r="S899" s="35">
        <v>4.1000000000000003E-3</v>
      </c>
      <c r="T899" s="35">
        <v>5.04E-2</v>
      </c>
      <c r="U899" s="35">
        <v>1.7500000000000002E-2</v>
      </c>
      <c r="V899" s="35">
        <v>3.6200000000000003E-2</v>
      </c>
      <c r="W899" s="35">
        <v>4.8500000000000001E-2</v>
      </c>
      <c r="X899" s="35">
        <v>6.1600000000000002E-2</v>
      </c>
      <c r="Y899" s="35">
        <v>2.5000000000000001E-3</v>
      </c>
      <c r="Z899" s="4">
        <v>0</v>
      </c>
      <c r="AA899" s="4">
        <v>6.9999999999999999E-4</v>
      </c>
      <c r="AB899" s="4">
        <v>0</v>
      </c>
      <c r="AC899" s="56"/>
      <c r="AD899" s="23"/>
    </row>
    <row r="900" spans="1:30" s="14" customFormat="1">
      <c r="A900" s="79"/>
      <c r="B900" s="27"/>
      <c r="C900" s="130"/>
      <c r="D900" s="5">
        <f t="shared" ref="D900" si="1487">$C899*D899</f>
        <v>4783.9678480000002</v>
      </c>
      <c r="E900" s="5">
        <f t="shared" ref="E900" si="1488">$C899*E899</f>
        <v>41881.730792000002</v>
      </c>
      <c r="F900" s="5">
        <f t="shared" ref="F900:O900" si="1489">$C899*F899</f>
        <v>17286.853144000001</v>
      </c>
      <c r="G900" s="5">
        <f t="shared" si="1489"/>
        <v>22364.315952000004</v>
      </c>
      <c r="H900" s="5">
        <f t="shared" si="1489"/>
        <v>11622.400416000002</v>
      </c>
      <c r="I900" s="5">
        <f t="shared" si="1489"/>
        <v>36598.821512000002</v>
      </c>
      <c r="J900" s="5">
        <f t="shared" si="1489"/>
        <v>5987.2971840000009</v>
      </c>
      <c r="K900" s="5">
        <f t="shared" si="1489"/>
        <v>9157.0427519999994</v>
      </c>
      <c r="L900" s="5">
        <f t="shared" si="1489"/>
        <v>4754.6183520000004</v>
      </c>
      <c r="M900" s="5">
        <f t="shared" si="1489"/>
        <v>7425.4224880000002</v>
      </c>
      <c r="N900" s="5">
        <f t="shared" si="1489"/>
        <v>43584.001560000004</v>
      </c>
      <c r="O900" s="5">
        <f t="shared" si="1489"/>
        <v>6632.9860959999996</v>
      </c>
      <c r="P900" s="5">
        <f t="shared" ref="P900" si="1490">$C899*P899</f>
        <v>0</v>
      </c>
      <c r="Q900" s="5">
        <f t="shared" ref="Q900" si="1491">$C899*Q899</f>
        <v>11094.109488</v>
      </c>
      <c r="R900" s="5">
        <f t="shared" ref="R900:AB900" si="1492">$C899*R899</f>
        <v>5312.2587760000006</v>
      </c>
      <c r="S900" s="5">
        <f t="shared" si="1492"/>
        <v>1203.3293360000002</v>
      </c>
      <c r="T900" s="5">
        <f t="shared" si="1492"/>
        <v>14792.145984000001</v>
      </c>
      <c r="U900" s="5">
        <f t="shared" si="1492"/>
        <v>5136.1618000000008</v>
      </c>
      <c r="V900" s="5">
        <f t="shared" si="1492"/>
        <v>10624.517552000001</v>
      </c>
      <c r="W900" s="5">
        <f t="shared" si="1492"/>
        <v>14234.505560000001</v>
      </c>
      <c r="X900" s="5">
        <f t="shared" si="1492"/>
        <v>18079.289536</v>
      </c>
      <c r="Y900" s="5">
        <f t="shared" si="1492"/>
        <v>733.73740000000009</v>
      </c>
      <c r="Z900" s="5">
        <f t="shared" si="1492"/>
        <v>0</v>
      </c>
      <c r="AA900" s="5">
        <f t="shared" si="1492"/>
        <v>205.446472</v>
      </c>
      <c r="AB900" s="5">
        <f t="shared" si="1492"/>
        <v>0</v>
      </c>
      <c r="AC900" s="56"/>
      <c r="AD900" s="23"/>
    </row>
    <row r="901" spans="1:30" s="14" customFormat="1">
      <c r="A901" s="78" t="s">
        <v>442</v>
      </c>
      <c r="B901" s="15">
        <v>3521939.5</v>
      </c>
      <c r="C901" s="130">
        <f t="shared" si="1349"/>
        <v>293494.96000000002</v>
      </c>
      <c r="D901" s="4"/>
      <c r="E901" s="4">
        <v>0.56950000000000001</v>
      </c>
      <c r="F901" s="4"/>
      <c r="G901" s="4">
        <v>0.1202</v>
      </c>
      <c r="H901" s="4"/>
      <c r="I901" s="4"/>
      <c r="J901" s="4">
        <v>5.16E-2</v>
      </c>
      <c r="K901" s="4"/>
      <c r="L901" s="4">
        <v>3.15E-2</v>
      </c>
      <c r="M901" s="4"/>
      <c r="N901" s="4">
        <v>0.22720000000000001</v>
      </c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56"/>
      <c r="AD901" s="23"/>
    </row>
    <row r="902" spans="1:30" s="14" customFormat="1">
      <c r="A902" s="79"/>
      <c r="B902" s="9"/>
      <c r="C902" s="130"/>
      <c r="D902" s="5">
        <f t="shared" ref="D902" si="1493">$C901*D901</f>
        <v>0</v>
      </c>
      <c r="E902" s="5">
        <f t="shared" ref="E902" si="1494">$C901*E901</f>
        <v>167145.37972000003</v>
      </c>
      <c r="F902" s="5">
        <f t="shared" ref="F902:O902" si="1495">$C901*F901</f>
        <v>0</v>
      </c>
      <c r="G902" s="5">
        <f t="shared" si="1495"/>
        <v>35278.094192000004</v>
      </c>
      <c r="H902" s="5">
        <f t="shared" si="1495"/>
        <v>0</v>
      </c>
      <c r="I902" s="5">
        <f t="shared" si="1495"/>
        <v>0</v>
      </c>
      <c r="J902" s="5">
        <f t="shared" si="1495"/>
        <v>15144.339936</v>
      </c>
      <c r="K902" s="5">
        <f t="shared" si="1495"/>
        <v>0</v>
      </c>
      <c r="L902" s="5">
        <f t="shared" si="1495"/>
        <v>9245.0912400000016</v>
      </c>
      <c r="M902" s="5">
        <f t="shared" si="1495"/>
        <v>0</v>
      </c>
      <c r="N902" s="5">
        <f t="shared" si="1495"/>
        <v>66682.054912000007</v>
      </c>
      <c r="O902" s="5">
        <f t="shared" si="1495"/>
        <v>0</v>
      </c>
      <c r="P902" s="5">
        <f t="shared" ref="P902" si="1496">$C901*P901</f>
        <v>0</v>
      </c>
      <c r="Q902" s="5">
        <f t="shared" ref="Q902" si="1497">$C901*Q901</f>
        <v>0</v>
      </c>
      <c r="R902" s="5">
        <f t="shared" ref="R902:AB902" si="1498">$C901*R901</f>
        <v>0</v>
      </c>
      <c r="S902" s="5">
        <f t="shared" si="1498"/>
        <v>0</v>
      </c>
      <c r="T902" s="5">
        <f t="shared" si="1498"/>
        <v>0</v>
      </c>
      <c r="U902" s="5">
        <f t="shared" si="1498"/>
        <v>0</v>
      </c>
      <c r="V902" s="5">
        <f t="shared" si="1498"/>
        <v>0</v>
      </c>
      <c r="W902" s="5">
        <f t="shared" si="1498"/>
        <v>0</v>
      </c>
      <c r="X902" s="5">
        <f t="shared" si="1498"/>
        <v>0</v>
      </c>
      <c r="Y902" s="5">
        <f t="shared" si="1498"/>
        <v>0</v>
      </c>
      <c r="Z902" s="5">
        <f t="shared" si="1498"/>
        <v>0</v>
      </c>
      <c r="AA902" s="5">
        <f t="shared" si="1498"/>
        <v>0</v>
      </c>
      <c r="AB902" s="5">
        <f t="shared" si="1498"/>
        <v>0</v>
      </c>
      <c r="AC902" s="56"/>
      <c r="AD902" s="23"/>
    </row>
    <row r="903" spans="1:30" s="14" customFormat="1">
      <c r="A903" s="85" t="s">
        <v>202</v>
      </c>
      <c r="B903" s="26">
        <v>482625</v>
      </c>
      <c r="C903" s="130">
        <f t="shared" si="1349"/>
        <v>40218.75</v>
      </c>
      <c r="D903" s="4"/>
      <c r="E903" s="4"/>
      <c r="F903" s="4"/>
      <c r="G903" s="4">
        <v>0.73019999999999996</v>
      </c>
      <c r="H903" s="4"/>
      <c r="I903" s="4"/>
      <c r="J903" s="4">
        <v>0.19389999999999999</v>
      </c>
      <c r="K903" s="4"/>
      <c r="L903" s="4">
        <v>7.5899999999999995E-2</v>
      </c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56"/>
      <c r="AD903" s="23"/>
    </row>
    <row r="904" spans="1:30" s="14" customFormat="1">
      <c r="A904" s="84"/>
      <c r="B904" s="27"/>
      <c r="C904" s="130"/>
      <c r="D904" s="6">
        <f t="shared" ref="D904" si="1499">$C903*D903</f>
        <v>0</v>
      </c>
      <c r="E904" s="6">
        <f t="shared" ref="E904" si="1500">$C903*E903</f>
        <v>0</v>
      </c>
      <c r="F904" s="6">
        <f t="shared" ref="F904:O904" si="1501">$C903*F903</f>
        <v>0</v>
      </c>
      <c r="G904" s="6">
        <f t="shared" si="1501"/>
        <v>29367.731249999997</v>
      </c>
      <c r="H904" s="6">
        <f t="shared" si="1501"/>
        <v>0</v>
      </c>
      <c r="I904" s="6">
        <f t="shared" si="1501"/>
        <v>0</v>
      </c>
      <c r="J904" s="6">
        <f t="shared" si="1501"/>
        <v>7798.4156249999996</v>
      </c>
      <c r="K904" s="6">
        <f t="shared" si="1501"/>
        <v>0</v>
      </c>
      <c r="L904" s="6">
        <f t="shared" si="1501"/>
        <v>3052.6031249999996</v>
      </c>
      <c r="M904" s="6">
        <f t="shared" si="1501"/>
        <v>0</v>
      </c>
      <c r="N904" s="6">
        <f t="shared" si="1501"/>
        <v>0</v>
      </c>
      <c r="O904" s="6">
        <f t="shared" si="1501"/>
        <v>0</v>
      </c>
      <c r="P904" s="6">
        <f t="shared" ref="P904" si="1502">$C903*P903</f>
        <v>0</v>
      </c>
      <c r="Q904" s="6">
        <f t="shared" ref="Q904" si="1503">$C903*Q903</f>
        <v>0</v>
      </c>
      <c r="R904" s="6">
        <f t="shared" ref="R904:AB904" si="1504">$C903*R903</f>
        <v>0</v>
      </c>
      <c r="S904" s="6">
        <f t="shared" si="1504"/>
        <v>0</v>
      </c>
      <c r="T904" s="6">
        <f t="shared" si="1504"/>
        <v>0</v>
      </c>
      <c r="U904" s="6">
        <f t="shared" si="1504"/>
        <v>0</v>
      </c>
      <c r="V904" s="6">
        <f t="shared" si="1504"/>
        <v>0</v>
      </c>
      <c r="W904" s="6">
        <f t="shared" si="1504"/>
        <v>0</v>
      </c>
      <c r="X904" s="6">
        <f t="shared" si="1504"/>
        <v>0</v>
      </c>
      <c r="Y904" s="6">
        <f t="shared" si="1504"/>
        <v>0</v>
      </c>
      <c r="Z904" s="6">
        <f t="shared" si="1504"/>
        <v>0</v>
      </c>
      <c r="AA904" s="6">
        <f t="shared" si="1504"/>
        <v>0</v>
      </c>
      <c r="AB904" s="6">
        <f t="shared" si="1504"/>
        <v>0</v>
      </c>
      <c r="AC904" s="56"/>
      <c r="AD904" s="23"/>
    </row>
    <row r="905" spans="1:30" s="14" customFormat="1">
      <c r="A905" s="85" t="s">
        <v>203</v>
      </c>
      <c r="B905" s="26">
        <v>576037</v>
      </c>
      <c r="C905" s="130">
        <f t="shared" si="1349"/>
        <v>48003.08</v>
      </c>
      <c r="D905" s="4"/>
      <c r="E905" s="4">
        <v>0.96009999999999995</v>
      </c>
      <c r="F905" s="4">
        <v>6.1999999999999998E-3</v>
      </c>
      <c r="G905" s="4"/>
      <c r="H905" s="4"/>
      <c r="I905" s="4">
        <v>1.9E-3</v>
      </c>
      <c r="J905" s="4">
        <v>4.4000000000000003E-3</v>
      </c>
      <c r="K905" s="4"/>
      <c r="L905" s="4">
        <v>1.2999999999999999E-3</v>
      </c>
      <c r="M905" s="4"/>
      <c r="N905" s="4"/>
      <c r="O905" s="4"/>
      <c r="P905" s="4"/>
      <c r="Q905" s="4"/>
      <c r="R905" s="4"/>
      <c r="S905" s="4"/>
      <c r="T905" s="4"/>
      <c r="U905" s="4">
        <v>2.6100000000000002E-2</v>
      </c>
      <c r="V905" s="4"/>
      <c r="W905" s="4"/>
      <c r="X905" s="4"/>
      <c r="Y905" s="4"/>
      <c r="Z905" s="4"/>
      <c r="AA905" s="4"/>
      <c r="AB905" s="4"/>
      <c r="AC905" s="56"/>
      <c r="AD905" s="23"/>
    </row>
    <row r="906" spans="1:30" s="14" customFormat="1">
      <c r="A906" s="84"/>
      <c r="B906" s="27"/>
      <c r="C906" s="130"/>
      <c r="D906" s="6">
        <f t="shared" ref="D906" si="1505">$C905*D905</f>
        <v>0</v>
      </c>
      <c r="E906" s="6">
        <f t="shared" ref="E906" si="1506">$C905*E905</f>
        <v>46087.757107999998</v>
      </c>
      <c r="F906" s="6">
        <f t="shared" ref="F906:Q906" si="1507">$C905*F905</f>
        <v>297.61909600000001</v>
      </c>
      <c r="G906" s="6">
        <f t="shared" si="1507"/>
        <v>0</v>
      </c>
      <c r="H906" s="6">
        <f t="shared" si="1507"/>
        <v>0</v>
      </c>
      <c r="I906" s="6">
        <f t="shared" si="1507"/>
        <v>91.205852000000007</v>
      </c>
      <c r="J906" s="6">
        <f t="shared" si="1507"/>
        <v>211.21355200000002</v>
      </c>
      <c r="K906" s="6">
        <f t="shared" si="1507"/>
        <v>0</v>
      </c>
      <c r="L906" s="6">
        <f t="shared" si="1507"/>
        <v>62.404004</v>
      </c>
      <c r="M906" s="6">
        <f t="shared" si="1507"/>
        <v>0</v>
      </c>
      <c r="N906" s="6">
        <f t="shared" si="1507"/>
        <v>0</v>
      </c>
      <c r="O906" s="6">
        <f t="shared" si="1507"/>
        <v>0</v>
      </c>
      <c r="P906" s="6">
        <f t="shared" si="1507"/>
        <v>0</v>
      </c>
      <c r="Q906" s="6">
        <f t="shared" si="1507"/>
        <v>0</v>
      </c>
      <c r="R906" s="6">
        <f t="shared" ref="R906" si="1508">$C905*R905</f>
        <v>0</v>
      </c>
      <c r="S906" s="6">
        <f t="shared" ref="S906" si="1509">$C905*S905</f>
        <v>0</v>
      </c>
      <c r="T906" s="6">
        <f t="shared" ref="T906:AB906" si="1510">$C905*T905</f>
        <v>0</v>
      </c>
      <c r="U906" s="6">
        <f t="shared" si="1510"/>
        <v>1252.880388</v>
      </c>
      <c r="V906" s="6">
        <f t="shared" si="1510"/>
        <v>0</v>
      </c>
      <c r="W906" s="6">
        <f t="shared" si="1510"/>
        <v>0</v>
      </c>
      <c r="X906" s="6">
        <f t="shared" si="1510"/>
        <v>0</v>
      </c>
      <c r="Y906" s="6">
        <f t="shared" si="1510"/>
        <v>0</v>
      </c>
      <c r="Z906" s="6">
        <f t="shared" si="1510"/>
        <v>0</v>
      </c>
      <c r="AA906" s="6">
        <f t="shared" si="1510"/>
        <v>0</v>
      </c>
      <c r="AB906" s="6">
        <f t="shared" si="1510"/>
        <v>0</v>
      </c>
      <c r="AC906" s="56"/>
      <c r="AD906" s="23"/>
    </row>
    <row r="907" spans="1:30" s="14" customFormat="1">
      <c r="A907" s="85" t="s">
        <v>204</v>
      </c>
      <c r="B907" s="26">
        <v>2616508</v>
      </c>
      <c r="C907" s="130">
        <f t="shared" si="1349"/>
        <v>218042.33</v>
      </c>
      <c r="D907" s="4"/>
      <c r="E907" s="4">
        <v>0.1416</v>
      </c>
      <c r="F907" s="4">
        <v>0.1288</v>
      </c>
      <c r="G907" s="4">
        <v>0.58579999999999999</v>
      </c>
      <c r="H907" s="4"/>
      <c r="I907" s="4"/>
      <c r="J907" s="4">
        <v>7.1999999999999998E-3</v>
      </c>
      <c r="K907" s="4"/>
      <c r="L907" s="4">
        <v>7.9299999999999995E-2</v>
      </c>
      <c r="M907" s="4"/>
      <c r="N907" s="4"/>
      <c r="O907" s="4"/>
      <c r="P907" s="4"/>
      <c r="Q907" s="4"/>
      <c r="R907" s="4"/>
      <c r="S907" s="4"/>
      <c r="T907" s="4"/>
      <c r="U907" s="4">
        <v>5.7299999999999997E-2</v>
      </c>
      <c r="V907" s="4"/>
      <c r="W907" s="4"/>
      <c r="X907" s="4"/>
      <c r="Y907" s="4"/>
      <c r="Z907" s="4"/>
      <c r="AA907" s="4"/>
      <c r="AB907" s="4"/>
      <c r="AC907" s="56"/>
      <c r="AD907" s="23"/>
    </row>
    <row r="908" spans="1:30" s="14" customFormat="1">
      <c r="A908" s="84"/>
      <c r="B908" s="27"/>
      <c r="C908" s="130"/>
      <c r="D908" s="6">
        <f t="shared" ref="D908" si="1511">$C907*D907</f>
        <v>0</v>
      </c>
      <c r="E908" s="6">
        <f t="shared" ref="E908" si="1512">$C907*E907</f>
        <v>30874.793927999999</v>
      </c>
      <c r="F908" s="6">
        <f t="shared" ref="F908:AB908" si="1513">$C907*F907</f>
        <v>28083.852103999998</v>
      </c>
      <c r="G908" s="6">
        <f t="shared" si="1513"/>
        <v>127729.19691399999</v>
      </c>
      <c r="H908" s="6">
        <f t="shared" si="1513"/>
        <v>0</v>
      </c>
      <c r="I908" s="6">
        <f t="shared" si="1513"/>
        <v>0</v>
      </c>
      <c r="J908" s="6">
        <f t="shared" si="1513"/>
        <v>1569.9047759999999</v>
      </c>
      <c r="K908" s="6">
        <f t="shared" si="1513"/>
        <v>0</v>
      </c>
      <c r="L908" s="6">
        <f t="shared" si="1513"/>
        <v>17290.756769</v>
      </c>
      <c r="M908" s="6">
        <f t="shared" si="1513"/>
        <v>0</v>
      </c>
      <c r="N908" s="6">
        <f t="shared" si="1513"/>
        <v>0</v>
      </c>
      <c r="O908" s="6">
        <f t="shared" si="1513"/>
        <v>0</v>
      </c>
      <c r="P908" s="6">
        <f t="shared" si="1513"/>
        <v>0</v>
      </c>
      <c r="Q908" s="6">
        <f t="shared" si="1513"/>
        <v>0</v>
      </c>
      <c r="R908" s="6">
        <f t="shared" si="1513"/>
        <v>0</v>
      </c>
      <c r="S908" s="6">
        <f t="shared" si="1513"/>
        <v>0</v>
      </c>
      <c r="T908" s="6">
        <f t="shared" si="1513"/>
        <v>0</v>
      </c>
      <c r="U908" s="6">
        <f t="shared" si="1513"/>
        <v>12493.825508999998</v>
      </c>
      <c r="V908" s="6">
        <f t="shared" si="1513"/>
        <v>0</v>
      </c>
      <c r="W908" s="6">
        <f t="shared" si="1513"/>
        <v>0</v>
      </c>
      <c r="X908" s="6">
        <f t="shared" si="1513"/>
        <v>0</v>
      </c>
      <c r="Y908" s="6">
        <f t="shared" si="1513"/>
        <v>0</v>
      </c>
      <c r="Z908" s="6">
        <f t="shared" si="1513"/>
        <v>0</v>
      </c>
      <c r="AA908" s="6">
        <f t="shared" si="1513"/>
        <v>0</v>
      </c>
      <c r="AB908" s="6">
        <f t="shared" si="1513"/>
        <v>0</v>
      </c>
      <c r="AC908" s="56"/>
      <c r="AD908" s="23"/>
    </row>
    <row r="909" spans="1:30" s="14" customFormat="1">
      <c r="A909" s="85" t="s">
        <v>164</v>
      </c>
      <c r="B909" s="26">
        <v>9302492</v>
      </c>
      <c r="C909" s="130">
        <f t="shared" si="1349"/>
        <v>775207.67</v>
      </c>
      <c r="D909" s="4"/>
      <c r="E909" s="4">
        <v>0.87219999999999998</v>
      </c>
      <c r="F909" s="4">
        <v>8.2199999999999995E-2</v>
      </c>
      <c r="G909" s="4">
        <v>3.5200000000000002E-2</v>
      </c>
      <c r="H909" s="4"/>
      <c r="I909" s="4"/>
      <c r="J909" s="4"/>
      <c r="K909" s="4"/>
      <c r="L909" s="4">
        <v>1.04E-2</v>
      </c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56"/>
      <c r="AD909" s="23"/>
    </row>
    <row r="910" spans="1:30" s="14" customFormat="1">
      <c r="A910" s="84"/>
      <c r="B910" s="27"/>
      <c r="C910" s="130"/>
      <c r="D910" s="6">
        <f t="shared" ref="D910" si="1514">$C909*D909</f>
        <v>0</v>
      </c>
      <c r="E910" s="6">
        <f t="shared" ref="E910" si="1515">$C909*E909</f>
        <v>676136.12977400003</v>
      </c>
      <c r="F910" s="6">
        <f t="shared" ref="F910:AB910" si="1516">$C909*F909</f>
        <v>63722.070474</v>
      </c>
      <c r="G910" s="6">
        <f t="shared" si="1516"/>
        <v>27287.309984000003</v>
      </c>
      <c r="H910" s="6">
        <f t="shared" si="1516"/>
        <v>0</v>
      </c>
      <c r="I910" s="6">
        <f t="shared" si="1516"/>
        <v>0</v>
      </c>
      <c r="J910" s="6">
        <f t="shared" si="1516"/>
        <v>0</v>
      </c>
      <c r="K910" s="6">
        <f t="shared" si="1516"/>
        <v>0</v>
      </c>
      <c r="L910" s="6">
        <f t="shared" si="1516"/>
        <v>8062.1597680000004</v>
      </c>
      <c r="M910" s="6">
        <f t="shared" si="1516"/>
        <v>0</v>
      </c>
      <c r="N910" s="6">
        <f t="shared" si="1516"/>
        <v>0</v>
      </c>
      <c r="O910" s="6">
        <f t="shared" si="1516"/>
        <v>0</v>
      </c>
      <c r="P910" s="6">
        <f t="shared" si="1516"/>
        <v>0</v>
      </c>
      <c r="Q910" s="6">
        <f t="shared" si="1516"/>
        <v>0</v>
      </c>
      <c r="R910" s="6">
        <f t="shared" si="1516"/>
        <v>0</v>
      </c>
      <c r="S910" s="6">
        <f t="shared" si="1516"/>
        <v>0</v>
      </c>
      <c r="T910" s="6">
        <f t="shared" si="1516"/>
        <v>0</v>
      </c>
      <c r="U910" s="6">
        <f t="shared" si="1516"/>
        <v>0</v>
      </c>
      <c r="V910" s="6">
        <f t="shared" si="1516"/>
        <v>0</v>
      </c>
      <c r="W910" s="6">
        <f t="shared" si="1516"/>
        <v>0</v>
      </c>
      <c r="X910" s="6">
        <f t="shared" si="1516"/>
        <v>0</v>
      </c>
      <c r="Y910" s="6">
        <f t="shared" si="1516"/>
        <v>0</v>
      </c>
      <c r="Z910" s="6">
        <f t="shared" si="1516"/>
        <v>0</v>
      </c>
      <c r="AA910" s="6">
        <f t="shared" si="1516"/>
        <v>0</v>
      </c>
      <c r="AB910" s="6">
        <f t="shared" si="1516"/>
        <v>0</v>
      </c>
      <c r="AC910" s="56"/>
      <c r="AD910" s="23"/>
    </row>
    <row r="911" spans="1:30" s="14" customFormat="1">
      <c r="A911" s="78" t="s">
        <v>205</v>
      </c>
      <c r="B911" s="26">
        <v>110706.5</v>
      </c>
      <c r="C911" s="130">
        <f t="shared" si="1349"/>
        <v>9225.5400000000009</v>
      </c>
      <c r="D911" s="35">
        <v>1.6299999999999999E-2</v>
      </c>
      <c r="E911" s="35">
        <v>0.14269999999999999</v>
      </c>
      <c r="F911" s="35">
        <v>5.8900000000000001E-2</v>
      </c>
      <c r="G911" s="35">
        <v>7.6200000000000004E-2</v>
      </c>
      <c r="H911" s="35">
        <v>3.9600000000000003E-2</v>
      </c>
      <c r="I911" s="35">
        <v>0.12470000000000001</v>
      </c>
      <c r="J911" s="35">
        <v>2.0400000000000001E-2</v>
      </c>
      <c r="K911" s="35">
        <v>3.1199999999999999E-2</v>
      </c>
      <c r="L911" s="35">
        <v>1.6199999999999999E-2</v>
      </c>
      <c r="M911" s="35">
        <v>2.53E-2</v>
      </c>
      <c r="N911" s="35">
        <v>0.14849999999999999</v>
      </c>
      <c r="O911" s="35">
        <v>2.2599999999999999E-2</v>
      </c>
      <c r="P911" s="35">
        <v>0</v>
      </c>
      <c r="Q911" s="35">
        <v>3.78E-2</v>
      </c>
      <c r="R911" s="35">
        <v>1.8100000000000002E-2</v>
      </c>
      <c r="S911" s="35">
        <v>4.1000000000000003E-3</v>
      </c>
      <c r="T911" s="35">
        <v>5.04E-2</v>
      </c>
      <c r="U911" s="35">
        <v>1.7500000000000002E-2</v>
      </c>
      <c r="V911" s="35">
        <v>3.6200000000000003E-2</v>
      </c>
      <c r="W911" s="35">
        <v>4.8500000000000001E-2</v>
      </c>
      <c r="X911" s="35">
        <v>6.1600000000000002E-2</v>
      </c>
      <c r="Y911" s="35">
        <v>2.5000000000000001E-3</v>
      </c>
      <c r="Z911" s="4">
        <v>0</v>
      </c>
      <c r="AA911" s="4">
        <v>6.9999999999999999E-4</v>
      </c>
      <c r="AB911" s="4">
        <v>0</v>
      </c>
      <c r="AC911" s="56"/>
      <c r="AD911" s="23"/>
    </row>
    <row r="912" spans="1:30" s="14" customFormat="1">
      <c r="A912" s="79"/>
      <c r="B912" s="27"/>
      <c r="C912" s="130"/>
      <c r="D912" s="5">
        <f t="shared" ref="D912" si="1517">$C911*D911</f>
        <v>150.37630200000001</v>
      </c>
      <c r="E912" s="5">
        <f t="shared" ref="E912" si="1518">$C911*E911</f>
        <v>1316.4845580000001</v>
      </c>
      <c r="F912" s="5">
        <f t="shared" ref="F912:AB912" si="1519">$C911*F911</f>
        <v>543.38430600000004</v>
      </c>
      <c r="G912" s="5">
        <f t="shared" si="1519"/>
        <v>702.98614800000007</v>
      </c>
      <c r="H912" s="5">
        <f t="shared" si="1519"/>
        <v>365.33138400000007</v>
      </c>
      <c r="I912" s="5">
        <f t="shared" si="1519"/>
        <v>1150.4248380000001</v>
      </c>
      <c r="J912" s="5">
        <f t="shared" si="1519"/>
        <v>188.20101600000004</v>
      </c>
      <c r="K912" s="5">
        <f t="shared" si="1519"/>
        <v>287.83684800000003</v>
      </c>
      <c r="L912" s="5">
        <f t="shared" si="1519"/>
        <v>149.45374800000002</v>
      </c>
      <c r="M912" s="5">
        <f t="shared" si="1519"/>
        <v>233.40616200000002</v>
      </c>
      <c r="N912" s="5">
        <f t="shared" si="1519"/>
        <v>1369.99269</v>
      </c>
      <c r="O912" s="5">
        <f t="shared" si="1519"/>
        <v>208.49720400000001</v>
      </c>
      <c r="P912" s="5">
        <f t="shared" si="1519"/>
        <v>0</v>
      </c>
      <c r="Q912" s="5">
        <f t="shared" si="1519"/>
        <v>348.72541200000006</v>
      </c>
      <c r="R912" s="5">
        <f t="shared" si="1519"/>
        <v>166.98227400000002</v>
      </c>
      <c r="S912" s="5">
        <f t="shared" si="1519"/>
        <v>37.824714000000007</v>
      </c>
      <c r="T912" s="5">
        <f t="shared" si="1519"/>
        <v>464.96721600000006</v>
      </c>
      <c r="U912" s="5">
        <f t="shared" si="1519"/>
        <v>161.44695000000004</v>
      </c>
      <c r="V912" s="5">
        <f t="shared" si="1519"/>
        <v>333.96454800000004</v>
      </c>
      <c r="W912" s="5">
        <f t="shared" si="1519"/>
        <v>447.43869000000007</v>
      </c>
      <c r="X912" s="5">
        <f t="shared" si="1519"/>
        <v>568.29326400000002</v>
      </c>
      <c r="Y912" s="5">
        <f t="shared" si="1519"/>
        <v>23.063850000000002</v>
      </c>
      <c r="Z912" s="5">
        <f t="shared" si="1519"/>
        <v>0</v>
      </c>
      <c r="AA912" s="5">
        <f t="shared" si="1519"/>
        <v>6.4578780000000009</v>
      </c>
      <c r="AB912" s="5">
        <f t="shared" si="1519"/>
        <v>0</v>
      </c>
      <c r="AC912" s="56"/>
      <c r="AD912" s="23"/>
    </row>
    <row r="913" spans="1:30" s="14" customFormat="1">
      <c r="A913" s="78" t="s">
        <v>443</v>
      </c>
      <c r="B913" s="15">
        <v>110706.5</v>
      </c>
      <c r="C913" s="130">
        <f t="shared" si="1349"/>
        <v>9225.5400000000009</v>
      </c>
      <c r="D913" s="4"/>
      <c r="E913" s="4">
        <v>1</v>
      </c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56"/>
      <c r="AD913" s="23"/>
    </row>
    <row r="914" spans="1:30" s="14" customFormat="1">
      <c r="A914" s="79"/>
      <c r="B914" s="9"/>
      <c r="C914" s="130"/>
      <c r="D914" s="5">
        <f t="shared" ref="D914" si="1520">$C913*D913</f>
        <v>0</v>
      </c>
      <c r="E914" s="5">
        <f t="shared" ref="E914" si="1521">$C913*E913</f>
        <v>9225.5400000000009</v>
      </c>
      <c r="F914" s="5">
        <f t="shared" ref="F914:O914" si="1522">$C913*F913</f>
        <v>0</v>
      </c>
      <c r="G914" s="5">
        <f t="shared" si="1522"/>
        <v>0</v>
      </c>
      <c r="H914" s="5">
        <f t="shared" si="1522"/>
        <v>0</v>
      </c>
      <c r="I914" s="5">
        <f t="shared" si="1522"/>
        <v>0</v>
      </c>
      <c r="J914" s="5">
        <f t="shared" si="1522"/>
        <v>0</v>
      </c>
      <c r="K914" s="5">
        <f t="shared" si="1522"/>
        <v>0</v>
      </c>
      <c r="L914" s="5">
        <f t="shared" si="1522"/>
        <v>0</v>
      </c>
      <c r="M914" s="5">
        <f t="shared" si="1522"/>
        <v>0</v>
      </c>
      <c r="N914" s="5">
        <f t="shared" si="1522"/>
        <v>0</v>
      </c>
      <c r="O914" s="5">
        <f t="shared" si="1522"/>
        <v>0</v>
      </c>
      <c r="P914" s="5">
        <f t="shared" ref="P914" si="1523">$C913*P913</f>
        <v>0</v>
      </c>
      <c r="Q914" s="5">
        <f t="shared" ref="Q914" si="1524">$C913*Q913</f>
        <v>0</v>
      </c>
      <c r="R914" s="5">
        <f t="shared" ref="R914:AB914" si="1525">$C913*R913</f>
        <v>0</v>
      </c>
      <c r="S914" s="5">
        <f t="shared" si="1525"/>
        <v>0</v>
      </c>
      <c r="T914" s="5">
        <f t="shared" si="1525"/>
        <v>0</v>
      </c>
      <c r="U914" s="5">
        <f t="shared" si="1525"/>
        <v>0</v>
      </c>
      <c r="V914" s="5">
        <f t="shared" si="1525"/>
        <v>0</v>
      </c>
      <c r="W914" s="5">
        <f t="shared" si="1525"/>
        <v>0</v>
      </c>
      <c r="X914" s="5">
        <f t="shared" si="1525"/>
        <v>0</v>
      </c>
      <c r="Y914" s="5">
        <f t="shared" si="1525"/>
        <v>0</v>
      </c>
      <c r="Z914" s="5">
        <f t="shared" si="1525"/>
        <v>0</v>
      </c>
      <c r="AA914" s="5">
        <f t="shared" si="1525"/>
        <v>0</v>
      </c>
      <c r="AB914" s="5">
        <f t="shared" si="1525"/>
        <v>0</v>
      </c>
      <c r="AC914" s="56"/>
      <c r="AD914" s="23"/>
    </row>
    <row r="915" spans="1:30" s="14" customFormat="1">
      <c r="A915" s="85" t="s">
        <v>249</v>
      </c>
      <c r="B915" s="26">
        <v>9210782</v>
      </c>
      <c r="C915" s="130">
        <f t="shared" si="1349"/>
        <v>767565.17</v>
      </c>
      <c r="D915" s="37"/>
      <c r="E915" s="37">
        <v>0.34350000000000003</v>
      </c>
      <c r="F915" s="37">
        <v>3.9399999999999998E-2</v>
      </c>
      <c r="G915" s="37">
        <v>0.37040000000000001</v>
      </c>
      <c r="H915" s="37"/>
      <c r="I915" s="37"/>
      <c r="J915" s="37">
        <v>1.2E-2</v>
      </c>
      <c r="K915" s="37"/>
      <c r="L915" s="37">
        <v>0.1041</v>
      </c>
      <c r="M915" s="37"/>
      <c r="N915" s="37">
        <v>6.1899999999999997E-2</v>
      </c>
      <c r="O915" s="37"/>
      <c r="P915" s="37">
        <v>8.9999999999999998E-4</v>
      </c>
      <c r="Q915" s="37">
        <v>1.3899999999999999E-2</v>
      </c>
      <c r="R915" s="37"/>
      <c r="S915" s="37">
        <v>1.4E-3</v>
      </c>
      <c r="T915" s="37"/>
      <c r="U915" s="37">
        <v>3.09E-2</v>
      </c>
      <c r="V915" s="37"/>
      <c r="W915" s="37"/>
      <c r="X915" s="37">
        <v>0.02</v>
      </c>
      <c r="Y915" s="37">
        <v>8.0000000000000004E-4</v>
      </c>
      <c r="Z915" s="37">
        <v>8.0000000000000004E-4</v>
      </c>
      <c r="AA915" s="37">
        <v>0</v>
      </c>
      <c r="AB915" s="37">
        <v>0</v>
      </c>
      <c r="AC915" s="56"/>
      <c r="AD915" s="23"/>
    </row>
    <row r="916" spans="1:30" s="14" customFormat="1">
      <c r="A916" s="84"/>
      <c r="B916" s="27"/>
      <c r="C916" s="130"/>
      <c r="D916" s="42">
        <f t="shared" ref="D916" si="1526">$C915*D915</f>
        <v>0</v>
      </c>
      <c r="E916" s="42">
        <f t="shared" ref="E916" si="1527">$C915*E915</f>
        <v>263658.63589500001</v>
      </c>
      <c r="F916" s="42">
        <f t="shared" ref="F916:AB916" si="1528">$C915*F915</f>
        <v>30242.067697999999</v>
      </c>
      <c r="G916" s="42">
        <f t="shared" si="1528"/>
        <v>284306.13896800001</v>
      </c>
      <c r="H916" s="42">
        <f t="shared" si="1528"/>
        <v>0</v>
      </c>
      <c r="I916" s="42">
        <f t="shared" si="1528"/>
        <v>0</v>
      </c>
      <c r="J916" s="42">
        <f t="shared" si="1528"/>
        <v>9210.7820400000001</v>
      </c>
      <c r="K916" s="42">
        <f t="shared" si="1528"/>
        <v>0</v>
      </c>
      <c r="L916" s="42">
        <f t="shared" si="1528"/>
        <v>79903.534197000001</v>
      </c>
      <c r="M916" s="42">
        <f t="shared" si="1528"/>
        <v>0</v>
      </c>
      <c r="N916" s="42">
        <f t="shared" si="1528"/>
        <v>47512.284023</v>
      </c>
      <c r="O916" s="42">
        <f t="shared" si="1528"/>
        <v>0</v>
      </c>
      <c r="P916" s="42">
        <f t="shared" si="1528"/>
        <v>690.80865300000005</v>
      </c>
      <c r="Q916" s="42">
        <f t="shared" si="1528"/>
        <v>10669.155863</v>
      </c>
      <c r="R916" s="42">
        <f t="shared" si="1528"/>
        <v>0</v>
      </c>
      <c r="S916" s="42">
        <f t="shared" si="1528"/>
        <v>1074.591238</v>
      </c>
      <c r="T916" s="42">
        <f t="shared" si="1528"/>
        <v>0</v>
      </c>
      <c r="U916" s="42">
        <f t="shared" si="1528"/>
        <v>23717.763753000003</v>
      </c>
      <c r="V916" s="42">
        <f t="shared" si="1528"/>
        <v>0</v>
      </c>
      <c r="W916" s="42">
        <f t="shared" si="1528"/>
        <v>0</v>
      </c>
      <c r="X916" s="42">
        <f t="shared" si="1528"/>
        <v>15351.303400000001</v>
      </c>
      <c r="Y916" s="42">
        <f t="shared" si="1528"/>
        <v>614.05213600000002</v>
      </c>
      <c r="Z916" s="42">
        <f t="shared" si="1528"/>
        <v>614.05213600000002</v>
      </c>
      <c r="AA916" s="42">
        <f t="shared" si="1528"/>
        <v>0</v>
      </c>
      <c r="AB916" s="42">
        <f t="shared" si="1528"/>
        <v>0</v>
      </c>
      <c r="AC916" s="56"/>
      <c r="AD916" s="23"/>
    </row>
    <row r="917" spans="1:30" s="14" customFormat="1">
      <c r="A917" s="85" t="s">
        <v>250</v>
      </c>
      <c r="B917" s="26">
        <v>8078495</v>
      </c>
      <c r="C917" s="130">
        <f t="shared" ref="C917:C979" si="1529">ROUND(B917/12,2)</f>
        <v>673207.92</v>
      </c>
      <c r="D917" s="4"/>
      <c r="E917" s="4">
        <v>0.88300000000000001</v>
      </c>
      <c r="F917" s="4"/>
      <c r="G917" s="4">
        <v>8.8599999999999998E-2</v>
      </c>
      <c r="H917" s="4"/>
      <c r="I917" s="4"/>
      <c r="J917" s="4">
        <v>2.8400000000000002E-2</v>
      </c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56"/>
      <c r="AD917" s="23"/>
    </row>
    <row r="918" spans="1:30" s="14" customFormat="1">
      <c r="A918" s="84"/>
      <c r="B918" s="27"/>
      <c r="C918" s="130"/>
      <c r="D918" s="6">
        <f t="shared" ref="D918" si="1530">$C917*D917</f>
        <v>0</v>
      </c>
      <c r="E918" s="6">
        <f t="shared" ref="E918" si="1531">$C917*E917</f>
        <v>594442.59336000006</v>
      </c>
      <c r="F918" s="6">
        <f t="shared" ref="F918:AB918" si="1532">$C917*F917</f>
        <v>0</v>
      </c>
      <c r="G918" s="6">
        <f t="shared" si="1532"/>
        <v>59646.221712000006</v>
      </c>
      <c r="H918" s="6">
        <f t="shared" si="1532"/>
        <v>0</v>
      </c>
      <c r="I918" s="6">
        <f t="shared" si="1532"/>
        <v>0</v>
      </c>
      <c r="J918" s="6">
        <f t="shared" si="1532"/>
        <v>19119.104928000001</v>
      </c>
      <c r="K918" s="6">
        <f t="shared" si="1532"/>
        <v>0</v>
      </c>
      <c r="L918" s="6">
        <f t="shared" si="1532"/>
        <v>0</v>
      </c>
      <c r="M918" s="6">
        <f t="shared" si="1532"/>
        <v>0</v>
      </c>
      <c r="N918" s="6">
        <f t="shared" si="1532"/>
        <v>0</v>
      </c>
      <c r="O918" s="6">
        <f t="shared" si="1532"/>
        <v>0</v>
      </c>
      <c r="P918" s="6">
        <f t="shared" si="1532"/>
        <v>0</v>
      </c>
      <c r="Q918" s="6">
        <f t="shared" si="1532"/>
        <v>0</v>
      </c>
      <c r="R918" s="6">
        <f t="shared" si="1532"/>
        <v>0</v>
      </c>
      <c r="S918" s="6">
        <f t="shared" si="1532"/>
        <v>0</v>
      </c>
      <c r="T918" s="6">
        <f t="shared" si="1532"/>
        <v>0</v>
      </c>
      <c r="U918" s="6">
        <f t="shared" si="1532"/>
        <v>0</v>
      </c>
      <c r="V918" s="6">
        <f t="shared" si="1532"/>
        <v>0</v>
      </c>
      <c r="W918" s="6">
        <f t="shared" si="1532"/>
        <v>0</v>
      </c>
      <c r="X918" s="6">
        <f t="shared" si="1532"/>
        <v>0</v>
      </c>
      <c r="Y918" s="6">
        <f t="shared" si="1532"/>
        <v>0</v>
      </c>
      <c r="Z918" s="6">
        <f t="shared" si="1532"/>
        <v>0</v>
      </c>
      <c r="AA918" s="6">
        <f t="shared" si="1532"/>
        <v>0</v>
      </c>
      <c r="AB918" s="6">
        <f t="shared" si="1532"/>
        <v>0</v>
      </c>
      <c r="AC918" s="56"/>
      <c r="AD918" s="23"/>
    </row>
    <row r="919" spans="1:30" s="14" customFormat="1">
      <c r="A919" s="85" t="s">
        <v>251</v>
      </c>
      <c r="B919" s="26">
        <v>11182760</v>
      </c>
      <c r="C919" s="130">
        <f t="shared" si="1529"/>
        <v>931896.67</v>
      </c>
      <c r="D919" s="4"/>
      <c r="E919" s="4">
        <v>0.87180000000000002</v>
      </c>
      <c r="F919" s="4"/>
      <c r="G919" s="4">
        <v>0.10059999999999999</v>
      </c>
      <c r="H919" s="4"/>
      <c r="I919" s="4"/>
      <c r="J919" s="4">
        <v>2.76E-2</v>
      </c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56"/>
      <c r="AD919" s="23"/>
    </row>
    <row r="920" spans="1:30" s="14" customFormat="1">
      <c r="A920" s="84"/>
      <c r="B920" s="27"/>
      <c r="C920" s="130"/>
      <c r="D920" s="6">
        <f t="shared" ref="D920" si="1533">$C919*D919</f>
        <v>0</v>
      </c>
      <c r="E920" s="6">
        <f t="shared" ref="E920" si="1534">$C919*E919</f>
        <v>812427.51690600009</v>
      </c>
      <c r="F920" s="6">
        <f t="shared" ref="F920:AB920" si="1535">$C919*F919</f>
        <v>0</v>
      </c>
      <c r="G920" s="6">
        <f t="shared" si="1535"/>
        <v>93748.805001999994</v>
      </c>
      <c r="H920" s="6">
        <f t="shared" si="1535"/>
        <v>0</v>
      </c>
      <c r="I920" s="6">
        <f t="shared" si="1535"/>
        <v>0</v>
      </c>
      <c r="J920" s="6">
        <f t="shared" si="1535"/>
        <v>25720.348092</v>
      </c>
      <c r="K920" s="6">
        <f t="shared" si="1535"/>
        <v>0</v>
      </c>
      <c r="L920" s="6">
        <f t="shared" si="1535"/>
        <v>0</v>
      </c>
      <c r="M920" s="6">
        <f t="shared" si="1535"/>
        <v>0</v>
      </c>
      <c r="N920" s="6">
        <f t="shared" si="1535"/>
        <v>0</v>
      </c>
      <c r="O920" s="6">
        <f t="shared" si="1535"/>
        <v>0</v>
      </c>
      <c r="P920" s="6">
        <f t="shared" si="1535"/>
        <v>0</v>
      </c>
      <c r="Q920" s="6">
        <f t="shared" si="1535"/>
        <v>0</v>
      </c>
      <c r="R920" s="6">
        <f t="shared" si="1535"/>
        <v>0</v>
      </c>
      <c r="S920" s="6">
        <f t="shared" si="1535"/>
        <v>0</v>
      </c>
      <c r="T920" s="6">
        <f t="shared" si="1535"/>
        <v>0</v>
      </c>
      <c r="U920" s="6">
        <f t="shared" si="1535"/>
        <v>0</v>
      </c>
      <c r="V920" s="6">
        <f t="shared" si="1535"/>
        <v>0</v>
      </c>
      <c r="W920" s="6">
        <f t="shared" si="1535"/>
        <v>0</v>
      </c>
      <c r="X920" s="6">
        <f t="shared" si="1535"/>
        <v>0</v>
      </c>
      <c r="Y920" s="6">
        <f t="shared" si="1535"/>
        <v>0</v>
      </c>
      <c r="Z920" s="6">
        <f t="shared" si="1535"/>
        <v>0</v>
      </c>
      <c r="AA920" s="6">
        <f t="shared" si="1535"/>
        <v>0</v>
      </c>
      <c r="AB920" s="6">
        <f t="shared" si="1535"/>
        <v>0</v>
      </c>
      <c r="AC920" s="56"/>
      <c r="AD920" s="23"/>
    </row>
    <row r="921" spans="1:30" s="14" customFormat="1" ht="12.6" customHeight="1">
      <c r="A921" s="85" t="s">
        <v>252</v>
      </c>
      <c r="B921" s="26">
        <v>952699</v>
      </c>
      <c r="C921" s="130">
        <f t="shared" si="1529"/>
        <v>79391.58</v>
      </c>
      <c r="D921" s="4"/>
      <c r="E921" s="4">
        <v>0.89970000000000006</v>
      </c>
      <c r="F921" s="4"/>
      <c r="G921" s="4"/>
      <c r="H921" s="4"/>
      <c r="I921" s="4"/>
      <c r="J921" s="4">
        <v>0.1003</v>
      </c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56"/>
      <c r="AD921" s="23"/>
    </row>
    <row r="922" spans="1:30" s="14" customFormat="1">
      <c r="A922" s="84"/>
      <c r="B922" s="27"/>
      <c r="C922" s="130"/>
      <c r="D922" s="6">
        <f t="shared" ref="D922" si="1536">$C921*D921</f>
        <v>0</v>
      </c>
      <c r="E922" s="6">
        <f t="shared" ref="E922" si="1537">$C921*E921</f>
        <v>71428.60452600001</v>
      </c>
      <c r="F922" s="6">
        <f t="shared" ref="F922:AB922" si="1538">$C921*F921</f>
        <v>0</v>
      </c>
      <c r="G922" s="6">
        <f t="shared" si="1538"/>
        <v>0</v>
      </c>
      <c r="H922" s="6">
        <f t="shared" si="1538"/>
        <v>0</v>
      </c>
      <c r="I922" s="6">
        <f t="shared" si="1538"/>
        <v>0</v>
      </c>
      <c r="J922" s="6">
        <f t="shared" si="1538"/>
        <v>7962.9754739999998</v>
      </c>
      <c r="K922" s="6">
        <f t="shared" si="1538"/>
        <v>0</v>
      </c>
      <c r="L922" s="6">
        <f t="shared" si="1538"/>
        <v>0</v>
      </c>
      <c r="M922" s="6">
        <f t="shared" si="1538"/>
        <v>0</v>
      </c>
      <c r="N922" s="6">
        <f t="shared" si="1538"/>
        <v>0</v>
      </c>
      <c r="O922" s="6">
        <f t="shared" si="1538"/>
        <v>0</v>
      </c>
      <c r="P922" s="6">
        <f t="shared" si="1538"/>
        <v>0</v>
      </c>
      <c r="Q922" s="6">
        <f t="shared" si="1538"/>
        <v>0</v>
      </c>
      <c r="R922" s="6">
        <f t="shared" si="1538"/>
        <v>0</v>
      </c>
      <c r="S922" s="6">
        <f t="shared" si="1538"/>
        <v>0</v>
      </c>
      <c r="T922" s="6">
        <f t="shared" si="1538"/>
        <v>0</v>
      </c>
      <c r="U922" s="6">
        <f t="shared" si="1538"/>
        <v>0</v>
      </c>
      <c r="V922" s="6">
        <f t="shared" si="1538"/>
        <v>0</v>
      </c>
      <c r="W922" s="6">
        <f t="shared" si="1538"/>
        <v>0</v>
      </c>
      <c r="X922" s="6">
        <f t="shared" si="1538"/>
        <v>0</v>
      </c>
      <c r="Y922" s="6">
        <f t="shared" si="1538"/>
        <v>0</v>
      </c>
      <c r="Z922" s="6">
        <f t="shared" si="1538"/>
        <v>0</v>
      </c>
      <c r="AA922" s="6">
        <f t="shared" si="1538"/>
        <v>0</v>
      </c>
      <c r="AB922" s="6">
        <f t="shared" si="1538"/>
        <v>0</v>
      </c>
      <c r="AC922" s="56"/>
      <c r="AD922" s="23"/>
    </row>
    <row r="923" spans="1:30" s="14" customFormat="1">
      <c r="A923" s="85" t="s">
        <v>253</v>
      </c>
      <c r="B923" s="26">
        <v>2761508</v>
      </c>
      <c r="C923" s="130">
        <f t="shared" si="1529"/>
        <v>230125.67</v>
      </c>
      <c r="D923" s="4"/>
      <c r="E923" s="4">
        <v>0.90649999999999997</v>
      </c>
      <c r="F923" s="4"/>
      <c r="G923" s="4"/>
      <c r="H923" s="4"/>
      <c r="I923" s="4"/>
      <c r="J923" s="4">
        <v>9.35E-2</v>
      </c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56"/>
      <c r="AD923" s="23"/>
    </row>
    <row r="924" spans="1:30" s="14" customFormat="1">
      <c r="A924" s="84"/>
      <c r="B924" s="27"/>
      <c r="C924" s="130"/>
      <c r="D924" s="6">
        <f t="shared" ref="D924" si="1539">$C923*D923</f>
        <v>0</v>
      </c>
      <c r="E924" s="6">
        <f t="shared" ref="E924" si="1540">$C923*E923</f>
        <v>208608.91985500001</v>
      </c>
      <c r="F924" s="6">
        <f t="shared" ref="F924:AB924" si="1541">$C923*F923</f>
        <v>0</v>
      </c>
      <c r="G924" s="6">
        <f t="shared" si="1541"/>
        <v>0</v>
      </c>
      <c r="H924" s="6">
        <f t="shared" si="1541"/>
        <v>0</v>
      </c>
      <c r="I924" s="6">
        <f t="shared" si="1541"/>
        <v>0</v>
      </c>
      <c r="J924" s="6">
        <f t="shared" si="1541"/>
        <v>21516.750145000002</v>
      </c>
      <c r="K924" s="6">
        <f t="shared" si="1541"/>
        <v>0</v>
      </c>
      <c r="L924" s="6">
        <f t="shared" si="1541"/>
        <v>0</v>
      </c>
      <c r="M924" s="6">
        <f t="shared" si="1541"/>
        <v>0</v>
      </c>
      <c r="N924" s="6">
        <f t="shared" si="1541"/>
        <v>0</v>
      </c>
      <c r="O924" s="6">
        <f t="shared" si="1541"/>
        <v>0</v>
      </c>
      <c r="P924" s="6">
        <f t="shared" si="1541"/>
        <v>0</v>
      </c>
      <c r="Q924" s="6">
        <f t="shared" si="1541"/>
        <v>0</v>
      </c>
      <c r="R924" s="6">
        <f t="shared" si="1541"/>
        <v>0</v>
      </c>
      <c r="S924" s="6">
        <f t="shared" si="1541"/>
        <v>0</v>
      </c>
      <c r="T924" s="6">
        <f t="shared" si="1541"/>
        <v>0</v>
      </c>
      <c r="U924" s="6">
        <f t="shared" si="1541"/>
        <v>0</v>
      </c>
      <c r="V924" s="6">
        <f t="shared" si="1541"/>
        <v>0</v>
      </c>
      <c r="W924" s="6">
        <f t="shared" si="1541"/>
        <v>0</v>
      </c>
      <c r="X924" s="6">
        <f t="shared" si="1541"/>
        <v>0</v>
      </c>
      <c r="Y924" s="6">
        <f t="shared" si="1541"/>
        <v>0</v>
      </c>
      <c r="Z924" s="6">
        <f t="shared" si="1541"/>
        <v>0</v>
      </c>
      <c r="AA924" s="6">
        <f t="shared" si="1541"/>
        <v>0</v>
      </c>
      <c r="AB924" s="6">
        <f t="shared" si="1541"/>
        <v>0</v>
      </c>
      <c r="AC924" s="56"/>
      <c r="AD924" s="23"/>
    </row>
    <row r="925" spans="1:30" s="14" customFormat="1">
      <c r="A925" s="85" t="s">
        <v>254</v>
      </c>
      <c r="B925" s="26">
        <v>1246724</v>
      </c>
      <c r="C925" s="130">
        <f t="shared" si="1529"/>
        <v>103893.67</v>
      </c>
      <c r="D925" s="37"/>
      <c r="E925" s="37">
        <v>0.69410000000000005</v>
      </c>
      <c r="F925" s="37"/>
      <c r="G925" s="37">
        <v>0.2311</v>
      </c>
      <c r="H925" s="37"/>
      <c r="I925" s="37"/>
      <c r="J925" s="37"/>
      <c r="K925" s="37"/>
      <c r="L925" s="37"/>
      <c r="M925" s="37"/>
      <c r="N925" s="37"/>
      <c r="O925" s="37"/>
      <c r="P925" s="37">
        <v>1.9E-3</v>
      </c>
      <c r="Q925" s="37"/>
      <c r="R925" s="37"/>
      <c r="S925" s="37"/>
      <c r="T925" s="37"/>
      <c r="U925" s="37">
        <v>2.4199999999999999E-2</v>
      </c>
      <c r="V925" s="37"/>
      <c r="W925" s="37"/>
      <c r="X925" s="37">
        <v>4.5199999999999997E-2</v>
      </c>
      <c r="Y925" s="37">
        <v>1.8E-3</v>
      </c>
      <c r="Z925" s="37">
        <v>1.6999999999999999E-3</v>
      </c>
      <c r="AA925" s="37">
        <v>0</v>
      </c>
      <c r="AB925" s="37">
        <v>0</v>
      </c>
      <c r="AC925" s="56"/>
      <c r="AD925" s="23"/>
    </row>
    <row r="926" spans="1:30" s="14" customFormat="1">
      <c r="A926" s="84"/>
      <c r="B926" s="27"/>
      <c r="C926" s="130"/>
      <c r="D926" s="42">
        <f t="shared" ref="D926" si="1542">$C925*D925</f>
        <v>0</v>
      </c>
      <c r="E926" s="42">
        <f t="shared" ref="E926" si="1543">$C925*E925</f>
        <v>72112.596346999999</v>
      </c>
      <c r="F926" s="42">
        <f t="shared" ref="F926:AB926" si="1544">$C925*F925</f>
        <v>0</v>
      </c>
      <c r="G926" s="42">
        <f t="shared" si="1544"/>
        <v>24009.827137</v>
      </c>
      <c r="H926" s="42">
        <f t="shared" si="1544"/>
        <v>0</v>
      </c>
      <c r="I926" s="42">
        <f t="shared" si="1544"/>
        <v>0</v>
      </c>
      <c r="J926" s="42">
        <f t="shared" si="1544"/>
        <v>0</v>
      </c>
      <c r="K926" s="42">
        <f t="shared" si="1544"/>
        <v>0</v>
      </c>
      <c r="L926" s="42">
        <f t="shared" si="1544"/>
        <v>0</v>
      </c>
      <c r="M926" s="42">
        <f t="shared" si="1544"/>
        <v>0</v>
      </c>
      <c r="N926" s="42">
        <f t="shared" si="1544"/>
        <v>0</v>
      </c>
      <c r="O926" s="42">
        <f t="shared" si="1544"/>
        <v>0</v>
      </c>
      <c r="P926" s="42">
        <f t="shared" si="1544"/>
        <v>197.39797300000001</v>
      </c>
      <c r="Q926" s="42">
        <f t="shared" si="1544"/>
        <v>0</v>
      </c>
      <c r="R926" s="42">
        <f t="shared" si="1544"/>
        <v>0</v>
      </c>
      <c r="S926" s="42">
        <f t="shared" si="1544"/>
        <v>0</v>
      </c>
      <c r="T926" s="42">
        <f t="shared" si="1544"/>
        <v>0</v>
      </c>
      <c r="U926" s="42">
        <f t="shared" si="1544"/>
        <v>2514.2268140000001</v>
      </c>
      <c r="V926" s="42">
        <f t="shared" si="1544"/>
        <v>0</v>
      </c>
      <c r="W926" s="42">
        <f t="shared" si="1544"/>
        <v>0</v>
      </c>
      <c r="X926" s="42">
        <f t="shared" si="1544"/>
        <v>4695.9938839999995</v>
      </c>
      <c r="Y926" s="42">
        <f t="shared" si="1544"/>
        <v>187.00860599999999</v>
      </c>
      <c r="Z926" s="42">
        <f t="shared" si="1544"/>
        <v>176.61923899999999</v>
      </c>
      <c r="AA926" s="42">
        <f t="shared" si="1544"/>
        <v>0</v>
      </c>
      <c r="AB926" s="42">
        <f t="shared" si="1544"/>
        <v>0</v>
      </c>
      <c r="AC926" s="56"/>
      <c r="AD926" s="23"/>
    </row>
    <row r="927" spans="1:30" s="14" customFormat="1">
      <c r="A927" s="78" t="s">
        <v>255</v>
      </c>
      <c r="B927" s="26">
        <v>1175069.5</v>
      </c>
      <c r="C927" s="130">
        <f t="shared" si="1529"/>
        <v>97922.46</v>
      </c>
      <c r="D927" s="35">
        <v>1.6299999999999999E-2</v>
      </c>
      <c r="E927" s="35">
        <v>0.14269999999999999</v>
      </c>
      <c r="F927" s="35">
        <v>5.8900000000000001E-2</v>
      </c>
      <c r="G927" s="35">
        <v>7.6200000000000004E-2</v>
      </c>
      <c r="H927" s="35">
        <v>3.9600000000000003E-2</v>
      </c>
      <c r="I927" s="35">
        <v>0.12470000000000001</v>
      </c>
      <c r="J927" s="35">
        <v>2.0400000000000001E-2</v>
      </c>
      <c r="K927" s="35">
        <v>3.1199999999999999E-2</v>
      </c>
      <c r="L927" s="35">
        <v>1.6199999999999999E-2</v>
      </c>
      <c r="M927" s="35">
        <v>2.53E-2</v>
      </c>
      <c r="N927" s="35">
        <v>0.14849999999999999</v>
      </c>
      <c r="O927" s="35">
        <v>2.2599999999999999E-2</v>
      </c>
      <c r="P927" s="35">
        <v>0</v>
      </c>
      <c r="Q927" s="35">
        <v>3.78E-2</v>
      </c>
      <c r="R927" s="35">
        <v>1.8100000000000002E-2</v>
      </c>
      <c r="S927" s="35">
        <v>4.1000000000000003E-3</v>
      </c>
      <c r="T927" s="35">
        <v>5.04E-2</v>
      </c>
      <c r="U927" s="35">
        <v>1.7500000000000002E-2</v>
      </c>
      <c r="V927" s="35">
        <v>3.6200000000000003E-2</v>
      </c>
      <c r="W927" s="35">
        <v>4.8500000000000001E-2</v>
      </c>
      <c r="X927" s="35">
        <v>6.1600000000000002E-2</v>
      </c>
      <c r="Y927" s="35">
        <v>2.5000000000000001E-3</v>
      </c>
      <c r="Z927" s="4">
        <v>0</v>
      </c>
      <c r="AA927" s="4">
        <v>6.9999999999999999E-4</v>
      </c>
      <c r="AB927" s="4">
        <v>0</v>
      </c>
      <c r="AC927" s="56"/>
      <c r="AD927" s="23"/>
    </row>
    <row r="928" spans="1:30" s="14" customFormat="1">
      <c r="A928" s="79"/>
      <c r="B928" s="27"/>
      <c r="C928" s="130"/>
      <c r="D928" s="5">
        <f t="shared" ref="D928" si="1545">$C927*D927</f>
        <v>1596.1360979999999</v>
      </c>
      <c r="E928" s="5">
        <f t="shared" ref="E928" si="1546">$C927*E927</f>
        <v>13973.535042</v>
      </c>
      <c r="F928" s="5">
        <f t="shared" ref="F928:AB928" si="1547">$C927*F927</f>
        <v>5767.6328940000003</v>
      </c>
      <c r="G928" s="5">
        <f t="shared" si="1547"/>
        <v>7461.6914520000009</v>
      </c>
      <c r="H928" s="5">
        <f t="shared" si="1547"/>
        <v>3877.7294160000006</v>
      </c>
      <c r="I928" s="5">
        <f t="shared" si="1547"/>
        <v>12210.930762000002</v>
      </c>
      <c r="J928" s="5">
        <f t="shared" si="1547"/>
        <v>1997.6181840000004</v>
      </c>
      <c r="K928" s="5">
        <f t="shared" si="1547"/>
        <v>3055.1807520000002</v>
      </c>
      <c r="L928" s="5">
        <f t="shared" si="1547"/>
        <v>1586.343852</v>
      </c>
      <c r="M928" s="5">
        <f t="shared" si="1547"/>
        <v>2477.4382380000002</v>
      </c>
      <c r="N928" s="5">
        <f t="shared" si="1547"/>
        <v>14541.48531</v>
      </c>
      <c r="O928" s="5">
        <f t="shared" si="1547"/>
        <v>2213.0475959999999</v>
      </c>
      <c r="P928" s="5">
        <f t="shared" si="1547"/>
        <v>0</v>
      </c>
      <c r="Q928" s="5">
        <f t="shared" si="1547"/>
        <v>3701.4689880000001</v>
      </c>
      <c r="R928" s="5">
        <f t="shared" si="1547"/>
        <v>1772.3965260000002</v>
      </c>
      <c r="S928" s="5">
        <f t="shared" si="1547"/>
        <v>401.48208600000004</v>
      </c>
      <c r="T928" s="5">
        <f t="shared" si="1547"/>
        <v>4935.2919840000004</v>
      </c>
      <c r="U928" s="5">
        <f t="shared" si="1547"/>
        <v>1713.6430500000004</v>
      </c>
      <c r="V928" s="5">
        <f t="shared" si="1547"/>
        <v>3544.7930520000004</v>
      </c>
      <c r="W928" s="5">
        <f t="shared" si="1547"/>
        <v>4749.2393100000008</v>
      </c>
      <c r="X928" s="5">
        <f t="shared" si="1547"/>
        <v>6032.0235360000006</v>
      </c>
      <c r="Y928" s="5">
        <f t="shared" si="1547"/>
        <v>244.80615000000003</v>
      </c>
      <c r="Z928" s="5">
        <f t="shared" si="1547"/>
        <v>0</v>
      </c>
      <c r="AA928" s="5">
        <f t="shared" si="1547"/>
        <v>68.545721999999998</v>
      </c>
      <c r="AB928" s="5">
        <f t="shared" si="1547"/>
        <v>0</v>
      </c>
      <c r="AC928" s="56"/>
      <c r="AD928" s="23"/>
    </row>
    <row r="929" spans="1:30" s="14" customFormat="1">
      <c r="A929" s="78" t="s">
        <v>444</v>
      </c>
      <c r="B929" s="15">
        <v>1175069.5</v>
      </c>
      <c r="C929" s="130">
        <f t="shared" si="1529"/>
        <v>97922.46</v>
      </c>
      <c r="D929" s="4"/>
      <c r="E929" s="4">
        <v>1</v>
      </c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56"/>
      <c r="AD929" s="23"/>
    </row>
    <row r="930" spans="1:30" s="14" customFormat="1">
      <c r="A930" s="79"/>
      <c r="B930" s="9"/>
      <c r="C930" s="130"/>
      <c r="D930" s="5">
        <f t="shared" ref="D930" si="1548">$C929*D929</f>
        <v>0</v>
      </c>
      <c r="E930" s="5">
        <f t="shared" ref="E930" si="1549">$C929*E929</f>
        <v>97922.46</v>
      </c>
      <c r="F930" s="5">
        <f t="shared" ref="F930:O930" si="1550">$C929*F929</f>
        <v>0</v>
      </c>
      <c r="G930" s="5">
        <f t="shared" si="1550"/>
        <v>0</v>
      </c>
      <c r="H930" s="5">
        <f t="shared" si="1550"/>
        <v>0</v>
      </c>
      <c r="I930" s="5">
        <f t="shared" si="1550"/>
        <v>0</v>
      </c>
      <c r="J930" s="5">
        <f t="shared" si="1550"/>
        <v>0</v>
      </c>
      <c r="K930" s="5">
        <f t="shared" si="1550"/>
        <v>0</v>
      </c>
      <c r="L930" s="5">
        <f t="shared" si="1550"/>
        <v>0</v>
      </c>
      <c r="M930" s="5">
        <f t="shared" si="1550"/>
        <v>0</v>
      </c>
      <c r="N930" s="5">
        <f t="shared" si="1550"/>
        <v>0</v>
      </c>
      <c r="O930" s="5">
        <f t="shared" si="1550"/>
        <v>0</v>
      </c>
      <c r="P930" s="5">
        <f t="shared" ref="P930" si="1551">$C929*P929</f>
        <v>0</v>
      </c>
      <c r="Q930" s="5">
        <f t="shared" ref="Q930" si="1552">$C929*Q929</f>
        <v>0</v>
      </c>
      <c r="R930" s="5">
        <f t="shared" ref="R930:AB930" si="1553">$C929*R929</f>
        <v>0</v>
      </c>
      <c r="S930" s="5">
        <f t="shared" si="1553"/>
        <v>0</v>
      </c>
      <c r="T930" s="5">
        <f t="shared" si="1553"/>
        <v>0</v>
      </c>
      <c r="U930" s="5">
        <f t="shared" si="1553"/>
        <v>0</v>
      </c>
      <c r="V930" s="5">
        <f t="shared" si="1553"/>
        <v>0</v>
      </c>
      <c r="W930" s="5">
        <f t="shared" si="1553"/>
        <v>0</v>
      </c>
      <c r="X930" s="5">
        <f t="shared" si="1553"/>
        <v>0</v>
      </c>
      <c r="Y930" s="5">
        <f t="shared" si="1553"/>
        <v>0</v>
      </c>
      <c r="Z930" s="5">
        <f t="shared" si="1553"/>
        <v>0</v>
      </c>
      <c r="AA930" s="5">
        <f t="shared" si="1553"/>
        <v>0</v>
      </c>
      <c r="AB930" s="5">
        <f t="shared" si="1553"/>
        <v>0</v>
      </c>
      <c r="AC930" s="56"/>
      <c r="AD930" s="23"/>
    </row>
    <row r="931" spans="1:30" s="14" customFormat="1">
      <c r="A931" s="85" t="s">
        <v>256</v>
      </c>
      <c r="B931" s="26">
        <v>7405221</v>
      </c>
      <c r="C931" s="130">
        <f t="shared" si="1529"/>
        <v>617101.75</v>
      </c>
      <c r="D931" s="4"/>
      <c r="E931" s="4">
        <v>0.93740000000000001</v>
      </c>
      <c r="F931" s="4">
        <v>4.3999999999999997E-2</v>
      </c>
      <c r="G931" s="4">
        <v>7.4000000000000003E-3</v>
      </c>
      <c r="H931" s="4"/>
      <c r="I931" s="4"/>
      <c r="J931" s="4"/>
      <c r="K931" s="4"/>
      <c r="L931" s="4">
        <v>1.11E-2</v>
      </c>
      <c r="M931" s="4"/>
      <c r="N931" s="4"/>
      <c r="O931" s="4"/>
      <c r="P931" s="4"/>
      <c r="Q931" s="4"/>
      <c r="R931" s="4"/>
      <c r="S931" s="4"/>
      <c r="T931" s="4"/>
      <c r="U931" s="4">
        <v>1E-4</v>
      </c>
      <c r="V931" s="4"/>
      <c r="W931" s="4"/>
      <c r="X931" s="4"/>
      <c r="Y931" s="4"/>
      <c r="Z931" s="4"/>
      <c r="AA931" s="4"/>
      <c r="AB931" s="4"/>
      <c r="AC931" s="56"/>
      <c r="AD931" s="23"/>
    </row>
    <row r="932" spans="1:30" s="14" customFormat="1">
      <c r="A932" s="84"/>
      <c r="B932" s="27"/>
      <c r="C932" s="130"/>
      <c r="D932" s="6">
        <f t="shared" ref="D932" si="1554">$C931*D931</f>
        <v>0</v>
      </c>
      <c r="E932" s="6">
        <f t="shared" ref="E932" si="1555">$C931*E931</f>
        <v>578471.18044999999</v>
      </c>
      <c r="F932" s="6">
        <f t="shared" ref="F932:AB932" si="1556">$C931*F931</f>
        <v>27152.476999999999</v>
      </c>
      <c r="G932" s="6">
        <f t="shared" si="1556"/>
        <v>4566.5529500000002</v>
      </c>
      <c r="H932" s="6">
        <f t="shared" si="1556"/>
        <v>0</v>
      </c>
      <c r="I932" s="6">
        <f t="shared" si="1556"/>
        <v>0</v>
      </c>
      <c r="J932" s="6">
        <f t="shared" si="1556"/>
        <v>0</v>
      </c>
      <c r="K932" s="6">
        <f t="shared" si="1556"/>
        <v>0</v>
      </c>
      <c r="L932" s="6">
        <f t="shared" si="1556"/>
        <v>6849.8294249999999</v>
      </c>
      <c r="M932" s="6">
        <f t="shared" si="1556"/>
        <v>0</v>
      </c>
      <c r="N932" s="6">
        <f t="shared" si="1556"/>
        <v>0</v>
      </c>
      <c r="O932" s="6">
        <f t="shared" si="1556"/>
        <v>0</v>
      </c>
      <c r="P932" s="6">
        <f t="shared" si="1556"/>
        <v>0</v>
      </c>
      <c r="Q932" s="6">
        <f t="shared" si="1556"/>
        <v>0</v>
      </c>
      <c r="R932" s="6">
        <f t="shared" si="1556"/>
        <v>0</v>
      </c>
      <c r="S932" s="6">
        <f t="shared" si="1556"/>
        <v>0</v>
      </c>
      <c r="T932" s="6">
        <f t="shared" si="1556"/>
        <v>0</v>
      </c>
      <c r="U932" s="6">
        <f t="shared" si="1556"/>
        <v>61.710175</v>
      </c>
      <c r="V932" s="6">
        <f t="shared" si="1556"/>
        <v>0</v>
      </c>
      <c r="W932" s="6">
        <f t="shared" si="1556"/>
        <v>0</v>
      </c>
      <c r="X932" s="6">
        <f t="shared" si="1556"/>
        <v>0</v>
      </c>
      <c r="Y932" s="6">
        <f t="shared" si="1556"/>
        <v>0</v>
      </c>
      <c r="Z932" s="6">
        <f t="shared" si="1556"/>
        <v>0</v>
      </c>
      <c r="AA932" s="6">
        <f t="shared" si="1556"/>
        <v>0</v>
      </c>
      <c r="AB932" s="6">
        <f t="shared" si="1556"/>
        <v>0</v>
      </c>
      <c r="AC932" s="56"/>
      <c r="AD932" s="23"/>
    </row>
    <row r="933" spans="1:30" s="14" customFormat="1">
      <c r="A933" s="85" t="s">
        <v>257</v>
      </c>
      <c r="B933" s="26">
        <v>3584913</v>
      </c>
      <c r="C933" s="130">
        <f t="shared" si="1529"/>
        <v>298742.75</v>
      </c>
      <c r="D933" s="4"/>
      <c r="E933" s="4">
        <v>0.89970000000000006</v>
      </c>
      <c r="F933" s="4"/>
      <c r="G933" s="4"/>
      <c r="H933" s="4"/>
      <c r="I933" s="4"/>
      <c r="J933" s="4">
        <v>0.1003</v>
      </c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56"/>
      <c r="AD933" s="23"/>
    </row>
    <row r="934" spans="1:30" s="14" customFormat="1">
      <c r="A934" s="84"/>
      <c r="B934" s="27"/>
      <c r="C934" s="130"/>
      <c r="D934" s="6">
        <f t="shared" ref="D934" si="1557">$C933*D933</f>
        <v>0</v>
      </c>
      <c r="E934" s="6">
        <f t="shared" ref="E934" si="1558">$C933*E933</f>
        <v>268778.85217500001</v>
      </c>
      <c r="F934" s="6">
        <f t="shared" ref="F934:AB934" si="1559">$C933*F933</f>
        <v>0</v>
      </c>
      <c r="G934" s="6">
        <f t="shared" si="1559"/>
        <v>0</v>
      </c>
      <c r="H934" s="6">
        <f t="shared" si="1559"/>
        <v>0</v>
      </c>
      <c r="I934" s="6">
        <f t="shared" si="1559"/>
        <v>0</v>
      </c>
      <c r="J934" s="6">
        <f t="shared" si="1559"/>
        <v>29963.897825</v>
      </c>
      <c r="K934" s="6">
        <f t="shared" si="1559"/>
        <v>0</v>
      </c>
      <c r="L934" s="6">
        <f t="shared" si="1559"/>
        <v>0</v>
      </c>
      <c r="M934" s="6">
        <f t="shared" si="1559"/>
        <v>0</v>
      </c>
      <c r="N934" s="6">
        <f t="shared" si="1559"/>
        <v>0</v>
      </c>
      <c r="O934" s="6">
        <f t="shared" si="1559"/>
        <v>0</v>
      </c>
      <c r="P934" s="6">
        <f t="shared" si="1559"/>
        <v>0</v>
      </c>
      <c r="Q934" s="6">
        <f t="shared" si="1559"/>
        <v>0</v>
      </c>
      <c r="R934" s="6">
        <f t="shared" si="1559"/>
        <v>0</v>
      </c>
      <c r="S934" s="6">
        <f t="shared" si="1559"/>
        <v>0</v>
      </c>
      <c r="T934" s="6">
        <f t="shared" si="1559"/>
        <v>0</v>
      </c>
      <c r="U934" s="6">
        <f t="shared" si="1559"/>
        <v>0</v>
      </c>
      <c r="V934" s="6">
        <f t="shared" si="1559"/>
        <v>0</v>
      </c>
      <c r="W934" s="6">
        <f t="shared" si="1559"/>
        <v>0</v>
      </c>
      <c r="X934" s="6">
        <f t="shared" si="1559"/>
        <v>0</v>
      </c>
      <c r="Y934" s="6">
        <f t="shared" si="1559"/>
        <v>0</v>
      </c>
      <c r="Z934" s="6">
        <f t="shared" si="1559"/>
        <v>0</v>
      </c>
      <c r="AA934" s="6">
        <f t="shared" si="1559"/>
        <v>0</v>
      </c>
      <c r="AB934" s="6">
        <f t="shared" si="1559"/>
        <v>0</v>
      </c>
      <c r="AC934" s="56"/>
      <c r="AD934" s="23"/>
    </row>
    <row r="935" spans="1:30" s="14" customFormat="1">
      <c r="A935" s="85" t="s">
        <v>258</v>
      </c>
      <c r="B935" s="26">
        <v>5821549</v>
      </c>
      <c r="C935" s="130">
        <f t="shared" si="1529"/>
        <v>485129.08</v>
      </c>
      <c r="D935" s="4"/>
      <c r="E935" s="4"/>
      <c r="F935" s="4"/>
      <c r="G935" s="4">
        <v>0.61080000000000001</v>
      </c>
      <c r="H935" s="4"/>
      <c r="I935" s="4"/>
      <c r="J935" s="4"/>
      <c r="K935" s="4"/>
      <c r="L935" s="4">
        <v>0.21870000000000001</v>
      </c>
      <c r="M935" s="4"/>
      <c r="N935" s="4">
        <v>0.13969999999999999</v>
      </c>
      <c r="O935" s="4"/>
      <c r="P935" s="4"/>
      <c r="Q935" s="4"/>
      <c r="R935" s="4"/>
      <c r="S935" s="4"/>
      <c r="T935" s="4"/>
      <c r="U935" s="4">
        <v>3.0800000000000001E-2</v>
      </c>
      <c r="V935" s="4"/>
      <c r="W935" s="4"/>
      <c r="X935" s="4"/>
      <c r="Y935" s="4"/>
      <c r="Z935" s="4"/>
      <c r="AA935" s="4"/>
      <c r="AB935" s="4"/>
      <c r="AC935" s="56"/>
      <c r="AD935" s="23"/>
    </row>
    <row r="936" spans="1:30" s="14" customFormat="1">
      <c r="A936" s="84"/>
      <c r="B936" s="27"/>
      <c r="C936" s="130"/>
      <c r="D936" s="6">
        <f t="shared" ref="D936" si="1560">$C935*D935</f>
        <v>0</v>
      </c>
      <c r="E936" s="6">
        <f t="shared" ref="E936" si="1561">$C935*E935</f>
        <v>0</v>
      </c>
      <c r="F936" s="6">
        <f t="shared" ref="F936:AB936" si="1562">$C935*F935</f>
        <v>0</v>
      </c>
      <c r="G936" s="6">
        <f t="shared" si="1562"/>
        <v>296316.84206400003</v>
      </c>
      <c r="H936" s="6">
        <f t="shared" si="1562"/>
        <v>0</v>
      </c>
      <c r="I936" s="6">
        <f t="shared" si="1562"/>
        <v>0</v>
      </c>
      <c r="J936" s="6">
        <f t="shared" si="1562"/>
        <v>0</v>
      </c>
      <c r="K936" s="6">
        <f t="shared" si="1562"/>
        <v>0</v>
      </c>
      <c r="L936" s="6">
        <f t="shared" si="1562"/>
        <v>106097.729796</v>
      </c>
      <c r="M936" s="6">
        <f t="shared" si="1562"/>
        <v>0</v>
      </c>
      <c r="N936" s="6">
        <f t="shared" si="1562"/>
        <v>67772.532475999993</v>
      </c>
      <c r="O936" s="6">
        <f t="shared" si="1562"/>
        <v>0</v>
      </c>
      <c r="P936" s="6">
        <f t="shared" si="1562"/>
        <v>0</v>
      </c>
      <c r="Q936" s="6">
        <f t="shared" si="1562"/>
        <v>0</v>
      </c>
      <c r="R936" s="6">
        <f t="shared" si="1562"/>
        <v>0</v>
      </c>
      <c r="S936" s="6">
        <f t="shared" si="1562"/>
        <v>0</v>
      </c>
      <c r="T936" s="6">
        <f t="shared" si="1562"/>
        <v>0</v>
      </c>
      <c r="U936" s="6">
        <f t="shared" si="1562"/>
        <v>14941.975664000001</v>
      </c>
      <c r="V936" s="6">
        <f t="shared" si="1562"/>
        <v>0</v>
      </c>
      <c r="W936" s="6">
        <f t="shared" si="1562"/>
        <v>0</v>
      </c>
      <c r="X936" s="6">
        <f t="shared" si="1562"/>
        <v>0</v>
      </c>
      <c r="Y936" s="6">
        <f t="shared" si="1562"/>
        <v>0</v>
      </c>
      <c r="Z936" s="6">
        <f t="shared" si="1562"/>
        <v>0</v>
      </c>
      <c r="AA936" s="6">
        <f t="shared" si="1562"/>
        <v>0</v>
      </c>
      <c r="AB936" s="6">
        <f t="shared" si="1562"/>
        <v>0</v>
      </c>
      <c r="AC936" s="56"/>
      <c r="AD936" s="23"/>
    </row>
    <row r="937" spans="1:30" s="14" customFormat="1">
      <c r="A937" s="85" t="s">
        <v>259</v>
      </c>
      <c r="B937" s="26">
        <v>451673</v>
      </c>
      <c r="C937" s="130">
        <f t="shared" si="1529"/>
        <v>37639.42</v>
      </c>
      <c r="D937" s="4"/>
      <c r="E937" s="4">
        <v>0.97989999999999999</v>
      </c>
      <c r="F937" s="4"/>
      <c r="G937" s="4"/>
      <c r="H937" s="4"/>
      <c r="I937" s="4"/>
      <c r="J937" s="4"/>
      <c r="K937" s="4">
        <v>2.01E-2</v>
      </c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56"/>
      <c r="AD937" s="23"/>
    </row>
    <row r="938" spans="1:30" s="14" customFormat="1">
      <c r="A938" s="84"/>
      <c r="B938" s="27"/>
      <c r="C938" s="130"/>
      <c r="D938" s="6">
        <f t="shared" ref="D938" si="1563">$C937*D937</f>
        <v>0</v>
      </c>
      <c r="E938" s="6">
        <f t="shared" ref="E938" si="1564">$C937*E937</f>
        <v>36882.867657999996</v>
      </c>
      <c r="F938" s="6">
        <f t="shared" ref="F938:AB938" si="1565">$C937*F937</f>
        <v>0</v>
      </c>
      <c r="G938" s="6">
        <f t="shared" si="1565"/>
        <v>0</v>
      </c>
      <c r="H938" s="6">
        <f t="shared" si="1565"/>
        <v>0</v>
      </c>
      <c r="I938" s="6">
        <f t="shared" si="1565"/>
        <v>0</v>
      </c>
      <c r="J938" s="6">
        <f t="shared" si="1565"/>
        <v>0</v>
      </c>
      <c r="K938" s="6">
        <f t="shared" si="1565"/>
        <v>756.55234199999995</v>
      </c>
      <c r="L938" s="6">
        <f t="shared" si="1565"/>
        <v>0</v>
      </c>
      <c r="M938" s="6">
        <f t="shared" si="1565"/>
        <v>0</v>
      </c>
      <c r="N938" s="6">
        <f t="shared" si="1565"/>
        <v>0</v>
      </c>
      <c r="O938" s="6">
        <f t="shared" si="1565"/>
        <v>0</v>
      </c>
      <c r="P938" s="6">
        <f t="shared" si="1565"/>
        <v>0</v>
      </c>
      <c r="Q938" s="6">
        <f t="shared" si="1565"/>
        <v>0</v>
      </c>
      <c r="R938" s="6">
        <f t="shared" si="1565"/>
        <v>0</v>
      </c>
      <c r="S938" s="6">
        <f t="shared" si="1565"/>
        <v>0</v>
      </c>
      <c r="T938" s="6">
        <f t="shared" si="1565"/>
        <v>0</v>
      </c>
      <c r="U938" s="6">
        <f t="shared" si="1565"/>
        <v>0</v>
      </c>
      <c r="V938" s="6">
        <f t="shared" si="1565"/>
        <v>0</v>
      </c>
      <c r="W938" s="6">
        <f t="shared" si="1565"/>
        <v>0</v>
      </c>
      <c r="X938" s="6">
        <f t="shared" si="1565"/>
        <v>0</v>
      </c>
      <c r="Y938" s="6">
        <f t="shared" si="1565"/>
        <v>0</v>
      </c>
      <c r="Z938" s="6">
        <f t="shared" si="1565"/>
        <v>0</v>
      </c>
      <c r="AA938" s="6">
        <f t="shared" si="1565"/>
        <v>0</v>
      </c>
      <c r="AB938" s="6">
        <f t="shared" si="1565"/>
        <v>0</v>
      </c>
      <c r="AC938" s="56"/>
      <c r="AD938" s="23"/>
    </row>
    <row r="939" spans="1:30" s="14" customFormat="1">
      <c r="A939" s="78" t="s">
        <v>288</v>
      </c>
      <c r="B939" s="26">
        <v>189423.5</v>
      </c>
      <c r="C939" s="130">
        <f t="shared" si="1529"/>
        <v>15785.29</v>
      </c>
      <c r="D939" s="35">
        <v>1.6299999999999999E-2</v>
      </c>
      <c r="E939" s="35">
        <v>0.14269999999999999</v>
      </c>
      <c r="F939" s="35">
        <v>5.8900000000000001E-2</v>
      </c>
      <c r="G939" s="35">
        <v>7.6200000000000004E-2</v>
      </c>
      <c r="H939" s="35">
        <v>3.9600000000000003E-2</v>
      </c>
      <c r="I939" s="35">
        <v>0.12470000000000001</v>
      </c>
      <c r="J939" s="35">
        <v>2.0400000000000001E-2</v>
      </c>
      <c r="K939" s="35">
        <v>3.1199999999999999E-2</v>
      </c>
      <c r="L939" s="35">
        <v>1.6199999999999999E-2</v>
      </c>
      <c r="M939" s="35">
        <v>2.53E-2</v>
      </c>
      <c r="N939" s="35">
        <v>0.14849999999999999</v>
      </c>
      <c r="O939" s="35">
        <v>2.2599999999999999E-2</v>
      </c>
      <c r="P939" s="35">
        <v>0</v>
      </c>
      <c r="Q939" s="35">
        <v>3.78E-2</v>
      </c>
      <c r="R939" s="35">
        <v>1.8100000000000002E-2</v>
      </c>
      <c r="S939" s="35">
        <v>4.1000000000000003E-3</v>
      </c>
      <c r="T939" s="35">
        <v>5.04E-2</v>
      </c>
      <c r="U939" s="35">
        <v>1.7500000000000002E-2</v>
      </c>
      <c r="V939" s="35">
        <v>3.6200000000000003E-2</v>
      </c>
      <c r="W939" s="35">
        <v>4.8500000000000001E-2</v>
      </c>
      <c r="X939" s="35">
        <v>6.1600000000000002E-2</v>
      </c>
      <c r="Y939" s="35">
        <v>2.5000000000000001E-3</v>
      </c>
      <c r="Z939" s="4">
        <v>0</v>
      </c>
      <c r="AA939" s="4">
        <v>6.9999999999999999E-4</v>
      </c>
      <c r="AB939" s="4">
        <v>0</v>
      </c>
      <c r="AC939" s="56"/>
      <c r="AD939" s="23"/>
    </row>
    <row r="940" spans="1:30" s="14" customFormat="1">
      <c r="A940" s="79"/>
      <c r="B940" s="27"/>
      <c r="C940" s="130"/>
      <c r="D940" s="5">
        <f t="shared" ref="D940" si="1566">$C939*D939</f>
        <v>257.30022700000001</v>
      </c>
      <c r="E940" s="5">
        <f t="shared" ref="E940" si="1567">$C939*E939</f>
        <v>2252.5608830000001</v>
      </c>
      <c r="F940" s="5">
        <f t="shared" ref="F940:AB940" si="1568">$C939*F939</f>
        <v>929.75358100000005</v>
      </c>
      <c r="G940" s="5">
        <f t="shared" si="1568"/>
        <v>1202.8390980000001</v>
      </c>
      <c r="H940" s="5">
        <f t="shared" si="1568"/>
        <v>625.09748400000012</v>
      </c>
      <c r="I940" s="5">
        <f t="shared" si="1568"/>
        <v>1968.4256630000002</v>
      </c>
      <c r="J940" s="5">
        <f t="shared" si="1568"/>
        <v>322.01991600000002</v>
      </c>
      <c r="K940" s="5">
        <f t="shared" si="1568"/>
        <v>492.50104800000003</v>
      </c>
      <c r="L940" s="5">
        <f t="shared" si="1568"/>
        <v>255.721698</v>
      </c>
      <c r="M940" s="5">
        <f t="shared" si="1568"/>
        <v>399.36783700000001</v>
      </c>
      <c r="N940" s="5">
        <f t="shared" si="1568"/>
        <v>2344.1155650000001</v>
      </c>
      <c r="O940" s="5">
        <f t="shared" si="1568"/>
        <v>356.74755399999998</v>
      </c>
      <c r="P940" s="5">
        <f t="shared" si="1568"/>
        <v>0</v>
      </c>
      <c r="Q940" s="5">
        <f t="shared" si="1568"/>
        <v>596.68396200000007</v>
      </c>
      <c r="R940" s="5">
        <f t="shared" si="1568"/>
        <v>285.71374900000006</v>
      </c>
      <c r="S940" s="5">
        <f t="shared" si="1568"/>
        <v>64.719689000000002</v>
      </c>
      <c r="T940" s="5">
        <f t="shared" si="1568"/>
        <v>795.57861600000001</v>
      </c>
      <c r="U940" s="5">
        <f t="shared" si="1568"/>
        <v>276.24257500000004</v>
      </c>
      <c r="V940" s="5">
        <f t="shared" si="1568"/>
        <v>571.42749800000013</v>
      </c>
      <c r="W940" s="5">
        <f t="shared" si="1568"/>
        <v>765.58656500000006</v>
      </c>
      <c r="X940" s="5">
        <f t="shared" si="1568"/>
        <v>972.37386400000014</v>
      </c>
      <c r="Y940" s="5">
        <f t="shared" si="1568"/>
        <v>39.463225000000001</v>
      </c>
      <c r="Z940" s="5">
        <f t="shared" si="1568"/>
        <v>0</v>
      </c>
      <c r="AA940" s="5">
        <f t="shared" si="1568"/>
        <v>11.049703000000001</v>
      </c>
      <c r="AB940" s="5">
        <f t="shared" si="1568"/>
        <v>0</v>
      </c>
      <c r="AC940" s="56"/>
      <c r="AD940" s="23"/>
    </row>
    <row r="941" spans="1:30" s="14" customFormat="1">
      <c r="A941" s="78" t="s">
        <v>460</v>
      </c>
      <c r="B941" s="15">
        <v>189423.5</v>
      </c>
      <c r="C941" s="130">
        <f t="shared" si="1529"/>
        <v>15785.29</v>
      </c>
      <c r="D941" s="4"/>
      <c r="E941" s="4">
        <v>0.94879999999999998</v>
      </c>
      <c r="F941" s="4">
        <v>0</v>
      </c>
      <c r="G941" s="4"/>
      <c r="H941" s="4">
        <v>0</v>
      </c>
      <c r="I941" s="4"/>
      <c r="J941" s="4"/>
      <c r="K941" s="4">
        <v>3.7900000000000003E-2</v>
      </c>
      <c r="L941" s="4"/>
      <c r="M941" s="4"/>
      <c r="N941" s="4"/>
      <c r="O941" s="4">
        <v>1.3299999999999999E-2</v>
      </c>
      <c r="P941" s="4"/>
      <c r="Q941" s="4"/>
      <c r="R941" s="4"/>
      <c r="S941" s="4"/>
      <c r="T941" s="4"/>
      <c r="U941" s="4"/>
      <c r="V941" s="4">
        <v>0</v>
      </c>
      <c r="W941" s="4"/>
      <c r="X941" s="4"/>
      <c r="Y941" s="4"/>
      <c r="Z941" s="4"/>
      <c r="AA941" s="4"/>
      <c r="AB941" s="4"/>
      <c r="AC941" s="56"/>
      <c r="AD941" s="23"/>
    </row>
    <row r="942" spans="1:30" s="14" customFormat="1">
      <c r="A942" s="79"/>
      <c r="B942" s="9"/>
      <c r="C942" s="130"/>
      <c r="D942" s="5">
        <f t="shared" ref="D942" si="1569">$C941*D941</f>
        <v>0</v>
      </c>
      <c r="E942" s="5">
        <f t="shared" ref="E942" si="1570">$C941*E941</f>
        <v>14977.083152000001</v>
      </c>
      <c r="F942" s="5">
        <f t="shared" ref="F942:O942" si="1571">$C941*F941</f>
        <v>0</v>
      </c>
      <c r="G942" s="5">
        <f t="shared" si="1571"/>
        <v>0</v>
      </c>
      <c r="H942" s="5">
        <f t="shared" si="1571"/>
        <v>0</v>
      </c>
      <c r="I942" s="5">
        <f t="shared" si="1571"/>
        <v>0</v>
      </c>
      <c r="J942" s="5">
        <f t="shared" si="1571"/>
        <v>0</v>
      </c>
      <c r="K942" s="5">
        <f t="shared" si="1571"/>
        <v>598.26249100000007</v>
      </c>
      <c r="L942" s="5">
        <f t="shared" si="1571"/>
        <v>0</v>
      </c>
      <c r="M942" s="5">
        <f t="shared" si="1571"/>
        <v>0</v>
      </c>
      <c r="N942" s="5">
        <f t="shared" si="1571"/>
        <v>0</v>
      </c>
      <c r="O942" s="5">
        <f t="shared" si="1571"/>
        <v>209.944357</v>
      </c>
      <c r="P942" s="5">
        <f t="shared" ref="P942" si="1572">$C941*P941</f>
        <v>0</v>
      </c>
      <c r="Q942" s="5">
        <f t="shared" ref="Q942" si="1573">$C941*Q941</f>
        <v>0</v>
      </c>
      <c r="R942" s="5">
        <f t="shared" ref="R942:AB942" si="1574">$C941*R941</f>
        <v>0</v>
      </c>
      <c r="S942" s="5">
        <f t="shared" si="1574"/>
        <v>0</v>
      </c>
      <c r="T942" s="5">
        <f t="shared" si="1574"/>
        <v>0</v>
      </c>
      <c r="U942" s="5">
        <f t="shared" si="1574"/>
        <v>0</v>
      </c>
      <c r="V942" s="5">
        <f t="shared" si="1574"/>
        <v>0</v>
      </c>
      <c r="W942" s="5">
        <f t="shared" si="1574"/>
        <v>0</v>
      </c>
      <c r="X942" s="5">
        <f t="shared" si="1574"/>
        <v>0</v>
      </c>
      <c r="Y942" s="5">
        <f t="shared" si="1574"/>
        <v>0</v>
      </c>
      <c r="Z942" s="5">
        <f t="shared" si="1574"/>
        <v>0</v>
      </c>
      <c r="AA942" s="5">
        <f t="shared" si="1574"/>
        <v>0</v>
      </c>
      <c r="AB942" s="5">
        <f t="shared" si="1574"/>
        <v>0</v>
      </c>
      <c r="AC942" s="56"/>
      <c r="AD942" s="23"/>
    </row>
    <row r="943" spans="1:30" s="14" customFormat="1">
      <c r="A943" s="85" t="s">
        <v>289</v>
      </c>
      <c r="B943" s="26">
        <v>1661144.5</v>
      </c>
      <c r="C943" s="130">
        <f t="shared" si="1529"/>
        <v>138428.71</v>
      </c>
      <c r="D943" s="35">
        <v>1.6299999999999999E-2</v>
      </c>
      <c r="E943" s="35">
        <v>0.14269999999999999</v>
      </c>
      <c r="F943" s="35">
        <v>5.8900000000000001E-2</v>
      </c>
      <c r="G943" s="35">
        <v>7.6200000000000004E-2</v>
      </c>
      <c r="H943" s="35">
        <v>3.9600000000000003E-2</v>
      </c>
      <c r="I943" s="35">
        <v>0.12470000000000001</v>
      </c>
      <c r="J943" s="35">
        <v>2.0400000000000001E-2</v>
      </c>
      <c r="K943" s="35">
        <v>3.1199999999999999E-2</v>
      </c>
      <c r="L943" s="35">
        <v>1.6199999999999999E-2</v>
      </c>
      <c r="M943" s="35">
        <v>2.53E-2</v>
      </c>
      <c r="N943" s="35">
        <v>0.14849999999999999</v>
      </c>
      <c r="O943" s="35">
        <v>2.2599999999999999E-2</v>
      </c>
      <c r="P943" s="35">
        <v>0</v>
      </c>
      <c r="Q943" s="35">
        <v>3.78E-2</v>
      </c>
      <c r="R943" s="35">
        <v>1.8100000000000002E-2</v>
      </c>
      <c r="S943" s="35">
        <v>4.1000000000000003E-3</v>
      </c>
      <c r="T943" s="35">
        <v>5.04E-2</v>
      </c>
      <c r="U943" s="35">
        <v>1.7500000000000002E-2</v>
      </c>
      <c r="V943" s="35">
        <v>3.6200000000000003E-2</v>
      </c>
      <c r="W943" s="35">
        <v>4.8500000000000001E-2</v>
      </c>
      <c r="X943" s="35">
        <v>6.1600000000000002E-2</v>
      </c>
      <c r="Y943" s="35">
        <v>2.5000000000000001E-3</v>
      </c>
      <c r="Z943" s="4">
        <v>0</v>
      </c>
      <c r="AA943" s="4">
        <v>6.9999999999999999E-4</v>
      </c>
      <c r="AB943" s="4">
        <v>0</v>
      </c>
      <c r="AC943" s="56"/>
      <c r="AD943" s="23"/>
    </row>
    <row r="944" spans="1:30" s="14" customFormat="1">
      <c r="A944" s="84"/>
      <c r="B944" s="27"/>
      <c r="C944" s="130"/>
      <c r="D944" s="6">
        <f t="shared" ref="D944" si="1575">$C943*D943</f>
        <v>2256.3879729999999</v>
      </c>
      <c r="E944" s="6">
        <f t="shared" ref="E944" si="1576">$C943*E943</f>
        <v>19753.776916999999</v>
      </c>
      <c r="F944" s="6">
        <f t="shared" ref="F944:AB944" si="1577">$C943*F943</f>
        <v>8153.4510190000001</v>
      </c>
      <c r="G944" s="6">
        <f t="shared" si="1577"/>
        <v>10548.267701999999</v>
      </c>
      <c r="H944" s="6">
        <f t="shared" si="1577"/>
        <v>5481.7769159999998</v>
      </c>
      <c r="I944" s="6">
        <f t="shared" si="1577"/>
        <v>17262.060137</v>
      </c>
      <c r="J944" s="6">
        <f t="shared" si="1577"/>
        <v>2823.9456840000003</v>
      </c>
      <c r="K944" s="6">
        <f t="shared" si="1577"/>
        <v>4318.9757519999994</v>
      </c>
      <c r="L944" s="6">
        <f t="shared" si="1577"/>
        <v>2242.5451019999996</v>
      </c>
      <c r="M944" s="6">
        <f t="shared" si="1577"/>
        <v>3502.2463629999997</v>
      </c>
      <c r="N944" s="6">
        <f t="shared" si="1577"/>
        <v>20556.663434999999</v>
      </c>
      <c r="O944" s="6">
        <f t="shared" si="1577"/>
        <v>3128.4888459999997</v>
      </c>
      <c r="P944" s="6">
        <f t="shared" si="1577"/>
        <v>0</v>
      </c>
      <c r="Q944" s="6">
        <f t="shared" si="1577"/>
        <v>5232.6052380000001</v>
      </c>
      <c r="R944" s="6">
        <f t="shared" si="1577"/>
        <v>2505.559651</v>
      </c>
      <c r="S944" s="6">
        <f t="shared" si="1577"/>
        <v>567.55771100000004</v>
      </c>
      <c r="T944" s="6">
        <f t="shared" si="1577"/>
        <v>6976.8069839999998</v>
      </c>
      <c r="U944" s="6">
        <f t="shared" si="1577"/>
        <v>2422.5024250000001</v>
      </c>
      <c r="V944" s="6">
        <f t="shared" si="1577"/>
        <v>5011.1193020000001</v>
      </c>
      <c r="W944" s="6">
        <f t="shared" si="1577"/>
        <v>6713.7924349999994</v>
      </c>
      <c r="X944" s="6">
        <f t="shared" si="1577"/>
        <v>8527.2085360000001</v>
      </c>
      <c r="Y944" s="6">
        <f t="shared" si="1577"/>
        <v>346.071775</v>
      </c>
      <c r="Z944" s="6">
        <f t="shared" si="1577"/>
        <v>0</v>
      </c>
      <c r="AA944" s="6">
        <f t="shared" si="1577"/>
        <v>96.900096999999988</v>
      </c>
      <c r="AB944" s="6">
        <f t="shared" si="1577"/>
        <v>0</v>
      </c>
      <c r="AC944" s="56"/>
      <c r="AD944" s="23"/>
    </row>
    <row r="945" spans="1:30" s="14" customFormat="1">
      <c r="A945" s="85" t="s">
        <v>296</v>
      </c>
      <c r="B945" s="26">
        <v>1661144.5</v>
      </c>
      <c r="C945" s="130">
        <f t="shared" si="1529"/>
        <v>138428.71</v>
      </c>
      <c r="D945" s="4"/>
      <c r="E945" s="4">
        <v>0.94879999999999998</v>
      </c>
      <c r="F945" s="4">
        <v>0</v>
      </c>
      <c r="G945" s="4"/>
      <c r="H945" s="4">
        <v>0</v>
      </c>
      <c r="I945" s="4"/>
      <c r="J945" s="4"/>
      <c r="K945" s="4">
        <v>3.7900000000000003E-2</v>
      </c>
      <c r="L945" s="4"/>
      <c r="M945" s="4"/>
      <c r="N945" s="4"/>
      <c r="O945" s="4">
        <v>1.3299999999999999E-2</v>
      </c>
      <c r="P945" s="4"/>
      <c r="Q945" s="4"/>
      <c r="R945" s="4"/>
      <c r="S945" s="4"/>
      <c r="T945" s="4"/>
      <c r="U945" s="4"/>
      <c r="V945" s="4">
        <v>0</v>
      </c>
      <c r="W945" s="4"/>
      <c r="X945" s="4"/>
      <c r="Y945" s="4"/>
      <c r="Z945" s="4"/>
      <c r="AA945" s="4"/>
      <c r="AB945" s="4"/>
      <c r="AC945" s="56"/>
      <c r="AD945" s="23"/>
    </row>
    <row r="946" spans="1:30" s="14" customFormat="1">
      <c r="A946" s="84"/>
      <c r="B946" s="27"/>
      <c r="C946" s="130"/>
      <c r="D946" s="6">
        <f t="shared" ref="D946" si="1578">$C945*D945</f>
        <v>0</v>
      </c>
      <c r="E946" s="6">
        <f t="shared" ref="E946" si="1579">$C945*E945</f>
        <v>131341.16004799999</v>
      </c>
      <c r="F946" s="6">
        <f t="shared" ref="F946:AB946" si="1580">$C945*F945</f>
        <v>0</v>
      </c>
      <c r="G946" s="6">
        <f t="shared" si="1580"/>
        <v>0</v>
      </c>
      <c r="H946" s="6">
        <f t="shared" si="1580"/>
        <v>0</v>
      </c>
      <c r="I946" s="6">
        <f t="shared" si="1580"/>
        <v>0</v>
      </c>
      <c r="J946" s="6">
        <f t="shared" si="1580"/>
        <v>0</v>
      </c>
      <c r="K946" s="6">
        <f t="shared" si="1580"/>
        <v>5246.4481089999999</v>
      </c>
      <c r="L946" s="6">
        <f t="shared" si="1580"/>
        <v>0</v>
      </c>
      <c r="M946" s="6">
        <f t="shared" si="1580"/>
        <v>0</v>
      </c>
      <c r="N946" s="6">
        <f t="shared" si="1580"/>
        <v>0</v>
      </c>
      <c r="O946" s="6">
        <f t="shared" si="1580"/>
        <v>1841.1018429999997</v>
      </c>
      <c r="P946" s="6">
        <f t="shared" si="1580"/>
        <v>0</v>
      </c>
      <c r="Q946" s="6">
        <f t="shared" si="1580"/>
        <v>0</v>
      </c>
      <c r="R946" s="6">
        <f t="shared" si="1580"/>
        <v>0</v>
      </c>
      <c r="S946" s="6">
        <f t="shared" si="1580"/>
        <v>0</v>
      </c>
      <c r="T946" s="6">
        <f t="shared" si="1580"/>
        <v>0</v>
      </c>
      <c r="U946" s="6">
        <f t="shared" si="1580"/>
        <v>0</v>
      </c>
      <c r="V946" s="6">
        <f t="shared" si="1580"/>
        <v>0</v>
      </c>
      <c r="W946" s="6">
        <f t="shared" si="1580"/>
        <v>0</v>
      </c>
      <c r="X946" s="6">
        <f t="shared" si="1580"/>
        <v>0</v>
      </c>
      <c r="Y946" s="6">
        <f t="shared" si="1580"/>
        <v>0</v>
      </c>
      <c r="Z946" s="6">
        <f t="shared" si="1580"/>
        <v>0</v>
      </c>
      <c r="AA946" s="6">
        <f t="shared" si="1580"/>
        <v>0</v>
      </c>
      <c r="AB946" s="6">
        <f t="shared" si="1580"/>
        <v>0</v>
      </c>
      <c r="AC946" s="56"/>
      <c r="AD946" s="23"/>
    </row>
    <row r="947" spans="1:30" s="14" customFormat="1">
      <c r="A947" s="78" t="s">
        <v>290</v>
      </c>
      <c r="B947" s="26">
        <v>295671</v>
      </c>
      <c r="C947" s="130">
        <f t="shared" si="1529"/>
        <v>24639.25</v>
      </c>
      <c r="D947" s="35">
        <v>1.6299999999999999E-2</v>
      </c>
      <c r="E947" s="35">
        <v>0.14269999999999999</v>
      </c>
      <c r="F947" s="35">
        <v>5.8900000000000001E-2</v>
      </c>
      <c r="G947" s="35">
        <v>7.6200000000000004E-2</v>
      </c>
      <c r="H947" s="35">
        <v>3.9600000000000003E-2</v>
      </c>
      <c r="I947" s="35">
        <v>0.12470000000000001</v>
      </c>
      <c r="J947" s="35">
        <v>2.0400000000000001E-2</v>
      </c>
      <c r="K947" s="35">
        <v>3.1199999999999999E-2</v>
      </c>
      <c r="L947" s="35">
        <v>1.6199999999999999E-2</v>
      </c>
      <c r="M947" s="35">
        <v>2.53E-2</v>
      </c>
      <c r="N947" s="35">
        <v>0.14849999999999999</v>
      </c>
      <c r="O947" s="35">
        <v>2.2599999999999999E-2</v>
      </c>
      <c r="P947" s="35">
        <v>0</v>
      </c>
      <c r="Q947" s="35">
        <v>3.78E-2</v>
      </c>
      <c r="R947" s="35">
        <v>1.8100000000000002E-2</v>
      </c>
      <c r="S947" s="35">
        <v>4.1000000000000003E-3</v>
      </c>
      <c r="T947" s="35">
        <v>5.04E-2</v>
      </c>
      <c r="U947" s="35">
        <v>1.7500000000000002E-2</v>
      </c>
      <c r="V947" s="35">
        <v>3.6200000000000003E-2</v>
      </c>
      <c r="W947" s="35">
        <v>4.8500000000000001E-2</v>
      </c>
      <c r="X947" s="35">
        <v>6.1600000000000002E-2</v>
      </c>
      <c r="Y947" s="35">
        <v>2.5000000000000001E-3</v>
      </c>
      <c r="Z947" s="4">
        <v>0</v>
      </c>
      <c r="AA947" s="4">
        <v>6.9999999999999999E-4</v>
      </c>
      <c r="AB947" s="4">
        <v>0</v>
      </c>
      <c r="AC947" s="56"/>
      <c r="AD947" s="23"/>
    </row>
    <row r="948" spans="1:30" s="14" customFormat="1">
      <c r="A948" s="79"/>
      <c r="B948" s="27"/>
      <c r="C948" s="130"/>
      <c r="D948" s="5">
        <f t="shared" ref="D948" si="1581">$C947*D947</f>
        <v>401.61977499999995</v>
      </c>
      <c r="E948" s="5">
        <f t="shared" ref="E948" si="1582">$C947*E947</f>
        <v>3516.0209749999999</v>
      </c>
      <c r="F948" s="5">
        <f t="shared" ref="F948:AB948" si="1583">$C947*F947</f>
        <v>1451.2518250000001</v>
      </c>
      <c r="G948" s="5">
        <f t="shared" si="1583"/>
        <v>1877.5108500000001</v>
      </c>
      <c r="H948" s="5">
        <f t="shared" si="1583"/>
        <v>975.71430000000009</v>
      </c>
      <c r="I948" s="5">
        <f t="shared" si="1583"/>
        <v>3072.5144749999999</v>
      </c>
      <c r="J948" s="5">
        <f t="shared" si="1583"/>
        <v>502.64070000000004</v>
      </c>
      <c r="K948" s="5">
        <f t="shared" si="1583"/>
        <v>768.74459999999999</v>
      </c>
      <c r="L948" s="5">
        <f t="shared" si="1583"/>
        <v>399.15584999999999</v>
      </c>
      <c r="M948" s="5">
        <f t="shared" si="1583"/>
        <v>623.37302499999998</v>
      </c>
      <c r="N948" s="5">
        <f t="shared" si="1583"/>
        <v>3658.928625</v>
      </c>
      <c r="O948" s="5">
        <f t="shared" si="1583"/>
        <v>556.84704999999997</v>
      </c>
      <c r="P948" s="5">
        <f t="shared" si="1583"/>
        <v>0</v>
      </c>
      <c r="Q948" s="5">
        <f t="shared" si="1583"/>
        <v>931.36365000000001</v>
      </c>
      <c r="R948" s="5">
        <f t="shared" si="1583"/>
        <v>445.97042500000003</v>
      </c>
      <c r="S948" s="5">
        <f t="shared" si="1583"/>
        <v>101.02092500000001</v>
      </c>
      <c r="T948" s="5">
        <f t="shared" si="1583"/>
        <v>1241.8181999999999</v>
      </c>
      <c r="U948" s="5">
        <f t="shared" si="1583"/>
        <v>431.18687500000004</v>
      </c>
      <c r="V948" s="5">
        <f t="shared" si="1583"/>
        <v>891.94085000000007</v>
      </c>
      <c r="W948" s="5">
        <f t="shared" si="1583"/>
        <v>1195.0036250000001</v>
      </c>
      <c r="X948" s="5">
        <f t="shared" si="1583"/>
        <v>1517.7778000000001</v>
      </c>
      <c r="Y948" s="5">
        <f t="shared" si="1583"/>
        <v>61.598125000000003</v>
      </c>
      <c r="Z948" s="5">
        <f t="shared" si="1583"/>
        <v>0</v>
      </c>
      <c r="AA948" s="5">
        <f t="shared" si="1583"/>
        <v>17.247475000000001</v>
      </c>
      <c r="AB948" s="5">
        <f t="shared" si="1583"/>
        <v>0</v>
      </c>
      <c r="AC948" s="56"/>
      <c r="AD948" s="23"/>
    </row>
    <row r="949" spans="1:30" s="14" customFormat="1">
      <c r="A949" s="78" t="s">
        <v>445</v>
      </c>
      <c r="B949" s="15">
        <v>295671</v>
      </c>
      <c r="C949" s="130">
        <f t="shared" si="1529"/>
        <v>24639.25</v>
      </c>
      <c r="D949" s="4"/>
      <c r="E949" s="4">
        <v>1</v>
      </c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56"/>
      <c r="AD949" s="23"/>
    </row>
    <row r="950" spans="1:30" s="14" customFormat="1">
      <c r="A950" s="79"/>
      <c r="B950" s="9"/>
      <c r="C950" s="130"/>
      <c r="D950" s="5">
        <f t="shared" ref="D950" si="1584">$C949*D949</f>
        <v>0</v>
      </c>
      <c r="E950" s="5">
        <f t="shared" ref="E950" si="1585">$C949*E949</f>
        <v>24639.25</v>
      </c>
      <c r="F950" s="5">
        <f t="shared" ref="F950:O950" si="1586">$C949*F949</f>
        <v>0</v>
      </c>
      <c r="G950" s="5">
        <f t="shared" si="1586"/>
        <v>0</v>
      </c>
      <c r="H950" s="5">
        <f t="shared" si="1586"/>
        <v>0</v>
      </c>
      <c r="I950" s="5">
        <f t="shared" si="1586"/>
        <v>0</v>
      </c>
      <c r="J950" s="5">
        <f t="shared" si="1586"/>
        <v>0</v>
      </c>
      <c r="K950" s="5">
        <f t="shared" si="1586"/>
        <v>0</v>
      </c>
      <c r="L950" s="5">
        <f t="shared" si="1586"/>
        <v>0</v>
      </c>
      <c r="M950" s="5">
        <f t="shared" si="1586"/>
        <v>0</v>
      </c>
      <c r="N950" s="5">
        <f t="shared" si="1586"/>
        <v>0</v>
      </c>
      <c r="O950" s="5">
        <f t="shared" si="1586"/>
        <v>0</v>
      </c>
      <c r="P950" s="5">
        <f t="shared" ref="P950" si="1587">$C949*P949</f>
        <v>0</v>
      </c>
      <c r="Q950" s="5">
        <f t="shared" ref="Q950" si="1588">$C949*Q949</f>
        <v>0</v>
      </c>
      <c r="R950" s="5">
        <f t="shared" ref="R950:AB950" si="1589">$C949*R949</f>
        <v>0</v>
      </c>
      <c r="S950" s="5">
        <f t="shared" si="1589"/>
        <v>0</v>
      </c>
      <c r="T950" s="5">
        <f t="shared" si="1589"/>
        <v>0</v>
      </c>
      <c r="U950" s="5">
        <f t="shared" si="1589"/>
        <v>0</v>
      </c>
      <c r="V950" s="5">
        <f t="shared" si="1589"/>
        <v>0</v>
      </c>
      <c r="W950" s="5">
        <f t="shared" si="1589"/>
        <v>0</v>
      </c>
      <c r="X950" s="5">
        <f t="shared" si="1589"/>
        <v>0</v>
      </c>
      <c r="Y950" s="5">
        <f t="shared" si="1589"/>
        <v>0</v>
      </c>
      <c r="Z950" s="5">
        <f t="shared" si="1589"/>
        <v>0</v>
      </c>
      <c r="AA950" s="5">
        <f t="shared" si="1589"/>
        <v>0</v>
      </c>
      <c r="AB950" s="5">
        <f t="shared" si="1589"/>
        <v>0</v>
      </c>
      <c r="AC950" s="56"/>
      <c r="AD950" s="23"/>
    </row>
    <row r="951" spans="1:30" s="14" customFormat="1">
      <c r="A951" s="85" t="s">
        <v>291</v>
      </c>
      <c r="B951" s="26">
        <v>8765800</v>
      </c>
      <c r="C951" s="130">
        <f t="shared" si="1529"/>
        <v>730483.33</v>
      </c>
      <c r="D951" s="4"/>
      <c r="E951" s="4"/>
      <c r="F951" s="4">
        <v>1</v>
      </c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56"/>
      <c r="AD951" s="23"/>
    </row>
    <row r="952" spans="1:30" s="14" customFormat="1">
      <c r="A952" s="84"/>
      <c r="B952" s="27"/>
      <c r="C952" s="130"/>
      <c r="D952" s="6">
        <f t="shared" ref="D952" si="1590">$C951*D951</f>
        <v>0</v>
      </c>
      <c r="E952" s="6">
        <f t="shared" ref="E952" si="1591">$C951*E951</f>
        <v>0</v>
      </c>
      <c r="F952" s="6">
        <f t="shared" ref="F952:AB952" si="1592">$C951*F951</f>
        <v>730483.33</v>
      </c>
      <c r="G952" s="6">
        <f t="shared" si="1592"/>
        <v>0</v>
      </c>
      <c r="H952" s="6">
        <f t="shared" si="1592"/>
        <v>0</v>
      </c>
      <c r="I952" s="6">
        <f t="shared" si="1592"/>
        <v>0</v>
      </c>
      <c r="J952" s="6">
        <f t="shared" si="1592"/>
        <v>0</v>
      </c>
      <c r="K952" s="6">
        <f t="shared" si="1592"/>
        <v>0</v>
      </c>
      <c r="L952" s="6">
        <f t="shared" si="1592"/>
        <v>0</v>
      </c>
      <c r="M952" s="6">
        <f t="shared" si="1592"/>
        <v>0</v>
      </c>
      <c r="N952" s="6">
        <f t="shared" si="1592"/>
        <v>0</v>
      </c>
      <c r="O952" s="6">
        <f t="shared" si="1592"/>
        <v>0</v>
      </c>
      <c r="P952" s="6">
        <f t="shared" si="1592"/>
        <v>0</v>
      </c>
      <c r="Q952" s="6">
        <f t="shared" si="1592"/>
        <v>0</v>
      </c>
      <c r="R952" s="6">
        <f t="shared" si="1592"/>
        <v>0</v>
      </c>
      <c r="S952" s="6">
        <f t="shared" si="1592"/>
        <v>0</v>
      </c>
      <c r="T952" s="6">
        <f t="shared" si="1592"/>
        <v>0</v>
      </c>
      <c r="U952" s="6">
        <f t="shared" si="1592"/>
        <v>0</v>
      </c>
      <c r="V952" s="6">
        <f t="shared" si="1592"/>
        <v>0</v>
      </c>
      <c r="W952" s="6">
        <f t="shared" si="1592"/>
        <v>0</v>
      </c>
      <c r="X952" s="6">
        <f t="shared" si="1592"/>
        <v>0</v>
      </c>
      <c r="Y952" s="6">
        <f t="shared" si="1592"/>
        <v>0</v>
      </c>
      <c r="Z952" s="6">
        <f t="shared" si="1592"/>
        <v>0</v>
      </c>
      <c r="AA952" s="6">
        <f t="shared" si="1592"/>
        <v>0</v>
      </c>
      <c r="AB952" s="6">
        <f t="shared" si="1592"/>
        <v>0</v>
      </c>
      <c r="AC952" s="56"/>
      <c r="AD952" s="23"/>
    </row>
    <row r="953" spans="1:30" s="14" customFormat="1">
      <c r="A953" s="85" t="s">
        <v>292</v>
      </c>
      <c r="B953" s="26">
        <v>3812952.5</v>
      </c>
      <c r="C953" s="130">
        <f t="shared" si="1529"/>
        <v>317746.03999999998</v>
      </c>
      <c r="D953" s="35">
        <v>1.6299999999999999E-2</v>
      </c>
      <c r="E953" s="35">
        <v>0.14269999999999999</v>
      </c>
      <c r="F953" s="35">
        <v>5.8900000000000001E-2</v>
      </c>
      <c r="G953" s="35">
        <v>7.6200000000000004E-2</v>
      </c>
      <c r="H953" s="35">
        <v>3.9600000000000003E-2</v>
      </c>
      <c r="I953" s="35">
        <v>0.12470000000000001</v>
      </c>
      <c r="J953" s="35">
        <v>2.0400000000000001E-2</v>
      </c>
      <c r="K953" s="35">
        <v>3.1199999999999999E-2</v>
      </c>
      <c r="L953" s="35">
        <v>1.6199999999999999E-2</v>
      </c>
      <c r="M953" s="35">
        <v>2.53E-2</v>
      </c>
      <c r="N953" s="35">
        <v>0.14849999999999999</v>
      </c>
      <c r="O953" s="35">
        <v>2.2599999999999999E-2</v>
      </c>
      <c r="P953" s="35">
        <v>0</v>
      </c>
      <c r="Q953" s="35">
        <v>3.78E-2</v>
      </c>
      <c r="R953" s="35">
        <v>1.8100000000000002E-2</v>
      </c>
      <c r="S953" s="35">
        <v>4.1000000000000003E-3</v>
      </c>
      <c r="T953" s="35">
        <v>5.04E-2</v>
      </c>
      <c r="U953" s="35">
        <v>1.7500000000000002E-2</v>
      </c>
      <c r="V953" s="35">
        <v>3.6200000000000003E-2</v>
      </c>
      <c r="W953" s="35">
        <v>4.8500000000000001E-2</v>
      </c>
      <c r="X953" s="35">
        <v>6.1600000000000002E-2</v>
      </c>
      <c r="Y953" s="35">
        <v>2.5000000000000001E-3</v>
      </c>
      <c r="Z953" s="4">
        <v>0</v>
      </c>
      <c r="AA953" s="4">
        <v>6.9999999999999999E-4</v>
      </c>
      <c r="AB953" s="4">
        <v>0</v>
      </c>
      <c r="AC953" s="56"/>
      <c r="AD953" s="23"/>
    </row>
    <row r="954" spans="1:30" s="14" customFormat="1">
      <c r="A954" s="84"/>
      <c r="B954" s="27"/>
      <c r="C954" s="130"/>
      <c r="D954" s="6">
        <f t="shared" ref="D954" si="1593">$C953*D953</f>
        <v>5179.2604519999995</v>
      </c>
      <c r="E954" s="6">
        <f t="shared" ref="E954" si="1594">$C953*E953</f>
        <v>45342.359907999999</v>
      </c>
      <c r="F954" s="6">
        <f t="shared" ref="F954:AB954" si="1595">$C953*F953</f>
        <v>18715.241755999999</v>
      </c>
      <c r="G954" s="6">
        <f t="shared" si="1595"/>
        <v>24212.248248</v>
      </c>
      <c r="H954" s="6">
        <f t="shared" si="1595"/>
        <v>12582.743184000001</v>
      </c>
      <c r="I954" s="6">
        <f t="shared" si="1595"/>
        <v>39622.931188000002</v>
      </c>
      <c r="J954" s="6">
        <f t="shared" si="1595"/>
        <v>6482.0192159999997</v>
      </c>
      <c r="K954" s="6">
        <f t="shared" si="1595"/>
        <v>9913.6764479999983</v>
      </c>
      <c r="L954" s="6">
        <f t="shared" si="1595"/>
        <v>5147.4858479999994</v>
      </c>
      <c r="M954" s="6">
        <f t="shared" si="1595"/>
        <v>8038.9748119999995</v>
      </c>
      <c r="N954" s="6">
        <f t="shared" si="1595"/>
        <v>47185.286939999998</v>
      </c>
      <c r="O954" s="6">
        <f t="shared" si="1595"/>
        <v>7181.0605039999991</v>
      </c>
      <c r="P954" s="6">
        <f t="shared" si="1595"/>
        <v>0</v>
      </c>
      <c r="Q954" s="6">
        <f t="shared" si="1595"/>
        <v>12010.800311999999</v>
      </c>
      <c r="R954" s="6">
        <f t="shared" si="1595"/>
        <v>5751.2033240000001</v>
      </c>
      <c r="S954" s="6">
        <f t="shared" si="1595"/>
        <v>1302.7587639999999</v>
      </c>
      <c r="T954" s="6">
        <f t="shared" si="1595"/>
        <v>16014.400415999999</v>
      </c>
      <c r="U954" s="6">
        <f t="shared" si="1595"/>
        <v>5560.5556999999999</v>
      </c>
      <c r="V954" s="6">
        <f t="shared" si="1595"/>
        <v>11502.406648</v>
      </c>
      <c r="W954" s="6">
        <f t="shared" si="1595"/>
        <v>15410.682939999999</v>
      </c>
      <c r="X954" s="6">
        <f t="shared" si="1595"/>
        <v>19573.156063999999</v>
      </c>
      <c r="Y954" s="6">
        <f t="shared" si="1595"/>
        <v>794.36509999999998</v>
      </c>
      <c r="Z954" s="6">
        <f t="shared" si="1595"/>
        <v>0</v>
      </c>
      <c r="AA954" s="6">
        <f t="shared" si="1595"/>
        <v>222.42222799999999</v>
      </c>
      <c r="AB954" s="6">
        <f t="shared" si="1595"/>
        <v>0</v>
      </c>
      <c r="AC954" s="56"/>
      <c r="AD954" s="23"/>
    </row>
    <row r="955" spans="1:30" s="14" customFormat="1">
      <c r="A955" s="85" t="s">
        <v>297</v>
      </c>
      <c r="B955" s="26">
        <v>3812952.5</v>
      </c>
      <c r="C955" s="130">
        <f t="shared" si="1529"/>
        <v>317746.03999999998</v>
      </c>
      <c r="D955" s="4"/>
      <c r="E955" s="4">
        <v>6.6500000000000004E-2</v>
      </c>
      <c r="F955" s="4">
        <v>0</v>
      </c>
      <c r="G955" s="4"/>
      <c r="H955" s="4">
        <v>0</v>
      </c>
      <c r="I955" s="4"/>
      <c r="J955" s="4">
        <v>0.01</v>
      </c>
      <c r="K955" s="4">
        <v>2.1700000000000001E-2</v>
      </c>
      <c r="L955" s="4"/>
      <c r="M955" s="4"/>
      <c r="N955" s="4">
        <v>0</v>
      </c>
      <c r="O955" s="4">
        <v>7.6E-3</v>
      </c>
      <c r="P955" s="4"/>
      <c r="Q955" s="4"/>
      <c r="R955" s="4"/>
      <c r="S955" s="4"/>
      <c r="T955" s="4"/>
      <c r="U955" s="4"/>
      <c r="V955" s="4">
        <v>0.89400000000000002</v>
      </c>
      <c r="W955" s="4"/>
      <c r="X955" s="4"/>
      <c r="Y955" s="4"/>
      <c r="Z955" s="4"/>
      <c r="AA955" s="4">
        <v>2.0000000000000001E-4</v>
      </c>
      <c r="AB955" s="4"/>
      <c r="AC955" s="56"/>
      <c r="AD955" s="23"/>
    </row>
    <row r="956" spans="1:30" s="14" customFormat="1">
      <c r="A956" s="84"/>
      <c r="B956" s="27"/>
      <c r="C956" s="130"/>
      <c r="D956" s="6">
        <f>$C955*D955</f>
        <v>0</v>
      </c>
      <c r="E956" s="6">
        <f>$C955*E955</f>
        <v>21130.111659999999</v>
      </c>
      <c r="F956" s="6">
        <f t="shared" ref="F956" si="1596">$C955*F955</f>
        <v>0</v>
      </c>
      <c r="G956" s="6">
        <f t="shared" ref="G956" si="1597">$C955*G955</f>
        <v>0</v>
      </c>
      <c r="H956" s="6">
        <f t="shared" ref="H956:AB956" si="1598">$C955*H955</f>
        <v>0</v>
      </c>
      <c r="I956" s="6">
        <f t="shared" si="1598"/>
        <v>0</v>
      </c>
      <c r="J956" s="6">
        <f t="shared" si="1598"/>
        <v>3177.4603999999999</v>
      </c>
      <c r="K956" s="6">
        <f t="shared" si="1598"/>
        <v>6895.0890679999993</v>
      </c>
      <c r="L956" s="6">
        <f t="shared" si="1598"/>
        <v>0</v>
      </c>
      <c r="M956" s="6">
        <f t="shared" si="1598"/>
        <v>0</v>
      </c>
      <c r="N956" s="6">
        <f t="shared" si="1598"/>
        <v>0</v>
      </c>
      <c r="O956" s="6">
        <f t="shared" si="1598"/>
        <v>2414.8699039999997</v>
      </c>
      <c r="P956" s="6">
        <f t="shared" si="1598"/>
        <v>0</v>
      </c>
      <c r="Q956" s="6">
        <f t="shared" si="1598"/>
        <v>0</v>
      </c>
      <c r="R956" s="6">
        <f t="shared" si="1598"/>
        <v>0</v>
      </c>
      <c r="S956" s="6">
        <f t="shared" si="1598"/>
        <v>0</v>
      </c>
      <c r="T956" s="6">
        <f t="shared" si="1598"/>
        <v>0</v>
      </c>
      <c r="U956" s="6">
        <f t="shared" si="1598"/>
        <v>0</v>
      </c>
      <c r="V956" s="6">
        <f t="shared" si="1598"/>
        <v>284064.95976</v>
      </c>
      <c r="W956" s="6">
        <f t="shared" si="1598"/>
        <v>0</v>
      </c>
      <c r="X956" s="6">
        <f t="shared" si="1598"/>
        <v>0</v>
      </c>
      <c r="Y956" s="6">
        <f t="shared" si="1598"/>
        <v>0</v>
      </c>
      <c r="Z956" s="6">
        <f t="shared" si="1598"/>
        <v>0</v>
      </c>
      <c r="AA956" s="6">
        <f t="shared" si="1598"/>
        <v>63.549208</v>
      </c>
      <c r="AB956" s="6">
        <f t="shared" si="1598"/>
        <v>0</v>
      </c>
      <c r="AC956" s="56"/>
      <c r="AD956" s="23"/>
    </row>
    <row r="957" spans="1:30" s="14" customFormat="1">
      <c r="A957" s="85" t="s">
        <v>293</v>
      </c>
      <c r="B957" s="26">
        <v>5791556</v>
      </c>
      <c r="C957" s="130">
        <f t="shared" si="1529"/>
        <v>482629.67</v>
      </c>
      <c r="D957" s="37"/>
      <c r="E957" s="37">
        <v>0.93610000000000004</v>
      </c>
      <c r="F957" s="37"/>
      <c r="G957" s="37">
        <v>2.9899999999999999E-2</v>
      </c>
      <c r="H957" s="37"/>
      <c r="I957" s="37">
        <v>2.07E-2</v>
      </c>
      <c r="J957" s="37"/>
      <c r="K957" s="37"/>
      <c r="L957" s="37"/>
      <c r="M957" s="37"/>
      <c r="N957" s="37"/>
      <c r="O957" s="37"/>
      <c r="P957" s="37">
        <v>2.9999999999999997E-4</v>
      </c>
      <c r="Q957" s="37"/>
      <c r="R957" s="37"/>
      <c r="S957" s="37"/>
      <c r="T957" s="37"/>
      <c r="U957" s="37">
        <v>3.0999999999999999E-3</v>
      </c>
      <c r="V957" s="37"/>
      <c r="W957" s="37"/>
      <c r="X957" s="37">
        <v>9.1999999999999998E-3</v>
      </c>
      <c r="Y957" s="37">
        <v>4.0000000000000002E-4</v>
      </c>
      <c r="Z957" s="37">
        <v>2.9999999999999997E-4</v>
      </c>
      <c r="AA957" s="37">
        <v>0</v>
      </c>
      <c r="AB957" s="37">
        <v>0</v>
      </c>
      <c r="AC957" s="56"/>
      <c r="AD957" s="23"/>
    </row>
    <row r="958" spans="1:30" s="14" customFormat="1">
      <c r="A958" s="84"/>
      <c r="B958" s="27"/>
      <c r="C958" s="130"/>
      <c r="D958" s="42">
        <f t="shared" ref="D958" si="1599">$C957*D957</f>
        <v>0</v>
      </c>
      <c r="E958" s="42">
        <f t="shared" ref="E958" si="1600">$C957*E957</f>
        <v>451789.63408699998</v>
      </c>
      <c r="F958" s="42">
        <f t="shared" ref="F958:AB958" si="1601">$C957*F957</f>
        <v>0</v>
      </c>
      <c r="G958" s="42">
        <f t="shared" si="1601"/>
        <v>14430.627133</v>
      </c>
      <c r="H958" s="42">
        <f t="shared" si="1601"/>
        <v>0</v>
      </c>
      <c r="I958" s="42">
        <f t="shared" si="1601"/>
        <v>9990.4341690000001</v>
      </c>
      <c r="J958" s="42">
        <f t="shared" si="1601"/>
        <v>0</v>
      </c>
      <c r="K958" s="42">
        <f t="shared" si="1601"/>
        <v>0</v>
      </c>
      <c r="L958" s="42">
        <f t="shared" si="1601"/>
        <v>0</v>
      </c>
      <c r="M958" s="42">
        <f t="shared" si="1601"/>
        <v>0</v>
      </c>
      <c r="N958" s="42">
        <f t="shared" si="1601"/>
        <v>0</v>
      </c>
      <c r="O958" s="42">
        <f t="shared" si="1601"/>
        <v>0</v>
      </c>
      <c r="P958" s="42">
        <f t="shared" si="1601"/>
        <v>144.78890099999998</v>
      </c>
      <c r="Q958" s="42">
        <f t="shared" si="1601"/>
        <v>0</v>
      </c>
      <c r="R958" s="42">
        <f t="shared" si="1601"/>
        <v>0</v>
      </c>
      <c r="S958" s="42">
        <f t="shared" si="1601"/>
        <v>0</v>
      </c>
      <c r="T958" s="42">
        <f t="shared" si="1601"/>
        <v>0</v>
      </c>
      <c r="U958" s="42">
        <f t="shared" si="1601"/>
        <v>1496.151977</v>
      </c>
      <c r="V958" s="42">
        <f t="shared" si="1601"/>
        <v>0</v>
      </c>
      <c r="W958" s="42">
        <f t="shared" si="1601"/>
        <v>0</v>
      </c>
      <c r="X958" s="42">
        <f t="shared" si="1601"/>
        <v>4440.1929639999998</v>
      </c>
      <c r="Y958" s="42">
        <f t="shared" si="1601"/>
        <v>193.05186800000001</v>
      </c>
      <c r="Z958" s="42">
        <f t="shared" si="1601"/>
        <v>144.78890099999998</v>
      </c>
      <c r="AA958" s="42">
        <f t="shared" si="1601"/>
        <v>0</v>
      </c>
      <c r="AB958" s="42">
        <f t="shared" si="1601"/>
        <v>0</v>
      </c>
      <c r="AC958" s="56"/>
      <c r="AD958" s="23"/>
    </row>
    <row r="959" spans="1:30" s="14" customFormat="1">
      <c r="A959" s="78" t="s">
        <v>294</v>
      </c>
      <c r="B959" s="26">
        <v>2780708.5</v>
      </c>
      <c r="C959" s="130">
        <f t="shared" si="1529"/>
        <v>231725.71</v>
      </c>
      <c r="D959" s="35">
        <v>1.6299999999999999E-2</v>
      </c>
      <c r="E959" s="35">
        <v>0.14269999999999999</v>
      </c>
      <c r="F959" s="35">
        <v>5.8900000000000001E-2</v>
      </c>
      <c r="G959" s="35">
        <v>7.6200000000000004E-2</v>
      </c>
      <c r="H959" s="35">
        <v>3.9600000000000003E-2</v>
      </c>
      <c r="I959" s="35">
        <v>0.12470000000000001</v>
      </c>
      <c r="J959" s="35">
        <v>2.0400000000000001E-2</v>
      </c>
      <c r="K959" s="35">
        <v>3.1199999999999999E-2</v>
      </c>
      <c r="L959" s="35">
        <v>1.6199999999999999E-2</v>
      </c>
      <c r="M959" s="35">
        <v>2.53E-2</v>
      </c>
      <c r="N959" s="35">
        <v>0.14849999999999999</v>
      </c>
      <c r="O959" s="35">
        <v>2.2599999999999999E-2</v>
      </c>
      <c r="P959" s="35">
        <v>0</v>
      </c>
      <c r="Q959" s="35">
        <v>3.78E-2</v>
      </c>
      <c r="R959" s="35">
        <v>1.8100000000000002E-2</v>
      </c>
      <c r="S959" s="35">
        <v>4.1000000000000003E-3</v>
      </c>
      <c r="T959" s="35">
        <v>5.04E-2</v>
      </c>
      <c r="U959" s="35">
        <v>1.7500000000000002E-2</v>
      </c>
      <c r="V959" s="35">
        <v>3.6200000000000003E-2</v>
      </c>
      <c r="W959" s="35">
        <v>4.8500000000000001E-2</v>
      </c>
      <c r="X959" s="35">
        <v>6.1600000000000002E-2</v>
      </c>
      <c r="Y959" s="35">
        <v>2.5000000000000001E-3</v>
      </c>
      <c r="Z959" s="4">
        <v>0</v>
      </c>
      <c r="AA959" s="4">
        <v>6.9999999999999999E-4</v>
      </c>
      <c r="AB959" s="4">
        <v>0</v>
      </c>
      <c r="AC959" s="56"/>
      <c r="AD959" s="23"/>
    </row>
    <row r="960" spans="1:30" s="14" customFormat="1">
      <c r="A960" s="79"/>
      <c r="B960" s="27"/>
      <c r="C960" s="130"/>
      <c r="D960" s="5">
        <f t="shared" ref="D960" si="1602">$C959*D959</f>
        <v>3777.1290729999996</v>
      </c>
      <c r="E960" s="5">
        <f t="shared" ref="E960" si="1603">$C959*E959</f>
        <v>33067.258816999994</v>
      </c>
      <c r="F960" s="5">
        <f t="shared" ref="F960:AB960" si="1604">$C959*F959</f>
        <v>13648.644318999999</v>
      </c>
      <c r="G960" s="5">
        <f t="shared" si="1604"/>
        <v>17657.499102000002</v>
      </c>
      <c r="H960" s="5">
        <f t="shared" si="1604"/>
        <v>9176.3381160000008</v>
      </c>
      <c r="I960" s="5">
        <f t="shared" si="1604"/>
        <v>28896.196037000002</v>
      </c>
      <c r="J960" s="5">
        <f t="shared" si="1604"/>
        <v>4727.2044839999999</v>
      </c>
      <c r="K960" s="5">
        <f t="shared" si="1604"/>
        <v>7229.8421519999993</v>
      </c>
      <c r="L960" s="5">
        <f t="shared" si="1604"/>
        <v>3753.9565019999995</v>
      </c>
      <c r="M960" s="5">
        <f t="shared" si="1604"/>
        <v>5862.6604629999993</v>
      </c>
      <c r="N960" s="5">
        <f t="shared" si="1604"/>
        <v>34411.267934999996</v>
      </c>
      <c r="O960" s="5">
        <f t="shared" si="1604"/>
        <v>5237.0010459999994</v>
      </c>
      <c r="P960" s="5">
        <f t="shared" si="1604"/>
        <v>0</v>
      </c>
      <c r="Q960" s="5">
        <f t="shared" si="1604"/>
        <v>8759.2318379999997</v>
      </c>
      <c r="R960" s="5">
        <f t="shared" si="1604"/>
        <v>4194.2353510000003</v>
      </c>
      <c r="S960" s="5">
        <f t="shared" si="1604"/>
        <v>950.07541100000003</v>
      </c>
      <c r="T960" s="5">
        <f t="shared" si="1604"/>
        <v>11678.975784</v>
      </c>
      <c r="U960" s="5">
        <f t="shared" si="1604"/>
        <v>4055.1999250000003</v>
      </c>
      <c r="V960" s="5">
        <f t="shared" si="1604"/>
        <v>8388.4707020000005</v>
      </c>
      <c r="W960" s="5">
        <f t="shared" si="1604"/>
        <v>11238.696935</v>
      </c>
      <c r="X960" s="5">
        <f t="shared" si="1604"/>
        <v>14274.303736</v>
      </c>
      <c r="Y960" s="5">
        <f t="shared" si="1604"/>
        <v>579.31427499999995</v>
      </c>
      <c r="Z960" s="5">
        <f t="shared" si="1604"/>
        <v>0</v>
      </c>
      <c r="AA960" s="5">
        <f t="shared" si="1604"/>
        <v>162.20799700000001</v>
      </c>
      <c r="AB960" s="5">
        <f t="shared" si="1604"/>
        <v>0</v>
      </c>
      <c r="AC960" s="56"/>
      <c r="AD960" s="23"/>
    </row>
    <row r="961" spans="1:30" s="14" customFormat="1">
      <c r="A961" s="78" t="s">
        <v>446</v>
      </c>
      <c r="B961" s="15">
        <v>2780708.5</v>
      </c>
      <c r="C961" s="130">
        <f t="shared" si="1529"/>
        <v>231725.71</v>
      </c>
      <c r="D961" s="4"/>
      <c r="E961" s="4">
        <v>0.56320000000000003</v>
      </c>
      <c r="F961" s="4"/>
      <c r="G961" s="4"/>
      <c r="H961" s="4"/>
      <c r="I961" s="4"/>
      <c r="J961" s="4">
        <v>0.19009999999999999</v>
      </c>
      <c r="K961" s="4">
        <v>0.2467</v>
      </c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56"/>
      <c r="AD961" s="23"/>
    </row>
    <row r="962" spans="1:30" s="14" customFormat="1">
      <c r="A962" s="79"/>
      <c r="B962" s="9"/>
      <c r="C962" s="130"/>
      <c r="D962" s="5">
        <f t="shared" ref="D962" si="1605">$C961*D961</f>
        <v>0</v>
      </c>
      <c r="E962" s="5">
        <f t="shared" ref="E962" si="1606">$C961*E961</f>
        <v>130507.919872</v>
      </c>
      <c r="F962" s="5">
        <f t="shared" ref="F962:O962" si="1607">$C961*F961</f>
        <v>0</v>
      </c>
      <c r="G962" s="5">
        <f t="shared" si="1607"/>
        <v>0</v>
      </c>
      <c r="H962" s="5">
        <f t="shared" si="1607"/>
        <v>0</v>
      </c>
      <c r="I962" s="5">
        <f t="shared" si="1607"/>
        <v>0</v>
      </c>
      <c r="J962" s="5">
        <f t="shared" si="1607"/>
        <v>44051.057470999993</v>
      </c>
      <c r="K962" s="5">
        <f t="shared" si="1607"/>
        <v>57166.732657</v>
      </c>
      <c r="L962" s="5">
        <f t="shared" si="1607"/>
        <v>0</v>
      </c>
      <c r="M962" s="5">
        <f t="shared" si="1607"/>
        <v>0</v>
      </c>
      <c r="N962" s="5">
        <f t="shared" si="1607"/>
        <v>0</v>
      </c>
      <c r="O962" s="5">
        <f t="shared" si="1607"/>
        <v>0</v>
      </c>
      <c r="P962" s="5">
        <f t="shared" ref="P962" si="1608">$C961*P961</f>
        <v>0</v>
      </c>
      <c r="Q962" s="5">
        <f t="shared" ref="Q962" si="1609">$C961*Q961</f>
        <v>0</v>
      </c>
      <c r="R962" s="5">
        <f t="shared" ref="R962:AB962" si="1610">$C961*R961</f>
        <v>0</v>
      </c>
      <c r="S962" s="5">
        <f t="shared" si="1610"/>
        <v>0</v>
      </c>
      <c r="T962" s="5">
        <f t="shared" si="1610"/>
        <v>0</v>
      </c>
      <c r="U962" s="5">
        <f t="shared" si="1610"/>
        <v>0</v>
      </c>
      <c r="V962" s="5">
        <f t="shared" si="1610"/>
        <v>0</v>
      </c>
      <c r="W962" s="5">
        <f t="shared" si="1610"/>
        <v>0</v>
      </c>
      <c r="X962" s="5">
        <f t="shared" si="1610"/>
        <v>0</v>
      </c>
      <c r="Y962" s="5">
        <f t="shared" si="1610"/>
        <v>0</v>
      </c>
      <c r="Z962" s="5">
        <f t="shared" si="1610"/>
        <v>0</v>
      </c>
      <c r="AA962" s="5">
        <f t="shared" si="1610"/>
        <v>0</v>
      </c>
      <c r="AB962" s="5">
        <f t="shared" si="1610"/>
        <v>0</v>
      </c>
      <c r="AC962" s="56"/>
      <c r="AD962" s="23"/>
    </row>
    <row r="963" spans="1:30" s="14" customFormat="1">
      <c r="A963" s="85" t="s">
        <v>295</v>
      </c>
      <c r="B963" s="26">
        <v>4841383</v>
      </c>
      <c r="C963" s="130">
        <f t="shared" si="1529"/>
        <v>403448.58</v>
      </c>
      <c r="D963" s="37">
        <v>4.1000000000000003E-3</v>
      </c>
      <c r="E963" s="37">
        <v>0.87219999999999998</v>
      </c>
      <c r="F963" s="37"/>
      <c r="G963" s="37"/>
      <c r="H963" s="37">
        <v>1.03E-2</v>
      </c>
      <c r="I963" s="37">
        <v>3.3799999999999997E-2</v>
      </c>
      <c r="J963" s="37">
        <v>1.23E-2</v>
      </c>
      <c r="K963" s="37"/>
      <c r="L963" s="37">
        <v>1.46E-2</v>
      </c>
      <c r="M963" s="37">
        <v>5.4000000000000003E-3</v>
      </c>
      <c r="N963" s="37"/>
      <c r="O963" s="37"/>
      <c r="P963" s="37">
        <v>4.0000000000000002E-4</v>
      </c>
      <c r="Q963" s="37">
        <v>8.9999999999999993E-3</v>
      </c>
      <c r="R963" s="37"/>
      <c r="S963" s="37">
        <v>8.9999999999999998E-4</v>
      </c>
      <c r="T963" s="37">
        <v>1.18E-2</v>
      </c>
      <c r="U963" s="37"/>
      <c r="V963" s="37">
        <v>9.4000000000000004E-3</v>
      </c>
      <c r="W963" s="37"/>
      <c r="X963" s="37">
        <v>1.4800000000000001E-2</v>
      </c>
      <c r="Y963" s="37">
        <v>5.9999999999999995E-4</v>
      </c>
      <c r="Z963" s="37">
        <v>4.0000000000000002E-4</v>
      </c>
      <c r="AA963" s="37">
        <v>0</v>
      </c>
      <c r="AB963" s="37">
        <v>0</v>
      </c>
      <c r="AC963" s="56"/>
      <c r="AD963" s="23"/>
    </row>
    <row r="964" spans="1:30" s="14" customFormat="1">
      <c r="A964" s="84"/>
      <c r="B964" s="27"/>
      <c r="C964" s="130"/>
      <c r="D964" s="42">
        <f t="shared" ref="D964" si="1611">$C963*D963</f>
        <v>1654.1391780000001</v>
      </c>
      <c r="E964" s="42">
        <f t="shared" ref="E964" si="1612">$C963*E963</f>
        <v>351887.85147599998</v>
      </c>
      <c r="F964" s="42">
        <f t="shared" ref="F964:AB964" si="1613">$C963*F963</f>
        <v>0</v>
      </c>
      <c r="G964" s="42">
        <f t="shared" si="1613"/>
        <v>0</v>
      </c>
      <c r="H964" s="42">
        <f t="shared" si="1613"/>
        <v>4155.5203740000006</v>
      </c>
      <c r="I964" s="42">
        <f t="shared" si="1613"/>
        <v>13636.562003999999</v>
      </c>
      <c r="J964" s="42">
        <f t="shared" si="1613"/>
        <v>4962.4175340000002</v>
      </c>
      <c r="K964" s="42">
        <f t="shared" si="1613"/>
        <v>0</v>
      </c>
      <c r="L964" s="42">
        <f t="shared" si="1613"/>
        <v>5890.3492679999999</v>
      </c>
      <c r="M964" s="42">
        <f t="shared" si="1613"/>
        <v>2178.6223320000004</v>
      </c>
      <c r="N964" s="42">
        <f t="shared" si="1613"/>
        <v>0</v>
      </c>
      <c r="O964" s="42">
        <f t="shared" si="1613"/>
        <v>0</v>
      </c>
      <c r="P964" s="42">
        <f t="shared" si="1613"/>
        <v>161.37943200000001</v>
      </c>
      <c r="Q964" s="42">
        <f t="shared" si="1613"/>
        <v>3631.0372199999997</v>
      </c>
      <c r="R964" s="42">
        <f t="shared" si="1613"/>
        <v>0</v>
      </c>
      <c r="S964" s="42">
        <f t="shared" si="1613"/>
        <v>363.103722</v>
      </c>
      <c r="T964" s="42">
        <f t="shared" si="1613"/>
        <v>4760.693244</v>
      </c>
      <c r="U964" s="42">
        <f t="shared" si="1613"/>
        <v>0</v>
      </c>
      <c r="V964" s="42">
        <f t="shared" si="1613"/>
        <v>3792.4166520000003</v>
      </c>
      <c r="W964" s="42">
        <f t="shared" si="1613"/>
        <v>0</v>
      </c>
      <c r="X964" s="42">
        <f t="shared" si="1613"/>
        <v>5971.0389840000007</v>
      </c>
      <c r="Y964" s="42">
        <f t="shared" si="1613"/>
        <v>242.06914799999998</v>
      </c>
      <c r="Z964" s="42">
        <f t="shared" si="1613"/>
        <v>161.37943200000001</v>
      </c>
      <c r="AA964" s="42">
        <f t="shared" si="1613"/>
        <v>0</v>
      </c>
      <c r="AB964" s="42">
        <f t="shared" si="1613"/>
        <v>0</v>
      </c>
      <c r="AC964" s="56"/>
      <c r="AD964" s="23"/>
    </row>
    <row r="965" spans="1:30" s="14" customFormat="1">
      <c r="A965" s="85" t="s">
        <v>303</v>
      </c>
      <c r="B965" s="26">
        <v>27418</v>
      </c>
      <c r="C965" s="130">
        <f t="shared" si="1529"/>
        <v>2284.83</v>
      </c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7">
        <v>0.753</v>
      </c>
      <c r="O965" s="30"/>
      <c r="P965" s="30"/>
      <c r="Q965" s="30"/>
      <c r="R965" s="30"/>
      <c r="S965" s="30"/>
      <c r="T965" s="30"/>
      <c r="U965" s="30"/>
      <c r="V965" s="7">
        <v>0.247</v>
      </c>
      <c r="W965" s="30"/>
      <c r="X965" s="30"/>
      <c r="Y965" s="30"/>
      <c r="Z965" s="30"/>
      <c r="AA965" s="30"/>
      <c r="AB965" s="30"/>
      <c r="AC965" s="56"/>
      <c r="AD965" s="23"/>
    </row>
    <row r="966" spans="1:30" s="14" customFormat="1">
      <c r="A966" s="84"/>
      <c r="B966" s="27"/>
      <c r="C966" s="130"/>
      <c r="D966" s="6">
        <f t="shared" ref="D966" si="1614">$C965*D965</f>
        <v>0</v>
      </c>
      <c r="E966" s="6">
        <f t="shared" ref="E966" si="1615">$C965*E965</f>
        <v>0</v>
      </c>
      <c r="F966" s="6">
        <f t="shared" ref="F966:AB966" si="1616">$C965*F965</f>
        <v>0</v>
      </c>
      <c r="G966" s="6">
        <f t="shared" si="1616"/>
        <v>0</v>
      </c>
      <c r="H966" s="6">
        <f t="shared" si="1616"/>
        <v>0</v>
      </c>
      <c r="I966" s="6">
        <f t="shared" si="1616"/>
        <v>0</v>
      </c>
      <c r="J966" s="6">
        <f t="shared" si="1616"/>
        <v>0</v>
      </c>
      <c r="K966" s="6">
        <f t="shared" si="1616"/>
        <v>0</v>
      </c>
      <c r="L966" s="6">
        <f t="shared" si="1616"/>
        <v>0</v>
      </c>
      <c r="M966" s="6">
        <f t="shared" si="1616"/>
        <v>0</v>
      </c>
      <c r="N966" s="6">
        <f t="shared" si="1616"/>
        <v>1720.4769899999999</v>
      </c>
      <c r="O966" s="6">
        <f t="shared" si="1616"/>
        <v>0</v>
      </c>
      <c r="P966" s="6">
        <f t="shared" si="1616"/>
        <v>0</v>
      </c>
      <c r="Q966" s="6">
        <f t="shared" si="1616"/>
        <v>0</v>
      </c>
      <c r="R966" s="6">
        <f t="shared" si="1616"/>
        <v>0</v>
      </c>
      <c r="S966" s="6">
        <f t="shared" si="1616"/>
        <v>0</v>
      </c>
      <c r="T966" s="6">
        <f t="shared" si="1616"/>
        <v>0</v>
      </c>
      <c r="U966" s="6">
        <f t="shared" si="1616"/>
        <v>0</v>
      </c>
      <c r="V966" s="6">
        <f t="shared" si="1616"/>
        <v>564.35300999999993</v>
      </c>
      <c r="W966" s="6">
        <f t="shared" si="1616"/>
        <v>0</v>
      </c>
      <c r="X966" s="6">
        <f t="shared" si="1616"/>
        <v>0</v>
      </c>
      <c r="Y966" s="6">
        <f t="shared" si="1616"/>
        <v>0</v>
      </c>
      <c r="Z966" s="6">
        <f t="shared" si="1616"/>
        <v>0</v>
      </c>
      <c r="AA966" s="6">
        <f t="shared" si="1616"/>
        <v>0</v>
      </c>
      <c r="AB966" s="6">
        <f t="shared" si="1616"/>
        <v>0</v>
      </c>
      <c r="AC966" s="56"/>
      <c r="AD966" s="23"/>
    </row>
    <row r="967" spans="1:30" s="14" customFormat="1">
      <c r="A967" s="78" t="s">
        <v>304</v>
      </c>
      <c r="B967" s="26">
        <v>3659261</v>
      </c>
      <c r="C967" s="130">
        <f t="shared" si="1529"/>
        <v>304938.42</v>
      </c>
      <c r="D967" s="35">
        <v>7.1000000000000004E-3</v>
      </c>
      <c r="E967" s="35">
        <v>0.75060000000000004</v>
      </c>
      <c r="F967" s="35">
        <v>1.2500000000000001E-2</v>
      </c>
      <c r="G967" s="35"/>
      <c r="H967" s="35">
        <v>1.8100000000000002E-2</v>
      </c>
      <c r="I967" s="35">
        <v>5.91E-2</v>
      </c>
      <c r="J967" s="35">
        <v>8.6E-3</v>
      </c>
      <c r="K967" s="35"/>
      <c r="L967" s="35">
        <v>1.23E-2</v>
      </c>
      <c r="M967" s="35">
        <v>9.4999999999999998E-3</v>
      </c>
      <c r="N967" s="35">
        <v>3.8899999999999997E-2</v>
      </c>
      <c r="O967" s="35"/>
      <c r="P967" s="35">
        <v>6.9999999999999999E-4</v>
      </c>
      <c r="Q967" s="35">
        <v>1.5800000000000002E-2</v>
      </c>
      <c r="R967" s="35"/>
      <c r="S967" s="35">
        <v>1.5E-3</v>
      </c>
      <c r="T967" s="35">
        <v>2.0799999999999999E-2</v>
      </c>
      <c r="U967" s="35"/>
      <c r="V967" s="35">
        <v>1.66E-2</v>
      </c>
      <c r="W967" s="35"/>
      <c r="X967" s="35">
        <v>2.6200000000000001E-2</v>
      </c>
      <c r="Y967" s="35">
        <v>1E-3</v>
      </c>
      <c r="Z967" s="37">
        <v>6.9999999999999999E-4</v>
      </c>
      <c r="AA967" s="37">
        <v>0</v>
      </c>
      <c r="AB967" s="37">
        <v>0</v>
      </c>
      <c r="AC967" s="56"/>
      <c r="AD967" s="23"/>
    </row>
    <row r="968" spans="1:30" s="14" customFormat="1">
      <c r="A968" s="79"/>
      <c r="B968" s="27"/>
      <c r="C968" s="130"/>
      <c r="D968" s="36">
        <f t="shared" ref="D968" si="1617">$C967*D967</f>
        <v>2165.062782</v>
      </c>
      <c r="E968" s="36">
        <f t="shared" ref="E968" si="1618">$C967*E967</f>
        <v>228886.77805200001</v>
      </c>
      <c r="F968" s="36">
        <f t="shared" ref="F968:AB968" si="1619">$C967*F967</f>
        <v>3811.7302500000001</v>
      </c>
      <c r="G968" s="36">
        <f t="shared" si="1619"/>
        <v>0</v>
      </c>
      <c r="H968" s="36">
        <f t="shared" si="1619"/>
        <v>5519.3854019999999</v>
      </c>
      <c r="I968" s="36">
        <f t="shared" si="1619"/>
        <v>18021.860622</v>
      </c>
      <c r="J968" s="36">
        <f t="shared" si="1619"/>
        <v>2622.4704119999997</v>
      </c>
      <c r="K968" s="36">
        <f t="shared" si="1619"/>
        <v>0</v>
      </c>
      <c r="L968" s="36">
        <f t="shared" si="1619"/>
        <v>3750.7425659999999</v>
      </c>
      <c r="M968" s="36">
        <f t="shared" si="1619"/>
        <v>2896.9149899999998</v>
      </c>
      <c r="N968" s="36">
        <f t="shared" si="1619"/>
        <v>11862.104537999998</v>
      </c>
      <c r="O968" s="36">
        <f t="shared" si="1619"/>
        <v>0</v>
      </c>
      <c r="P968" s="36">
        <f t="shared" si="1619"/>
        <v>213.45689399999998</v>
      </c>
      <c r="Q968" s="36">
        <f t="shared" si="1619"/>
        <v>4818.0270360000004</v>
      </c>
      <c r="R968" s="36">
        <f t="shared" si="1619"/>
        <v>0</v>
      </c>
      <c r="S968" s="36">
        <f t="shared" si="1619"/>
        <v>457.40762999999998</v>
      </c>
      <c r="T968" s="36">
        <f t="shared" si="1619"/>
        <v>6342.7191359999997</v>
      </c>
      <c r="U968" s="36">
        <f t="shared" si="1619"/>
        <v>0</v>
      </c>
      <c r="V968" s="36">
        <f t="shared" si="1619"/>
        <v>5061.9777720000002</v>
      </c>
      <c r="W968" s="36">
        <f t="shared" si="1619"/>
        <v>0</v>
      </c>
      <c r="X968" s="36">
        <f t="shared" si="1619"/>
        <v>7989.3866040000003</v>
      </c>
      <c r="Y968" s="36">
        <f t="shared" si="1619"/>
        <v>304.93842000000001</v>
      </c>
      <c r="Z968" s="36">
        <f t="shared" si="1619"/>
        <v>213.45689399999998</v>
      </c>
      <c r="AA968" s="36">
        <f t="shared" si="1619"/>
        <v>0</v>
      </c>
      <c r="AB968" s="36">
        <f t="shared" si="1619"/>
        <v>0</v>
      </c>
      <c r="AC968" s="56"/>
      <c r="AD968" s="23"/>
    </row>
    <row r="969" spans="1:30" s="14" customFormat="1">
      <c r="A969" s="85" t="s">
        <v>305</v>
      </c>
      <c r="B969" s="26">
        <v>702229.5</v>
      </c>
      <c r="C969" s="130">
        <f t="shared" si="1529"/>
        <v>58519.13</v>
      </c>
      <c r="D969" s="35">
        <v>1.6299999999999999E-2</v>
      </c>
      <c r="E969" s="35">
        <v>0.14269999999999999</v>
      </c>
      <c r="F969" s="35">
        <v>5.8900000000000001E-2</v>
      </c>
      <c r="G969" s="35">
        <v>7.6200000000000004E-2</v>
      </c>
      <c r="H969" s="35">
        <v>3.9600000000000003E-2</v>
      </c>
      <c r="I969" s="35">
        <v>0.12470000000000001</v>
      </c>
      <c r="J969" s="35">
        <v>2.0400000000000001E-2</v>
      </c>
      <c r="K969" s="35">
        <v>3.1199999999999999E-2</v>
      </c>
      <c r="L969" s="35">
        <v>1.6199999999999999E-2</v>
      </c>
      <c r="M969" s="35">
        <v>2.53E-2</v>
      </c>
      <c r="N969" s="35">
        <v>0.14849999999999999</v>
      </c>
      <c r="O969" s="35">
        <v>2.2599999999999999E-2</v>
      </c>
      <c r="P969" s="35">
        <v>0</v>
      </c>
      <c r="Q969" s="35">
        <v>3.78E-2</v>
      </c>
      <c r="R969" s="35">
        <v>1.8100000000000002E-2</v>
      </c>
      <c r="S969" s="35">
        <v>4.1000000000000003E-3</v>
      </c>
      <c r="T969" s="35">
        <v>5.04E-2</v>
      </c>
      <c r="U969" s="35">
        <v>1.7500000000000002E-2</v>
      </c>
      <c r="V969" s="35">
        <v>3.6200000000000003E-2</v>
      </c>
      <c r="W969" s="35">
        <v>4.8500000000000001E-2</v>
      </c>
      <c r="X969" s="35">
        <v>6.1600000000000002E-2</v>
      </c>
      <c r="Y969" s="35">
        <v>2.5000000000000001E-3</v>
      </c>
      <c r="Z969" s="4">
        <v>0</v>
      </c>
      <c r="AA969" s="4">
        <v>6.9999999999999999E-4</v>
      </c>
      <c r="AB969" s="4">
        <v>0</v>
      </c>
      <c r="AC969" s="56"/>
      <c r="AD969" s="23"/>
    </row>
    <row r="970" spans="1:30" s="14" customFormat="1">
      <c r="A970" s="84"/>
      <c r="B970" s="27"/>
      <c r="C970" s="130"/>
      <c r="D970" s="6">
        <f t="shared" ref="D970" si="1620">$C969*D969</f>
        <v>953.86181899999985</v>
      </c>
      <c r="E970" s="6">
        <f t="shared" ref="E970" si="1621">$C969*E969</f>
        <v>8350.679850999999</v>
      </c>
      <c r="F970" s="6">
        <f t="shared" ref="F970:AB970" si="1622">$C969*F969</f>
        <v>3446.7767570000001</v>
      </c>
      <c r="G970" s="6">
        <f t="shared" si="1622"/>
        <v>4459.157706</v>
      </c>
      <c r="H970" s="6">
        <f t="shared" si="1622"/>
        <v>2317.357548</v>
      </c>
      <c r="I970" s="6">
        <f t="shared" si="1622"/>
        <v>7297.3355110000002</v>
      </c>
      <c r="J970" s="6">
        <f t="shared" si="1622"/>
        <v>1193.790252</v>
      </c>
      <c r="K970" s="6">
        <f t="shared" si="1622"/>
        <v>1825.7968559999999</v>
      </c>
      <c r="L970" s="6">
        <f t="shared" si="1622"/>
        <v>948.00990599999989</v>
      </c>
      <c r="M970" s="6">
        <f t="shared" si="1622"/>
        <v>1480.533989</v>
      </c>
      <c r="N970" s="6">
        <f t="shared" si="1622"/>
        <v>8690.0908049999998</v>
      </c>
      <c r="O970" s="6">
        <f t="shared" si="1622"/>
        <v>1322.5323379999998</v>
      </c>
      <c r="P970" s="6">
        <f t="shared" si="1622"/>
        <v>0</v>
      </c>
      <c r="Q970" s="6">
        <f t="shared" si="1622"/>
        <v>2212.0231140000001</v>
      </c>
      <c r="R970" s="6">
        <f t="shared" si="1622"/>
        <v>1059.1962530000001</v>
      </c>
      <c r="S970" s="6">
        <f t="shared" si="1622"/>
        <v>239.92843300000001</v>
      </c>
      <c r="T970" s="6">
        <f t="shared" si="1622"/>
        <v>2949.3641520000001</v>
      </c>
      <c r="U970" s="6">
        <f t="shared" si="1622"/>
        <v>1024.084775</v>
      </c>
      <c r="V970" s="6">
        <f t="shared" si="1622"/>
        <v>2118.3925060000001</v>
      </c>
      <c r="W970" s="6">
        <f t="shared" si="1622"/>
        <v>2838.1778049999998</v>
      </c>
      <c r="X970" s="6">
        <f t="shared" si="1622"/>
        <v>3604.7784080000001</v>
      </c>
      <c r="Y970" s="6">
        <f t="shared" si="1622"/>
        <v>146.29782499999999</v>
      </c>
      <c r="Z970" s="6">
        <f t="shared" si="1622"/>
        <v>0</v>
      </c>
      <c r="AA970" s="6">
        <f t="shared" si="1622"/>
        <v>40.963390999999994</v>
      </c>
      <c r="AB970" s="6">
        <f t="shared" si="1622"/>
        <v>0</v>
      </c>
      <c r="AC970" s="56"/>
      <c r="AD970" s="23"/>
    </row>
    <row r="971" spans="1:30" s="14" customFormat="1">
      <c r="A971" s="85" t="s">
        <v>307</v>
      </c>
      <c r="B971" s="26">
        <v>702229.5</v>
      </c>
      <c r="C971" s="130">
        <f t="shared" si="1529"/>
        <v>58519.13</v>
      </c>
      <c r="D971" s="30"/>
      <c r="E971" s="43">
        <v>1</v>
      </c>
      <c r="F971" s="30"/>
      <c r="G971" s="30"/>
      <c r="H971" s="30"/>
      <c r="I971" s="30"/>
      <c r="J971" s="30"/>
      <c r="K971" s="30"/>
      <c r="L971" s="30"/>
      <c r="M971" s="30"/>
      <c r="N971" s="7"/>
      <c r="O971" s="30"/>
      <c r="P971" s="30"/>
      <c r="Q971" s="30"/>
      <c r="R971" s="30"/>
      <c r="S971" s="30"/>
      <c r="T971" s="30"/>
      <c r="U971" s="30"/>
      <c r="V971" s="7"/>
      <c r="W971" s="30"/>
      <c r="X971" s="30"/>
      <c r="Y971" s="30"/>
      <c r="Z971" s="30"/>
      <c r="AA971" s="30"/>
      <c r="AB971" s="30"/>
      <c r="AC971" s="56"/>
      <c r="AD971" s="23"/>
    </row>
    <row r="972" spans="1:30" s="14" customFormat="1">
      <c r="A972" s="84"/>
      <c r="B972" s="27"/>
      <c r="C972" s="130"/>
      <c r="D972" s="6">
        <f t="shared" ref="D972" si="1623">$C971*D971</f>
        <v>0</v>
      </c>
      <c r="E972" s="6">
        <f t="shared" ref="E972" si="1624">$C971*E971</f>
        <v>58519.13</v>
      </c>
      <c r="F972" s="6">
        <f t="shared" ref="F972:AB972" si="1625">$C971*F971</f>
        <v>0</v>
      </c>
      <c r="G972" s="6">
        <f t="shared" si="1625"/>
        <v>0</v>
      </c>
      <c r="H972" s="6">
        <f t="shared" si="1625"/>
        <v>0</v>
      </c>
      <c r="I972" s="6">
        <f t="shared" si="1625"/>
        <v>0</v>
      </c>
      <c r="J972" s="6">
        <f t="shared" si="1625"/>
        <v>0</v>
      </c>
      <c r="K972" s="6">
        <f t="shared" si="1625"/>
        <v>0</v>
      </c>
      <c r="L972" s="6">
        <f t="shared" si="1625"/>
        <v>0</v>
      </c>
      <c r="M972" s="6">
        <f t="shared" si="1625"/>
        <v>0</v>
      </c>
      <c r="N972" s="6">
        <f t="shared" si="1625"/>
        <v>0</v>
      </c>
      <c r="O972" s="6">
        <f t="shared" si="1625"/>
        <v>0</v>
      </c>
      <c r="P972" s="6">
        <f t="shared" si="1625"/>
        <v>0</v>
      </c>
      <c r="Q972" s="6">
        <f t="shared" si="1625"/>
        <v>0</v>
      </c>
      <c r="R972" s="6">
        <f t="shared" si="1625"/>
        <v>0</v>
      </c>
      <c r="S972" s="6">
        <f t="shared" si="1625"/>
        <v>0</v>
      </c>
      <c r="T972" s="6">
        <f t="shared" si="1625"/>
        <v>0</v>
      </c>
      <c r="U972" s="6">
        <f t="shared" si="1625"/>
        <v>0</v>
      </c>
      <c r="V972" s="6">
        <f t="shared" si="1625"/>
        <v>0</v>
      </c>
      <c r="W972" s="6">
        <f t="shared" si="1625"/>
        <v>0</v>
      </c>
      <c r="X972" s="6">
        <f t="shared" si="1625"/>
        <v>0</v>
      </c>
      <c r="Y972" s="6">
        <f t="shared" si="1625"/>
        <v>0</v>
      </c>
      <c r="Z972" s="6">
        <f t="shared" si="1625"/>
        <v>0</v>
      </c>
      <c r="AA972" s="6">
        <f t="shared" si="1625"/>
        <v>0</v>
      </c>
      <c r="AB972" s="6">
        <f t="shared" si="1625"/>
        <v>0</v>
      </c>
      <c r="AC972" s="56"/>
      <c r="AD972" s="23"/>
    </row>
    <row r="973" spans="1:30" s="14" customFormat="1">
      <c r="A973" s="85" t="s">
        <v>306</v>
      </c>
      <c r="B973" s="26">
        <v>1095944</v>
      </c>
      <c r="C973" s="130">
        <f t="shared" si="1529"/>
        <v>91328.67</v>
      </c>
      <c r="D973" s="35">
        <v>1.6299999999999999E-2</v>
      </c>
      <c r="E973" s="35">
        <v>0.14269999999999999</v>
      </c>
      <c r="F973" s="35">
        <v>5.8900000000000001E-2</v>
      </c>
      <c r="G973" s="35">
        <v>7.6200000000000004E-2</v>
      </c>
      <c r="H973" s="35">
        <v>3.9600000000000003E-2</v>
      </c>
      <c r="I973" s="35">
        <v>0.12470000000000001</v>
      </c>
      <c r="J973" s="35">
        <v>2.0400000000000001E-2</v>
      </c>
      <c r="K973" s="35">
        <v>3.1199999999999999E-2</v>
      </c>
      <c r="L973" s="35">
        <v>1.6199999999999999E-2</v>
      </c>
      <c r="M973" s="35">
        <v>2.53E-2</v>
      </c>
      <c r="N973" s="35">
        <v>0.14849999999999999</v>
      </c>
      <c r="O973" s="35">
        <v>2.2599999999999999E-2</v>
      </c>
      <c r="P973" s="35">
        <v>0</v>
      </c>
      <c r="Q973" s="35">
        <v>3.78E-2</v>
      </c>
      <c r="R973" s="35">
        <v>1.8100000000000002E-2</v>
      </c>
      <c r="S973" s="35">
        <v>4.1000000000000003E-3</v>
      </c>
      <c r="T973" s="35">
        <v>5.04E-2</v>
      </c>
      <c r="U973" s="35">
        <v>1.7500000000000002E-2</v>
      </c>
      <c r="V973" s="35">
        <v>3.6200000000000003E-2</v>
      </c>
      <c r="W973" s="35">
        <v>4.8500000000000001E-2</v>
      </c>
      <c r="X973" s="35">
        <v>6.1600000000000002E-2</v>
      </c>
      <c r="Y973" s="35">
        <v>2.5000000000000001E-3</v>
      </c>
      <c r="Z973" s="4">
        <v>0</v>
      </c>
      <c r="AA973" s="4">
        <v>6.9999999999999999E-4</v>
      </c>
      <c r="AB973" s="4">
        <v>0</v>
      </c>
      <c r="AC973" s="56"/>
      <c r="AD973" s="23"/>
    </row>
    <row r="974" spans="1:30" s="14" customFormat="1">
      <c r="A974" s="84"/>
      <c r="B974" s="27"/>
      <c r="C974" s="130"/>
      <c r="D974" s="6">
        <f t="shared" ref="D974" si="1626">$C973*D973</f>
        <v>1488.6573209999999</v>
      </c>
      <c r="E974" s="6">
        <f t="shared" ref="E974" si="1627">$C973*E973</f>
        <v>13032.601208999999</v>
      </c>
      <c r="F974" s="6">
        <f t="shared" ref="F974:AB974" si="1628">$C973*F973</f>
        <v>5379.2586629999996</v>
      </c>
      <c r="G974" s="6">
        <f t="shared" si="1628"/>
        <v>6959.2446540000001</v>
      </c>
      <c r="H974" s="6">
        <f t="shared" si="1628"/>
        <v>3616.6153320000003</v>
      </c>
      <c r="I974" s="6">
        <f t="shared" si="1628"/>
        <v>11388.685149000001</v>
      </c>
      <c r="J974" s="6">
        <f t="shared" si="1628"/>
        <v>1863.1048680000001</v>
      </c>
      <c r="K974" s="6">
        <f t="shared" si="1628"/>
        <v>2849.4545039999998</v>
      </c>
      <c r="L974" s="6">
        <f t="shared" si="1628"/>
        <v>1479.5244539999999</v>
      </c>
      <c r="M974" s="6">
        <f t="shared" si="1628"/>
        <v>2310.6153509999999</v>
      </c>
      <c r="N974" s="6">
        <f t="shared" si="1628"/>
        <v>13562.307494999999</v>
      </c>
      <c r="O974" s="6">
        <f t="shared" si="1628"/>
        <v>2064.0279419999997</v>
      </c>
      <c r="P974" s="6">
        <f t="shared" si="1628"/>
        <v>0</v>
      </c>
      <c r="Q974" s="6">
        <f t="shared" si="1628"/>
        <v>3452.2237260000002</v>
      </c>
      <c r="R974" s="6">
        <f t="shared" si="1628"/>
        <v>1653.048927</v>
      </c>
      <c r="S974" s="6">
        <f t="shared" si="1628"/>
        <v>374.44754700000004</v>
      </c>
      <c r="T974" s="6">
        <f t="shared" si="1628"/>
        <v>4602.9649680000002</v>
      </c>
      <c r="U974" s="6">
        <f t="shared" si="1628"/>
        <v>1598.2517250000001</v>
      </c>
      <c r="V974" s="6">
        <f t="shared" si="1628"/>
        <v>3306.0978540000001</v>
      </c>
      <c r="W974" s="6">
        <f t="shared" si="1628"/>
        <v>4429.4404949999998</v>
      </c>
      <c r="X974" s="6">
        <f t="shared" si="1628"/>
        <v>5625.8460720000003</v>
      </c>
      <c r="Y974" s="6">
        <f t="shared" si="1628"/>
        <v>228.321675</v>
      </c>
      <c r="Z974" s="6">
        <f t="shared" si="1628"/>
        <v>0</v>
      </c>
      <c r="AA974" s="6">
        <f t="shared" si="1628"/>
        <v>63.930068999999996</v>
      </c>
      <c r="AB974" s="6">
        <f t="shared" si="1628"/>
        <v>0</v>
      </c>
      <c r="AC974" s="56"/>
      <c r="AD974" s="23"/>
    </row>
    <row r="975" spans="1:30" s="14" customFormat="1">
      <c r="A975" s="85" t="s">
        <v>308</v>
      </c>
      <c r="B975" s="26">
        <v>1095944</v>
      </c>
      <c r="C975" s="130">
        <f t="shared" si="1529"/>
        <v>91328.67</v>
      </c>
      <c r="D975" s="28"/>
      <c r="E975" s="43">
        <v>1</v>
      </c>
      <c r="F975" s="30"/>
      <c r="G975" s="30"/>
      <c r="H975" s="30"/>
      <c r="I975" s="30"/>
      <c r="J975" s="30"/>
      <c r="K975" s="30"/>
      <c r="L975" s="30"/>
      <c r="M975" s="30"/>
      <c r="N975" s="7"/>
      <c r="O975" s="30"/>
      <c r="P975" s="30"/>
      <c r="Q975" s="30"/>
      <c r="R975" s="30"/>
      <c r="S975" s="30"/>
      <c r="T975" s="30"/>
      <c r="U975" s="30"/>
      <c r="V975" s="7"/>
      <c r="W975" s="30"/>
      <c r="X975" s="30"/>
      <c r="Y975" s="30"/>
      <c r="Z975" s="30"/>
      <c r="AA975" s="30"/>
      <c r="AB975" s="30"/>
      <c r="AC975" s="56"/>
      <c r="AD975" s="23"/>
    </row>
    <row r="976" spans="1:30" s="14" customFormat="1">
      <c r="A976" s="84"/>
      <c r="B976" s="27"/>
      <c r="C976" s="130"/>
      <c r="D976" s="53">
        <f t="shared" ref="D976" si="1629">$C975*D975</f>
        <v>0</v>
      </c>
      <c r="E976" s="5">
        <f t="shared" ref="E976" si="1630">$C975*E975</f>
        <v>91328.67</v>
      </c>
      <c r="F976" s="5">
        <f t="shared" ref="F976:AB976" si="1631">$C975*F975</f>
        <v>0</v>
      </c>
      <c r="G976" s="5">
        <f t="shared" si="1631"/>
        <v>0</v>
      </c>
      <c r="H976" s="5">
        <f t="shared" si="1631"/>
        <v>0</v>
      </c>
      <c r="I976" s="5">
        <f t="shared" si="1631"/>
        <v>0</v>
      </c>
      <c r="J976" s="5">
        <f t="shared" si="1631"/>
        <v>0</v>
      </c>
      <c r="K976" s="5">
        <f t="shared" si="1631"/>
        <v>0</v>
      </c>
      <c r="L976" s="5">
        <f t="shared" si="1631"/>
        <v>0</v>
      </c>
      <c r="M976" s="5">
        <f t="shared" si="1631"/>
        <v>0</v>
      </c>
      <c r="N976" s="5">
        <f t="shared" si="1631"/>
        <v>0</v>
      </c>
      <c r="O976" s="5">
        <f t="shared" si="1631"/>
        <v>0</v>
      </c>
      <c r="P976" s="5">
        <f t="shared" si="1631"/>
        <v>0</v>
      </c>
      <c r="Q976" s="5">
        <f t="shared" si="1631"/>
        <v>0</v>
      </c>
      <c r="R976" s="5">
        <f t="shared" si="1631"/>
        <v>0</v>
      </c>
      <c r="S976" s="5">
        <f t="shared" si="1631"/>
        <v>0</v>
      </c>
      <c r="T976" s="5">
        <f t="shared" si="1631"/>
        <v>0</v>
      </c>
      <c r="U976" s="5">
        <f t="shared" si="1631"/>
        <v>0</v>
      </c>
      <c r="V976" s="5">
        <f t="shared" si="1631"/>
        <v>0</v>
      </c>
      <c r="W976" s="5">
        <f t="shared" si="1631"/>
        <v>0</v>
      </c>
      <c r="X976" s="5">
        <f t="shared" si="1631"/>
        <v>0</v>
      </c>
      <c r="Y976" s="5">
        <f t="shared" si="1631"/>
        <v>0</v>
      </c>
      <c r="Z976" s="5">
        <f t="shared" si="1631"/>
        <v>0</v>
      </c>
      <c r="AA976" s="5">
        <f t="shared" si="1631"/>
        <v>0</v>
      </c>
      <c r="AB976" s="5">
        <f t="shared" si="1631"/>
        <v>0</v>
      </c>
      <c r="AC976" s="56"/>
      <c r="AD976" s="23"/>
    </row>
    <row r="977" spans="1:30" s="14" customFormat="1">
      <c r="A977" s="85" t="s">
        <v>374</v>
      </c>
      <c r="B977" s="26">
        <v>4050494.5</v>
      </c>
      <c r="C977" s="130">
        <f t="shared" si="1529"/>
        <v>337541.21</v>
      </c>
      <c r="D977" s="28"/>
      <c r="E977" s="43">
        <v>1</v>
      </c>
      <c r="F977" s="30"/>
      <c r="G977" s="30"/>
      <c r="H977" s="30"/>
      <c r="I977" s="30"/>
      <c r="J977" s="30"/>
      <c r="K977" s="30"/>
      <c r="L977" s="30"/>
      <c r="M977" s="30"/>
      <c r="N977" s="7"/>
      <c r="O977" s="30"/>
      <c r="P977" s="30"/>
      <c r="Q977" s="30"/>
      <c r="R977" s="30"/>
      <c r="S977" s="30"/>
      <c r="T977" s="30"/>
      <c r="U977" s="30"/>
      <c r="V977" s="7"/>
      <c r="W977" s="30"/>
      <c r="X977" s="30"/>
      <c r="Y977" s="30"/>
      <c r="Z977" s="30"/>
      <c r="AA977" s="30"/>
      <c r="AB977" s="30"/>
      <c r="AC977" s="56"/>
      <c r="AD977" s="23"/>
    </row>
    <row r="978" spans="1:30" s="14" customFormat="1">
      <c r="A978" s="84"/>
      <c r="B978" s="27"/>
      <c r="C978" s="130"/>
      <c r="D978" s="53">
        <f t="shared" ref="D978" si="1632">$C977*D977</f>
        <v>0</v>
      </c>
      <c r="E978" s="5">
        <f t="shared" ref="E978" si="1633">$C977*E977</f>
        <v>337541.21</v>
      </c>
      <c r="F978" s="5">
        <f t="shared" ref="F978:AB978" si="1634">$C977*F977</f>
        <v>0</v>
      </c>
      <c r="G978" s="5">
        <f t="shared" si="1634"/>
        <v>0</v>
      </c>
      <c r="H978" s="5">
        <f t="shared" si="1634"/>
        <v>0</v>
      </c>
      <c r="I978" s="5">
        <f t="shared" si="1634"/>
        <v>0</v>
      </c>
      <c r="J978" s="5">
        <f t="shared" si="1634"/>
        <v>0</v>
      </c>
      <c r="K978" s="5">
        <f t="shared" si="1634"/>
        <v>0</v>
      </c>
      <c r="L978" s="5">
        <f t="shared" si="1634"/>
        <v>0</v>
      </c>
      <c r="M978" s="5">
        <f t="shared" si="1634"/>
        <v>0</v>
      </c>
      <c r="N978" s="5">
        <f t="shared" si="1634"/>
        <v>0</v>
      </c>
      <c r="O978" s="5">
        <f t="shared" si="1634"/>
        <v>0</v>
      </c>
      <c r="P978" s="5">
        <f t="shared" si="1634"/>
        <v>0</v>
      </c>
      <c r="Q978" s="5">
        <f t="shared" si="1634"/>
        <v>0</v>
      </c>
      <c r="R978" s="5">
        <f t="shared" si="1634"/>
        <v>0</v>
      </c>
      <c r="S978" s="5">
        <f t="shared" si="1634"/>
        <v>0</v>
      </c>
      <c r="T978" s="5">
        <f t="shared" si="1634"/>
        <v>0</v>
      </c>
      <c r="U978" s="5">
        <f t="shared" si="1634"/>
        <v>0</v>
      </c>
      <c r="V978" s="5">
        <f t="shared" si="1634"/>
        <v>0</v>
      </c>
      <c r="W978" s="5">
        <f t="shared" si="1634"/>
        <v>0</v>
      </c>
      <c r="X978" s="5">
        <f t="shared" si="1634"/>
        <v>0</v>
      </c>
      <c r="Y978" s="5">
        <f t="shared" si="1634"/>
        <v>0</v>
      </c>
      <c r="Z978" s="5">
        <f t="shared" si="1634"/>
        <v>0</v>
      </c>
      <c r="AA978" s="5">
        <f t="shared" si="1634"/>
        <v>0</v>
      </c>
      <c r="AB978" s="5">
        <f t="shared" si="1634"/>
        <v>0</v>
      </c>
      <c r="AC978" s="56"/>
      <c r="AD978" s="23"/>
    </row>
    <row r="979" spans="1:30" s="14" customFormat="1">
      <c r="A979" s="85" t="s">
        <v>371</v>
      </c>
      <c r="B979" s="26">
        <v>4050494.5</v>
      </c>
      <c r="C979" s="130">
        <f t="shared" si="1529"/>
        <v>337541.21</v>
      </c>
      <c r="D979" s="35">
        <v>1.6299999999999999E-2</v>
      </c>
      <c r="E979" s="35">
        <v>0.14269999999999999</v>
      </c>
      <c r="F979" s="35">
        <v>5.8900000000000001E-2</v>
      </c>
      <c r="G979" s="35">
        <v>7.6200000000000004E-2</v>
      </c>
      <c r="H979" s="35">
        <v>3.9600000000000003E-2</v>
      </c>
      <c r="I979" s="35">
        <v>0.12470000000000001</v>
      </c>
      <c r="J979" s="35">
        <v>2.0400000000000001E-2</v>
      </c>
      <c r="K979" s="35">
        <v>3.1199999999999999E-2</v>
      </c>
      <c r="L979" s="35">
        <v>1.6199999999999999E-2</v>
      </c>
      <c r="M979" s="35">
        <v>2.53E-2</v>
      </c>
      <c r="N979" s="35">
        <v>0.14849999999999999</v>
      </c>
      <c r="O979" s="35">
        <v>2.2599999999999999E-2</v>
      </c>
      <c r="P979" s="35">
        <v>0</v>
      </c>
      <c r="Q979" s="35">
        <v>3.78E-2</v>
      </c>
      <c r="R979" s="35">
        <v>1.8100000000000002E-2</v>
      </c>
      <c r="S979" s="35">
        <v>4.1000000000000003E-3</v>
      </c>
      <c r="T979" s="35">
        <v>5.04E-2</v>
      </c>
      <c r="U979" s="35">
        <v>1.7500000000000002E-2</v>
      </c>
      <c r="V979" s="35">
        <v>3.6200000000000003E-2</v>
      </c>
      <c r="W979" s="35">
        <v>4.8500000000000001E-2</v>
      </c>
      <c r="X979" s="35">
        <v>6.1600000000000002E-2</v>
      </c>
      <c r="Y979" s="35">
        <v>2.5000000000000001E-3</v>
      </c>
      <c r="Z979" s="4">
        <v>0</v>
      </c>
      <c r="AA979" s="4">
        <v>6.9999999999999999E-4</v>
      </c>
      <c r="AB979" s="4">
        <v>0</v>
      </c>
      <c r="AC979" s="56"/>
      <c r="AD979" s="23"/>
    </row>
    <row r="980" spans="1:30" s="14" customFormat="1">
      <c r="A980" s="84"/>
      <c r="B980" s="27"/>
      <c r="C980" s="130"/>
      <c r="D980" s="53">
        <f t="shared" ref="D980" si="1635">$C979*D979</f>
        <v>5501.9217229999995</v>
      </c>
      <c r="E980" s="5">
        <f t="shared" ref="E980" si="1636">$C979*E979</f>
        <v>48167.130666999998</v>
      </c>
      <c r="F980" s="5">
        <f t="shared" ref="F980:AB980" si="1637">$C979*F979</f>
        <v>19881.177269</v>
      </c>
      <c r="G980" s="5">
        <f t="shared" si="1637"/>
        <v>25720.640202000002</v>
      </c>
      <c r="H980" s="5">
        <f t="shared" si="1637"/>
        <v>13366.631916000002</v>
      </c>
      <c r="I980" s="5">
        <f t="shared" si="1637"/>
        <v>42091.388887000001</v>
      </c>
      <c r="J980" s="5">
        <f t="shared" si="1637"/>
        <v>6885.8406840000007</v>
      </c>
      <c r="K980" s="5">
        <f t="shared" si="1637"/>
        <v>10531.285752</v>
      </c>
      <c r="L980" s="5">
        <f t="shared" si="1637"/>
        <v>5468.1676020000004</v>
      </c>
      <c r="M980" s="5">
        <f t="shared" si="1637"/>
        <v>8539.7926129999996</v>
      </c>
      <c r="N980" s="5">
        <f t="shared" si="1637"/>
        <v>50124.869684999998</v>
      </c>
      <c r="O980" s="5">
        <f t="shared" si="1637"/>
        <v>7628.4313460000003</v>
      </c>
      <c r="P980" s="5">
        <f t="shared" si="1637"/>
        <v>0</v>
      </c>
      <c r="Q980" s="5">
        <f t="shared" si="1637"/>
        <v>12759.057738000001</v>
      </c>
      <c r="R980" s="5">
        <f t="shared" si="1637"/>
        <v>6109.4959010000011</v>
      </c>
      <c r="S980" s="5">
        <f t="shared" si="1637"/>
        <v>1383.9189610000003</v>
      </c>
      <c r="T980" s="5">
        <f t="shared" si="1637"/>
        <v>17012.076983999999</v>
      </c>
      <c r="U980" s="5">
        <f t="shared" si="1637"/>
        <v>5906.9711750000006</v>
      </c>
      <c r="V980" s="5">
        <f t="shared" si="1637"/>
        <v>12218.991802000002</v>
      </c>
      <c r="W980" s="5">
        <f t="shared" si="1637"/>
        <v>16370.748685000002</v>
      </c>
      <c r="X980" s="5">
        <f t="shared" si="1637"/>
        <v>20792.538536000004</v>
      </c>
      <c r="Y980" s="5">
        <f t="shared" si="1637"/>
        <v>843.85302500000012</v>
      </c>
      <c r="Z980" s="5">
        <f t="shared" si="1637"/>
        <v>0</v>
      </c>
      <c r="AA980" s="5">
        <f t="shared" si="1637"/>
        <v>236.27884700000001</v>
      </c>
      <c r="AB980" s="5">
        <f t="shared" si="1637"/>
        <v>0</v>
      </c>
      <c r="AC980" s="56"/>
      <c r="AD980" s="23"/>
    </row>
    <row r="981" spans="1:30" s="14" customFormat="1">
      <c r="A981" s="85" t="s">
        <v>375</v>
      </c>
      <c r="B981" s="26">
        <v>544234.5</v>
      </c>
      <c r="C981" s="130">
        <f t="shared" ref="C981:C993" si="1638">ROUND(B981/12,2)</f>
        <v>45352.88</v>
      </c>
      <c r="D981" s="28"/>
      <c r="E981" s="43">
        <v>1</v>
      </c>
      <c r="F981" s="30"/>
      <c r="G981" s="30"/>
      <c r="H981" s="30"/>
      <c r="I981" s="30"/>
      <c r="J981" s="30"/>
      <c r="K981" s="30"/>
      <c r="L981" s="30"/>
      <c r="M981" s="30"/>
      <c r="N981" s="7"/>
      <c r="O981" s="30"/>
      <c r="P981" s="30"/>
      <c r="Q981" s="30"/>
      <c r="R981" s="30"/>
      <c r="S981" s="30"/>
      <c r="T981" s="30"/>
      <c r="U981" s="30"/>
      <c r="V981" s="7"/>
      <c r="W981" s="30"/>
      <c r="X981" s="30"/>
      <c r="Y981" s="30"/>
      <c r="Z981" s="30"/>
      <c r="AA981" s="30"/>
      <c r="AB981" s="30"/>
      <c r="AC981" s="56"/>
      <c r="AD981" s="23"/>
    </row>
    <row r="982" spans="1:30" s="14" customFormat="1">
      <c r="A982" s="84"/>
      <c r="B982" s="27"/>
      <c r="C982" s="130"/>
      <c r="D982" s="53">
        <f t="shared" ref="D982" si="1639">$C981*D981</f>
        <v>0</v>
      </c>
      <c r="E982" s="5">
        <f t="shared" ref="E982" si="1640">$C981*E981</f>
        <v>45352.88</v>
      </c>
      <c r="F982" s="5">
        <f t="shared" ref="F982:AB982" si="1641">$C981*F981</f>
        <v>0</v>
      </c>
      <c r="G982" s="5">
        <f t="shared" si="1641"/>
        <v>0</v>
      </c>
      <c r="H982" s="5">
        <f t="shared" si="1641"/>
        <v>0</v>
      </c>
      <c r="I982" s="5">
        <f t="shared" si="1641"/>
        <v>0</v>
      </c>
      <c r="J982" s="5">
        <f t="shared" si="1641"/>
        <v>0</v>
      </c>
      <c r="K982" s="5">
        <f t="shared" si="1641"/>
        <v>0</v>
      </c>
      <c r="L982" s="5">
        <f t="shared" si="1641"/>
        <v>0</v>
      </c>
      <c r="M982" s="5">
        <f t="shared" si="1641"/>
        <v>0</v>
      </c>
      <c r="N982" s="5">
        <f t="shared" si="1641"/>
        <v>0</v>
      </c>
      <c r="O982" s="5">
        <f t="shared" si="1641"/>
        <v>0</v>
      </c>
      <c r="P982" s="5">
        <f t="shared" si="1641"/>
        <v>0</v>
      </c>
      <c r="Q982" s="5">
        <f t="shared" si="1641"/>
        <v>0</v>
      </c>
      <c r="R982" s="5">
        <f t="shared" si="1641"/>
        <v>0</v>
      </c>
      <c r="S982" s="5">
        <f t="shared" si="1641"/>
        <v>0</v>
      </c>
      <c r="T982" s="5">
        <f t="shared" si="1641"/>
        <v>0</v>
      </c>
      <c r="U982" s="5">
        <f t="shared" si="1641"/>
        <v>0</v>
      </c>
      <c r="V982" s="5">
        <f t="shared" si="1641"/>
        <v>0</v>
      </c>
      <c r="W982" s="5">
        <f t="shared" si="1641"/>
        <v>0</v>
      </c>
      <c r="X982" s="5">
        <f t="shared" si="1641"/>
        <v>0</v>
      </c>
      <c r="Y982" s="5">
        <f t="shared" si="1641"/>
        <v>0</v>
      </c>
      <c r="Z982" s="5">
        <f t="shared" si="1641"/>
        <v>0</v>
      </c>
      <c r="AA982" s="5">
        <f t="shared" si="1641"/>
        <v>0</v>
      </c>
      <c r="AB982" s="5">
        <f t="shared" si="1641"/>
        <v>0</v>
      </c>
      <c r="AC982" s="56"/>
      <c r="AD982" s="23"/>
    </row>
    <row r="983" spans="1:30" s="14" customFormat="1">
      <c r="A983" s="85" t="s">
        <v>373</v>
      </c>
      <c r="B983" s="26">
        <v>544234.5</v>
      </c>
      <c r="C983" s="130">
        <f t="shared" si="1638"/>
        <v>45352.88</v>
      </c>
      <c r="D983" s="35">
        <v>1.6299999999999999E-2</v>
      </c>
      <c r="E983" s="35">
        <v>0.14269999999999999</v>
      </c>
      <c r="F983" s="35">
        <v>5.8900000000000001E-2</v>
      </c>
      <c r="G983" s="35">
        <v>7.6200000000000004E-2</v>
      </c>
      <c r="H983" s="35">
        <v>3.9600000000000003E-2</v>
      </c>
      <c r="I983" s="35">
        <v>0.12470000000000001</v>
      </c>
      <c r="J983" s="35">
        <v>2.0400000000000001E-2</v>
      </c>
      <c r="K983" s="35">
        <v>3.1199999999999999E-2</v>
      </c>
      <c r="L983" s="35">
        <v>1.6199999999999999E-2</v>
      </c>
      <c r="M983" s="35">
        <v>2.53E-2</v>
      </c>
      <c r="N983" s="35">
        <v>0.14849999999999999</v>
      </c>
      <c r="O983" s="35">
        <v>2.2599999999999999E-2</v>
      </c>
      <c r="P983" s="35">
        <v>0</v>
      </c>
      <c r="Q983" s="35">
        <v>3.78E-2</v>
      </c>
      <c r="R983" s="35">
        <v>1.8100000000000002E-2</v>
      </c>
      <c r="S983" s="35">
        <v>4.1000000000000003E-3</v>
      </c>
      <c r="T983" s="35">
        <v>5.04E-2</v>
      </c>
      <c r="U983" s="35">
        <v>1.7500000000000002E-2</v>
      </c>
      <c r="V983" s="35">
        <v>3.6200000000000003E-2</v>
      </c>
      <c r="W983" s="35">
        <v>4.8500000000000001E-2</v>
      </c>
      <c r="X983" s="35">
        <v>6.1600000000000002E-2</v>
      </c>
      <c r="Y983" s="35">
        <v>2.5000000000000001E-3</v>
      </c>
      <c r="Z983" s="4">
        <v>0</v>
      </c>
      <c r="AA983" s="4">
        <v>6.9999999999999999E-4</v>
      </c>
      <c r="AB983" s="4">
        <v>0</v>
      </c>
      <c r="AC983" s="56"/>
      <c r="AD983" s="23"/>
    </row>
    <row r="984" spans="1:30" s="14" customFormat="1">
      <c r="A984" s="86"/>
      <c r="B984" s="61"/>
      <c r="C984" s="130"/>
      <c r="D984" s="53">
        <f t="shared" ref="D984" si="1642">$C983*D983</f>
        <v>739.25194399999987</v>
      </c>
      <c r="E984" s="5">
        <f t="shared" ref="E984" si="1643">$C983*E983</f>
        <v>6471.8559759999989</v>
      </c>
      <c r="F984" s="5">
        <f t="shared" ref="F984:AB984" si="1644">$C983*F983</f>
        <v>2671.2846319999999</v>
      </c>
      <c r="G984" s="5">
        <f t="shared" si="1644"/>
        <v>3455.8894559999999</v>
      </c>
      <c r="H984" s="5">
        <f t="shared" si="1644"/>
        <v>1795.974048</v>
      </c>
      <c r="I984" s="5">
        <f t="shared" si="1644"/>
        <v>5655.5041359999996</v>
      </c>
      <c r="J984" s="5">
        <f t="shared" si="1644"/>
        <v>925.19875200000001</v>
      </c>
      <c r="K984" s="5">
        <f t="shared" si="1644"/>
        <v>1415.0098559999999</v>
      </c>
      <c r="L984" s="5">
        <f t="shared" si="1644"/>
        <v>734.71665599999994</v>
      </c>
      <c r="M984" s="5">
        <f t="shared" si="1644"/>
        <v>1147.427864</v>
      </c>
      <c r="N984" s="5">
        <f t="shared" si="1644"/>
        <v>6734.9026799999992</v>
      </c>
      <c r="O984" s="5">
        <f t="shared" si="1644"/>
        <v>1024.9750879999999</v>
      </c>
      <c r="P984" s="5">
        <f t="shared" si="1644"/>
        <v>0</v>
      </c>
      <c r="Q984" s="5">
        <f t="shared" si="1644"/>
        <v>1714.3388639999998</v>
      </c>
      <c r="R984" s="5">
        <f t="shared" si="1644"/>
        <v>820.88712800000008</v>
      </c>
      <c r="S984" s="5">
        <f t="shared" si="1644"/>
        <v>185.946808</v>
      </c>
      <c r="T984" s="5">
        <f t="shared" si="1644"/>
        <v>2285.7851519999999</v>
      </c>
      <c r="U984" s="5">
        <f t="shared" si="1644"/>
        <v>793.67540000000008</v>
      </c>
      <c r="V984" s="5">
        <f t="shared" si="1644"/>
        <v>1641.7742560000002</v>
      </c>
      <c r="W984" s="5">
        <f t="shared" si="1644"/>
        <v>2199.6146800000001</v>
      </c>
      <c r="X984" s="5">
        <f t="shared" si="1644"/>
        <v>2793.737408</v>
      </c>
      <c r="Y984" s="5">
        <f t="shared" si="1644"/>
        <v>113.3822</v>
      </c>
      <c r="Z984" s="5">
        <f t="shared" si="1644"/>
        <v>0</v>
      </c>
      <c r="AA984" s="5">
        <f t="shared" si="1644"/>
        <v>31.747015999999999</v>
      </c>
      <c r="AB984" s="5">
        <f t="shared" si="1644"/>
        <v>0</v>
      </c>
      <c r="AC984" s="56"/>
      <c r="AD984" s="23"/>
    </row>
    <row r="985" spans="1:30" s="14" customFormat="1">
      <c r="A985" s="85" t="s">
        <v>462</v>
      </c>
      <c r="B985" s="26">
        <v>493367.5</v>
      </c>
      <c r="C985" s="130">
        <f t="shared" si="1638"/>
        <v>41113.96</v>
      </c>
      <c r="D985" s="35">
        <v>1.6299999999999999E-2</v>
      </c>
      <c r="E985" s="35">
        <v>0.14269999999999999</v>
      </c>
      <c r="F985" s="35">
        <v>5.8900000000000001E-2</v>
      </c>
      <c r="G985" s="35">
        <v>7.6200000000000004E-2</v>
      </c>
      <c r="H985" s="35">
        <v>3.9600000000000003E-2</v>
      </c>
      <c r="I985" s="35">
        <v>0.12470000000000001</v>
      </c>
      <c r="J985" s="35">
        <v>2.0400000000000001E-2</v>
      </c>
      <c r="K985" s="35">
        <v>3.1199999999999999E-2</v>
      </c>
      <c r="L985" s="35">
        <v>1.6199999999999999E-2</v>
      </c>
      <c r="M985" s="35">
        <v>2.53E-2</v>
      </c>
      <c r="N985" s="35">
        <v>0.14849999999999999</v>
      </c>
      <c r="O985" s="35">
        <v>2.2599999999999999E-2</v>
      </c>
      <c r="P985" s="35">
        <v>0</v>
      </c>
      <c r="Q985" s="35">
        <v>3.78E-2</v>
      </c>
      <c r="R985" s="35">
        <v>1.8100000000000002E-2</v>
      </c>
      <c r="S985" s="35">
        <v>4.1000000000000003E-3</v>
      </c>
      <c r="T985" s="35">
        <v>5.04E-2</v>
      </c>
      <c r="U985" s="35">
        <v>1.7500000000000002E-2</v>
      </c>
      <c r="V985" s="35">
        <v>3.6200000000000003E-2</v>
      </c>
      <c r="W985" s="35">
        <v>4.8500000000000001E-2</v>
      </c>
      <c r="X985" s="35">
        <v>6.1600000000000002E-2</v>
      </c>
      <c r="Y985" s="35">
        <v>2.5000000000000001E-3</v>
      </c>
      <c r="Z985" s="4">
        <v>0</v>
      </c>
      <c r="AA985" s="4">
        <v>6.9999999999999999E-4</v>
      </c>
      <c r="AB985" s="4">
        <v>0</v>
      </c>
      <c r="AC985" s="56"/>
      <c r="AD985" s="23"/>
    </row>
    <row r="986" spans="1:30" s="14" customFormat="1">
      <c r="A986" s="84"/>
      <c r="B986" s="27"/>
      <c r="C986" s="130"/>
      <c r="D986" s="53">
        <f t="shared" ref="D986" si="1645">$C985*D985</f>
        <v>670.15754799999991</v>
      </c>
      <c r="E986" s="5">
        <f t="shared" ref="E986" si="1646">$C985*E985</f>
        <v>5866.9620919999998</v>
      </c>
      <c r="F986" s="5">
        <f t="shared" ref="F986:AB986" si="1647">$C985*F985</f>
        <v>2421.6122439999999</v>
      </c>
      <c r="G986" s="5">
        <f t="shared" si="1647"/>
        <v>3132.8837520000002</v>
      </c>
      <c r="H986" s="5">
        <f t="shared" si="1647"/>
        <v>1628.1128160000001</v>
      </c>
      <c r="I986" s="5">
        <f t="shared" si="1647"/>
        <v>5126.9108120000001</v>
      </c>
      <c r="J986" s="5">
        <f t="shared" si="1647"/>
        <v>838.724784</v>
      </c>
      <c r="K986" s="5">
        <f t="shared" si="1647"/>
        <v>1282.7555519999999</v>
      </c>
      <c r="L986" s="5">
        <f t="shared" si="1647"/>
        <v>666.04615200000001</v>
      </c>
      <c r="M986" s="5">
        <f t="shared" si="1647"/>
        <v>1040.183188</v>
      </c>
      <c r="N986" s="5">
        <f t="shared" si="1647"/>
        <v>6105.4230599999992</v>
      </c>
      <c r="O986" s="5">
        <f t="shared" si="1647"/>
        <v>929.17549599999995</v>
      </c>
      <c r="P986" s="5">
        <f t="shared" si="1647"/>
        <v>0</v>
      </c>
      <c r="Q986" s="5">
        <f t="shared" si="1647"/>
        <v>1554.1076880000001</v>
      </c>
      <c r="R986" s="5">
        <f t="shared" si="1647"/>
        <v>744.16267600000003</v>
      </c>
      <c r="S986" s="5">
        <f t="shared" si="1647"/>
        <v>168.56723600000001</v>
      </c>
      <c r="T986" s="5">
        <f t="shared" si="1647"/>
        <v>2072.1435839999999</v>
      </c>
      <c r="U986" s="5">
        <f t="shared" si="1647"/>
        <v>719.49430000000007</v>
      </c>
      <c r="V986" s="5">
        <f t="shared" si="1647"/>
        <v>1488.3253520000001</v>
      </c>
      <c r="W986" s="5">
        <f t="shared" si="1647"/>
        <v>1994.0270600000001</v>
      </c>
      <c r="X986" s="5">
        <f t="shared" si="1647"/>
        <v>2532.6199360000001</v>
      </c>
      <c r="Y986" s="5">
        <f t="shared" si="1647"/>
        <v>102.78489999999999</v>
      </c>
      <c r="Z986" s="5">
        <f t="shared" si="1647"/>
        <v>0</v>
      </c>
      <c r="AA986" s="5">
        <f t="shared" si="1647"/>
        <v>28.779771999999998</v>
      </c>
      <c r="AB986" s="5">
        <f t="shared" si="1647"/>
        <v>0</v>
      </c>
      <c r="AC986" s="56"/>
      <c r="AD986" s="23"/>
    </row>
    <row r="987" spans="1:30" s="14" customFormat="1">
      <c r="A987" s="85" t="s">
        <v>463</v>
      </c>
      <c r="B987" s="26">
        <v>493367.5</v>
      </c>
      <c r="C987" s="130">
        <f t="shared" si="1638"/>
        <v>41113.96</v>
      </c>
      <c r="D987" s="35"/>
      <c r="E987" s="35">
        <v>0.99070000000000003</v>
      </c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4"/>
      <c r="AA987" s="4">
        <v>9.2999999999999992E-3</v>
      </c>
      <c r="AB987" s="4"/>
      <c r="AC987" s="56"/>
      <c r="AD987" s="23"/>
    </row>
    <row r="988" spans="1:30" s="14" customFormat="1">
      <c r="A988" s="84"/>
      <c r="B988" s="27"/>
      <c r="C988" s="130"/>
      <c r="D988" s="53">
        <f t="shared" ref="D988" si="1648">$C987*D987</f>
        <v>0</v>
      </c>
      <c r="E988" s="5">
        <f t="shared" ref="E988" si="1649">$C987*E987</f>
        <v>40731.600171999999</v>
      </c>
      <c r="F988" s="5">
        <f t="shared" ref="F988:AB988" si="1650">$C987*F987</f>
        <v>0</v>
      </c>
      <c r="G988" s="5">
        <f t="shared" si="1650"/>
        <v>0</v>
      </c>
      <c r="H988" s="5">
        <f t="shared" si="1650"/>
        <v>0</v>
      </c>
      <c r="I988" s="5">
        <f t="shared" si="1650"/>
        <v>0</v>
      </c>
      <c r="J988" s="5">
        <f t="shared" si="1650"/>
        <v>0</v>
      </c>
      <c r="K988" s="5">
        <f t="shared" si="1650"/>
        <v>0</v>
      </c>
      <c r="L988" s="5">
        <f t="shared" si="1650"/>
        <v>0</v>
      </c>
      <c r="M988" s="5">
        <f t="shared" si="1650"/>
        <v>0</v>
      </c>
      <c r="N988" s="5">
        <f t="shared" si="1650"/>
        <v>0</v>
      </c>
      <c r="O988" s="5">
        <f t="shared" si="1650"/>
        <v>0</v>
      </c>
      <c r="P988" s="5">
        <f t="shared" si="1650"/>
        <v>0</v>
      </c>
      <c r="Q988" s="5">
        <f t="shared" si="1650"/>
        <v>0</v>
      </c>
      <c r="R988" s="5">
        <f t="shared" si="1650"/>
        <v>0</v>
      </c>
      <c r="S988" s="5">
        <f t="shared" si="1650"/>
        <v>0</v>
      </c>
      <c r="T988" s="5">
        <f t="shared" si="1650"/>
        <v>0</v>
      </c>
      <c r="U988" s="5">
        <f t="shared" si="1650"/>
        <v>0</v>
      </c>
      <c r="V988" s="5">
        <f t="shared" si="1650"/>
        <v>0</v>
      </c>
      <c r="W988" s="5">
        <f t="shared" si="1650"/>
        <v>0</v>
      </c>
      <c r="X988" s="5">
        <f t="shared" si="1650"/>
        <v>0</v>
      </c>
      <c r="Y988" s="5">
        <f t="shared" si="1650"/>
        <v>0</v>
      </c>
      <c r="Z988" s="5">
        <f t="shared" si="1650"/>
        <v>0</v>
      </c>
      <c r="AA988" s="5">
        <f t="shared" si="1650"/>
        <v>382.35982799999994</v>
      </c>
      <c r="AB988" s="5">
        <f t="shared" si="1650"/>
        <v>0</v>
      </c>
      <c r="AC988" s="56"/>
      <c r="AD988" s="23"/>
    </row>
    <row r="989" spans="1:30" s="14" customFormat="1">
      <c r="A989" s="85" t="s">
        <v>464</v>
      </c>
      <c r="B989" s="26">
        <v>69902</v>
      </c>
      <c r="C989" s="130">
        <f t="shared" si="1638"/>
        <v>5825.17</v>
      </c>
      <c r="D989" s="24"/>
      <c r="E989" s="34">
        <v>0.35189999999999999</v>
      </c>
      <c r="F989" s="7"/>
      <c r="G989" s="7"/>
      <c r="H989" s="7"/>
      <c r="I989" s="7"/>
      <c r="J989" s="34">
        <v>0.33379999999999999</v>
      </c>
      <c r="K989" s="34">
        <v>0.31430000000000002</v>
      </c>
      <c r="L989" s="7"/>
      <c r="M989" s="7"/>
      <c r="N989" s="7"/>
      <c r="O989" s="34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56"/>
      <c r="AD989" s="23"/>
    </row>
    <row r="990" spans="1:30" s="14" customFormat="1">
      <c r="A990" s="84"/>
      <c r="B990" s="27"/>
      <c r="C990" s="130"/>
      <c r="D990" s="53">
        <f t="shared" ref="D990" si="1651">$C989*D989</f>
        <v>0</v>
      </c>
      <c r="E990" s="5">
        <f t="shared" ref="E990" si="1652">$C989*E989</f>
        <v>2049.8773230000002</v>
      </c>
      <c r="F990" s="5">
        <f t="shared" ref="F990:AB990" si="1653">$C989*F989</f>
        <v>0</v>
      </c>
      <c r="G990" s="5">
        <f t="shared" si="1653"/>
        <v>0</v>
      </c>
      <c r="H990" s="5">
        <f t="shared" si="1653"/>
        <v>0</v>
      </c>
      <c r="I990" s="5">
        <f t="shared" si="1653"/>
        <v>0</v>
      </c>
      <c r="J990" s="5">
        <f t="shared" si="1653"/>
        <v>1944.441746</v>
      </c>
      <c r="K990" s="5">
        <f t="shared" si="1653"/>
        <v>1830.8509310000002</v>
      </c>
      <c r="L990" s="5">
        <f t="shared" si="1653"/>
        <v>0</v>
      </c>
      <c r="M990" s="5">
        <f t="shared" si="1653"/>
        <v>0</v>
      </c>
      <c r="N990" s="5">
        <f t="shared" si="1653"/>
        <v>0</v>
      </c>
      <c r="O990" s="5">
        <f t="shared" si="1653"/>
        <v>0</v>
      </c>
      <c r="P990" s="5">
        <f t="shared" si="1653"/>
        <v>0</v>
      </c>
      <c r="Q990" s="5">
        <f t="shared" si="1653"/>
        <v>0</v>
      </c>
      <c r="R990" s="5">
        <f t="shared" si="1653"/>
        <v>0</v>
      </c>
      <c r="S990" s="5">
        <f t="shared" si="1653"/>
        <v>0</v>
      </c>
      <c r="T990" s="5">
        <f t="shared" si="1653"/>
        <v>0</v>
      </c>
      <c r="U990" s="5">
        <f t="shared" si="1653"/>
        <v>0</v>
      </c>
      <c r="V990" s="5">
        <f t="shared" si="1653"/>
        <v>0</v>
      </c>
      <c r="W990" s="5">
        <f t="shared" si="1653"/>
        <v>0</v>
      </c>
      <c r="X990" s="5">
        <f t="shared" si="1653"/>
        <v>0</v>
      </c>
      <c r="Y990" s="5">
        <f t="shared" si="1653"/>
        <v>0</v>
      </c>
      <c r="Z990" s="5">
        <f t="shared" si="1653"/>
        <v>0</v>
      </c>
      <c r="AA990" s="5">
        <f t="shared" si="1653"/>
        <v>0</v>
      </c>
      <c r="AB990" s="5">
        <f t="shared" si="1653"/>
        <v>0</v>
      </c>
      <c r="AC990" s="56"/>
      <c r="AD990" s="23"/>
    </row>
    <row r="991" spans="1:30" s="14" customFormat="1">
      <c r="A991" s="85" t="s">
        <v>465</v>
      </c>
      <c r="B991" s="26">
        <v>2995425</v>
      </c>
      <c r="C991" s="130">
        <f t="shared" si="1638"/>
        <v>249618.75</v>
      </c>
      <c r="D991" s="35"/>
      <c r="E991" s="35">
        <v>0.43180000000000002</v>
      </c>
      <c r="F991" s="35"/>
      <c r="G991" s="35">
        <v>0.38140000000000002</v>
      </c>
      <c r="H991" s="35"/>
      <c r="I991" s="35"/>
      <c r="J991" s="35">
        <v>0.18679999999999999</v>
      </c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4"/>
      <c r="AA991" s="4"/>
      <c r="AB991" s="4"/>
      <c r="AC991" s="56"/>
      <c r="AD991" s="23"/>
    </row>
    <row r="992" spans="1:30" s="14" customFormat="1">
      <c r="A992" s="86"/>
      <c r="B992" s="61"/>
      <c r="C992" s="130"/>
      <c r="D992" s="53">
        <f t="shared" ref="D992:D994" si="1654">$C991*D991</f>
        <v>0</v>
      </c>
      <c r="E992" s="5">
        <f t="shared" ref="E992:T994" si="1655">$C991*E991</f>
        <v>107785.37625</v>
      </c>
      <c r="F992" s="5">
        <f t="shared" ref="F992:AB992" si="1656">$C991*F991</f>
        <v>0</v>
      </c>
      <c r="G992" s="5">
        <f t="shared" si="1656"/>
        <v>95204.591249999998</v>
      </c>
      <c r="H992" s="5">
        <f t="shared" si="1656"/>
        <v>0</v>
      </c>
      <c r="I992" s="5">
        <f t="shared" si="1656"/>
        <v>0</v>
      </c>
      <c r="J992" s="5">
        <f t="shared" si="1656"/>
        <v>46628.782500000001</v>
      </c>
      <c r="K992" s="5">
        <f t="shared" si="1656"/>
        <v>0</v>
      </c>
      <c r="L992" s="5">
        <f t="shared" si="1656"/>
        <v>0</v>
      </c>
      <c r="M992" s="5">
        <f t="shared" si="1656"/>
        <v>0</v>
      </c>
      <c r="N992" s="5">
        <f t="shared" si="1656"/>
        <v>0</v>
      </c>
      <c r="O992" s="5">
        <f t="shared" si="1656"/>
        <v>0</v>
      </c>
      <c r="P992" s="5">
        <f t="shared" si="1656"/>
        <v>0</v>
      </c>
      <c r="Q992" s="5">
        <f t="shared" si="1656"/>
        <v>0</v>
      </c>
      <c r="R992" s="5">
        <f t="shared" si="1656"/>
        <v>0</v>
      </c>
      <c r="S992" s="5">
        <f t="shared" si="1656"/>
        <v>0</v>
      </c>
      <c r="T992" s="5">
        <f t="shared" si="1656"/>
        <v>0</v>
      </c>
      <c r="U992" s="5">
        <f t="shared" si="1656"/>
        <v>0</v>
      </c>
      <c r="V992" s="5">
        <f t="shared" si="1656"/>
        <v>0</v>
      </c>
      <c r="W992" s="5">
        <f t="shared" si="1656"/>
        <v>0</v>
      </c>
      <c r="X992" s="5">
        <f t="shared" si="1656"/>
        <v>0</v>
      </c>
      <c r="Y992" s="5">
        <f t="shared" si="1656"/>
        <v>0</v>
      </c>
      <c r="Z992" s="5">
        <f t="shared" si="1656"/>
        <v>0</v>
      </c>
      <c r="AA992" s="5">
        <f t="shared" si="1656"/>
        <v>0</v>
      </c>
      <c r="AB992" s="5">
        <f t="shared" si="1656"/>
        <v>0</v>
      </c>
      <c r="AC992" s="56"/>
      <c r="AD992" s="23"/>
    </row>
    <row r="993" spans="1:30" s="14" customFormat="1">
      <c r="A993" s="85" t="s">
        <v>602</v>
      </c>
      <c r="B993" s="26">
        <v>4127671</v>
      </c>
      <c r="C993" s="130">
        <f t="shared" si="1638"/>
        <v>343972.58</v>
      </c>
      <c r="D993" s="35"/>
      <c r="E993" s="35">
        <v>1</v>
      </c>
      <c r="F993" s="35"/>
      <c r="G993" s="35"/>
      <c r="H993" s="35"/>
      <c r="I993" s="35"/>
      <c r="J993" s="35"/>
      <c r="K993" s="35"/>
      <c r="L993" s="35"/>
      <c r="M993" s="35"/>
      <c r="N993" s="35"/>
      <c r="O993" s="35">
        <v>0</v>
      </c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4"/>
      <c r="AA993" s="4">
        <v>0</v>
      </c>
      <c r="AB993" s="4"/>
      <c r="AC993" s="56"/>
      <c r="AD993" s="23"/>
    </row>
    <row r="994" spans="1:30" s="14" customFormat="1">
      <c r="A994" s="86"/>
      <c r="B994" s="61"/>
      <c r="C994" s="129" t="s">
        <v>159</v>
      </c>
      <c r="D994" s="53">
        <f t="shared" si="1654"/>
        <v>0</v>
      </c>
      <c r="E994" s="5">
        <f t="shared" si="1655"/>
        <v>343972.58</v>
      </c>
      <c r="F994" s="5">
        <f t="shared" si="1655"/>
        <v>0</v>
      </c>
      <c r="G994" s="5">
        <f t="shared" si="1655"/>
        <v>0</v>
      </c>
      <c r="H994" s="5">
        <f t="shared" si="1655"/>
        <v>0</v>
      </c>
      <c r="I994" s="5">
        <f t="shared" si="1655"/>
        <v>0</v>
      </c>
      <c r="J994" s="5">
        <f t="shared" si="1655"/>
        <v>0</v>
      </c>
      <c r="K994" s="5">
        <f t="shared" si="1655"/>
        <v>0</v>
      </c>
      <c r="L994" s="5">
        <f t="shared" si="1655"/>
        <v>0</v>
      </c>
      <c r="M994" s="5">
        <f t="shared" si="1655"/>
        <v>0</v>
      </c>
      <c r="N994" s="5">
        <f t="shared" si="1655"/>
        <v>0</v>
      </c>
      <c r="O994" s="5">
        <f t="shared" si="1655"/>
        <v>0</v>
      </c>
      <c r="P994" s="5">
        <f t="shared" si="1655"/>
        <v>0</v>
      </c>
      <c r="Q994" s="5">
        <f t="shared" si="1655"/>
        <v>0</v>
      </c>
      <c r="R994" s="5">
        <f t="shared" si="1655"/>
        <v>0</v>
      </c>
      <c r="S994" s="5">
        <f t="shared" si="1655"/>
        <v>0</v>
      </c>
      <c r="T994" s="5">
        <f t="shared" si="1655"/>
        <v>0</v>
      </c>
      <c r="U994" s="5">
        <f t="shared" ref="U994:AB994" si="1657">$C993*U993</f>
        <v>0</v>
      </c>
      <c r="V994" s="5">
        <f t="shared" si="1657"/>
        <v>0</v>
      </c>
      <c r="W994" s="5">
        <f t="shared" si="1657"/>
        <v>0</v>
      </c>
      <c r="X994" s="5">
        <f t="shared" si="1657"/>
        <v>0</v>
      </c>
      <c r="Y994" s="5">
        <f t="shared" si="1657"/>
        <v>0</v>
      </c>
      <c r="Z994" s="5">
        <f t="shared" si="1657"/>
        <v>0</v>
      </c>
      <c r="AA994" s="5">
        <f t="shared" si="1657"/>
        <v>0</v>
      </c>
      <c r="AB994" s="5">
        <f t="shared" si="1657"/>
        <v>0</v>
      </c>
      <c r="AC994" s="56"/>
      <c r="AD994" s="23"/>
    </row>
    <row r="995" spans="1:30" s="14" customFormat="1">
      <c r="A995" s="85" t="s">
        <v>653</v>
      </c>
      <c r="B995" s="26">
        <v>316877</v>
      </c>
      <c r="C995" s="130">
        <f t="shared" ref="C995" si="1658">ROUND(B995/12,2)</f>
        <v>26406.42</v>
      </c>
      <c r="D995" s="24"/>
      <c r="E995" s="34">
        <v>1</v>
      </c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>
        <v>0</v>
      </c>
      <c r="AB995" s="7"/>
      <c r="AC995" s="56"/>
      <c r="AD995" s="23"/>
    </row>
    <row r="996" spans="1:30" s="14" customFormat="1">
      <c r="A996" s="84"/>
      <c r="B996" s="27"/>
      <c r="C996" s="130"/>
      <c r="D996" s="53">
        <f>$C995*D995</f>
        <v>0</v>
      </c>
      <c r="E996" s="5">
        <f>$C995*E995</f>
        <v>26406.42</v>
      </c>
      <c r="F996" s="5">
        <f t="shared" ref="F996:AB996" si="1659">$C995*F995</f>
        <v>0</v>
      </c>
      <c r="G996" s="5">
        <f t="shared" si="1659"/>
        <v>0</v>
      </c>
      <c r="H996" s="5">
        <f t="shared" si="1659"/>
        <v>0</v>
      </c>
      <c r="I996" s="5">
        <f t="shared" si="1659"/>
        <v>0</v>
      </c>
      <c r="J996" s="5">
        <f t="shared" si="1659"/>
        <v>0</v>
      </c>
      <c r="K996" s="5">
        <f t="shared" si="1659"/>
        <v>0</v>
      </c>
      <c r="L996" s="5">
        <f t="shared" si="1659"/>
        <v>0</v>
      </c>
      <c r="M996" s="5">
        <f t="shared" si="1659"/>
        <v>0</v>
      </c>
      <c r="N996" s="5">
        <f t="shared" si="1659"/>
        <v>0</v>
      </c>
      <c r="O996" s="5">
        <f t="shared" si="1659"/>
        <v>0</v>
      </c>
      <c r="P996" s="5">
        <f t="shared" si="1659"/>
        <v>0</v>
      </c>
      <c r="Q996" s="5">
        <f t="shared" si="1659"/>
        <v>0</v>
      </c>
      <c r="R996" s="5">
        <f t="shared" si="1659"/>
        <v>0</v>
      </c>
      <c r="S996" s="5">
        <f t="shared" si="1659"/>
        <v>0</v>
      </c>
      <c r="T996" s="5">
        <f t="shared" si="1659"/>
        <v>0</v>
      </c>
      <c r="U996" s="5">
        <f t="shared" si="1659"/>
        <v>0</v>
      </c>
      <c r="V996" s="5">
        <f t="shared" si="1659"/>
        <v>0</v>
      </c>
      <c r="W996" s="5">
        <f t="shared" si="1659"/>
        <v>0</v>
      </c>
      <c r="X996" s="5">
        <f t="shared" si="1659"/>
        <v>0</v>
      </c>
      <c r="Y996" s="5">
        <f t="shared" si="1659"/>
        <v>0</v>
      </c>
      <c r="Z996" s="5">
        <f t="shared" si="1659"/>
        <v>0</v>
      </c>
      <c r="AA996" s="5">
        <f t="shared" si="1659"/>
        <v>0</v>
      </c>
      <c r="AB996" s="5">
        <f t="shared" si="1659"/>
        <v>0</v>
      </c>
      <c r="AC996" s="56"/>
      <c r="AD996" s="23"/>
    </row>
    <row r="997" spans="1:30" s="14" customFormat="1">
      <c r="A997" s="85" t="s">
        <v>654</v>
      </c>
      <c r="B997" s="26">
        <v>-101273</v>
      </c>
      <c r="C997" s="130">
        <f t="shared" ref="C997" si="1660">ROUND(B997/12,2)</f>
        <v>-8439.42</v>
      </c>
      <c r="D997" s="24"/>
      <c r="E997" s="34">
        <v>1</v>
      </c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>
        <v>0</v>
      </c>
      <c r="AB997" s="7"/>
      <c r="AC997" s="56"/>
      <c r="AD997" s="23"/>
    </row>
    <row r="998" spans="1:30" s="14" customFormat="1">
      <c r="A998" s="86"/>
      <c r="B998" s="61"/>
      <c r="C998" s="130"/>
      <c r="D998" s="53">
        <f t="shared" ref="D998:AB998" si="1661">$C997*D997</f>
        <v>0</v>
      </c>
      <c r="E998" s="5">
        <f>$C997*E997</f>
        <v>-8439.42</v>
      </c>
      <c r="F998" s="5">
        <f t="shared" si="1661"/>
        <v>0</v>
      </c>
      <c r="G998" s="5">
        <f t="shared" si="1661"/>
        <v>0</v>
      </c>
      <c r="H998" s="5">
        <f t="shared" si="1661"/>
        <v>0</v>
      </c>
      <c r="I998" s="5">
        <f t="shared" si="1661"/>
        <v>0</v>
      </c>
      <c r="J998" s="5">
        <f t="shared" si="1661"/>
        <v>0</v>
      </c>
      <c r="K998" s="5">
        <f t="shared" si="1661"/>
        <v>0</v>
      </c>
      <c r="L998" s="5">
        <f t="shared" si="1661"/>
        <v>0</v>
      </c>
      <c r="M998" s="5">
        <f t="shared" si="1661"/>
        <v>0</v>
      </c>
      <c r="N998" s="5">
        <f t="shared" si="1661"/>
        <v>0</v>
      </c>
      <c r="O998" s="5">
        <f t="shared" si="1661"/>
        <v>0</v>
      </c>
      <c r="P998" s="5">
        <f t="shared" si="1661"/>
        <v>0</v>
      </c>
      <c r="Q998" s="5">
        <f t="shared" si="1661"/>
        <v>0</v>
      </c>
      <c r="R998" s="5">
        <f t="shared" si="1661"/>
        <v>0</v>
      </c>
      <c r="S998" s="5">
        <f t="shared" si="1661"/>
        <v>0</v>
      </c>
      <c r="T998" s="5">
        <f t="shared" si="1661"/>
        <v>0</v>
      </c>
      <c r="U998" s="5">
        <f t="shared" si="1661"/>
        <v>0</v>
      </c>
      <c r="V998" s="5">
        <f t="shared" si="1661"/>
        <v>0</v>
      </c>
      <c r="W998" s="5">
        <f t="shared" si="1661"/>
        <v>0</v>
      </c>
      <c r="X998" s="5">
        <f t="shared" si="1661"/>
        <v>0</v>
      </c>
      <c r="Y998" s="5">
        <f t="shared" si="1661"/>
        <v>0</v>
      </c>
      <c r="Z998" s="5">
        <f t="shared" si="1661"/>
        <v>0</v>
      </c>
      <c r="AA998" s="5">
        <f>$C997*AA997</f>
        <v>0</v>
      </c>
      <c r="AB998" s="5">
        <f t="shared" si="1661"/>
        <v>0</v>
      </c>
      <c r="AC998" s="56"/>
      <c r="AD998" s="23"/>
    </row>
    <row r="999" spans="1:30" s="14" customFormat="1">
      <c r="A999" s="85" t="s">
        <v>657</v>
      </c>
      <c r="B999" s="26">
        <v>1981.665</v>
      </c>
      <c r="C999" s="130">
        <f t="shared" ref="C999" si="1662">ROUND(B999/12,2)</f>
        <v>165.14</v>
      </c>
      <c r="D999" s="35"/>
      <c r="E999" s="35">
        <v>1</v>
      </c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4"/>
      <c r="AA999" s="4"/>
      <c r="AB999" s="4"/>
      <c r="AC999" s="56"/>
      <c r="AD999" s="23"/>
    </row>
    <row r="1000" spans="1:30" s="14" customFormat="1">
      <c r="A1000" s="84"/>
      <c r="B1000" s="27"/>
      <c r="C1000" s="130"/>
      <c r="D1000" s="53">
        <f t="shared" ref="D1000:AB1000" si="1663">$C999*D999</f>
        <v>0</v>
      </c>
      <c r="E1000" s="5">
        <f>$C999*E999</f>
        <v>165.14</v>
      </c>
      <c r="F1000" s="5">
        <f t="shared" si="1663"/>
        <v>0</v>
      </c>
      <c r="G1000" s="5">
        <f t="shared" si="1663"/>
        <v>0</v>
      </c>
      <c r="H1000" s="5">
        <f t="shared" si="1663"/>
        <v>0</v>
      </c>
      <c r="I1000" s="5">
        <f t="shared" si="1663"/>
        <v>0</v>
      </c>
      <c r="J1000" s="5">
        <f t="shared" si="1663"/>
        <v>0</v>
      </c>
      <c r="K1000" s="5">
        <f t="shared" si="1663"/>
        <v>0</v>
      </c>
      <c r="L1000" s="5">
        <f t="shared" si="1663"/>
        <v>0</v>
      </c>
      <c r="M1000" s="5">
        <f t="shared" si="1663"/>
        <v>0</v>
      </c>
      <c r="N1000" s="5">
        <f t="shared" si="1663"/>
        <v>0</v>
      </c>
      <c r="O1000" s="5">
        <f t="shared" si="1663"/>
        <v>0</v>
      </c>
      <c r="P1000" s="5">
        <f t="shared" si="1663"/>
        <v>0</v>
      </c>
      <c r="Q1000" s="5">
        <f t="shared" si="1663"/>
        <v>0</v>
      </c>
      <c r="R1000" s="5">
        <f t="shared" si="1663"/>
        <v>0</v>
      </c>
      <c r="S1000" s="5">
        <f t="shared" si="1663"/>
        <v>0</v>
      </c>
      <c r="T1000" s="5">
        <f t="shared" si="1663"/>
        <v>0</v>
      </c>
      <c r="U1000" s="5">
        <f t="shared" si="1663"/>
        <v>0</v>
      </c>
      <c r="V1000" s="5">
        <f t="shared" si="1663"/>
        <v>0</v>
      </c>
      <c r="W1000" s="5">
        <f t="shared" si="1663"/>
        <v>0</v>
      </c>
      <c r="X1000" s="5">
        <f t="shared" si="1663"/>
        <v>0</v>
      </c>
      <c r="Y1000" s="5">
        <f t="shared" si="1663"/>
        <v>0</v>
      </c>
      <c r="Z1000" s="5">
        <f t="shared" si="1663"/>
        <v>0</v>
      </c>
      <c r="AA1000" s="5">
        <f t="shared" si="1663"/>
        <v>0</v>
      </c>
      <c r="AB1000" s="5">
        <f t="shared" si="1663"/>
        <v>0</v>
      </c>
      <c r="AC1000" s="56"/>
      <c r="AD1000" s="23"/>
    </row>
    <row r="1001" spans="1:30" s="14" customFormat="1">
      <c r="A1001" s="85" t="s">
        <v>658</v>
      </c>
      <c r="B1001" s="26">
        <v>2212.335</v>
      </c>
      <c r="C1001" s="130">
        <f t="shared" ref="C1001" si="1664">ROUND(B1001/12,2)</f>
        <v>184.36</v>
      </c>
      <c r="D1001" s="35">
        <v>8.6999999999999994E-3</v>
      </c>
      <c r="E1001" s="35">
        <v>0.2407</v>
      </c>
      <c r="F1001" s="35">
        <v>3.95E-2</v>
      </c>
      <c r="G1001" s="35">
        <v>0.1104</v>
      </c>
      <c r="H1001" s="35">
        <v>4.2999999999999997E-2</v>
      </c>
      <c r="I1001" s="35"/>
      <c r="J1001" s="35">
        <v>3.5200000000000002E-2</v>
      </c>
      <c r="K1001" s="35">
        <v>5.3499999999999999E-2</v>
      </c>
      <c r="L1001" s="35">
        <v>2.1100000000000001E-2</v>
      </c>
      <c r="M1001" s="35">
        <v>1.7299999999999999E-2</v>
      </c>
      <c r="N1001" s="35">
        <v>0.2009</v>
      </c>
      <c r="O1001" s="35">
        <v>1.7299999999999999E-2</v>
      </c>
      <c r="P1001" s="35">
        <v>6.9999999999999999E-4</v>
      </c>
      <c r="Q1001" s="35">
        <v>1.9800000000000002E-2</v>
      </c>
      <c r="R1001" s="35">
        <v>1.6299999999999999E-2</v>
      </c>
      <c r="S1001" s="35">
        <v>4.3E-3</v>
      </c>
      <c r="T1001" s="35">
        <v>3.5900000000000001E-2</v>
      </c>
      <c r="U1001" s="35">
        <v>1.6799999999999999E-2</v>
      </c>
      <c r="V1001" s="35">
        <v>3.9100000000000003E-2</v>
      </c>
      <c r="W1001" s="35">
        <v>3.6400000000000002E-2</v>
      </c>
      <c r="X1001" s="35">
        <v>3.9300000000000002E-2</v>
      </c>
      <c r="Y1001" s="35">
        <v>1.4E-3</v>
      </c>
      <c r="Z1001" s="4">
        <v>1.6999999999999999E-3</v>
      </c>
      <c r="AA1001" s="4">
        <v>6.9999999999999999E-4</v>
      </c>
      <c r="AB1001" s="4"/>
      <c r="AC1001" s="56"/>
      <c r="AD1001" s="23"/>
    </row>
    <row r="1002" spans="1:30" s="14" customFormat="1">
      <c r="A1002" s="84"/>
      <c r="B1002" s="27"/>
      <c r="C1002" s="130"/>
      <c r="D1002" s="53">
        <f>$C1001*D1001</f>
        <v>1.6039319999999999</v>
      </c>
      <c r="E1002" s="5">
        <f>$C1001*E1001</f>
        <v>44.375452000000003</v>
      </c>
      <c r="F1002" s="5">
        <f>$C1001*F1001</f>
        <v>7.2822200000000006</v>
      </c>
      <c r="G1002" s="5">
        <f t="shared" ref="G1002:AB1002" si="1665">$C1001*G1001</f>
        <v>20.353344</v>
      </c>
      <c r="H1002" s="5">
        <f t="shared" si="1665"/>
        <v>7.9274800000000001</v>
      </c>
      <c r="I1002" s="5">
        <f t="shared" si="1665"/>
        <v>0</v>
      </c>
      <c r="J1002" s="5">
        <f>$C1001*J1001</f>
        <v>6.489472000000001</v>
      </c>
      <c r="K1002" s="5">
        <f t="shared" si="1665"/>
        <v>9.8632600000000004</v>
      </c>
      <c r="L1002" s="5">
        <f t="shared" si="1665"/>
        <v>3.8899960000000005</v>
      </c>
      <c r="M1002" s="5">
        <f t="shared" si="1665"/>
        <v>3.1894279999999999</v>
      </c>
      <c r="N1002" s="5">
        <f t="shared" si="1665"/>
        <v>37.037924000000004</v>
      </c>
      <c r="O1002" s="5">
        <f>$C1001*O1001</f>
        <v>3.1894279999999999</v>
      </c>
      <c r="P1002" s="5">
        <f t="shared" si="1665"/>
        <v>0.129052</v>
      </c>
      <c r="Q1002" s="5">
        <f t="shared" si="1665"/>
        <v>3.6503280000000005</v>
      </c>
      <c r="R1002" s="5">
        <f t="shared" si="1665"/>
        <v>3.0050680000000001</v>
      </c>
      <c r="S1002" s="5">
        <f t="shared" si="1665"/>
        <v>0.79274800000000001</v>
      </c>
      <c r="T1002" s="5">
        <f t="shared" si="1665"/>
        <v>6.6185240000000007</v>
      </c>
      <c r="U1002" s="5">
        <f t="shared" si="1665"/>
        <v>3.097248</v>
      </c>
      <c r="V1002" s="5">
        <f t="shared" si="1665"/>
        <v>7.208476000000001</v>
      </c>
      <c r="W1002" s="5">
        <f t="shared" si="1665"/>
        <v>6.7107040000000007</v>
      </c>
      <c r="X1002" s="5">
        <f t="shared" si="1665"/>
        <v>7.2453480000000008</v>
      </c>
      <c r="Y1002" s="5">
        <f t="shared" si="1665"/>
        <v>0.258104</v>
      </c>
      <c r="Z1002" s="5">
        <f t="shared" si="1665"/>
        <v>0.31341200000000002</v>
      </c>
      <c r="AA1002" s="5">
        <f t="shared" si="1665"/>
        <v>0.129052</v>
      </c>
      <c r="AB1002" s="5">
        <f t="shared" si="1665"/>
        <v>0</v>
      </c>
      <c r="AC1002" s="56"/>
      <c r="AD1002" s="23"/>
    </row>
    <row r="1003" spans="1:30" s="14" customFormat="1">
      <c r="A1003" s="85" t="s">
        <v>659</v>
      </c>
      <c r="B1003" s="26">
        <v>155904.21</v>
      </c>
      <c r="C1003" s="130">
        <f t="shared" ref="C1003" si="1666">ROUND(B1003/12,2)</f>
        <v>12992.02</v>
      </c>
      <c r="D1003" s="35"/>
      <c r="E1003" s="35">
        <v>0.90580000000000005</v>
      </c>
      <c r="F1003" s="35"/>
      <c r="G1003" s="35"/>
      <c r="H1003" s="35"/>
      <c r="I1003" s="35">
        <v>9.4200000000000006E-2</v>
      </c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  <c r="V1003" s="35"/>
      <c r="W1003" s="35"/>
      <c r="X1003" s="35"/>
      <c r="Y1003" s="35"/>
      <c r="Z1003" s="4"/>
      <c r="AA1003" s="4"/>
      <c r="AB1003" s="4"/>
      <c r="AC1003" s="56"/>
      <c r="AD1003" s="23"/>
    </row>
    <row r="1004" spans="1:30" s="14" customFormat="1">
      <c r="A1004" s="84"/>
      <c r="B1004" s="27"/>
      <c r="C1004" s="130"/>
      <c r="D1004" s="53">
        <f t="shared" ref="D1004:AB1004" si="1667">$C1003*D1003</f>
        <v>0</v>
      </c>
      <c r="E1004" s="5">
        <f t="shared" si="1667"/>
        <v>11768.171716000001</v>
      </c>
      <c r="F1004" s="5">
        <f t="shared" si="1667"/>
        <v>0</v>
      </c>
      <c r="G1004" s="5">
        <f t="shared" si="1667"/>
        <v>0</v>
      </c>
      <c r="H1004" s="5">
        <f t="shared" si="1667"/>
        <v>0</v>
      </c>
      <c r="I1004" s="5">
        <f t="shared" si="1667"/>
        <v>1223.8482840000001</v>
      </c>
      <c r="J1004" s="5">
        <f t="shared" si="1667"/>
        <v>0</v>
      </c>
      <c r="K1004" s="5">
        <f t="shared" si="1667"/>
        <v>0</v>
      </c>
      <c r="L1004" s="5">
        <f t="shared" si="1667"/>
        <v>0</v>
      </c>
      <c r="M1004" s="5">
        <f t="shared" si="1667"/>
        <v>0</v>
      </c>
      <c r="N1004" s="5">
        <f t="shared" si="1667"/>
        <v>0</v>
      </c>
      <c r="O1004" s="5">
        <f t="shared" si="1667"/>
        <v>0</v>
      </c>
      <c r="P1004" s="5">
        <f t="shared" si="1667"/>
        <v>0</v>
      </c>
      <c r="Q1004" s="5">
        <f t="shared" si="1667"/>
        <v>0</v>
      </c>
      <c r="R1004" s="5">
        <f t="shared" si="1667"/>
        <v>0</v>
      </c>
      <c r="S1004" s="5">
        <f t="shared" si="1667"/>
        <v>0</v>
      </c>
      <c r="T1004" s="5">
        <f t="shared" si="1667"/>
        <v>0</v>
      </c>
      <c r="U1004" s="5">
        <f t="shared" si="1667"/>
        <v>0</v>
      </c>
      <c r="V1004" s="5">
        <f t="shared" si="1667"/>
        <v>0</v>
      </c>
      <c r="W1004" s="5">
        <f t="shared" si="1667"/>
        <v>0</v>
      </c>
      <c r="X1004" s="5">
        <f t="shared" si="1667"/>
        <v>0</v>
      </c>
      <c r="Y1004" s="5">
        <f t="shared" si="1667"/>
        <v>0</v>
      </c>
      <c r="Z1004" s="5">
        <f t="shared" si="1667"/>
        <v>0</v>
      </c>
      <c r="AA1004" s="5">
        <f t="shared" si="1667"/>
        <v>0</v>
      </c>
      <c r="AB1004" s="5">
        <f t="shared" si="1667"/>
        <v>0</v>
      </c>
      <c r="AC1004" s="56"/>
      <c r="AD1004" s="23"/>
    </row>
    <row r="1005" spans="1:30" s="14" customFormat="1">
      <c r="A1005" s="85" t="s">
        <v>660</v>
      </c>
      <c r="B1005" s="26">
        <v>174051.78999999998</v>
      </c>
      <c r="C1005" s="130">
        <f t="shared" ref="C1005" si="1668">ROUND(B1005/12,2)</f>
        <v>14504.32</v>
      </c>
      <c r="D1005" s="35">
        <v>8.6999999999999994E-3</v>
      </c>
      <c r="E1005" s="35">
        <v>0.2407</v>
      </c>
      <c r="F1005" s="35">
        <v>3.95E-2</v>
      </c>
      <c r="G1005" s="35">
        <v>0.1104</v>
      </c>
      <c r="H1005" s="35">
        <v>4.2999999999999997E-2</v>
      </c>
      <c r="I1005" s="35"/>
      <c r="J1005" s="35">
        <v>3.5200000000000002E-2</v>
      </c>
      <c r="K1005" s="35">
        <v>5.3499999999999999E-2</v>
      </c>
      <c r="L1005" s="35">
        <v>2.1100000000000001E-2</v>
      </c>
      <c r="M1005" s="35">
        <v>1.7299999999999999E-2</v>
      </c>
      <c r="N1005" s="35">
        <v>0.2009</v>
      </c>
      <c r="O1005" s="35">
        <v>1.7299999999999999E-2</v>
      </c>
      <c r="P1005" s="35">
        <v>6.9999999999999999E-4</v>
      </c>
      <c r="Q1005" s="35">
        <v>1.9800000000000002E-2</v>
      </c>
      <c r="R1005" s="35">
        <v>1.6299999999999999E-2</v>
      </c>
      <c r="S1005" s="35">
        <v>4.3E-3</v>
      </c>
      <c r="T1005" s="35">
        <v>3.5900000000000001E-2</v>
      </c>
      <c r="U1005" s="35">
        <v>1.6799999999999999E-2</v>
      </c>
      <c r="V1005" s="35">
        <v>3.9100000000000003E-2</v>
      </c>
      <c r="W1005" s="35">
        <v>3.6400000000000002E-2</v>
      </c>
      <c r="X1005" s="35">
        <v>3.9300000000000002E-2</v>
      </c>
      <c r="Y1005" s="35">
        <v>1.4E-3</v>
      </c>
      <c r="Z1005" s="4">
        <v>1.6999999999999999E-3</v>
      </c>
      <c r="AA1005" s="4">
        <v>6.9999999999999999E-4</v>
      </c>
      <c r="AB1005" s="4"/>
      <c r="AC1005" s="56"/>
      <c r="AD1005" s="23"/>
    </row>
    <row r="1006" spans="1:30" s="14" customFormat="1">
      <c r="A1006" s="84"/>
      <c r="B1006" s="27"/>
      <c r="C1006" s="130"/>
      <c r="D1006" s="53">
        <f t="shared" ref="D1006:AB1006" si="1669">$C1005*D1005</f>
        <v>126.18758399999999</v>
      </c>
      <c r="E1006" s="5">
        <f t="shared" si="1669"/>
        <v>3491.189824</v>
      </c>
      <c r="F1006" s="5">
        <f t="shared" si="1669"/>
        <v>572.92064000000005</v>
      </c>
      <c r="G1006" s="5">
        <f t="shared" si="1669"/>
        <v>1601.276928</v>
      </c>
      <c r="H1006" s="5">
        <f t="shared" si="1669"/>
        <v>623.68575999999996</v>
      </c>
      <c r="I1006" s="5">
        <f t="shared" si="1669"/>
        <v>0</v>
      </c>
      <c r="J1006" s="5">
        <f t="shared" si="1669"/>
        <v>510.55206400000003</v>
      </c>
      <c r="K1006" s="5">
        <f t="shared" si="1669"/>
        <v>775.98111999999992</v>
      </c>
      <c r="L1006" s="5">
        <f t="shared" si="1669"/>
        <v>306.04115200000001</v>
      </c>
      <c r="M1006" s="5">
        <f t="shared" si="1669"/>
        <v>250.924736</v>
      </c>
      <c r="N1006" s="5">
        <f t="shared" si="1669"/>
        <v>2913.9178879999999</v>
      </c>
      <c r="O1006" s="5">
        <f t="shared" si="1669"/>
        <v>250.924736</v>
      </c>
      <c r="P1006" s="5">
        <f t="shared" si="1669"/>
        <v>10.153024</v>
      </c>
      <c r="Q1006" s="5">
        <f t="shared" si="1669"/>
        <v>287.18553600000001</v>
      </c>
      <c r="R1006" s="5">
        <f t="shared" si="1669"/>
        <v>236.42041599999996</v>
      </c>
      <c r="S1006" s="5">
        <f t="shared" si="1669"/>
        <v>62.368575999999997</v>
      </c>
      <c r="T1006" s="5">
        <f t="shared" si="1669"/>
        <v>520.70508800000005</v>
      </c>
      <c r="U1006" s="5">
        <f t="shared" si="1669"/>
        <v>243.67257599999999</v>
      </c>
      <c r="V1006" s="5">
        <f t="shared" si="1669"/>
        <v>567.11891200000002</v>
      </c>
      <c r="W1006" s="5">
        <f t="shared" si="1669"/>
        <v>527.95724800000005</v>
      </c>
      <c r="X1006" s="5">
        <f t="shared" si="1669"/>
        <v>570.01977599999998</v>
      </c>
      <c r="Y1006" s="5">
        <f t="shared" si="1669"/>
        <v>20.306048000000001</v>
      </c>
      <c r="Z1006" s="5">
        <f>$C1005*Z1005</f>
        <v>24.657343999999998</v>
      </c>
      <c r="AA1006" s="5">
        <f>$C1005*AA1005</f>
        <v>10.153024</v>
      </c>
      <c r="AB1006" s="5">
        <f t="shared" si="1669"/>
        <v>0</v>
      </c>
      <c r="AC1006" s="56"/>
      <c r="AD1006" s="23"/>
    </row>
    <row r="1007" spans="1:30" s="14" customFormat="1">
      <c r="A1007" s="85" t="s">
        <v>661</v>
      </c>
      <c r="B1007" s="26">
        <v>167853.26249999998</v>
      </c>
      <c r="C1007" s="130">
        <f t="shared" ref="C1007" si="1670">ROUND(B1007/12,2)</f>
        <v>13987.77</v>
      </c>
      <c r="D1007" s="24"/>
      <c r="E1007" s="34">
        <v>0.90580000000000005</v>
      </c>
      <c r="F1007" s="7"/>
      <c r="G1007" s="7"/>
      <c r="H1007" s="7"/>
      <c r="I1007" s="7">
        <v>9.4200000000000006E-2</v>
      </c>
      <c r="J1007" s="34"/>
      <c r="K1007" s="34"/>
      <c r="L1007" s="7"/>
      <c r="M1007" s="7"/>
      <c r="N1007" s="7"/>
      <c r="O1007" s="34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56"/>
      <c r="AD1007" s="23"/>
    </row>
    <row r="1008" spans="1:30" s="14" customFormat="1">
      <c r="A1008" s="84"/>
      <c r="B1008" s="27"/>
      <c r="C1008" s="130"/>
      <c r="D1008" s="53">
        <f t="shared" ref="D1008:AB1008" si="1671">$C1007*D1007</f>
        <v>0</v>
      </c>
      <c r="E1008" s="5">
        <f t="shared" si="1671"/>
        <v>12670.122066000002</v>
      </c>
      <c r="F1008" s="5">
        <f t="shared" si="1671"/>
        <v>0</v>
      </c>
      <c r="G1008" s="5">
        <f t="shared" si="1671"/>
        <v>0</v>
      </c>
      <c r="H1008" s="5">
        <f t="shared" si="1671"/>
        <v>0</v>
      </c>
      <c r="I1008" s="5">
        <f t="shared" si="1671"/>
        <v>1317.6479340000001</v>
      </c>
      <c r="J1008" s="5">
        <f t="shared" si="1671"/>
        <v>0</v>
      </c>
      <c r="K1008" s="5">
        <f t="shared" si="1671"/>
        <v>0</v>
      </c>
      <c r="L1008" s="5">
        <f t="shared" si="1671"/>
        <v>0</v>
      </c>
      <c r="M1008" s="5">
        <f t="shared" si="1671"/>
        <v>0</v>
      </c>
      <c r="N1008" s="5">
        <f t="shared" si="1671"/>
        <v>0</v>
      </c>
      <c r="O1008" s="5">
        <f t="shared" si="1671"/>
        <v>0</v>
      </c>
      <c r="P1008" s="5">
        <f t="shared" si="1671"/>
        <v>0</v>
      </c>
      <c r="Q1008" s="5">
        <f t="shared" si="1671"/>
        <v>0</v>
      </c>
      <c r="R1008" s="5">
        <f t="shared" si="1671"/>
        <v>0</v>
      </c>
      <c r="S1008" s="5">
        <f t="shared" si="1671"/>
        <v>0</v>
      </c>
      <c r="T1008" s="5">
        <f t="shared" si="1671"/>
        <v>0</v>
      </c>
      <c r="U1008" s="5">
        <f t="shared" si="1671"/>
        <v>0</v>
      </c>
      <c r="V1008" s="5">
        <f t="shared" si="1671"/>
        <v>0</v>
      </c>
      <c r="W1008" s="5">
        <f t="shared" si="1671"/>
        <v>0</v>
      </c>
      <c r="X1008" s="5">
        <f t="shared" si="1671"/>
        <v>0</v>
      </c>
      <c r="Y1008" s="5">
        <f t="shared" si="1671"/>
        <v>0</v>
      </c>
      <c r="Z1008" s="5">
        <f t="shared" si="1671"/>
        <v>0</v>
      </c>
      <c r="AA1008" s="5">
        <f t="shared" si="1671"/>
        <v>0</v>
      </c>
      <c r="AB1008" s="5">
        <f t="shared" si="1671"/>
        <v>0</v>
      </c>
      <c r="AC1008" s="56"/>
      <c r="AD1008" s="23"/>
    </row>
    <row r="1009" spans="1:30" s="14" customFormat="1">
      <c r="A1009" s="85" t="s">
        <v>662</v>
      </c>
      <c r="B1009" s="26">
        <v>187391.73749999999</v>
      </c>
      <c r="C1009" s="130">
        <f t="shared" ref="C1009" si="1672">ROUND(B1009/12,2)</f>
        <v>15615.98</v>
      </c>
      <c r="D1009" s="35">
        <v>8.6999999999999994E-3</v>
      </c>
      <c r="E1009" s="35">
        <v>0.2407</v>
      </c>
      <c r="F1009" s="35">
        <v>3.95E-2</v>
      </c>
      <c r="G1009" s="35">
        <v>0.1104</v>
      </c>
      <c r="H1009" s="35">
        <v>4.2999999999999997E-2</v>
      </c>
      <c r="I1009" s="35"/>
      <c r="J1009" s="35">
        <v>3.5200000000000002E-2</v>
      </c>
      <c r="K1009" s="35">
        <v>5.3499999999999999E-2</v>
      </c>
      <c r="L1009" s="35">
        <v>2.1100000000000001E-2</v>
      </c>
      <c r="M1009" s="35">
        <v>1.7299999999999999E-2</v>
      </c>
      <c r="N1009" s="35">
        <v>0.2009</v>
      </c>
      <c r="O1009" s="35">
        <v>1.7299999999999999E-2</v>
      </c>
      <c r="P1009" s="35">
        <v>6.9999999999999999E-4</v>
      </c>
      <c r="Q1009" s="35">
        <v>1.9800000000000002E-2</v>
      </c>
      <c r="R1009" s="35">
        <v>1.6299999999999999E-2</v>
      </c>
      <c r="S1009" s="35">
        <v>4.3E-3</v>
      </c>
      <c r="T1009" s="35">
        <v>3.5900000000000001E-2</v>
      </c>
      <c r="U1009" s="35">
        <v>1.6799999999999999E-2</v>
      </c>
      <c r="V1009" s="35">
        <v>3.9100000000000003E-2</v>
      </c>
      <c r="W1009" s="35">
        <v>3.6400000000000002E-2</v>
      </c>
      <c r="X1009" s="35">
        <v>3.9300000000000002E-2</v>
      </c>
      <c r="Y1009" s="35">
        <v>1.4E-3</v>
      </c>
      <c r="Z1009" s="4">
        <v>1.6999999999999999E-3</v>
      </c>
      <c r="AA1009" s="4">
        <v>6.9999999999999999E-4</v>
      </c>
      <c r="AB1009" s="4"/>
      <c r="AC1009" s="56"/>
      <c r="AD1009" s="23"/>
    </row>
    <row r="1010" spans="1:30" s="14" customFormat="1">
      <c r="A1010" s="84"/>
      <c r="B1010" s="27"/>
      <c r="C1010" s="130"/>
      <c r="D1010" s="53">
        <f t="shared" ref="D1010:AB1010" si="1673">$C1009*D1009</f>
        <v>135.859026</v>
      </c>
      <c r="E1010" s="5">
        <f t="shared" si="1673"/>
        <v>3758.7663859999998</v>
      </c>
      <c r="F1010" s="5">
        <f t="shared" si="1673"/>
        <v>616.83120999999994</v>
      </c>
      <c r="G1010" s="5">
        <f t="shared" si="1673"/>
        <v>1724.0041919999999</v>
      </c>
      <c r="H1010" s="5">
        <f t="shared" si="1673"/>
        <v>671.48713999999995</v>
      </c>
      <c r="I1010" s="5">
        <f t="shared" si="1673"/>
        <v>0</v>
      </c>
      <c r="J1010" s="5">
        <f t="shared" si="1673"/>
        <v>549.68249600000001</v>
      </c>
      <c r="K1010" s="5">
        <f t="shared" si="1673"/>
        <v>835.45492999999999</v>
      </c>
      <c r="L1010" s="5">
        <f t="shared" si="1673"/>
        <v>329.49717800000002</v>
      </c>
      <c r="M1010" s="5">
        <f t="shared" si="1673"/>
        <v>270.156454</v>
      </c>
      <c r="N1010" s="5">
        <f t="shared" si="1673"/>
        <v>3137.2503819999997</v>
      </c>
      <c r="O1010" s="5">
        <f t="shared" si="1673"/>
        <v>270.156454</v>
      </c>
      <c r="P1010" s="5">
        <f t="shared" si="1673"/>
        <v>10.931186</v>
      </c>
      <c r="Q1010" s="5">
        <f t="shared" si="1673"/>
        <v>309.19640400000003</v>
      </c>
      <c r="R1010" s="5">
        <f t="shared" si="1673"/>
        <v>254.54047399999996</v>
      </c>
      <c r="S1010" s="5">
        <f t="shared" si="1673"/>
        <v>67.148713999999998</v>
      </c>
      <c r="T1010" s="5">
        <f t="shared" si="1673"/>
        <v>560.61368200000004</v>
      </c>
      <c r="U1010" s="5">
        <f t="shared" si="1673"/>
        <v>262.34846399999998</v>
      </c>
      <c r="V1010" s="5">
        <f t="shared" si="1673"/>
        <v>610.58481800000004</v>
      </c>
      <c r="W1010" s="5">
        <f t="shared" si="1673"/>
        <v>568.42167200000006</v>
      </c>
      <c r="X1010" s="5">
        <f t="shared" si="1673"/>
        <v>613.70801400000005</v>
      </c>
      <c r="Y1010" s="5">
        <f t="shared" si="1673"/>
        <v>21.862372000000001</v>
      </c>
      <c r="Z1010" s="5">
        <f t="shared" si="1673"/>
        <v>26.547165999999997</v>
      </c>
      <c r="AA1010" s="5">
        <f t="shared" si="1673"/>
        <v>10.931186</v>
      </c>
      <c r="AB1010" s="5">
        <f t="shared" si="1673"/>
        <v>0</v>
      </c>
      <c r="AC1010" s="56"/>
      <c r="AD1010" s="23"/>
    </row>
    <row r="1011" spans="1:30" s="14" customFormat="1">
      <c r="A1011" s="85" t="s">
        <v>655</v>
      </c>
      <c r="B1011" s="26">
        <v>789874</v>
      </c>
      <c r="C1011" s="130">
        <f t="shared" ref="C1011" si="1674">ROUND(B1011/12,2)</f>
        <v>65822.83</v>
      </c>
      <c r="D1011" s="35"/>
      <c r="E1011" s="35">
        <v>0.96009999999999995</v>
      </c>
      <c r="F1011" s="35">
        <v>6.1999999999999998E-3</v>
      </c>
      <c r="G1011" s="35"/>
      <c r="H1011" s="35"/>
      <c r="I1011" s="35">
        <v>1.9E-3</v>
      </c>
      <c r="J1011" s="35">
        <v>4.4000000000000003E-3</v>
      </c>
      <c r="K1011" s="35"/>
      <c r="L1011" s="35">
        <v>1.2999999999999999E-3</v>
      </c>
      <c r="M1011" s="35"/>
      <c r="N1011" s="35"/>
      <c r="O1011" s="35"/>
      <c r="P1011" s="35"/>
      <c r="Q1011" s="35"/>
      <c r="R1011" s="35"/>
      <c r="S1011" s="35"/>
      <c r="T1011" s="35"/>
      <c r="U1011" s="35">
        <v>2.6100000000000002E-2</v>
      </c>
      <c r="V1011" s="35"/>
      <c r="W1011" s="35"/>
      <c r="X1011" s="35"/>
      <c r="Y1011" s="35"/>
      <c r="Z1011" s="4"/>
      <c r="AA1011" s="4"/>
      <c r="AB1011" s="4"/>
      <c r="AC1011" s="56"/>
      <c r="AD1011" s="23"/>
    </row>
    <row r="1012" spans="1:30" s="14" customFormat="1">
      <c r="A1012" s="86"/>
      <c r="B1012" s="61"/>
      <c r="C1012" s="130"/>
      <c r="D1012" s="53">
        <f t="shared" ref="D1012:AB1014" si="1675">$C1011*D1011</f>
        <v>0</v>
      </c>
      <c r="E1012" s="5">
        <f t="shared" si="1675"/>
        <v>63196.499082999995</v>
      </c>
      <c r="F1012" s="5">
        <f t="shared" si="1675"/>
        <v>408.10154599999998</v>
      </c>
      <c r="G1012" s="5">
        <f t="shared" si="1675"/>
        <v>0</v>
      </c>
      <c r="H1012" s="5">
        <f t="shared" si="1675"/>
        <v>0</v>
      </c>
      <c r="I1012" s="5">
        <f t="shared" si="1675"/>
        <v>125.063377</v>
      </c>
      <c r="J1012" s="5">
        <f t="shared" si="1675"/>
        <v>289.620452</v>
      </c>
      <c r="K1012" s="5">
        <f t="shared" si="1675"/>
        <v>0</v>
      </c>
      <c r="L1012" s="5">
        <f t="shared" si="1675"/>
        <v>85.569678999999994</v>
      </c>
      <c r="M1012" s="5">
        <f t="shared" si="1675"/>
        <v>0</v>
      </c>
      <c r="N1012" s="5">
        <f t="shared" si="1675"/>
        <v>0</v>
      </c>
      <c r="O1012" s="5">
        <f t="shared" si="1675"/>
        <v>0</v>
      </c>
      <c r="P1012" s="5">
        <f t="shared" si="1675"/>
        <v>0</v>
      </c>
      <c r="Q1012" s="5">
        <f t="shared" si="1675"/>
        <v>0</v>
      </c>
      <c r="R1012" s="5">
        <f t="shared" si="1675"/>
        <v>0</v>
      </c>
      <c r="S1012" s="5">
        <f t="shared" si="1675"/>
        <v>0</v>
      </c>
      <c r="T1012" s="5">
        <f t="shared" si="1675"/>
        <v>0</v>
      </c>
      <c r="U1012" s="5">
        <f t="shared" si="1675"/>
        <v>1717.9758630000001</v>
      </c>
      <c r="V1012" s="5">
        <f t="shared" si="1675"/>
        <v>0</v>
      </c>
      <c r="W1012" s="5">
        <f t="shared" si="1675"/>
        <v>0</v>
      </c>
      <c r="X1012" s="5">
        <f t="shared" si="1675"/>
        <v>0</v>
      </c>
      <c r="Y1012" s="5">
        <f t="shared" si="1675"/>
        <v>0</v>
      </c>
      <c r="Z1012" s="5">
        <f t="shared" si="1675"/>
        <v>0</v>
      </c>
      <c r="AA1012" s="5">
        <f t="shared" si="1675"/>
        <v>0</v>
      </c>
      <c r="AB1012" s="5">
        <f t="shared" si="1675"/>
        <v>0</v>
      </c>
      <c r="AC1012" s="56"/>
      <c r="AD1012" s="23"/>
    </row>
    <row r="1013" spans="1:30" s="14" customFormat="1">
      <c r="A1013" s="85" t="s">
        <v>656</v>
      </c>
      <c r="B1013" s="26">
        <v>-3338184</v>
      </c>
      <c r="C1013" s="130">
        <f t="shared" ref="C1013" si="1676">ROUND(B1013/12,2)</f>
        <v>-278182</v>
      </c>
      <c r="D1013" s="35"/>
      <c r="E1013" s="35">
        <v>0.96009999999999995</v>
      </c>
      <c r="F1013" s="35">
        <v>6.1999999999999998E-3</v>
      </c>
      <c r="G1013" s="35"/>
      <c r="H1013" s="35"/>
      <c r="I1013" s="35">
        <v>1.9E-3</v>
      </c>
      <c r="J1013" s="35">
        <v>4.4000000000000003E-3</v>
      </c>
      <c r="K1013" s="35"/>
      <c r="L1013" s="35">
        <v>1.2999999999999999E-3</v>
      </c>
      <c r="M1013" s="35"/>
      <c r="N1013" s="35"/>
      <c r="O1013" s="35"/>
      <c r="P1013" s="35"/>
      <c r="Q1013" s="35"/>
      <c r="R1013" s="35"/>
      <c r="S1013" s="35"/>
      <c r="T1013" s="35"/>
      <c r="U1013" s="35">
        <v>2.6100000000000002E-2</v>
      </c>
      <c r="V1013" s="35"/>
      <c r="W1013" s="35"/>
      <c r="X1013" s="35"/>
      <c r="Y1013" s="35"/>
      <c r="Z1013" s="4"/>
      <c r="AA1013" s="4"/>
      <c r="AB1013" s="4"/>
      <c r="AC1013" s="56"/>
      <c r="AD1013" s="23"/>
    </row>
    <row r="1014" spans="1:30" s="14" customFormat="1">
      <c r="A1014" s="86"/>
      <c r="B1014" s="61"/>
      <c r="C1014" s="129" t="s">
        <v>159</v>
      </c>
      <c r="D1014" s="53">
        <f t="shared" si="1675"/>
        <v>0</v>
      </c>
      <c r="E1014" s="5">
        <f t="shared" si="1675"/>
        <v>-267082.53820000001</v>
      </c>
      <c r="F1014" s="5">
        <f t="shared" si="1675"/>
        <v>-1724.7284</v>
      </c>
      <c r="G1014" s="5">
        <f t="shared" si="1675"/>
        <v>0</v>
      </c>
      <c r="H1014" s="5">
        <f t="shared" si="1675"/>
        <v>0</v>
      </c>
      <c r="I1014" s="5">
        <f t="shared" si="1675"/>
        <v>-528.54579999999999</v>
      </c>
      <c r="J1014" s="5">
        <f t="shared" si="1675"/>
        <v>-1224.0008</v>
      </c>
      <c r="K1014" s="5">
        <f t="shared" si="1675"/>
        <v>0</v>
      </c>
      <c r="L1014" s="5">
        <f t="shared" si="1675"/>
        <v>-361.63659999999999</v>
      </c>
      <c r="M1014" s="5">
        <f t="shared" si="1675"/>
        <v>0</v>
      </c>
      <c r="N1014" s="5">
        <f t="shared" si="1675"/>
        <v>0</v>
      </c>
      <c r="O1014" s="5">
        <f t="shared" si="1675"/>
        <v>0</v>
      </c>
      <c r="P1014" s="5">
        <f t="shared" si="1675"/>
        <v>0</v>
      </c>
      <c r="Q1014" s="5">
        <f t="shared" si="1675"/>
        <v>0</v>
      </c>
      <c r="R1014" s="5">
        <f t="shared" si="1675"/>
        <v>0</v>
      </c>
      <c r="S1014" s="5">
        <f t="shared" si="1675"/>
        <v>0</v>
      </c>
      <c r="T1014" s="5">
        <f t="shared" si="1675"/>
        <v>0</v>
      </c>
      <c r="U1014" s="5">
        <f t="shared" si="1675"/>
        <v>-7260.5502000000006</v>
      </c>
      <c r="V1014" s="5">
        <f t="shared" si="1675"/>
        <v>0</v>
      </c>
      <c r="W1014" s="5">
        <f t="shared" si="1675"/>
        <v>0</v>
      </c>
      <c r="X1014" s="5">
        <f t="shared" si="1675"/>
        <v>0</v>
      </c>
      <c r="Y1014" s="5">
        <f t="shared" si="1675"/>
        <v>0</v>
      </c>
      <c r="Z1014" s="5">
        <f t="shared" si="1675"/>
        <v>0</v>
      </c>
      <c r="AA1014" s="5">
        <f t="shared" si="1675"/>
        <v>0</v>
      </c>
      <c r="AB1014" s="5">
        <f t="shared" si="1675"/>
        <v>0</v>
      </c>
      <c r="AC1014" s="56"/>
      <c r="AD1014" s="23"/>
    </row>
    <row r="1015" spans="1:30" s="14" customFormat="1">
      <c r="A1015" s="85" t="s">
        <v>671</v>
      </c>
      <c r="B1015" s="26">
        <v>6321</v>
      </c>
      <c r="C1015" s="130">
        <f>ROUND(B1015/12,2)</f>
        <v>526.75</v>
      </c>
      <c r="D1015" s="35">
        <v>1.6299999999999999E-2</v>
      </c>
      <c r="E1015" s="35">
        <v>0.14269999999999999</v>
      </c>
      <c r="F1015" s="35">
        <v>5.8900000000000001E-2</v>
      </c>
      <c r="G1015" s="35">
        <v>7.6200000000000004E-2</v>
      </c>
      <c r="H1015" s="35">
        <v>3.9600000000000003E-2</v>
      </c>
      <c r="I1015" s="35">
        <v>0.12470000000000001</v>
      </c>
      <c r="J1015" s="35">
        <v>2.0400000000000001E-2</v>
      </c>
      <c r="K1015" s="35">
        <v>3.1199999999999999E-2</v>
      </c>
      <c r="L1015" s="35">
        <v>1.6199999999999999E-2</v>
      </c>
      <c r="M1015" s="35">
        <v>2.53E-2</v>
      </c>
      <c r="N1015" s="35">
        <v>0.14849999999999999</v>
      </c>
      <c r="O1015" s="35">
        <v>2.2599999999999999E-2</v>
      </c>
      <c r="P1015" s="35">
        <v>0</v>
      </c>
      <c r="Q1015" s="35">
        <v>3.78E-2</v>
      </c>
      <c r="R1015" s="35">
        <v>1.8100000000000002E-2</v>
      </c>
      <c r="S1015" s="35">
        <v>4.1000000000000003E-3</v>
      </c>
      <c r="T1015" s="35">
        <v>5.04E-2</v>
      </c>
      <c r="U1015" s="35">
        <v>1.7500000000000002E-2</v>
      </c>
      <c r="V1015" s="35">
        <v>3.6200000000000003E-2</v>
      </c>
      <c r="W1015" s="35">
        <v>4.8500000000000001E-2</v>
      </c>
      <c r="X1015" s="35">
        <v>6.1600000000000002E-2</v>
      </c>
      <c r="Y1015" s="35">
        <v>2.5000000000000001E-3</v>
      </c>
      <c r="Z1015" s="4">
        <v>0</v>
      </c>
      <c r="AA1015" s="4">
        <v>6.9999999999999999E-4</v>
      </c>
      <c r="AB1015" s="4">
        <v>0</v>
      </c>
      <c r="AC1015" s="56"/>
      <c r="AD1015" s="23"/>
    </row>
    <row r="1016" spans="1:30" s="14" customFormat="1">
      <c r="A1016" s="86"/>
      <c r="B1016" s="61"/>
      <c r="C1016" s="129" t="s">
        <v>159</v>
      </c>
      <c r="D1016" s="53">
        <f t="shared" ref="D1016:AB1016" si="1677">$C1015*D1015</f>
        <v>8.5860249999999994</v>
      </c>
      <c r="E1016" s="5">
        <f t="shared" si="1677"/>
        <v>75.167225000000002</v>
      </c>
      <c r="F1016" s="5">
        <f t="shared" si="1677"/>
        <v>31.025575</v>
      </c>
      <c r="G1016" s="5">
        <f t="shared" si="1677"/>
        <v>40.138350000000003</v>
      </c>
      <c r="H1016" s="5">
        <f t="shared" si="1677"/>
        <v>20.859300000000001</v>
      </c>
      <c r="I1016" s="5">
        <f t="shared" si="1677"/>
        <v>65.685725000000005</v>
      </c>
      <c r="J1016" s="5">
        <f t="shared" si="1677"/>
        <v>10.745700000000001</v>
      </c>
      <c r="K1016" s="5">
        <f t="shared" si="1677"/>
        <v>16.4346</v>
      </c>
      <c r="L1016" s="5">
        <f t="shared" si="1677"/>
        <v>8.5333499999999987</v>
      </c>
      <c r="M1016" s="5">
        <f t="shared" si="1677"/>
        <v>13.326775</v>
      </c>
      <c r="N1016" s="5">
        <f t="shared" si="1677"/>
        <v>78.222375</v>
      </c>
      <c r="O1016" s="5">
        <f t="shared" si="1677"/>
        <v>11.904549999999999</v>
      </c>
      <c r="P1016" s="5">
        <f t="shared" si="1677"/>
        <v>0</v>
      </c>
      <c r="Q1016" s="5">
        <f t="shared" si="1677"/>
        <v>19.911149999999999</v>
      </c>
      <c r="R1016" s="5">
        <f t="shared" si="1677"/>
        <v>9.5341750000000012</v>
      </c>
      <c r="S1016" s="5">
        <f t="shared" si="1677"/>
        <v>2.159675</v>
      </c>
      <c r="T1016" s="5">
        <f t="shared" si="1677"/>
        <v>26.548200000000001</v>
      </c>
      <c r="U1016" s="5">
        <f t="shared" si="1677"/>
        <v>9.2181250000000006</v>
      </c>
      <c r="V1016" s="5">
        <f t="shared" si="1677"/>
        <v>19.068350000000002</v>
      </c>
      <c r="W1016" s="5">
        <f t="shared" si="1677"/>
        <v>25.547375000000002</v>
      </c>
      <c r="X1016" s="5">
        <f t="shared" si="1677"/>
        <v>32.447800000000001</v>
      </c>
      <c r="Y1016" s="5">
        <f t="shared" si="1677"/>
        <v>1.316875</v>
      </c>
      <c r="Z1016" s="5">
        <f t="shared" si="1677"/>
        <v>0</v>
      </c>
      <c r="AA1016" s="5">
        <f t="shared" si="1677"/>
        <v>0.36872499999999997</v>
      </c>
      <c r="AB1016" s="5">
        <f t="shared" si="1677"/>
        <v>0</v>
      </c>
      <c r="AC1016" s="56"/>
      <c r="AD1016" s="23"/>
    </row>
    <row r="1017" spans="1:30" s="14" customFormat="1">
      <c r="A1017" s="85" t="s">
        <v>672</v>
      </c>
      <c r="B1017" s="26">
        <v>6321</v>
      </c>
      <c r="C1017" s="130">
        <f>ROUND(B1017/12,2)</f>
        <v>526.75</v>
      </c>
      <c r="D1017" s="35"/>
      <c r="E1017" s="35">
        <v>0.21659999999999999</v>
      </c>
      <c r="F1017" s="35">
        <v>1E-4</v>
      </c>
      <c r="G1017" s="35"/>
      <c r="H1017" s="35">
        <v>7.1400000000000005E-2</v>
      </c>
      <c r="I1017" s="35"/>
      <c r="J1017" s="35"/>
      <c r="K1017" s="35">
        <v>1E-4</v>
      </c>
      <c r="L1017" s="35"/>
      <c r="M1017" s="35"/>
      <c r="N1017" s="35">
        <v>0.62250000000000005</v>
      </c>
      <c r="O1017" s="35"/>
      <c r="P1017" s="35"/>
      <c r="Q1017" s="35"/>
      <c r="R1017" s="35"/>
      <c r="S1017" s="35"/>
      <c r="T1017" s="35"/>
      <c r="U1017" s="35"/>
      <c r="V1017" s="35">
        <v>8.9300000000000004E-2</v>
      </c>
      <c r="W1017" s="35"/>
      <c r="X1017" s="35"/>
      <c r="Y1017" s="35"/>
      <c r="Z1017" s="4"/>
      <c r="AA1017" s="4"/>
      <c r="AB1017" s="4"/>
      <c r="AC1017" s="56"/>
      <c r="AD1017" s="23"/>
    </row>
    <row r="1018" spans="1:30" s="14" customFormat="1">
      <c r="A1018" s="86"/>
      <c r="B1018" s="61"/>
      <c r="C1018" s="129" t="s">
        <v>159</v>
      </c>
      <c r="D1018" s="53">
        <f t="shared" ref="D1018:AB1018" si="1678">$C1017*D1017</f>
        <v>0</v>
      </c>
      <c r="E1018" s="5">
        <f t="shared" si="1678"/>
        <v>114.09405</v>
      </c>
      <c r="F1018" s="5">
        <f t="shared" si="1678"/>
        <v>5.2675E-2</v>
      </c>
      <c r="G1018" s="5">
        <f t="shared" si="1678"/>
        <v>0</v>
      </c>
      <c r="H1018" s="5">
        <f t="shared" si="1678"/>
        <v>37.609950000000005</v>
      </c>
      <c r="I1018" s="5">
        <f t="shared" si="1678"/>
        <v>0</v>
      </c>
      <c r="J1018" s="5">
        <f t="shared" si="1678"/>
        <v>0</v>
      </c>
      <c r="K1018" s="5">
        <f t="shared" si="1678"/>
        <v>5.2675E-2</v>
      </c>
      <c r="L1018" s="5">
        <f t="shared" si="1678"/>
        <v>0</v>
      </c>
      <c r="M1018" s="5">
        <f t="shared" si="1678"/>
        <v>0</v>
      </c>
      <c r="N1018" s="5">
        <f t="shared" si="1678"/>
        <v>327.90187500000002</v>
      </c>
      <c r="O1018" s="5">
        <f t="shared" si="1678"/>
        <v>0</v>
      </c>
      <c r="P1018" s="5">
        <f t="shared" si="1678"/>
        <v>0</v>
      </c>
      <c r="Q1018" s="5">
        <f t="shared" si="1678"/>
        <v>0</v>
      </c>
      <c r="R1018" s="5">
        <f t="shared" si="1678"/>
        <v>0</v>
      </c>
      <c r="S1018" s="5">
        <f t="shared" si="1678"/>
        <v>0</v>
      </c>
      <c r="T1018" s="5">
        <f t="shared" si="1678"/>
        <v>0</v>
      </c>
      <c r="U1018" s="5">
        <f t="shared" si="1678"/>
        <v>0</v>
      </c>
      <c r="V1018" s="5">
        <f t="shared" si="1678"/>
        <v>47.038775000000001</v>
      </c>
      <c r="W1018" s="5">
        <f t="shared" si="1678"/>
        <v>0</v>
      </c>
      <c r="X1018" s="5">
        <f t="shared" si="1678"/>
        <v>0</v>
      </c>
      <c r="Y1018" s="5">
        <f t="shared" si="1678"/>
        <v>0</v>
      </c>
      <c r="Z1018" s="5">
        <f t="shared" si="1678"/>
        <v>0</v>
      </c>
      <c r="AA1018" s="5">
        <f t="shared" si="1678"/>
        <v>0</v>
      </c>
      <c r="AB1018" s="5">
        <f t="shared" si="1678"/>
        <v>0</v>
      </c>
      <c r="AC1018" s="56"/>
      <c r="AD1018" s="23"/>
    </row>
    <row r="1019" spans="1:30" s="14" customFormat="1">
      <c r="A1019" s="85" t="s">
        <v>700</v>
      </c>
      <c r="B1019" s="26">
        <v>1</v>
      </c>
      <c r="C1019" s="130">
        <f>ROUND(B1019/12,2)</f>
        <v>0.08</v>
      </c>
      <c r="D1019" s="35"/>
      <c r="E1019" s="35">
        <v>0.85099999999999998</v>
      </c>
      <c r="F1019" s="35"/>
      <c r="G1019" s="35"/>
      <c r="H1019" s="35"/>
      <c r="I1019" s="35"/>
      <c r="J1019" s="35">
        <v>9.3299999999999994E-2</v>
      </c>
      <c r="K1019" s="35">
        <v>5.4800000000000001E-2</v>
      </c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  <c r="V1019" s="35"/>
      <c r="W1019" s="35"/>
      <c r="X1019" s="35"/>
      <c r="Y1019" s="35"/>
      <c r="Z1019" s="4"/>
      <c r="AA1019" s="4">
        <v>8.9999999999999998E-4</v>
      </c>
      <c r="AB1019" s="4"/>
      <c r="AC1019" s="56"/>
      <c r="AD1019" s="23"/>
    </row>
    <row r="1020" spans="1:30" s="14" customFormat="1">
      <c r="A1020" s="86"/>
      <c r="B1020" s="61"/>
      <c r="C1020" s="129" t="s">
        <v>159</v>
      </c>
      <c r="D1020" s="53">
        <f t="shared" ref="D1020:AB1020" si="1679">$C1019*D1019</f>
        <v>0</v>
      </c>
      <c r="E1020" s="5">
        <f t="shared" si="1679"/>
        <v>6.8080000000000002E-2</v>
      </c>
      <c r="F1020" s="5">
        <f t="shared" si="1679"/>
        <v>0</v>
      </c>
      <c r="G1020" s="5">
        <f t="shared" si="1679"/>
        <v>0</v>
      </c>
      <c r="H1020" s="5">
        <f t="shared" si="1679"/>
        <v>0</v>
      </c>
      <c r="I1020" s="5">
        <f t="shared" si="1679"/>
        <v>0</v>
      </c>
      <c r="J1020" s="5">
        <f t="shared" si="1679"/>
        <v>7.4639999999999993E-3</v>
      </c>
      <c r="K1020" s="5">
        <f t="shared" si="1679"/>
        <v>4.3839999999999999E-3</v>
      </c>
      <c r="L1020" s="5">
        <f t="shared" si="1679"/>
        <v>0</v>
      </c>
      <c r="M1020" s="5">
        <f t="shared" si="1679"/>
        <v>0</v>
      </c>
      <c r="N1020" s="5">
        <f t="shared" si="1679"/>
        <v>0</v>
      </c>
      <c r="O1020" s="5">
        <f t="shared" si="1679"/>
        <v>0</v>
      </c>
      <c r="P1020" s="5">
        <f t="shared" si="1679"/>
        <v>0</v>
      </c>
      <c r="Q1020" s="5">
        <f t="shared" si="1679"/>
        <v>0</v>
      </c>
      <c r="R1020" s="5">
        <f t="shared" si="1679"/>
        <v>0</v>
      </c>
      <c r="S1020" s="5">
        <f t="shared" si="1679"/>
        <v>0</v>
      </c>
      <c r="T1020" s="5">
        <f t="shared" si="1679"/>
        <v>0</v>
      </c>
      <c r="U1020" s="5">
        <f t="shared" si="1679"/>
        <v>0</v>
      </c>
      <c r="V1020" s="5">
        <f t="shared" si="1679"/>
        <v>0</v>
      </c>
      <c r="W1020" s="5">
        <f t="shared" si="1679"/>
        <v>0</v>
      </c>
      <c r="X1020" s="5">
        <f t="shared" si="1679"/>
        <v>0</v>
      </c>
      <c r="Y1020" s="5">
        <f t="shared" si="1679"/>
        <v>0</v>
      </c>
      <c r="Z1020" s="5">
        <f t="shared" si="1679"/>
        <v>0</v>
      </c>
      <c r="AA1020" s="5">
        <f t="shared" si="1679"/>
        <v>7.2000000000000002E-5</v>
      </c>
      <c r="AB1020" s="5">
        <f t="shared" si="1679"/>
        <v>0</v>
      </c>
      <c r="AC1020" s="56"/>
      <c r="AD1020" s="23"/>
    </row>
    <row r="1021" spans="1:30" s="14" customFormat="1">
      <c r="A1021" s="85" t="s">
        <v>742</v>
      </c>
      <c r="B1021" s="26">
        <v>204188</v>
      </c>
      <c r="C1021" s="130">
        <f>ROUND(B1021/12,2)</f>
        <v>17015.669999999998</v>
      </c>
      <c r="D1021" s="35">
        <v>1.6299999999999999E-2</v>
      </c>
      <c r="E1021" s="35">
        <v>0.14269999999999999</v>
      </c>
      <c r="F1021" s="35">
        <v>5.8900000000000001E-2</v>
      </c>
      <c r="G1021" s="35">
        <v>7.6200000000000004E-2</v>
      </c>
      <c r="H1021" s="35">
        <v>3.9600000000000003E-2</v>
      </c>
      <c r="I1021" s="35">
        <v>0.12470000000000001</v>
      </c>
      <c r="J1021" s="35">
        <v>2.0400000000000001E-2</v>
      </c>
      <c r="K1021" s="35">
        <v>3.1199999999999999E-2</v>
      </c>
      <c r="L1021" s="35">
        <v>1.6199999999999999E-2</v>
      </c>
      <c r="M1021" s="35">
        <v>2.53E-2</v>
      </c>
      <c r="N1021" s="35">
        <v>0.14849999999999999</v>
      </c>
      <c r="O1021" s="35">
        <v>2.2599999999999999E-2</v>
      </c>
      <c r="P1021" s="35">
        <v>0</v>
      </c>
      <c r="Q1021" s="35">
        <v>3.78E-2</v>
      </c>
      <c r="R1021" s="35">
        <v>1.8100000000000002E-2</v>
      </c>
      <c r="S1021" s="35">
        <v>4.1000000000000003E-3</v>
      </c>
      <c r="T1021" s="35">
        <v>5.04E-2</v>
      </c>
      <c r="U1021" s="35">
        <v>1.7500000000000002E-2</v>
      </c>
      <c r="V1021" s="35">
        <v>3.6200000000000003E-2</v>
      </c>
      <c r="W1021" s="35">
        <v>4.8500000000000001E-2</v>
      </c>
      <c r="X1021" s="35">
        <v>6.1600000000000002E-2</v>
      </c>
      <c r="Y1021" s="35">
        <v>2.5000000000000001E-3</v>
      </c>
      <c r="Z1021" s="4">
        <v>0</v>
      </c>
      <c r="AA1021" s="4">
        <v>6.9999999999999999E-4</v>
      </c>
      <c r="AB1021" s="4">
        <v>0</v>
      </c>
      <c r="AC1021" s="56"/>
      <c r="AD1021" s="23"/>
    </row>
    <row r="1022" spans="1:30" s="14" customFormat="1">
      <c r="A1022" s="86"/>
      <c r="B1022" s="61"/>
      <c r="C1022" s="129" t="s">
        <v>159</v>
      </c>
      <c r="D1022" s="53">
        <f t="shared" ref="D1022:AB1022" si="1680">$C1021*D1021</f>
        <v>277.35542099999992</v>
      </c>
      <c r="E1022" s="5">
        <f t="shared" si="1680"/>
        <v>2428.1361089999996</v>
      </c>
      <c r="F1022" s="5">
        <f t="shared" si="1680"/>
        <v>1002.2229629999999</v>
      </c>
      <c r="G1022" s="5">
        <f t="shared" si="1680"/>
        <v>1296.5940539999999</v>
      </c>
      <c r="H1022" s="5">
        <f t="shared" si="1680"/>
        <v>673.82053199999996</v>
      </c>
      <c r="I1022" s="5">
        <f t="shared" si="1680"/>
        <v>2121.854049</v>
      </c>
      <c r="J1022" s="5">
        <f t="shared" si="1680"/>
        <v>347.11966799999999</v>
      </c>
      <c r="K1022" s="5">
        <f t="shared" si="1680"/>
        <v>530.88890399999991</v>
      </c>
      <c r="L1022" s="5">
        <f t="shared" si="1680"/>
        <v>275.65385399999997</v>
      </c>
      <c r="M1022" s="5">
        <f t="shared" si="1680"/>
        <v>430.49645099999992</v>
      </c>
      <c r="N1022" s="5">
        <f t="shared" si="1680"/>
        <v>2526.8269949999994</v>
      </c>
      <c r="O1022" s="5">
        <f t="shared" si="1680"/>
        <v>384.55414199999996</v>
      </c>
      <c r="P1022" s="5">
        <f t="shared" si="1680"/>
        <v>0</v>
      </c>
      <c r="Q1022" s="5">
        <f t="shared" si="1680"/>
        <v>643.19232599999998</v>
      </c>
      <c r="R1022" s="5">
        <f t="shared" si="1680"/>
        <v>307.98362700000001</v>
      </c>
      <c r="S1022" s="5">
        <f t="shared" si="1680"/>
        <v>69.764246999999997</v>
      </c>
      <c r="T1022" s="5">
        <f t="shared" si="1680"/>
        <v>857.58976799999994</v>
      </c>
      <c r="U1022" s="5">
        <f t="shared" si="1680"/>
        <v>297.774225</v>
      </c>
      <c r="V1022" s="5">
        <f t="shared" si="1680"/>
        <v>615.96725400000003</v>
      </c>
      <c r="W1022" s="5">
        <f t="shared" si="1680"/>
        <v>825.25999499999989</v>
      </c>
      <c r="X1022" s="5">
        <f t="shared" si="1680"/>
        <v>1048.165272</v>
      </c>
      <c r="Y1022" s="5">
        <f t="shared" si="1680"/>
        <v>42.539174999999993</v>
      </c>
      <c r="Z1022" s="5">
        <f t="shared" si="1680"/>
        <v>0</v>
      </c>
      <c r="AA1022" s="5">
        <f t="shared" si="1680"/>
        <v>11.910968999999998</v>
      </c>
      <c r="AB1022" s="5">
        <f t="shared" si="1680"/>
        <v>0</v>
      </c>
      <c r="AC1022" s="56"/>
      <c r="AD1022" s="23"/>
    </row>
    <row r="1023" spans="1:30" s="14" customFormat="1">
      <c r="A1023" s="85" t="s">
        <v>743</v>
      </c>
      <c r="B1023" s="26">
        <v>204188</v>
      </c>
      <c r="C1023" s="130">
        <f>ROUND(B1023/12,2)</f>
        <v>17015.669999999998</v>
      </c>
      <c r="D1023" s="35"/>
      <c r="E1023" s="35">
        <v>1</v>
      </c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  <c r="V1023" s="35"/>
      <c r="W1023" s="35"/>
      <c r="X1023" s="35"/>
      <c r="Y1023" s="35"/>
      <c r="Z1023" s="4"/>
      <c r="AA1023" s="4"/>
      <c r="AB1023" s="4"/>
      <c r="AC1023" s="56"/>
      <c r="AD1023" s="23"/>
    </row>
    <row r="1024" spans="1:30" s="14" customFormat="1">
      <c r="A1024" s="86"/>
      <c r="B1024" s="61"/>
      <c r="C1024" s="129" t="s">
        <v>159</v>
      </c>
      <c r="D1024" s="53">
        <f t="shared" ref="D1024:AB1024" si="1681">$C1023*D1023</f>
        <v>0</v>
      </c>
      <c r="E1024" s="5">
        <f t="shared" si="1681"/>
        <v>17015.669999999998</v>
      </c>
      <c r="F1024" s="5">
        <f t="shared" si="1681"/>
        <v>0</v>
      </c>
      <c r="G1024" s="5">
        <f t="shared" si="1681"/>
        <v>0</v>
      </c>
      <c r="H1024" s="5">
        <f t="shared" si="1681"/>
        <v>0</v>
      </c>
      <c r="I1024" s="5">
        <f t="shared" si="1681"/>
        <v>0</v>
      </c>
      <c r="J1024" s="5">
        <f t="shared" si="1681"/>
        <v>0</v>
      </c>
      <c r="K1024" s="5">
        <f t="shared" si="1681"/>
        <v>0</v>
      </c>
      <c r="L1024" s="5">
        <f t="shared" si="1681"/>
        <v>0</v>
      </c>
      <c r="M1024" s="5">
        <f t="shared" si="1681"/>
        <v>0</v>
      </c>
      <c r="N1024" s="5">
        <f t="shared" si="1681"/>
        <v>0</v>
      </c>
      <c r="O1024" s="5">
        <f t="shared" si="1681"/>
        <v>0</v>
      </c>
      <c r="P1024" s="5">
        <f t="shared" si="1681"/>
        <v>0</v>
      </c>
      <c r="Q1024" s="5">
        <f t="shared" si="1681"/>
        <v>0</v>
      </c>
      <c r="R1024" s="5">
        <f t="shared" si="1681"/>
        <v>0</v>
      </c>
      <c r="S1024" s="5">
        <f t="shared" si="1681"/>
        <v>0</v>
      </c>
      <c r="T1024" s="5">
        <f t="shared" si="1681"/>
        <v>0</v>
      </c>
      <c r="U1024" s="5">
        <f t="shared" si="1681"/>
        <v>0</v>
      </c>
      <c r="V1024" s="5">
        <f t="shared" si="1681"/>
        <v>0</v>
      </c>
      <c r="W1024" s="5">
        <f t="shared" si="1681"/>
        <v>0</v>
      </c>
      <c r="X1024" s="5">
        <f t="shared" si="1681"/>
        <v>0</v>
      </c>
      <c r="Y1024" s="5">
        <f t="shared" si="1681"/>
        <v>0</v>
      </c>
      <c r="Z1024" s="5">
        <f t="shared" si="1681"/>
        <v>0</v>
      </c>
      <c r="AA1024" s="5">
        <f t="shared" si="1681"/>
        <v>0</v>
      </c>
      <c r="AB1024" s="5">
        <f t="shared" si="1681"/>
        <v>0</v>
      </c>
      <c r="AC1024" s="56"/>
      <c r="AD1024" s="23"/>
    </row>
    <row r="1025" spans="1:30" s="14" customFormat="1">
      <c r="A1025" s="85" t="s">
        <v>701</v>
      </c>
      <c r="B1025" s="26">
        <v>725094.5</v>
      </c>
      <c r="C1025" s="130">
        <f>ROUND(B1025/12,2)</f>
        <v>60424.54</v>
      </c>
      <c r="D1025" s="35">
        <v>1.6299999999999999E-2</v>
      </c>
      <c r="E1025" s="35">
        <v>0.14269999999999999</v>
      </c>
      <c r="F1025" s="35">
        <v>5.8900000000000001E-2</v>
      </c>
      <c r="G1025" s="35">
        <v>7.6200000000000004E-2</v>
      </c>
      <c r="H1025" s="35">
        <v>3.9600000000000003E-2</v>
      </c>
      <c r="I1025" s="35">
        <v>0.12470000000000001</v>
      </c>
      <c r="J1025" s="35">
        <v>2.0400000000000001E-2</v>
      </c>
      <c r="K1025" s="35">
        <v>3.1199999999999999E-2</v>
      </c>
      <c r="L1025" s="35">
        <v>1.6199999999999999E-2</v>
      </c>
      <c r="M1025" s="35">
        <v>2.53E-2</v>
      </c>
      <c r="N1025" s="35">
        <v>0.14849999999999999</v>
      </c>
      <c r="O1025" s="35">
        <v>2.2599999999999999E-2</v>
      </c>
      <c r="P1025" s="35">
        <v>0</v>
      </c>
      <c r="Q1025" s="35">
        <v>3.78E-2</v>
      </c>
      <c r="R1025" s="35">
        <v>1.8100000000000002E-2</v>
      </c>
      <c r="S1025" s="35">
        <v>4.1000000000000003E-3</v>
      </c>
      <c r="T1025" s="35">
        <v>5.04E-2</v>
      </c>
      <c r="U1025" s="35">
        <v>1.7500000000000002E-2</v>
      </c>
      <c r="V1025" s="35">
        <v>3.6200000000000003E-2</v>
      </c>
      <c r="W1025" s="35">
        <v>4.8500000000000001E-2</v>
      </c>
      <c r="X1025" s="35">
        <v>6.1600000000000002E-2</v>
      </c>
      <c r="Y1025" s="35">
        <v>2.5000000000000001E-3</v>
      </c>
      <c r="Z1025" s="4">
        <v>0</v>
      </c>
      <c r="AA1025" s="4">
        <v>6.9999999999999999E-4</v>
      </c>
      <c r="AB1025" s="4">
        <v>0</v>
      </c>
      <c r="AC1025" s="56"/>
      <c r="AD1025" s="23"/>
    </row>
    <row r="1026" spans="1:30" s="14" customFormat="1">
      <c r="A1026" s="86"/>
      <c r="B1026" s="61"/>
      <c r="C1026" s="129" t="s">
        <v>159</v>
      </c>
      <c r="D1026" s="53">
        <f t="shared" ref="D1026:AB1026" si="1682">$C1025*D1025</f>
        <v>984.92000199999995</v>
      </c>
      <c r="E1026" s="5">
        <f t="shared" si="1682"/>
        <v>8622.5818579999996</v>
      </c>
      <c r="F1026" s="5">
        <f t="shared" si="1682"/>
        <v>3559.0054060000002</v>
      </c>
      <c r="G1026" s="5">
        <f t="shared" si="1682"/>
        <v>4604.349948</v>
      </c>
      <c r="H1026" s="5">
        <f t="shared" si="1682"/>
        <v>2392.8117840000004</v>
      </c>
      <c r="I1026" s="5">
        <f t="shared" si="1682"/>
        <v>7534.9401380000008</v>
      </c>
      <c r="J1026" s="5">
        <f t="shared" si="1682"/>
        <v>1232.6606160000001</v>
      </c>
      <c r="K1026" s="5">
        <f t="shared" si="1682"/>
        <v>1885.2456479999998</v>
      </c>
      <c r="L1026" s="5">
        <f t="shared" si="1682"/>
        <v>978.87754799999993</v>
      </c>
      <c r="M1026" s="5">
        <f t="shared" si="1682"/>
        <v>1528.7408620000001</v>
      </c>
      <c r="N1026" s="5">
        <f t="shared" si="1682"/>
        <v>8973.0441900000005</v>
      </c>
      <c r="O1026" s="5">
        <f t="shared" si="1682"/>
        <v>1365.5946039999999</v>
      </c>
      <c r="P1026" s="5">
        <f t="shared" si="1682"/>
        <v>0</v>
      </c>
      <c r="Q1026" s="5">
        <f t="shared" si="1682"/>
        <v>2284.0476119999998</v>
      </c>
      <c r="R1026" s="5">
        <f t="shared" si="1682"/>
        <v>1093.6841740000002</v>
      </c>
      <c r="S1026" s="5">
        <f t="shared" si="1682"/>
        <v>247.74061400000002</v>
      </c>
      <c r="T1026" s="5">
        <f t="shared" si="1682"/>
        <v>3045.3968159999999</v>
      </c>
      <c r="U1026" s="5">
        <f t="shared" si="1682"/>
        <v>1057.4294500000001</v>
      </c>
      <c r="V1026" s="5">
        <f t="shared" si="1682"/>
        <v>2187.3683480000004</v>
      </c>
      <c r="W1026" s="5">
        <f t="shared" si="1682"/>
        <v>2930.5901900000003</v>
      </c>
      <c r="X1026" s="5">
        <f t="shared" si="1682"/>
        <v>3722.151664</v>
      </c>
      <c r="Y1026" s="5">
        <f t="shared" si="1682"/>
        <v>151.06135</v>
      </c>
      <c r="Z1026" s="5">
        <f t="shared" si="1682"/>
        <v>0</v>
      </c>
      <c r="AA1026" s="5">
        <f t="shared" si="1682"/>
        <v>42.297178000000002</v>
      </c>
      <c r="AB1026" s="5">
        <f t="shared" si="1682"/>
        <v>0</v>
      </c>
      <c r="AC1026" s="56"/>
      <c r="AD1026" s="23"/>
    </row>
    <row r="1027" spans="1:30" s="14" customFormat="1">
      <c r="A1027" s="85" t="s">
        <v>702</v>
      </c>
      <c r="B1027" s="26">
        <v>725094.5</v>
      </c>
      <c r="C1027" s="130">
        <f>ROUND(B1027/12,2)</f>
        <v>60424.54</v>
      </c>
      <c r="D1027" s="35"/>
      <c r="E1027" s="35">
        <v>0.36980000000000002</v>
      </c>
      <c r="F1027" s="35"/>
      <c r="G1027" s="35"/>
      <c r="H1027" s="35">
        <v>9.1800000000000007E-2</v>
      </c>
      <c r="I1027" s="35"/>
      <c r="J1027" s="35">
        <v>4.0000000000000002E-4</v>
      </c>
      <c r="K1027" s="35">
        <v>1E-3</v>
      </c>
      <c r="L1027" s="35"/>
      <c r="M1027" s="35"/>
      <c r="N1027" s="35">
        <v>0.40810000000000002</v>
      </c>
      <c r="O1027" s="35">
        <v>5.0000000000000001E-4</v>
      </c>
      <c r="P1027" s="35"/>
      <c r="Q1027" s="35"/>
      <c r="R1027" s="35"/>
      <c r="S1027" s="35"/>
      <c r="T1027" s="35"/>
      <c r="U1027" s="35"/>
      <c r="V1027" s="35">
        <v>0.12839999999999999</v>
      </c>
      <c r="W1027" s="35"/>
      <c r="X1027" s="35"/>
      <c r="Y1027" s="35"/>
      <c r="Z1027" s="4"/>
      <c r="AA1027" s="4"/>
      <c r="AB1027" s="4"/>
      <c r="AC1027" s="56"/>
      <c r="AD1027" s="23"/>
    </row>
    <row r="1028" spans="1:30" s="14" customFormat="1">
      <c r="A1028" s="86"/>
      <c r="B1028" s="61"/>
      <c r="C1028" s="129" t="s">
        <v>159</v>
      </c>
      <c r="D1028" s="53">
        <f t="shared" ref="D1028:AB1028" si="1683">$C1027*D1027</f>
        <v>0</v>
      </c>
      <c r="E1028" s="5">
        <f t="shared" si="1683"/>
        <v>22344.994892000002</v>
      </c>
      <c r="F1028" s="5">
        <f t="shared" si="1683"/>
        <v>0</v>
      </c>
      <c r="G1028" s="5">
        <f t="shared" si="1683"/>
        <v>0</v>
      </c>
      <c r="H1028" s="5">
        <f t="shared" si="1683"/>
        <v>5546.9727720000001</v>
      </c>
      <c r="I1028" s="5">
        <f t="shared" si="1683"/>
        <v>0</v>
      </c>
      <c r="J1028" s="5">
        <f t="shared" si="1683"/>
        <v>24.169816000000001</v>
      </c>
      <c r="K1028" s="5">
        <f t="shared" si="1683"/>
        <v>60.42454</v>
      </c>
      <c r="L1028" s="5">
        <f t="shared" si="1683"/>
        <v>0</v>
      </c>
      <c r="M1028" s="5">
        <f t="shared" si="1683"/>
        <v>0</v>
      </c>
      <c r="N1028" s="5">
        <f t="shared" si="1683"/>
        <v>24659.254774000001</v>
      </c>
      <c r="O1028" s="5">
        <f t="shared" si="1683"/>
        <v>30.21227</v>
      </c>
      <c r="P1028" s="5">
        <f t="shared" si="1683"/>
        <v>0</v>
      </c>
      <c r="Q1028" s="5">
        <f t="shared" si="1683"/>
        <v>0</v>
      </c>
      <c r="R1028" s="5">
        <f t="shared" si="1683"/>
        <v>0</v>
      </c>
      <c r="S1028" s="5">
        <f t="shared" si="1683"/>
        <v>0</v>
      </c>
      <c r="T1028" s="5">
        <f t="shared" si="1683"/>
        <v>0</v>
      </c>
      <c r="U1028" s="5">
        <f t="shared" si="1683"/>
        <v>0</v>
      </c>
      <c r="V1028" s="5">
        <f t="shared" si="1683"/>
        <v>7758.5109359999997</v>
      </c>
      <c r="W1028" s="5">
        <f t="shared" si="1683"/>
        <v>0</v>
      </c>
      <c r="X1028" s="5">
        <f t="shared" si="1683"/>
        <v>0</v>
      </c>
      <c r="Y1028" s="5">
        <f t="shared" si="1683"/>
        <v>0</v>
      </c>
      <c r="Z1028" s="5">
        <f t="shared" si="1683"/>
        <v>0</v>
      </c>
      <c r="AA1028" s="5">
        <f t="shared" si="1683"/>
        <v>0</v>
      </c>
      <c r="AB1028" s="5">
        <f t="shared" si="1683"/>
        <v>0</v>
      </c>
      <c r="AC1028" s="56"/>
      <c r="AD1028" s="23"/>
    </row>
    <row r="1029" spans="1:30" s="14" customFormat="1">
      <c r="A1029" s="13" t="s">
        <v>50</v>
      </c>
      <c r="B1029" s="27">
        <f>SUM(B851:B1028)</f>
        <v>178741711</v>
      </c>
      <c r="C1029" s="27">
        <f>SUM(C851:C1028)</f>
        <v>14895142.630000005</v>
      </c>
      <c r="D1029" s="8">
        <f>D852+D854+D856+D858+D860+D862+D864+D866+D868+D870+D872+D874+D876+D878+D880+D882+D884+D886+D888+D890+D892+D894+D896+D898+D900+D902+D904+D906+D908+D910+D912+D914+D916+D918+D920+D922+D924+D926+D928+D930+D932+D934+D936+D938+D940+D942+D944+D946+D948+D950+D952+D954+D956+D958+D960+D962+D964+D966+D968+D970+D974+D972+D976+D978+D982+D980+D984+D986+D988+D990+D992+D994+D996+D998+D1000+D1002+D1004+D1006+D1008+D1010+D1012+D1014+D1016+D1018+D1020+D1022+D1024+D1026+D1028</f>
        <v>36435.378078000002</v>
      </c>
      <c r="E1029" s="8">
        <f t="shared" ref="E1029:AB1029" si="1684">E852+E854+E856+E858+E860+E862+E864+E866+E868+E870+E872+E874+E876+E878+E880+E882+E884+E886+E888+E890+E892+E894+E896+E898+E900+E902+E904+E906+E908+E910+E912+E914+E916+E918+E920+E922+E924+E926+E928+E930+E932+E934+E936+E938+E940+E942+E944+E946+E948+E950+E952+E954+E956+E958+E960+E962+E964+E966+E968+E970+E974+E972+E976+E978+E982+E980+E984+E986+E988+E990+E992+E994+E996+E998+E1000+E1002+E1004+E1006+E1008+E1010+E1012+E1014+E1016+E1018+E1020+E1022+E1024+E1026+E1028</f>
        <v>9542763.6056720018</v>
      </c>
      <c r="F1029" s="8">
        <f t="shared" si="1684"/>
        <v>1125597.3545309999</v>
      </c>
      <c r="G1029" s="8">
        <f t="shared" si="1684"/>
        <v>1314649.0959479995</v>
      </c>
      <c r="H1029" s="8">
        <f t="shared" si="1684"/>
        <v>95295.926445999983</v>
      </c>
      <c r="I1029" s="8">
        <f t="shared" si="1684"/>
        <v>358310.44383200002</v>
      </c>
      <c r="J1029" s="8">
        <f t="shared" si="1684"/>
        <v>318582.66277700011</v>
      </c>
      <c r="K1029" s="8">
        <f t="shared" si="1684"/>
        <v>177511.22973100003</v>
      </c>
      <c r="L1029" s="8">
        <f t="shared" si="1684"/>
        <v>278405.72133099998</v>
      </c>
      <c r="M1029" s="8">
        <f t="shared" si="1684"/>
        <v>55815.691196</v>
      </c>
      <c r="N1029" s="8">
        <f t="shared" si="1684"/>
        <v>536335.21149200003</v>
      </c>
      <c r="O1029" s="8">
        <f t="shared" si="1684"/>
        <v>49877.274943999997</v>
      </c>
      <c r="P1029" s="8">
        <f t="shared" si="1684"/>
        <v>1429.0451149999999</v>
      </c>
      <c r="Q1029" s="8">
        <f t="shared" si="1684"/>
        <v>94744.354643000013</v>
      </c>
      <c r="R1029" s="8">
        <f t="shared" si="1684"/>
        <v>36419.163070000002</v>
      </c>
      <c r="S1029" s="8">
        <f t="shared" si="1684"/>
        <v>10163.164460000004</v>
      </c>
      <c r="T1029" s="8">
        <f t="shared" si="1684"/>
        <v>112226.152682</v>
      </c>
      <c r="U1029" s="8">
        <f t="shared" si="1684"/>
        <v>99177.172728999984</v>
      </c>
      <c r="V1029" s="8">
        <f t="shared" si="1684"/>
        <v>380713.81981300004</v>
      </c>
      <c r="W1029" s="8">
        <f t="shared" si="1684"/>
        <v>97366.739343999987</v>
      </c>
      <c r="X1029" s="8">
        <f t="shared" si="1684"/>
        <v>161903.64820600001</v>
      </c>
      <c r="Y1029" s="8">
        <f t="shared" si="1684"/>
        <v>6545.5905019999991</v>
      </c>
      <c r="Z1029" s="8">
        <f t="shared" si="1684"/>
        <v>1361.8145239999999</v>
      </c>
      <c r="AA1029" s="8">
        <f t="shared" si="1684"/>
        <v>3512.3689339999992</v>
      </c>
      <c r="AB1029" s="8">
        <f t="shared" si="1684"/>
        <v>0</v>
      </c>
      <c r="AC1029" s="56"/>
      <c r="AD1029" s="23"/>
    </row>
    <row r="1030" spans="1:30" s="14" customFormat="1">
      <c r="A1030" s="13"/>
      <c r="B1030" s="27"/>
      <c r="C1030" s="13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56"/>
      <c r="AD1030" s="23"/>
    </row>
    <row r="1031" spans="1:30" s="14" customFormat="1">
      <c r="A1031" s="145"/>
      <c r="B1031" s="57"/>
      <c r="C1031" s="13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56"/>
      <c r="AD1031" s="23"/>
    </row>
    <row r="1032" spans="1:30" s="14" customFormat="1" ht="15.6">
      <c r="A1032" s="70"/>
      <c r="B1032" s="62"/>
      <c r="C1032" s="13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56"/>
      <c r="AD1032" s="23"/>
    </row>
    <row r="1033" spans="1:30" s="14" customFormat="1" ht="13.8" thickBot="1">
      <c r="A1033" s="66" t="s">
        <v>126</v>
      </c>
      <c r="B1033" s="65"/>
      <c r="C1033" s="152"/>
      <c r="D1033" s="65"/>
      <c r="E1033" s="65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56"/>
      <c r="AD1033" s="23"/>
    </row>
    <row r="1034" spans="1:30" s="14" customFormat="1" ht="13.8" thickBot="1">
      <c r="A1034" s="93" t="s">
        <v>1</v>
      </c>
      <c r="B1034" s="94" t="s">
        <v>2</v>
      </c>
      <c r="C1034" s="125" t="s">
        <v>3</v>
      </c>
      <c r="D1034" s="211" t="s">
        <v>4</v>
      </c>
      <c r="E1034" s="212"/>
      <c r="F1034" s="212"/>
      <c r="G1034" s="212"/>
      <c r="H1034" s="212"/>
      <c r="I1034" s="212"/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103"/>
      <c r="AA1034" s="103"/>
      <c r="AB1034" s="103"/>
      <c r="AC1034" s="56"/>
      <c r="AD1034" s="23"/>
    </row>
    <row r="1035" spans="1:30" s="14" customFormat="1">
      <c r="A1035" s="95" t="s">
        <v>5</v>
      </c>
      <c r="B1035" s="96" t="s">
        <v>6</v>
      </c>
      <c r="C1035" s="126" t="s">
        <v>6</v>
      </c>
      <c r="D1035" s="97"/>
      <c r="E1035" s="98"/>
      <c r="F1035" s="98"/>
      <c r="G1035" s="98"/>
      <c r="H1035" s="98"/>
      <c r="I1035" s="98"/>
      <c r="J1035" s="98"/>
      <c r="K1035" s="98"/>
      <c r="L1035" s="98"/>
      <c r="M1035" s="98"/>
      <c r="N1035" s="98"/>
      <c r="O1035" s="98"/>
      <c r="P1035" s="98"/>
      <c r="Q1035" s="98"/>
      <c r="R1035" s="98"/>
      <c r="S1035" s="98"/>
      <c r="T1035" s="98"/>
      <c r="U1035" s="98"/>
      <c r="V1035" s="98"/>
      <c r="W1035" s="98"/>
      <c r="X1035" s="98"/>
      <c r="Y1035" s="99"/>
      <c r="Z1035" s="96" t="s">
        <v>7</v>
      </c>
      <c r="AA1035" s="96"/>
      <c r="AB1035" s="96"/>
      <c r="AC1035" s="56"/>
      <c r="AD1035" s="23"/>
    </row>
    <row r="1036" spans="1:30" s="14" customFormat="1">
      <c r="A1036" s="95" t="s">
        <v>8</v>
      </c>
      <c r="B1036" s="96" t="s">
        <v>9</v>
      </c>
      <c r="C1036" s="126" t="s">
        <v>9</v>
      </c>
      <c r="D1036" s="100" t="s">
        <v>10</v>
      </c>
      <c r="E1036" s="96" t="s">
        <v>11</v>
      </c>
      <c r="F1036" s="96" t="s">
        <v>12</v>
      </c>
      <c r="G1036" s="96" t="s">
        <v>13</v>
      </c>
      <c r="H1036" s="96" t="s">
        <v>14</v>
      </c>
      <c r="I1036" s="96" t="s">
        <v>15</v>
      </c>
      <c r="J1036" s="96" t="s">
        <v>16</v>
      </c>
      <c r="K1036" s="96" t="s">
        <v>17</v>
      </c>
      <c r="L1036" s="96" t="s">
        <v>18</v>
      </c>
      <c r="M1036" s="96" t="s">
        <v>19</v>
      </c>
      <c r="N1036" s="96" t="s">
        <v>20</v>
      </c>
      <c r="O1036" s="96" t="s">
        <v>169</v>
      </c>
      <c r="P1036" s="96" t="s">
        <v>21</v>
      </c>
      <c r="Q1036" s="96" t="s">
        <v>22</v>
      </c>
      <c r="R1036" s="96" t="s">
        <v>23</v>
      </c>
      <c r="S1036" s="96" t="s">
        <v>24</v>
      </c>
      <c r="T1036" s="96" t="s">
        <v>25</v>
      </c>
      <c r="U1036" s="96" t="s">
        <v>26</v>
      </c>
      <c r="V1036" s="96" t="s">
        <v>27</v>
      </c>
      <c r="W1036" s="96" t="s">
        <v>28</v>
      </c>
      <c r="X1036" s="96" t="s">
        <v>29</v>
      </c>
      <c r="Y1036" s="96" t="s">
        <v>30</v>
      </c>
      <c r="Z1036" s="96" t="s">
        <v>31</v>
      </c>
      <c r="AA1036" s="96" t="s">
        <v>484</v>
      </c>
      <c r="AB1036" s="96" t="s">
        <v>467</v>
      </c>
      <c r="AC1036" s="56"/>
      <c r="AD1036" s="23"/>
    </row>
    <row r="1037" spans="1:30" s="14" customFormat="1">
      <c r="A1037" s="95"/>
      <c r="B1037" s="96"/>
      <c r="C1037" s="126" t="s">
        <v>746</v>
      </c>
      <c r="D1037" s="101"/>
      <c r="E1037" s="102"/>
      <c r="F1037" s="102"/>
      <c r="G1037" s="102"/>
      <c r="H1037" s="102"/>
      <c r="I1037" s="102"/>
      <c r="J1037" s="102"/>
      <c r="K1037" s="102"/>
      <c r="L1037" s="102"/>
      <c r="M1037" s="102"/>
      <c r="N1037" s="102"/>
      <c r="O1037" s="102"/>
      <c r="P1037" s="102"/>
      <c r="Q1037" s="102"/>
      <c r="R1037" s="102"/>
      <c r="S1037" s="102"/>
      <c r="T1037" s="102"/>
      <c r="U1037" s="102"/>
      <c r="V1037" s="102"/>
      <c r="W1037" s="102"/>
      <c r="X1037" s="102"/>
      <c r="Y1037" s="102"/>
      <c r="Z1037" s="102"/>
      <c r="AA1037" s="102"/>
      <c r="AB1037" s="102"/>
      <c r="AC1037" s="56"/>
      <c r="AD1037" s="23"/>
    </row>
    <row r="1038" spans="1:30" s="14" customFormat="1">
      <c r="A1038" s="78" t="s">
        <v>127</v>
      </c>
      <c r="B1038" s="207">
        <v>396846</v>
      </c>
      <c r="C1038" s="130">
        <f>ROUND(B1038/12,2)</f>
        <v>33070.5</v>
      </c>
      <c r="D1038" s="4">
        <v>0.89870000000000005</v>
      </c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>
        <v>9.4799999999999995E-2</v>
      </c>
      <c r="R1038" s="4"/>
      <c r="S1038" s="4">
        <v>6.4999999999999997E-3</v>
      </c>
      <c r="T1038" s="4"/>
      <c r="U1038" s="4"/>
      <c r="V1038" s="4"/>
      <c r="W1038" s="4"/>
      <c r="X1038" s="4"/>
      <c r="Y1038" s="4"/>
      <c r="Z1038" s="4"/>
      <c r="AA1038" s="4"/>
      <c r="AB1038" s="4"/>
      <c r="AC1038" s="56"/>
      <c r="AD1038" s="23"/>
    </row>
    <row r="1039" spans="1:30" s="14" customFormat="1">
      <c r="A1039" s="79"/>
      <c r="B1039" s="9"/>
      <c r="C1039" s="130"/>
      <c r="D1039" s="5">
        <f t="shared" ref="D1039" si="1685">$C1038*D1038</f>
        <v>29720.458350000001</v>
      </c>
      <c r="E1039" s="5">
        <f t="shared" ref="E1039" si="1686">$C1038*E1038</f>
        <v>0</v>
      </c>
      <c r="F1039" s="5">
        <f t="shared" ref="F1039:AB1039" si="1687">$C1038*F1038</f>
        <v>0</v>
      </c>
      <c r="G1039" s="5">
        <f t="shared" si="1687"/>
        <v>0</v>
      </c>
      <c r="H1039" s="5">
        <f t="shared" si="1687"/>
        <v>0</v>
      </c>
      <c r="I1039" s="5">
        <f t="shared" si="1687"/>
        <v>0</v>
      </c>
      <c r="J1039" s="5">
        <f t="shared" si="1687"/>
        <v>0</v>
      </c>
      <c r="K1039" s="5">
        <f t="shared" si="1687"/>
        <v>0</v>
      </c>
      <c r="L1039" s="5">
        <f t="shared" si="1687"/>
        <v>0</v>
      </c>
      <c r="M1039" s="5">
        <f t="shared" si="1687"/>
        <v>0</v>
      </c>
      <c r="N1039" s="5">
        <f t="shared" si="1687"/>
        <v>0</v>
      </c>
      <c r="O1039" s="5">
        <f t="shared" si="1687"/>
        <v>0</v>
      </c>
      <c r="P1039" s="5">
        <f t="shared" si="1687"/>
        <v>0</v>
      </c>
      <c r="Q1039" s="5">
        <f t="shared" si="1687"/>
        <v>3135.0834</v>
      </c>
      <c r="R1039" s="5">
        <f t="shared" si="1687"/>
        <v>0</v>
      </c>
      <c r="S1039" s="5">
        <f t="shared" si="1687"/>
        <v>214.95824999999999</v>
      </c>
      <c r="T1039" s="5">
        <f t="shared" si="1687"/>
        <v>0</v>
      </c>
      <c r="U1039" s="5">
        <f t="shared" si="1687"/>
        <v>0</v>
      </c>
      <c r="V1039" s="5">
        <f t="shared" si="1687"/>
        <v>0</v>
      </c>
      <c r="W1039" s="5">
        <f t="shared" si="1687"/>
        <v>0</v>
      </c>
      <c r="X1039" s="5">
        <f t="shared" si="1687"/>
        <v>0</v>
      </c>
      <c r="Y1039" s="5">
        <f t="shared" si="1687"/>
        <v>0</v>
      </c>
      <c r="Z1039" s="5">
        <f t="shared" si="1687"/>
        <v>0</v>
      </c>
      <c r="AA1039" s="5">
        <f t="shared" si="1687"/>
        <v>0</v>
      </c>
      <c r="AB1039" s="5">
        <f t="shared" si="1687"/>
        <v>0</v>
      </c>
      <c r="AC1039" s="56"/>
      <c r="AD1039" s="23"/>
    </row>
    <row r="1040" spans="1:30" s="14" customFormat="1">
      <c r="A1040" s="78" t="s">
        <v>128</v>
      </c>
      <c r="B1040" s="207">
        <v>611403</v>
      </c>
      <c r="C1040" s="130">
        <f t="shared" ref="C1040:C1058" si="1688">ROUND(B1040/12,2)</f>
        <v>50950.25</v>
      </c>
      <c r="D1040" s="37">
        <v>0.91279999999999994</v>
      </c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  <c r="Q1040" s="37"/>
      <c r="R1040" s="37"/>
      <c r="S1040" s="37"/>
      <c r="T1040" s="37"/>
      <c r="U1040" s="37"/>
      <c r="V1040" s="37"/>
      <c r="W1040" s="37"/>
      <c r="X1040" s="37">
        <v>8.2900000000000001E-2</v>
      </c>
      <c r="Y1040" s="37">
        <v>2.3E-3</v>
      </c>
      <c r="Z1040" s="37">
        <v>2E-3</v>
      </c>
      <c r="AA1040" s="37">
        <v>0</v>
      </c>
      <c r="AB1040" s="37">
        <v>0</v>
      </c>
      <c r="AC1040" s="56"/>
      <c r="AD1040" s="23"/>
    </row>
    <row r="1041" spans="1:30" s="14" customFormat="1">
      <c r="A1041" s="79"/>
      <c r="B1041" s="9"/>
      <c r="C1041" s="130"/>
      <c r="D1041" s="36">
        <f t="shared" ref="D1041" si="1689">$C1040*D1040</f>
        <v>46507.388199999994</v>
      </c>
      <c r="E1041" s="36">
        <f t="shared" ref="E1041" si="1690">$C1040*E1040</f>
        <v>0</v>
      </c>
      <c r="F1041" s="36">
        <f t="shared" ref="F1041:AB1041" si="1691">$C1040*F1040</f>
        <v>0</v>
      </c>
      <c r="G1041" s="36">
        <f t="shared" si="1691"/>
        <v>0</v>
      </c>
      <c r="H1041" s="36">
        <f t="shared" si="1691"/>
        <v>0</v>
      </c>
      <c r="I1041" s="36">
        <f t="shared" si="1691"/>
        <v>0</v>
      </c>
      <c r="J1041" s="36">
        <f t="shared" si="1691"/>
        <v>0</v>
      </c>
      <c r="K1041" s="36">
        <f t="shared" si="1691"/>
        <v>0</v>
      </c>
      <c r="L1041" s="36">
        <f t="shared" si="1691"/>
        <v>0</v>
      </c>
      <c r="M1041" s="36">
        <f t="shared" si="1691"/>
        <v>0</v>
      </c>
      <c r="N1041" s="36">
        <f t="shared" si="1691"/>
        <v>0</v>
      </c>
      <c r="O1041" s="36">
        <f t="shared" si="1691"/>
        <v>0</v>
      </c>
      <c r="P1041" s="36">
        <f t="shared" si="1691"/>
        <v>0</v>
      </c>
      <c r="Q1041" s="36">
        <f t="shared" si="1691"/>
        <v>0</v>
      </c>
      <c r="R1041" s="36">
        <f t="shared" si="1691"/>
        <v>0</v>
      </c>
      <c r="S1041" s="36">
        <f t="shared" si="1691"/>
        <v>0</v>
      </c>
      <c r="T1041" s="36">
        <f t="shared" si="1691"/>
        <v>0</v>
      </c>
      <c r="U1041" s="36">
        <f t="shared" si="1691"/>
        <v>0</v>
      </c>
      <c r="V1041" s="36">
        <f t="shared" si="1691"/>
        <v>0</v>
      </c>
      <c r="W1041" s="36">
        <f t="shared" si="1691"/>
        <v>0</v>
      </c>
      <c r="X1041" s="36">
        <f t="shared" si="1691"/>
        <v>4223.7757250000004</v>
      </c>
      <c r="Y1041" s="36">
        <f t="shared" si="1691"/>
        <v>117.185575</v>
      </c>
      <c r="Z1041" s="36">
        <f t="shared" si="1691"/>
        <v>101.90050000000001</v>
      </c>
      <c r="AA1041" s="36">
        <f t="shared" si="1691"/>
        <v>0</v>
      </c>
      <c r="AB1041" s="36">
        <f t="shared" si="1691"/>
        <v>0</v>
      </c>
      <c r="AC1041" s="56"/>
      <c r="AD1041" s="23"/>
    </row>
    <row r="1042" spans="1:30" s="14" customFormat="1">
      <c r="A1042" s="78" t="s">
        <v>129</v>
      </c>
      <c r="B1042" s="207">
        <v>1037813</v>
      </c>
      <c r="C1042" s="130">
        <f t="shared" si="1688"/>
        <v>86484.42</v>
      </c>
      <c r="D1042" s="4">
        <v>0.65229999999999999</v>
      </c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16"/>
      <c r="P1042" s="16"/>
      <c r="Q1042" s="16">
        <v>0.25869999999999999</v>
      </c>
      <c r="R1042" s="4"/>
      <c r="S1042" s="16">
        <v>2.5499999999999998E-2</v>
      </c>
      <c r="T1042" s="4"/>
      <c r="U1042" s="4"/>
      <c r="V1042" s="4"/>
      <c r="W1042" s="4"/>
      <c r="X1042" s="16">
        <v>6.3500000000000001E-2</v>
      </c>
      <c r="Y1042" s="4"/>
      <c r="Z1042" s="4"/>
      <c r="AA1042" s="4"/>
      <c r="AB1042" s="4"/>
      <c r="AC1042" s="56"/>
      <c r="AD1042" s="23"/>
    </row>
    <row r="1043" spans="1:30" s="14" customFormat="1">
      <c r="A1043" s="80"/>
      <c r="B1043" s="8"/>
      <c r="C1043" s="130"/>
      <c r="D1043" s="5">
        <f t="shared" ref="D1043" si="1692">$C1042*D1042</f>
        <v>56413.787165999995</v>
      </c>
      <c r="E1043" s="5">
        <f t="shared" ref="E1043" si="1693">$C1042*E1042</f>
        <v>0</v>
      </c>
      <c r="F1043" s="5">
        <f t="shared" ref="F1043:AB1043" si="1694">$C1042*F1042</f>
        <v>0</v>
      </c>
      <c r="G1043" s="5">
        <f t="shared" si="1694"/>
        <v>0</v>
      </c>
      <c r="H1043" s="5">
        <f t="shared" si="1694"/>
        <v>0</v>
      </c>
      <c r="I1043" s="5">
        <f t="shared" si="1694"/>
        <v>0</v>
      </c>
      <c r="J1043" s="5">
        <f t="shared" si="1694"/>
        <v>0</v>
      </c>
      <c r="K1043" s="5">
        <f t="shared" si="1694"/>
        <v>0</v>
      </c>
      <c r="L1043" s="5">
        <f t="shared" si="1694"/>
        <v>0</v>
      </c>
      <c r="M1043" s="5">
        <f t="shared" si="1694"/>
        <v>0</v>
      </c>
      <c r="N1043" s="5">
        <f t="shared" si="1694"/>
        <v>0</v>
      </c>
      <c r="O1043" s="5">
        <f t="shared" si="1694"/>
        <v>0</v>
      </c>
      <c r="P1043" s="5">
        <f t="shared" si="1694"/>
        <v>0</v>
      </c>
      <c r="Q1043" s="5">
        <f t="shared" si="1694"/>
        <v>22373.519453999997</v>
      </c>
      <c r="R1043" s="5">
        <f t="shared" si="1694"/>
        <v>0</v>
      </c>
      <c r="S1043" s="5">
        <f t="shared" si="1694"/>
        <v>2205.3527099999997</v>
      </c>
      <c r="T1043" s="5">
        <f t="shared" si="1694"/>
        <v>0</v>
      </c>
      <c r="U1043" s="5">
        <f t="shared" si="1694"/>
        <v>0</v>
      </c>
      <c r="V1043" s="5">
        <f t="shared" si="1694"/>
        <v>0</v>
      </c>
      <c r="W1043" s="5">
        <f t="shared" si="1694"/>
        <v>0</v>
      </c>
      <c r="X1043" s="5">
        <f t="shared" si="1694"/>
        <v>5491.7606699999997</v>
      </c>
      <c r="Y1043" s="5">
        <f t="shared" si="1694"/>
        <v>0</v>
      </c>
      <c r="Z1043" s="5">
        <f t="shared" si="1694"/>
        <v>0</v>
      </c>
      <c r="AA1043" s="5">
        <f t="shared" si="1694"/>
        <v>0</v>
      </c>
      <c r="AB1043" s="5">
        <f t="shared" si="1694"/>
        <v>0</v>
      </c>
      <c r="AC1043" s="56"/>
      <c r="AD1043" s="23"/>
    </row>
    <row r="1044" spans="1:30" s="14" customFormat="1">
      <c r="A1044" s="78" t="s">
        <v>130</v>
      </c>
      <c r="B1044" s="26">
        <f>2060456/2</f>
        <v>1030228</v>
      </c>
      <c r="C1044" s="130">
        <f t="shared" si="1688"/>
        <v>85852.33</v>
      </c>
      <c r="D1044" s="35">
        <v>1.6299999999999999E-2</v>
      </c>
      <c r="E1044" s="35">
        <v>0.14269999999999999</v>
      </c>
      <c r="F1044" s="35">
        <v>5.8900000000000001E-2</v>
      </c>
      <c r="G1044" s="35">
        <v>7.6200000000000004E-2</v>
      </c>
      <c r="H1044" s="35">
        <v>3.9600000000000003E-2</v>
      </c>
      <c r="I1044" s="35">
        <v>0.12470000000000001</v>
      </c>
      <c r="J1044" s="35">
        <v>2.0400000000000001E-2</v>
      </c>
      <c r="K1044" s="35">
        <v>3.1199999999999999E-2</v>
      </c>
      <c r="L1044" s="35">
        <v>1.6199999999999999E-2</v>
      </c>
      <c r="M1044" s="35">
        <v>2.53E-2</v>
      </c>
      <c r="N1044" s="35">
        <v>0.14849999999999999</v>
      </c>
      <c r="O1044" s="35">
        <v>2.2599999999999999E-2</v>
      </c>
      <c r="P1044" s="35">
        <v>0</v>
      </c>
      <c r="Q1044" s="35">
        <v>3.78E-2</v>
      </c>
      <c r="R1044" s="35">
        <v>1.8100000000000002E-2</v>
      </c>
      <c r="S1044" s="35">
        <v>4.1000000000000003E-3</v>
      </c>
      <c r="T1044" s="35">
        <v>5.04E-2</v>
      </c>
      <c r="U1044" s="35">
        <v>1.7500000000000002E-2</v>
      </c>
      <c r="V1044" s="35">
        <v>3.6200000000000003E-2</v>
      </c>
      <c r="W1044" s="35">
        <v>4.8500000000000001E-2</v>
      </c>
      <c r="X1044" s="35">
        <v>6.1600000000000002E-2</v>
      </c>
      <c r="Y1044" s="35">
        <v>2.5000000000000001E-3</v>
      </c>
      <c r="Z1044" s="4">
        <v>0</v>
      </c>
      <c r="AA1044" s="4">
        <v>6.9999999999999999E-4</v>
      </c>
      <c r="AB1044" s="4">
        <v>0</v>
      </c>
      <c r="AC1044" s="56"/>
      <c r="AD1044" s="23"/>
    </row>
    <row r="1045" spans="1:30" s="14" customFormat="1">
      <c r="A1045" s="79"/>
      <c r="B1045" s="27"/>
      <c r="C1045" s="130"/>
      <c r="D1045" s="5">
        <f>$C1044*D1044</f>
        <v>1399.392979</v>
      </c>
      <c r="E1045" s="5">
        <f t="shared" ref="E1045" si="1695">$C1044*E1044</f>
        <v>12251.127490999999</v>
      </c>
      <c r="F1045" s="5">
        <f t="shared" ref="F1045:O1045" si="1696">$C1044*F1044</f>
        <v>5056.7022370000004</v>
      </c>
      <c r="G1045" s="5">
        <f t="shared" si="1696"/>
        <v>6541.9475460000003</v>
      </c>
      <c r="H1045" s="5">
        <f t="shared" si="1696"/>
        <v>3399.7522680000002</v>
      </c>
      <c r="I1045" s="5">
        <f t="shared" si="1696"/>
        <v>10705.785551000001</v>
      </c>
      <c r="J1045" s="5">
        <f t="shared" si="1696"/>
        <v>1751.3875320000002</v>
      </c>
      <c r="K1045" s="5">
        <f t="shared" si="1696"/>
        <v>2678.5926959999997</v>
      </c>
      <c r="L1045" s="5">
        <f t="shared" si="1696"/>
        <v>1390.807746</v>
      </c>
      <c r="M1045" s="5">
        <f t="shared" si="1696"/>
        <v>2172.0639489999999</v>
      </c>
      <c r="N1045" s="5">
        <f t="shared" si="1696"/>
        <v>12749.071005</v>
      </c>
      <c r="O1045" s="5">
        <f t="shared" si="1696"/>
        <v>1940.2626579999999</v>
      </c>
      <c r="P1045" s="5">
        <f t="shared" ref="P1045" si="1697">$C1044*P1044</f>
        <v>0</v>
      </c>
      <c r="Q1045" s="5">
        <f t="shared" ref="Q1045" si="1698">$C1044*Q1044</f>
        <v>3245.2180739999999</v>
      </c>
      <c r="R1045" s="5">
        <f t="shared" ref="R1045:AB1045" si="1699">$C1044*R1044</f>
        <v>1553.9271730000003</v>
      </c>
      <c r="S1045" s="5">
        <f t="shared" si="1699"/>
        <v>351.99455300000005</v>
      </c>
      <c r="T1045" s="5">
        <f t="shared" si="1699"/>
        <v>4326.9574320000002</v>
      </c>
      <c r="U1045" s="5">
        <f t="shared" si="1699"/>
        <v>1502.4157750000002</v>
      </c>
      <c r="V1045" s="5">
        <f t="shared" si="1699"/>
        <v>3107.8543460000005</v>
      </c>
      <c r="W1045" s="5">
        <f t="shared" si="1699"/>
        <v>4163.8380050000005</v>
      </c>
      <c r="X1045" s="5">
        <f t="shared" si="1699"/>
        <v>5288.5035280000002</v>
      </c>
      <c r="Y1045" s="5">
        <f t="shared" si="1699"/>
        <v>214.63082500000002</v>
      </c>
      <c r="Z1045" s="5">
        <f t="shared" si="1699"/>
        <v>0</v>
      </c>
      <c r="AA1045" s="5">
        <f t="shared" si="1699"/>
        <v>60.096631000000002</v>
      </c>
      <c r="AB1045" s="5">
        <f t="shared" si="1699"/>
        <v>0</v>
      </c>
      <c r="AC1045" s="56"/>
      <c r="AD1045" s="23"/>
    </row>
    <row r="1046" spans="1:30" s="14" customFormat="1">
      <c r="A1046" s="78" t="s">
        <v>447</v>
      </c>
      <c r="B1046" s="26">
        <f>2060456/2</f>
        <v>1030228</v>
      </c>
      <c r="C1046" s="130">
        <f t="shared" si="1688"/>
        <v>85852.33</v>
      </c>
      <c r="D1046" s="4">
        <v>1</v>
      </c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>
        <v>0</v>
      </c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56"/>
      <c r="AD1046" s="23"/>
    </row>
    <row r="1047" spans="1:30" s="14" customFormat="1">
      <c r="A1047" s="79"/>
      <c r="B1047" s="9"/>
      <c r="C1047" s="130"/>
      <c r="D1047" s="5">
        <f t="shared" ref="D1047" si="1700">$C1046*D1046</f>
        <v>85852.33</v>
      </c>
      <c r="E1047" s="5">
        <f t="shared" ref="E1047" si="1701">$C1046*E1046</f>
        <v>0</v>
      </c>
      <c r="F1047" s="5">
        <f t="shared" ref="F1047:O1047" si="1702">$C1046*F1046</f>
        <v>0</v>
      </c>
      <c r="G1047" s="5">
        <f t="shared" si="1702"/>
        <v>0</v>
      </c>
      <c r="H1047" s="5">
        <f t="shared" si="1702"/>
        <v>0</v>
      </c>
      <c r="I1047" s="5">
        <f t="shared" si="1702"/>
        <v>0</v>
      </c>
      <c r="J1047" s="5">
        <f t="shared" si="1702"/>
        <v>0</v>
      </c>
      <c r="K1047" s="5">
        <f t="shared" si="1702"/>
        <v>0</v>
      </c>
      <c r="L1047" s="5">
        <f t="shared" si="1702"/>
        <v>0</v>
      </c>
      <c r="M1047" s="5">
        <f t="shared" si="1702"/>
        <v>0</v>
      </c>
      <c r="N1047" s="5">
        <f t="shared" si="1702"/>
        <v>0</v>
      </c>
      <c r="O1047" s="5">
        <f t="shared" si="1702"/>
        <v>0</v>
      </c>
      <c r="P1047" s="5">
        <f t="shared" ref="P1047" si="1703">$C1046*P1046</f>
        <v>0</v>
      </c>
      <c r="Q1047" s="5">
        <f t="shared" ref="Q1047" si="1704">$C1046*Q1046</f>
        <v>0</v>
      </c>
      <c r="R1047" s="5">
        <f t="shared" ref="R1047:AB1047" si="1705">$C1046*R1046</f>
        <v>0</v>
      </c>
      <c r="S1047" s="5">
        <f t="shared" si="1705"/>
        <v>0</v>
      </c>
      <c r="T1047" s="5">
        <f t="shared" si="1705"/>
        <v>0</v>
      </c>
      <c r="U1047" s="5">
        <f t="shared" si="1705"/>
        <v>0</v>
      </c>
      <c r="V1047" s="5">
        <f t="shared" si="1705"/>
        <v>0</v>
      </c>
      <c r="W1047" s="5">
        <f t="shared" si="1705"/>
        <v>0</v>
      </c>
      <c r="X1047" s="5">
        <f t="shared" si="1705"/>
        <v>0</v>
      </c>
      <c r="Y1047" s="5">
        <f t="shared" si="1705"/>
        <v>0</v>
      </c>
      <c r="Z1047" s="5">
        <f t="shared" si="1705"/>
        <v>0</v>
      </c>
      <c r="AA1047" s="5">
        <f t="shared" si="1705"/>
        <v>0</v>
      </c>
      <c r="AB1047" s="5">
        <f t="shared" si="1705"/>
        <v>0</v>
      </c>
      <c r="AC1047" s="56"/>
      <c r="AD1047" s="23"/>
    </row>
    <row r="1048" spans="1:30" s="14" customFormat="1">
      <c r="A1048" s="78" t="s">
        <v>131</v>
      </c>
      <c r="B1048" s="207">
        <v>1469181</v>
      </c>
      <c r="C1048" s="130">
        <f>ROUND(B1048/12,2)</f>
        <v>122431.75</v>
      </c>
      <c r="D1048" s="16">
        <v>0.65229999999999999</v>
      </c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>
        <v>0.25869999999999999</v>
      </c>
      <c r="R1048" s="16"/>
      <c r="S1048" s="16">
        <v>2.5499999999999998E-2</v>
      </c>
      <c r="T1048" s="16"/>
      <c r="U1048" s="16"/>
      <c r="V1048" s="16"/>
      <c r="W1048" s="16"/>
      <c r="X1048" s="16">
        <v>6.3500000000000001E-2</v>
      </c>
      <c r="Y1048" s="16"/>
      <c r="Z1048" s="16"/>
      <c r="AA1048" s="16"/>
      <c r="AB1048" s="16"/>
      <c r="AC1048" s="56"/>
      <c r="AD1048" s="23"/>
    </row>
    <row r="1049" spans="1:30" s="14" customFormat="1">
      <c r="A1049" s="79"/>
      <c r="B1049" s="9"/>
      <c r="C1049" s="130"/>
      <c r="D1049" s="5">
        <f t="shared" ref="D1049" si="1706">$C1048*D1048</f>
        <v>79862.230524999992</v>
      </c>
      <c r="E1049" s="5">
        <f t="shared" ref="E1049" si="1707">$C1048*E1048</f>
        <v>0</v>
      </c>
      <c r="F1049" s="5">
        <f t="shared" ref="F1049:AB1049" si="1708">$C1048*F1048</f>
        <v>0</v>
      </c>
      <c r="G1049" s="5">
        <f t="shared" si="1708"/>
        <v>0</v>
      </c>
      <c r="H1049" s="5">
        <f t="shared" si="1708"/>
        <v>0</v>
      </c>
      <c r="I1049" s="5">
        <f t="shared" si="1708"/>
        <v>0</v>
      </c>
      <c r="J1049" s="5">
        <f t="shared" si="1708"/>
        <v>0</v>
      </c>
      <c r="K1049" s="5">
        <f t="shared" si="1708"/>
        <v>0</v>
      </c>
      <c r="L1049" s="5">
        <f t="shared" si="1708"/>
        <v>0</v>
      </c>
      <c r="M1049" s="5">
        <f t="shared" si="1708"/>
        <v>0</v>
      </c>
      <c r="N1049" s="5">
        <f t="shared" si="1708"/>
        <v>0</v>
      </c>
      <c r="O1049" s="5">
        <f t="shared" si="1708"/>
        <v>0</v>
      </c>
      <c r="P1049" s="5">
        <f t="shared" si="1708"/>
        <v>0</v>
      </c>
      <c r="Q1049" s="5">
        <f t="shared" si="1708"/>
        <v>31673.093724999999</v>
      </c>
      <c r="R1049" s="5">
        <f t="shared" si="1708"/>
        <v>0</v>
      </c>
      <c r="S1049" s="5">
        <f t="shared" si="1708"/>
        <v>3122.0096249999997</v>
      </c>
      <c r="T1049" s="5">
        <f t="shared" si="1708"/>
        <v>0</v>
      </c>
      <c r="U1049" s="5">
        <f t="shared" si="1708"/>
        <v>0</v>
      </c>
      <c r="V1049" s="5">
        <f t="shared" si="1708"/>
        <v>0</v>
      </c>
      <c r="W1049" s="5">
        <f t="shared" si="1708"/>
        <v>0</v>
      </c>
      <c r="X1049" s="5">
        <f t="shared" si="1708"/>
        <v>7774.4161249999997</v>
      </c>
      <c r="Y1049" s="5">
        <f t="shared" si="1708"/>
        <v>0</v>
      </c>
      <c r="Z1049" s="5">
        <f t="shared" si="1708"/>
        <v>0</v>
      </c>
      <c r="AA1049" s="5">
        <f t="shared" si="1708"/>
        <v>0</v>
      </c>
      <c r="AB1049" s="5">
        <f t="shared" si="1708"/>
        <v>0</v>
      </c>
      <c r="AC1049" s="56"/>
      <c r="AD1049" s="23"/>
    </row>
    <row r="1050" spans="1:30" s="14" customFormat="1">
      <c r="A1050" s="78" t="s">
        <v>235</v>
      </c>
      <c r="B1050" s="207">
        <v>384482</v>
      </c>
      <c r="C1050" s="130">
        <f t="shared" si="1688"/>
        <v>32040.17</v>
      </c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>
        <v>7.9000000000000008E-3</v>
      </c>
      <c r="Q1050" s="51">
        <v>0.12820000000000001</v>
      </c>
      <c r="R1050" s="51"/>
      <c r="S1050" s="51">
        <v>1.18E-2</v>
      </c>
      <c r="T1050" s="51">
        <v>0.51080000000000003</v>
      </c>
      <c r="U1050" s="51"/>
      <c r="V1050" s="51">
        <v>5.7000000000000002E-3</v>
      </c>
      <c r="W1050" s="51"/>
      <c r="X1050" s="51">
        <v>0.31459999999999999</v>
      </c>
      <c r="Y1050" s="51">
        <v>1.2500000000000001E-2</v>
      </c>
      <c r="Z1050" s="51">
        <v>8.5000000000000006E-3</v>
      </c>
      <c r="AA1050" s="51">
        <v>0</v>
      </c>
      <c r="AB1050" s="51">
        <v>0</v>
      </c>
      <c r="AC1050" s="56"/>
      <c r="AD1050" s="23"/>
    </row>
    <row r="1051" spans="1:30" s="14" customFormat="1">
      <c r="A1051" s="79"/>
      <c r="B1051" s="9"/>
      <c r="C1051" s="130"/>
      <c r="D1051" s="36">
        <f t="shared" ref="D1051" si="1709">$C1050*D1050</f>
        <v>0</v>
      </c>
      <c r="E1051" s="36">
        <f t="shared" ref="E1051" si="1710">$C1050*E1050</f>
        <v>0</v>
      </c>
      <c r="F1051" s="36">
        <f t="shared" ref="F1051:AB1051" si="1711">$C1050*F1050</f>
        <v>0</v>
      </c>
      <c r="G1051" s="36">
        <f t="shared" si="1711"/>
        <v>0</v>
      </c>
      <c r="H1051" s="36">
        <f t="shared" si="1711"/>
        <v>0</v>
      </c>
      <c r="I1051" s="36">
        <f t="shared" si="1711"/>
        <v>0</v>
      </c>
      <c r="J1051" s="36">
        <f t="shared" si="1711"/>
        <v>0</v>
      </c>
      <c r="K1051" s="36">
        <f t="shared" si="1711"/>
        <v>0</v>
      </c>
      <c r="L1051" s="36">
        <f t="shared" si="1711"/>
        <v>0</v>
      </c>
      <c r="M1051" s="36">
        <f t="shared" si="1711"/>
        <v>0</v>
      </c>
      <c r="N1051" s="36">
        <f t="shared" si="1711"/>
        <v>0</v>
      </c>
      <c r="O1051" s="36">
        <f t="shared" si="1711"/>
        <v>0</v>
      </c>
      <c r="P1051" s="36">
        <f t="shared" si="1711"/>
        <v>253.11734300000001</v>
      </c>
      <c r="Q1051" s="36">
        <f t="shared" si="1711"/>
        <v>4107.5497940000005</v>
      </c>
      <c r="R1051" s="36">
        <f t="shared" si="1711"/>
        <v>0</v>
      </c>
      <c r="S1051" s="36">
        <f t="shared" si="1711"/>
        <v>378.074006</v>
      </c>
      <c r="T1051" s="36">
        <f t="shared" si="1711"/>
        <v>16366.118836</v>
      </c>
      <c r="U1051" s="36">
        <f t="shared" si="1711"/>
        <v>0</v>
      </c>
      <c r="V1051" s="36">
        <f t="shared" si="1711"/>
        <v>182.62896899999998</v>
      </c>
      <c r="W1051" s="36">
        <f t="shared" si="1711"/>
        <v>0</v>
      </c>
      <c r="X1051" s="36">
        <f t="shared" si="1711"/>
        <v>10079.837481999999</v>
      </c>
      <c r="Y1051" s="36">
        <f t="shared" si="1711"/>
        <v>400.50212499999998</v>
      </c>
      <c r="Z1051" s="36">
        <f t="shared" si="1711"/>
        <v>272.34144500000002</v>
      </c>
      <c r="AA1051" s="36">
        <f t="shared" si="1711"/>
        <v>0</v>
      </c>
      <c r="AB1051" s="36">
        <f t="shared" si="1711"/>
        <v>0</v>
      </c>
      <c r="AC1051" s="56"/>
      <c r="AD1051" s="23"/>
    </row>
    <row r="1052" spans="1:30" s="14" customFormat="1">
      <c r="A1052" s="78" t="s">
        <v>287</v>
      </c>
      <c r="B1052" s="207">
        <v>1193506</v>
      </c>
      <c r="C1052" s="130">
        <f>ROUND(B1052/12,2)</f>
        <v>99458.83</v>
      </c>
      <c r="D1052" s="51"/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>
        <v>7.9000000000000008E-3</v>
      </c>
      <c r="Q1052" s="51">
        <v>0.12820000000000001</v>
      </c>
      <c r="R1052" s="51"/>
      <c r="S1052" s="51">
        <v>1.18E-2</v>
      </c>
      <c r="T1052" s="51">
        <v>0.51080000000000003</v>
      </c>
      <c r="U1052" s="51"/>
      <c r="V1052" s="51">
        <v>5.7000000000000002E-3</v>
      </c>
      <c r="W1052" s="51"/>
      <c r="X1052" s="51">
        <v>0.31459999999999999</v>
      </c>
      <c r="Y1052" s="51">
        <v>1.2500000000000001E-2</v>
      </c>
      <c r="Z1052" s="51">
        <v>8.5000000000000006E-3</v>
      </c>
      <c r="AA1052" s="51">
        <v>0</v>
      </c>
      <c r="AB1052" s="51">
        <v>0</v>
      </c>
      <c r="AC1052" s="56"/>
      <c r="AD1052" s="23"/>
    </row>
    <row r="1053" spans="1:30" s="14" customFormat="1">
      <c r="A1053" s="79"/>
      <c r="B1053" s="9"/>
      <c r="C1053" s="130"/>
      <c r="D1053" s="36">
        <f t="shared" ref="D1053" si="1712">$C1052*D1052</f>
        <v>0</v>
      </c>
      <c r="E1053" s="36">
        <f t="shared" ref="E1053" si="1713">$C1052*E1052</f>
        <v>0</v>
      </c>
      <c r="F1053" s="36">
        <f t="shared" ref="F1053:AB1053" si="1714">$C1052*F1052</f>
        <v>0</v>
      </c>
      <c r="G1053" s="36">
        <f t="shared" si="1714"/>
        <v>0</v>
      </c>
      <c r="H1053" s="36">
        <f t="shared" si="1714"/>
        <v>0</v>
      </c>
      <c r="I1053" s="36">
        <f t="shared" si="1714"/>
        <v>0</v>
      </c>
      <c r="J1053" s="36">
        <f t="shared" si="1714"/>
        <v>0</v>
      </c>
      <c r="K1053" s="36">
        <f t="shared" si="1714"/>
        <v>0</v>
      </c>
      <c r="L1053" s="36">
        <f t="shared" si="1714"/>
        <v>0</v>
      </c>
      <c r="M1053" s="36">
        <f t="shared" si="1714"/>
        <v>0</v>
      </c>
      <c r="N1053" s="36">
        <f t="shared" si="1714"/>
        <v>0</v>
      </c>
      <c r="O1053" s="36">
        <f t="shared" si="1714"/>
        <v>0</v>
      </c>
      <c r="P1053" s="36">
        <f t="shared" si="1714"/>
        <v>785.72475700000007</v>
      </c>
      <c r="Q1053" s="36">
        <f t="shared" si="1714"/>
        <v>12750.622006000001</v>
      </c>
      <c r="R1053" s="36">
        <f t="shared" si="1714"/>
        <v>0</v>
      </c>
      <c r="S1053" s="36">
        <f t="shared" si="1714"/>
        <v>1173.614194</v>
      </c>
      <c r="T1053" s="36">
        <f t="shared" si="1714"/>
        <v>50803.570364000007</v>
      </c>
      <c r="U1053" s="36">
        <f t="shared" si="1714"/>
        <v>0</v>
      </c>
      <c r="V1053" s="36">
        <f t="shared" si="1714"/>
        <v>566.91533100000004</v>
      </c>
      <c r="W1053" s="36">
        <f t="shared" si="1714"/>
        <v>0</v>
      </c>
      <c r="X1053" s="36">
        <f t="shared" si="1714"/>
        <v>31289.747918000001</v>
      </c>
      <c r="Y1053" s="36">
        <f t="shared" si="1714"/>
        <v>1243.2353750000002</v>
      </c>
      <c r="Z1053" s="36">
        <f t="shared" si="1714"/>
        <v>845.40005500000007</v>
      </c>
      <c r="AA1053" s="36">
        <f t="shared" si="1714"/>
        <v>0</v>
      </c>
      <c r="AB1053" s="36">
        <f t="shared" si="1714"/>
        <v>0</v>
      </c>
      <c r="AC1053" s="56"/>
      <c r="AD1053" s="23"/>
    </row>
    <row r="1054" spans="1:30" s="14" customFormat="1">
      <c r="A1054" s="78" t="s">
        <v>281</v>
      </c>
      <c r="B1054" s="207">
        <v>1427409</v>
      </c>
      <c r="C1054" s="130">
        <f t="shared" si="1688"/>
        <v>118950.75</v>
      </c>
      <c r="D1054" s="51">
        <v>0.88829999999999998</v>
      </c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>
        <v>2E-3</v>
      </c>
      <c r="Q1054" s="51">
        <v>4.7399999999999998E-2</v>
      </c>
      <c r="R1054" s="51"/>
      <c r="S1054" s="51"/>
      <c r="T1054" s="51"/>
      <c r="U1054" s="51"/>
      <c r="V1054" s="51"/>
      <c r="W1054" s="51"/>
      <c r="X1054" s="51">
        <v>5.7799999999999997E-2</v>
      </c>
      <c r="Y1054" s="51">
        <v>2.3E-3</v>
      </c>
      <c r="Z1054" s="51">
        <v>2.2000000000000001E-3</v>
      </c>
      <c r="AA1054" s="51">
        <v>0</v>
      </c>
      <c r="AB1054" s="51">
        <v>0</v>
      </c>
      <c r="AC1054" s="56"/>
      <c r="AD1054" s="23"/>
    </row>
    <row r="1055" spans="1:30" s="14" customFormat="1">
      <c r="A1055" s="79"/>
      <c r="B1055" s="9"/>
      <c r="C1055" s="130"/>
      <c r="D1055" s="36">
        <f t="shared" ref="D1055" si="1715">$C1054*D1054</f>
        <v>105663.951225</v>
      </c>
      <c r="E1055" s="36">
        <f t="shared" ref="E1055" si="1716">$C1054*E1054</f>
        <v>0</v>
      </c>
      <c r="F1055" s="36">
        <f t="shared" ref="F1055:AB1055" si="1717">$C1054*F1054</f>
        <v>0</v>
      </c>
      <c r="G1055" s="36">
        <f t="shared" si="1717"/>
        <v>0</v>
      </c>
      <c r="H1055" s="36">
        <f t="shared" si="1717"/>
        <v>0</v>
      </c>
      <c r="I1055" s="36">
        <f t="shared" si="1717"/>
        <v>0</v>
      </c>
      <c r="J1055" s="36">
        <f t="shared" si="1717"/>
        <v>0</v>
      </c>
      <c r="K1055" s="36">
        <f t="shared" si="1717"/>
        <v>0</v>
      </c>
      <c r="L1055" s="36">
        <f t="shared" si="1717"/>
        <v>0</v>
      </c>
      <c r="M1055" s="36">
        <f t="shared" si="1717"/>
        <v>0</v>
      </c>
      <c r="N1055" s="36">
        <f t="shared" si="1717"/>
        <v>0</v>
      </c>
      <c r="O1055" s="36">
        <f t="shared" si="1717"/>
        <v>0</v>
      </c>
      <c r="P1055" s="36">
        <f t="shared" si="1717"/>
        <v>237.9015</v>
      </c>
      <c r="Q1055" s="36">
        <f t="shared" si="1717"/>
        <v>5638.2655500000001</v>
      </c>
      <c r="R1055" s="36">
        <f t="shared" si="1717"/>
        <v>0</v>
      </c>
      <c r="S1055" s="36">
        <f t="shared" si="1717"/>
        <v>0</v>
      </c>
      <c r="T1055" s="36">
        <f t="shared" si="1717"/>
        <v>0</v>
      </c>
      <c r="U1055" s="36">
        <f t="shared" si="1717"/>
        <v>0</v>
      </c>
      <c r="V1055" s="36">
        <f t="shared" si="1717"/>
        <v>0</v>
      </c>
      <c r="W1055" s="36">
        <f t="shared" si="1717"/>
        <v>0</v>
      </c>
      <c r="X1055" s="36">
        <f t="shared" si="1717"/>
        <v>6875.3533499999994</v>
      </c>
      <c r="Y1055" s="36">
        <f t="shared" si="1717"/>
        <v>273.586725</v>
      </c>
      <c r="Z1055" s="36">
        <f t="shared" si="1717"/>
        <v>261.69165000000004</v>
      </c>
      <c r="AA1055" s="36">
        <f t="shared" si="1717"/>
        <v>0</v>
      </c>
      <c r="AB1055" s="36">
        <f t="shared" si="1717"/>
        <v>0</v>
      </c>
      <c r="AC1055" s="56"/>
      <c r="AD1055" s="23"/>
    </row>
    <row r="1056" spans="1:30" s="14" customFormat="1">
      <c r="A1056" s="78" t="s">
        <v>514</v>
      </c>
      <c r="B1056" s="207">
        <v>1265988</v>
      </c>
      <c r="C1056" s="130">
        <f t="shared" si="1688"/>
        <v>105499</v>
      </c>
      <c r="D1056" s="16">
        <v>0.65229999999999999</v>
      </c>
      <c r="E1056" s="16"/>
      <c r="F1056" s="16"/>
      <c r="G1056" s="16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>
        <v>0.25869999999999999</v>
      </c>
      <c r="R1056" s="16"/>
      <c r="S1056" s="16">
        <v>2.5499999999999998E-2</v>
      </c>
      <c r="T1056" s="16"/>
      <c r="U1056" s="16"/>
      <c r="V1056" s="16"/>
      <c r="W1056" s="16"/>
      <c r="X1056" s="16">
        <v>6.3500000000000001E-2</v>
      </c>
      <c r="Y1056" s="16"/>
      <c r="Z1056" s="16"/>
      <c r="AA1056" s="16"/>
      <c r="AB1056" s="16"/>
      <c r="AC1056" s="56"/>
      <c r="AD1056" s="23"/>
    </row>
    <row r="1057" spans="1:30" s="14" customFormat="1">
      <c r="A1057" s="79"/>
      <c r="B1057" s="9"/>
      <c r="C1057" s="130"/>
      <c r="D1057" s="5">
        <f t="shared" ref="D1057" si="1718">$C1056*D1056</f>
        <v>68816.997699999993</v>
      </c>
      <c r="E1057" s="5">
        <f t="shared" ref="E1057" si="1719">$C1056*E1056</f>
        <v>0</v>
      </c>
      <c r="F1057" s="5">
        <f t="shared" ref="F1057:AB1057" si="1720">$C1056*F1056</f>
        <v>0</v>
      </c>
      <c r="G1057" s="5">
        <f t="shared" si="1720"/>
        <v>0</v>
      </c>
      <c r="H1057" s="5">
        <f t="shared" si="1720"/>
        <v>0</v>
      </c>
      <c r="I1057" s="5">
        <f t="shared" si="1720"/>
        <v>0</v>
      </c>
      <c r="J1057" s="5">
        <f t="shared" si="1720"/>
        <v>0</v>
      </c>
      <c r="K1057" s="5">
        <f t="shared" si="1720"/>
        <v>0</v>
      </c>
      <c r="L1057" s="5">
        <f t="shared" si="1720"/>
        <v>0</v>
      </c>
      <c r="M1057" s="5">
        <f t="shared" si="1720"/>
        <v>0</v>
      </c>
      <c r="N1057" s="5">
        <f t="shared" si="1720"/>
        <v>0</v>
      </c>
      <c r="O1057" s="5">
        <f t="shared" si="1720"/>
        <v>0</v>
      </c>
      <c r="P1057" s="5">
        <f t="shared" si="1720"/>
        <v>0</v>
      </c>
      <c r="Q1057" s="5">
        <f t="shared" si="1720"/>
        <v>27292.5913</v>
      </c>
      <c r="R1057" s="5">
        <f t="shared" si="1720"/>
        <v>0</v>
      </c>
      <c r="S1057" s="5">
        <f t="shared" si="1720"/>
        <v>2690.2244999999998</v>
      </c>
      <c r="T1057" s="5">
        <f t="shared" si="1720"/>
        <v>0</v>
      </c>
      <c r="U1057" s="5">
        <f t="shared" si="1720"/>
        <v>0</v>
      </c>
      <c r="V1057" s="5">
        <f t="shared" si="1720"/>
        <v>0</v>
      </c>
      <c r="W1057" s="5">
        <f t="shared" si="1720"/>
        <v>0</v>
      </c>
      <c r="X1057" s="5">
        <f t="shared" si="1720"/>
        <v>6699.1864999999998</v>
      </c>
      <c r="Y1057" s="5">
        <f t="shared" si="1720"/>
        <v>0</v>
      </c>
      <c r="Z1057" s="5">
        <f t="shared" si="1720"/>
        <v>0</v>
      </c>
      <c r="AA1057" s="5">
        <f t="shared" si="1720"/>
        <v>0</v>
      </c>
      <c r="AB1057" s="5">
        <f t="shared" si="1720"/>
        <v>0</v>
      </c>
      <c r="AC1057" s="56"/>
      <c r="AD1057" s="23"/>
    </row>
    <row r="1058" spans="1:30" s="14" customFormat="1">
      <c r="A1058" s="78" t="s">
        <v>515</v>
      </c>
      <c r="B1058" s="207">
        <v>5386</v>
      </c>
      <c r="C1058" s="130">
        <f t="shared" si="1688"/>
        <v>448.83</v>
      </c>
      <c r="D1058" s="16">
        <v>0.65229999999999999</v>
      </c>
      <c r="E1058" s="16"/>
      <c r="F1058" s="16"/>
      <c r="G1058" s="16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>
        <v>0.25869999999999999</v>
      </c>
      <c r="R1058" s="16"/>
      <c r="S1058" s="16">
        <v>2.5499999999999998E-2</v>
      </c>
      <c r="T1058" s="16"/>
      <c r="U1058" s="16"/>
      <c r="V1058" s="16"/>
      <c r="W1058" s="16"/>
      <c r="X1058" s="16">
        <v>6.3500000000000001E-2</v>
      </c>
      <c r="Y1058" s="16"/>
      <c r="Z1058" s="16"/>
      <c r="AA1058" s="16"/>
      <c r="AB1058" s="16"/>
      <c r="AC1058" s="56"/>
      <c r="AD1058" s="23"/>
    </row>
    <row r="1059" spans="1:30" s="14" customFormat="1">
      <c r="A1059" s="79"/>
      <c r="B1059" s="9"/>
      <c r="C1059" s="129"/>
      <c r="D1059" s="5">
        <f t="shared" ref="D1059" si="1721">$C1058*D1058</f>
        <v>292.77180899999996</v>
      </c>
      <c r="E1059" s="5">
        <f t="shared" ref="E1059" si="1722">$C1058*E1058</f>
        <v>0</v>
      </c>
      <c r="F1059" s="5">
        <f t="shared" ref="F1059:AB1059" si="1723">$C1058*F1058</f>
        <v>0</v>
      </c>
      <c r="G1059" s="5">
        <f t="shared" si="1723"/>
        <v>0</v>
      </c>
      <c r="H1059" s="5">
        <f t="shared" si="1723"/>
        <v>0</v>
      </c>
      <c r="I1059" s="5">
        <f t="shared" si="1723"/>
        <v>0</v>
      </c>
      <c r="J1059" s="5">
        <f t="shared" si="1723"/>
        <v>0</v>
      </c>
      <c r="K1059" s="5">
        <f t="shared" si="1723"/>
        <v>0</v>
      </c>
      <c r="L1059" s="5">
        <f t="shared" si="1723"/>
        <v>0</v>
      </c>
      <c r="M1059" s="5">
        <f t="shared" si="1723"/>
        <v>0</v>
      </c>
      <c r="N1059" s="5">
        <f t="shared" si="1723"/>
        <v>0</v>
      </c>
      <c r="O1059" s="5">
        <f t="shared" si="1723"/>
        <v>0</v>
      </c>
      <c r="P1059" s="5">
        <f t="shared" si="1723"/>
        <v>0</v>
      </c>
      <c r="Q1059" s="5">
        <f t="shared" si="1723"/>
        <v>116.11232099999999</v>
      </c>
      <c r="R1059" s="5">
        <f t="shared" si="1723"/>
        <v>0</v>
      </c>
      <c r="S1059" s="5">
        <f t="shared" si="1723"/>
        <v>11.445164999999999</v>
      </c>
      <c r="T1059" s="5">
        <f t="shared" si="1723"/>
        <v>0</v>
      </c>
      <c r="U1059" s="5">
        <f t="shared" si="1723"/>
        <v>0</v>
      </c>
      <c r="V1059" s="5">
        <f t="shared" si="1723"/>
        <v>0</v>
      </c>
      <c r="W1059" s="5">
        <f t="shared" si="1723"/>
        <v>0</v>
      </c>
      <c r="X1059" s="5">
        <f t="shared" si="1723"/>
        <v>28.500705</v>
      </c>
      <c r="Y1059" s="5">
        <f t="shared" si="1723"/>
        <v>0</v>
      </c>
      <c r="Z1059" s="5">
        <f t="shared" si="1723"/>
        <v>0</v>
      </c>
      <c r="AA1059" s="5">
        <f t="shared" si="1723"/>
        <v>0</v>
      </c>
      <c r="AB1059" s="5">
        <f t="shared" si="1723"/>
        <v>0</v>
      </c>
      <c r="AC1059" s="56"/>
      <c r="AD1059" s="23"/>
    </row>
    <row r="1060" spans="1:30" s="14" customFormat="1">
      <c r="A1060" s="13" t="s">
        <v>50</v>
      </c>
      <c r="B1060" s="6">
        <f>SUM(B1038:B1059)</f>
        <v>9852470</v>
      </c>
      <c r="C1060" s="134">
        <f>SUM(C1038:C1059)</f>
        <v>821039.15999999992</v>
      </c>
      <c r="D1060" s="6">
        <f>D1039+D1041+D1043+D1045+D1047+D1049+D1051+D1053+D1055+D1057+D1059</f>
        <v>474529.30795399996</v>
      </c>
      <c r="E1060" s="6">
        <f t="shared" ref="E1060:AB1060" si="1724">E1039+E1041+E1043+E1045+E1047+E1049+E1051+E1053+E1055+E1057+E1059</f>
        <v>12251.127490999999</v>
      </c>
      <c r="F1060" s="6">
        <f t="shared" si="1724"/>
        <v>5056.7022370000004</v>
      </c>
      <c r="G1060" s="6">
        <f t="shared" si="1724"/>
        <v>6541.9475460000003</v>
      </c>
      <c r="H1060" s="6">
        <f t="shared" si="1724"/>
        <v>3399.7522680000002</v>
      </c>
      <c r="I1060" s="6">
        <f t="shared" si="1724"/>
        <v>10705.785551000001</v>
      </c>
      <c r="J1060" s="6">
        <f t="shared" si="1724"/>
        <v>1751.3875320000002</v>
      </c>
      <c r="K1060" s="6">
        <f t="shared" si="1724"/>
        <v>2678.5926959999997</v>
      </c>
      <c r="L1060" s="6">
        <f t="shared" si="1724"/>
        <v>1390.807746</v>
      </c>
      <c r="M1060" s="6">
        <f t="shared" si="1724"/>
        <v>2172.0639489999999</v>
      </c>
      <c r="N1060" s="6">
        <f t="shared" si="1724"/>
        <v>12749.071005</v>
      </c>
      <c r="O1060" s="6">
        <f t="shared" si="1724"/>
        <v>1940.2626579999999</v>
      </c>
      <c r="P1060" s="6">
        <f t="shared" si="1724"/>
        <v>1276.7436</v>
      </c>
      <c r="Q1060" s="6">
        <f t="shared" si="1724"/>
        <v>110332.05562399999</v>
      </c>
      <c r="R1060" s="6">
        <f t="shared" si="1724"/>
        <v>1553.9271730000003</v>
      </c>
      <c r="S1060" s="6">
        <f t="shared" si="1724"/>
        <v>10147.673002999998</v>
      </c>
      <c r="T1060" s="6">
        <f t="shared" si="1724"/>
        <v>71496.646632000004</v>
      </c>
      <c r="U1060" s="6">
        <f t="shared" si="1724"/>
        <v>1502.4157750000002</v>
      </c>
      <c r="V1060" s="6">
        <f t="shared" si="1724"/>
        <v>3857.3986460000006</v>
      </c>
      <c r="W1060" s="6">
        <f t="shared" si="1724"/>
        <v>4163.8380050000005</v>
      </c>
      <c r="X1060" s="6">
        <f t="shared" si="1724"/>
        <v>77751.082002999989</v>
      </c>
      <c r="Y1060" s="6">
        <f t="shared" si="1724"/>
        <v>2249.1406250000005</v>
      </c>
      <c r="Z1060" s="6">
        <f t="shared" si="1724"/>
        <v>1481.33365</v>
      </c>
      <c r="AA1060" s="6">
        <f t="shared" si="1724"/>
        <v>60.096631000000002</v>
      </c>
      <c r="AB1060" s="6">
        <f t="shared" si="1724"/>
        <v>0</v>
      </c>
      <c r="AC1060" s="56"/>
      <c r="AD1060" s="23"/>
    </row>
    <row r="1061" spans="1:30" s="14" customFormat="1">
      <c r="A1061" s="69"/>
      <c r="B1061" s="23"/>
      <c r="C1061" s="154"/>
      <c r="AC1061" s="56"/>
      <c r="AD1061" s="23"/>
    </row>
    <row r="1062" spans="1:30" s="14" customFormat="1">
      <c r="A1062" s="69"/>
      <c r="C1062" s="154"/>
      <c r="AC1062" s="56"/>
      <c r="AD1062" s="23"/>
    </row>
    <row r="1063" spans="1:30" s="14" customFormat="1" ht="13.8" thickBot="1">
      <c r="A1063" s="66" t="s">
        <v>132</v>
      </c>
      <c r="B1063" s="65"/>
      <c r="C1063" s="152"/>
      <c r="D1063" s="65"/>
      <c r="E1063" s="65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56"/>
      <c r="AD1063" s="23"/>
    </row>
    <row r="1064" spans="1:30" s="14" customFormat="1" ht="13.8" thickBot="1">
      <c r="A1064" s="93" t="s">
        <v>1</v>
      </c>
      <c r="B1064" s="94" t="s">
        <v>2</v>
      </c>
      <c r="C1064" s="125" t="s">
        <v>3</v>
      </c>
      <c r="D1064" s="211" t="s">
        <v>4</v>
      </c>
      <c r="E1064" s="212"/>
      <c r="F1064" s="212"/>
      <c r="G1064" s="212"/>
      <c r="H1064" s="212"/>
      <c r="I1064" s="212"/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103"/>
      <c r="AA1064" s="103"/>
      <c r="AB1064" s="103"/>
      <c r="AC1064" s="56"/>
      <c r="AD1064" s="23"/>
    </row>
    <row r="1065" spans="1:30" s="14" customFormat="1">
      <c r="A1065" s="95" t="s">
        <v>5</v>
      </c>
      <c r="B1065" s="96" t="s">
        <v>6</v>
      </c>
      <c r="C1065" s="126" t="s">
        <v>6</v>
      </c>
      <c r="D1065" s="97"/>
      <c r="E1065" s="98"/>
      <c r="F1065" s="98"/>
      <c r="G1065" s="98"/>
      <c r="H1065" s="98"/>
      <c r="I1065" s="98"/>
      <c r="J1065" s="98"/>
      <c r="K1065" s="98"/>
      <c r="L1065" s="98"/>
      <c r="M1065" s="98"/>
      <c r="N1065" s="98"/>
      <c r="O1065" s="98"/>
      <c r="P1065" s="98"/>
      <c r="Q1065" s="98"/>
      <c r="R1065" s="98"/>
      <c r="S1065" s="98"/>
      <c r="T1065" s="98"/>
      <c r="U1065" s="98"/>
      <c r="V1065" s="98"/>
      <c r="W1065" s="98"/>
      <c r="X1065" s="98"/>
      <c r="Y1065" s="99"/>
      <c r="Z1065" s="96" t="s">
        <v>7</v>
      </c>
      <c r="AA1065" s="96"/>
      <c r="AB1065" s="96"/>
      <c r="AC1065" s="56"/>
      <c r="AD1065" s="23"/>
    </row>
    <row r="1066" spans="1:30" s="14" customFormat="1">
      <c r="A1066" s="95" t="s">
        <v>8</v>
      </c>
      <c r="B1066" s="96" t="s">
        <v>9</v>
      </c>
      <c r="C1066" s="126" t="s">
        <v>9</v>
      </c>
      <c r="D1066" s="100" t="s">
        <v>10</v>
      </c>
      <c r="E1066" s="96" t="s">
        <v>11</v>
      </c>
      <c r="F1066" s="96" t="s">
        <v>12</v>
      </c>
      <c r="G1066" s="96" t="s">
        <v>13</v>
      </c>
      <c r="H1066" s="96" t="s">
        <v>14</v>
      </c>
      <c r="I1066" s="96" t="s">
        <v>15</v>
      </c>
      <c r="J1066" s="96" t="s">
        <v>16</v>
      </c>
      <c r="K1066" s="96" t="s">
        <v>17</v>
      </c>
      <c r="L1066" s="96" t="s">
        <v>18</v>
      </c>
      <c r="M1066" s="96" t="s">
        <v>19</v>
      </c>
      <c r="N1066" s="96" t="s">
        <v>20</v>
      </c>
      <c r="O1066" s="96" t="s">
        <v>169</v>
      </c>
      <c r="P1066" s="96" t="s">
        <v>21</v>
      </c>
      <c r="Q1066" s="96" t="s">
        <v>22</v>
      </c>
      <c r="R1066" s="96" t="s">
        <v>23</v>
      </c>
      <c r="S1066" s="96" t="s">
        <v>24</v>
      </c>
      <c r="T1066" s="96" t="s">
        <v>25</v>
      </c>
      <c r="U1066" s="96" t="s">
        <v>26</v>
      </c>
      <c r="V1066" s="96" t="s">
        <v>27</v>
      </c>
      <c r="W1066" s="96" t="s">
        <v>28</v>
      </c>
      <c r="X1066" s="96" t="s">
        <v>29</v>
      </c>
      <c r="Y1066" s="96" t="s">
        <v>30</v>
      </c>
      <c r="Z1066" s="96" t="s">
        <v>31</v>
      </c>
      <c r="AA1066" s="96" t="s">
        <v>484</v>
      </c>
      <c r="AB1066" s="96" t="s">
        <v>467</v>
      </c>
      <c r="AC1066" s="56"/>
      <c r="AD1066" s="23"/>
    </row>
    <row r="1067" spans="1:30" s="14" customFormat="1">
      <c r="A1067" s="95"/>
      <c r="B1067" s="96"/>
      <c r="C1067" s="126" t="s">
        <v>746</v>
      </c>
      <c r="D1067" s="101"/>
      <c r="E1067" s="102"/>
      <c r="F1067" s="102"/>
      <c r="G1067" s="102"/>
      <c r="H1067" s="102"/>
      <c r="I1067" s="102"/>
      <c r="J1067" s="102"/>
      <c r="K1067" s="102"/>
      <c r="L1067" s="102"/>
      <c r="M1067" s="102"/>
      <c r="N1067" s="102"/>
      <c r="O1067" s="102"/>
      <c r="P1067" s="102"/>
      <c r="Q1067" s="102"/>
      <c r="R1067" s="102"/>
      <c r="S1067" s="102"/>
      <c r="T1067" s="102"/>
      <c r="U1067" s="102"/>
      <c r="V1067" s="102"/>
      <c r="W1067" s="102"/>
      <c r="X1067" s="102"/>
      <c r="Y1067" s="102"/>
      <c r="Z1067" s="102"/>
      <c r="AA1067" s="102"/>
      <c r="AB1067" s="102"/>
      <c r="AC1067" s="56"/>
      <c r="AD1067" s="23"/>
    </row>
    <row r="1068" spans="1:30" s="14" customFormat="1">
      <c r="A1068" s="78" t="s">
        <v>133</v>
      </c>
      <c r="B1068" s="207">
        <v>1324516</v>
      </c>
      <c r="C1068" s="130">
        <f>ROUND(B1068/12,2)</f>
        <v>110376.33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>
        <v>0.84499999999999997</v>
      </c>
      <c r="N1068" s="4"/>
      <c r="O1068" s="4"/>
      <c r="P1068" s="4"/>
      <c r="Q1068" s="4"/>
      <c r="R1068" s="4"/>
      <c r="S1068" s="4"/>
      <c r="T1068" s="4">
        <v>0.155</v>
      </c>
      <c r="U1068" s="4"/>
      <c r="V1068" s="4"/>
      <c r="W1068" s="4"/>
      <c r="X1068" s="4"/>
      <c r="Y1068" s="4"/>
      <c r="Z1068" s="4"/>
      <c r="AA1068" s="4"/>
      <c r="AB1068" s="4"/>
      <c r="AC1068" s="56"/>
      <c r="AD1068" s="23"/>
    </row>
    <row r="1069" spans="1:30" s="14" customFormat="1">
      <c r="A1069" s="79"/>
      <c r="B1069" s="9"/>
      <c r="C1069" s="130"/>
      <c r="D1069" s="5">
        <f t="shared" ref="D1069" si="1725">$C1068*D1068</f>
        <v>0</v>
      </c>
      <c r="E1069" s="5">
        <f t="shared" ref="E1069" si="1726">$C1068*E1068</f>
        <v>0</v>
      </c>
      <c r="F1069" s="5">
        <f t="shared" ref="F1069:AB1069" si="1727">$C1068*F1068</f>
        <v>0</v>
      </c>
      <c r="G1069" s="5">
        <f t="shared" si="1727"/>
        <v>0</v>
      </c>
      <c r="H1069" s="5">
        <f t="shared" si="1727"/>
        <v>0</v>
      </c>
      <c r="I1069" s="5">
        <f t="shared" si="1727"/>
        <v>0</v>
      </c>
      <c r="J1069" s="5">
        <f t="shared" si="1727"/>
        <v>0</v>
      </c>
      <c r="K1069" s="5">
        <f t="shared" si="1727"/>
        <v>0</v>
      </c>
      <c r="L1069" s="5">
        <f t="shared" si="1727"/>
        <v>0</v>
      </c>
      <c r="M1069" s="5">
        <f t="shared" si="1727"/>
        <v>93267.998850000004</v>
      </c>
      <c r="N1069" s="5">
        <f t="shared" si="1727"/>
        <v>0</v>
      </c>
      <c r="O1069" s="5">
        <f t="shared" si="1727"/>
        <v>0</v>
      </c>
      <c r="P1069" s="5">
        <f t="shared" si="1727"/>
        <v>0</v>
      </c>
      <c r="Q1069" s="5">
        <f t="shared" si="1727"/>
        <v>0</v>
      </c>
      <c r="R1069" s="5">
        <f t="shared" si="1727"/>
        <v>0</v>
      </c>
      <c r="S1069" s="5">
        <f t="shared" si="1727"/>
        <v>0</v>
      </c>
      <c r="T1069" s="5">
        <f t="shared" si="1727"/>
        <v>17108.331150000002</v>
      </c>
      <c r="U1069" s="5">
        <f t="shared" si="1727"/>
        <v>0</v>
      </c>
      <c r="V1069" s="5">
        <f t="shared" si="1727"/>
        <v>0</v>
      </c>
      <c r="W1069" s="5">
        <f t="shared" si="1727"/>
        <v>0</v>
      </c>
      <c r="X1069" s="5">
        <f t="shared" si="1727"/>
        <v>0</v>
      </c>
      <c r="Y1069" s="5">
        <f t="shared" si="1727"/>
        <v>0</v>
      </c>
      <c r="Z1069" s="5">
        <f t="shared" si="1727"/>
        <v>0</v>
      </c>
      <c r="AA1069" s="5">
        <f t="shared" si="1727"/>
        <v>0</v>
      </c>
      <c r="AB1069" s="5">
        <f t="shared" si="1727"/>
        <v>0</v>
      </c>
      <c r="AC1069" s="56"/>
      <c r="AD1069" s="23"/>
    </row>
    <row r="1070" spans="1:30" s="14" customFormat="1">
      <c r="A1070" s="78" t="s">
        <v>134</v>
      </c>
      <c r="B1070" s="26">
        <f>20767/2</f>
        <v>10383.5</v>
      </c>
      <c r="C1070" s="130">
        <f t="shared" ref="C1070:C1082" si="1728">ROUND(B1070/12,2)</f>
        <v>865.29</v>
      </c>
      <c r="D1070" s="35">
        <v>1.6299999999999999E-2</v>
      </c>
      <c r="E1070" s="35">
        <v>0.14269999999999999</v>
      </c>
      <c r="F1070" s="35">
        <v>5.8900000000000001E-2</v>
      </c>
      <c r="G1070" s="35">
        <v>7.6200000000000004E-2</v>
      </c>
      <c r="H1070" s="35">
        <v>3.9600000000000003E-2</v>
      </c>
      <c r="I1070" s="35">
        <v>0.12470000000000001</v>
      </c>
      <c r="J1070" s="35">
        <v>2.0400000000000001E-2</v>
      </c>
      <c r="K1070" s="35">
        <v>3.1199999999999999E-2</v>
      </c>
      <c r="L1070" s="35">
        <v>1.6199999999999999E-2</v>
      </c>
      <c r="M1070" s="35">
        <v>2.53E-2</v>
      </c>
      <c r="N1070" s="35">
        <v>0.14849999999999999</v>
      </c>
      <c r="O1070" s="35">
        <v>2.2599999999999999E-2</v>
      </c>
      <c r="P1070" s="35">
        <v>0</v>
      </c>
      <c r="Q1070" s="35">
        <v>3.78E-2</v>
      </c>
      <c r="R1070" s="35">
        <v>1.8100000000000002E-2</v>
      </c>
      <c r="S1070" s="35">
        <v>4.1000000000000003E-3</v>
      </c>
      <c r="T1070" s="35">
        <v>5.04E-2</v>
      </c>
      <c r="U1070" s="35">
        <v>1.7500000000000002E-2</v>
      </c>
      <c r="V1070" s="35">
        <v>3.6200000000000003E-2</v>
      </c>
      <c r="W1070" s="35">
        <v>4.8500000000000001E-2</v>
      </c>
      <c r="X1070" s="35">
        <v>6.1600000000000002E-2</v>
      </c>
      <c r="Y1070" s="35">
        <v>2.5000000000000001E-3</v>
      </c>
      <c r="Z1070" s="4">
        <v>0</v>
      </c>
      <c r="AA1070" s="4">
        <v>6.9999999999999999E-4</v>
      </c>
      <c r="AB1070" s="4">
        <v>0</v>
      </c>
      <c r="AC1070" s="56"/>
      <c r="AD1070" s="23"/>
    </row>
    <row r="1071" spans="1:30" s="14" customFormat="1">
      <c r="A1071" s="79"/>
      <c r="B1071" s="27"/>
      <c r="C1071" s="130"/>
      <c r="D1071" s="5">
        <f t="shared" ref="D1071" si="1729">$C1070*D1070</f>
        <v>14.104226999999998</v>
      </c>
      <c r="E1071" s="5">
        <f t="shared" ref="E1071" si="1730">$C1070*E1070</f>
        <v>123.47688299999999</v>
      </c>
      <c r="F1071" s="5">
        <f t="shared" ref="F1071:O1071" si="1731">$C1070*F1070</f>
        <v>50.965581</v>
      </c>
      <c r="G1071" s="5">
        <f t="shared" si="1731"/>
        <v>65.935097999999996</v>
      </c>
      <c r="H1071" s="5">
        <f t="shared" si="1731"/>
        <v>34.265484000000001</v>
      </c>
      <c r="I1071" s="5">
        <f t="shared" si="1731"/>
        <v>107.901663</v>
      </c>
      <c r="J1071" s="5">
        <f t="shared" si="1731"/>
        <v>17.651916</v>
      </c>
      <c r="K1071" s="5">
        <f t="shared" si="1731"/>
        <v>26.997047999999996</v>
      </c>
      <c r="L1071" s="5">
        <f t="shared" si="1731"/>
        <v>14.017697999999999</v>
      </c>
      <c r="M1071" s="5">
        <f t="shared" si="1731"/>
        <v>21.891836999999999</v>
      </c>
      <c r="N1071" s="5">
        <f t="shared" si="1731"/>
        <v>128.495565</v>
      </c>
      <c r="O1071" s="5">
        <f t="shared" si="1731"/>
        <v>19.555553999999997</v>
      </c>
      <c r="P1071" s="5">
        <f t="shared" ref="P1071" si="1732">$C1070*P1070</f>
        <v>0</v>
      </c>
      <c r="Q1071" s="5">
        <f t="shared" ref="Q1071" si="1733">$C1070*Q1070</f>
        <v>32.707962000000002</v>
      </c>
      <c r="R1071" s="5">
        <f t="shared" ref="R1071:AB1071" si="1734">$C1070*R1070</f>
        <v>15.661749</v>
      </c>
      <c r="S1071" s="5">
        <f t="shared" si="1734"/>
        <v>3.5476890000000001</v>
      </c>
      <c r="T1071" s="5">
        <f t="shared" si="1734"/>
        <v>43.610616</v>
      </c>
      <c r="U1071" s="5">
        <f t="shared" si="1734"/>
        <v>15.142575000000001</v>
      </c>
      <c r="V1071" s="5">
        <f t="shared" si="1734"/>
        <v>31.323498000000001</v>
      </c>
      <c r="W1071" s="5">
        <f t="shared" si="1734"/>
        <v>41.966565000000003</v>
      </c>
      <c r="X1071" s="5">
        <f t="shared" si="1734"/>
        <v>53.301864000000002</v>
      </c>
      <c r="Y1071" s="5">
        <f t="shared" si="1734"/>
        <v>2.1632250000000002</v>
      </c>
      <c r="Z1071" s="5">
        <f t="shared" si="1734"/>
        <v>0</v>
      </c>
      <c r="AA1071" s="5">
        <f t="shared" si="1734"/>
        <v>0.60570299999999999</v>
      </c>
      <c r="AB1071" s="5">
        <f t="shared" si="1734"/>
        <v>0</v>
      </c>
      <c r="AC1071" s="56"/>
      <c r="AD1071" s="23"/>
    </row>
    <row r="1072" spans="1:30" s="14" customFormat="1">
      <c r="A1072" s="78" t="s">
        <v>448</v>
      </c>
      <c r="B1072" s="26">
        <f>20767/2</f>
        <v>10383.5</v>
      </c>
      <c r="C1072" s="130">
        <f t="shared" si="1728"/>
        <v>865.29</v>
      </c>
      <c r="D1072" s="4">
        <v>0.17530000000000001</v>
      </c>
      <c r="E1072" s="4"/>
      <c r="F1072" s="4"/>
      <c r="G1072" s="4"/>
      <c r="H1072" s="4">
        <v>1.84E-2</v>
      </c>
      <c r="I1072" s="4"/>
      <c r="J1072" s="4"/>
      <c r="K1072" s="4"/>
      <c r="L1072" s="4"/>
      <c r="M1072" s="4">
        <v>0.43459999999999999</v>
      </c>
      <c r="N1072" s="4"/>
      <c r="O1072" s="4"/>
      <c r="P1072" s="4"/>
      <c r="Q1072" s="4"/>
      <c r="R1072" s="4"/>
      <c r="S1072" s="4"/>
      <c r="T1072" s="4">
        <v>0.18790000000000001</v>
      </c>
      <c r="U1072" s="4"/>
      <c r="V1072" s="4">
        <v>1.52E-2</v>
      </c>
      <c r="W1072" s="4">
        <v>0.13730000000000001</v>
      </c>
      <c r="X1072" s="4">
        <v>3.0099999999999998E-2</v>
      </c>
      <c r="Y1072" s="4">
        <v>1.1999999999999999E-3</v>
      </c>
      <c r="Z1072" s="4"/>
      <c r="AA1072" s="4"/>
      <c r="AB1072" s="4"/>
      <c r="AC1072" s="56"/>
      <c r="AD1072" s="23"/>
    </row>
    <row r="1073" spans="1:30" s="14" customFormat="1">
      <c r="A1073" s="79"/>
      <c r="B1073" s="9"/>
      <c r="C1073" s="130"/>
      <c r="D1073" s="5">
        <f t="shared" ref="D1073" si="1735">$C1072*D1072</f>
        <v>151.685337</v>
      </c>
      <c r="E1073" s="5">
        <f t="shared" ref="E1073" si="1736">$C1072*E1072</f>
        <v>0</v>
      </c>
      <c r="F1073" s="5">
        <f t="shared" ref="F1073:O1073" si="1737">$C1072*F1072</f>
        <v>0</v>
      </c>
      <c r="G1073" s="5">
        <f t="shared" si="1737"/>
        <v>0</v>
      </c>
      <c r="H1073" s="5">
        <f t="shared" si="1737"/>
        <v>15.921335999999998</v>
      </c>
      <c r="I1073" s="5">
        <f t="shared" si="1737"/>
        <v>0</v>
      </c>
      <c r="J1073" s="5">
        <f t="shared" si="1737"/>
        <v>0</v>
      </c>
      <c r="K1073" s="5">
        <f t="shared" si="1737"/>
        <v>0</v>
      </c>
      <c r="L1073" s="5">
        <f t="shared" si="1737"/>
        <v>0</v>
      </c>
      <c r="M1073" s="5">
        <f t="shared" si="1737"/>
        <v>376.05503399999998</v>
      </c>
      <c r="N1073" s="5">
        <f t="shared" si="1737"/>
        <v>0</v>
      </c>
      <c r="O1073" s="5">
        <f t="shared" si="1737"/>
        <v>0</v>
      </c>
      <c r="P1073" s="5">
        <f t="shared" ref="P1073" si="1738">$C1072*P1072</f>
        <v>0</v>
      </c>
      <c r="Q1073" s="5">
        <f t="shared" ref="Q1073" si="1739">$C1072*Q1072</f>
        <v>0</v>
      </c>
      <c r="R1073" s="5">
        <f t="shared" ref="R1073:AB1073" si="1740">$C1072*R1072</f>
        <v>0</v>
      </c>
      <c r="S1073" s="5">
        <f t="shared" si="1740"/>
        <v>0</v>
      </c>
      <c r="T1073" s="5">
        <f t="shared" si="1740"/>
        <v>162.58799100000002</v>
      </c>
      <c r="U1073" s="5">
        <f t="shared" si="1740"/>
        <v>0</v>
      </c>
      <c r="V1073" s="5">
        <f t="shared" si="1740"/>
        <v>13.152407999999999</v>
      </c>
      <c r="W1073" s="5">
        <f t="shared" si="1740"/>
        <v>118.804317</v>
      </c>
      <c r="X1073" s="5">
        <f t="shared" si="1740"/>
        <v>26.045228999999999</v>
      </c>
      <c r="Y1073" s="5">
        <f t="shared" si="1740"/>
        <v>1.0383479999999998</v>
      </c>
      <c r="Z1073" s="5">
        <f t="shared" si="1740"/>
        <v>0</v>
      </c>
      <c r="AA1073" s="5">
        <f t="shared" si="1740"/>
        <v>0</v>
      </c>
      <c r="AB1073" s="5">
        <f t="shared" si="1740"/>
        <v>0</v>
      </c>
      <c r="AC1073" s="56"/>
      <c r="AD1073" s="23"/>
    </row>
    <row r="1074" spans="1:30" s="14" customFormat="1">
      <c r="A1074" s="78" t="s">
        <v>135</v>
      </c>
      <c r="B1074" s="26">
        <f>482287/2</f>
        <v>241143.5</v>
      </c>
      <c r="C1074" s="130">
        <f t="shared" si="1728"/>
        <v>20095.29</v>
      </c>
      <c r="D1074" s="35">
        <v>1.6299999999999999E-2</v>
      </c>
      <c r="E1074" s="35">
        <v>0.14269999999999999</v>
      </c>
      <c r="F1074" s="35">
        <v>5.8900000000000001E-2</v>
      </c>
      <c r="G1074" s="35">
        <v>7.6200000000000004E-2</v>
      </c>
      <c r="H1074" s="35">
        <v>3.9600000000000003E-2</v>
      </c>
      <c r="I1074" s="35">
        <v>0.12470000000000001</v>
      </c>
      <c r="J1074" s="35">
        <v>2.0400000000000001E-2</v>
      </c>
      <c r="K1074" s="35">
        <v>3.1199999999999999E-2</v>
      </c>
      <c r="L1074" s="35">
        <v>1.6199999999999999E-2</v>
      </c>
      <c r="M1074" s="35">
        <v>2.53E-2</v>
      </c>
      <c r="N1074" s="35">
        <v>0.14849999999999999</v>
      </c>
      <c r="O1074" s="35">
        <v>2.2599999999999999E-2</v>
      </c>
      <c r="P1074" s="35">
        <v>0</v>
      </c>
      <c r="Q1074" s="35">
        <v>3.78E-2</v>
      </c>
      <c r="R1074" s="35">
        <v>1.8100000000000002E-2</v>
      </c>
      <c r="S1074" s="35">
        <v>4.1000000000000003E-3</v>
      </c>
      <c r="T1074" s="35">
        <v>5.04E-2</v>
      </c>
      <c r="U1074" s="35">
        <v>1.7500000000000002E-2</v>
      </c>
      <c r="V1074" s="35">
        <v>3.6200000000000003E-2</v>
      </c>
      <c r="W1074" s="35">
        <v>4.8500000000000001E-2</v>
      </c>
      <c r="X1074" s="35">
        <v>6.1600000000000002E-2</v>
      </c>
      <c r="Y1074" s="35">
        <v>2.5000000000000001E-3</v>
      </c>
      <c r="Z1074" s="4">
        <v>0</v>
      </c>
      <c r="AA1074" s="4">
        <v>6.9999999999999999E-4</v>
      </c>
      <c r="AB1074" s="4">
        <v>0</v>
      </c>
      <c r="AC1074" s="56"/>
      <c r="AD1074" s="23"/>
    </row>
    <row r="1075" spans="1:30" s="14" customFormat="1">
      <c r="A1075" s="79"/>
      <c r="B1075" s="27"/>
      <c r="C1075" s="130"/>
      <c r="D1075" s="5">
        <f t="shared" ref="D1075" si="1741">$C1074*D1074</f>
        <v>327.55322699999999</v>
      </c>
      <c r="E1075" s="5">
        <f t="shared" ref="E1075" si="1742">$C1074*E1074</f>
        <v>2867.5978829999999</v>
      </c>
      <c r="F1075" s="5">
        <f t="shared" ref="F1075:O1075" si="1743">$C1074*F1074</f>
        <v>1183.6125810000001</v>
      </c>
      <c r="G1075" s="5">
        <f t="shared" si="1743"/>
        <v>1531.2610980000002</v>
      </c>
      <c r="H1075" s="5">
        <f t="shared" si="1743"/>
        <v>795.77348400000005</v>
      </c>
      <c r="I1075" s="5">
        <f t="shared" si="1743"/>
        <v>2505.8826630000003</v>
      </c>
      <c r="J1075" s="5">
        <f t="shared" si="1743"/>
        <v>409.94391600000006</v>
      </c>
      <c r="K1075" s="5">
        <f t="shared" si="1743"/>
        <v>626.97304799999995</v>
      </c>
      <c r="L1075" s="5">
        <f t="shared" si="1743"/>
        <v>325.54369800000001</v>
      </c>
      <c r="M1075" s="5">
        <f t="shared" si="1743"/>
        <v>508.41083700000001</v>
      </c>
      <c r="N1075" s="5">
        <f t="shared" si="1743"/>
        <v>2984.1505649999999</v>
      </c>
      <c r="O1075" s="5">
        <f t="shared" si="1743"/>
        <v>454.15355399999999</v>
      </c>
      <c r="P1075" s="5">
        <f t="shared" ref="P1075" si="1744">$C1074*P1074</f>
        <v>0</v>
      </c>
      <c r="Q1075" s="5">
        <f t="shared" ref="Q1075" si="1745">$C1074*Q1074</f>
        <v>759.60196200000007</v>
      </c>
      <c r="R1075" s="5">
        <f t="shared" ref="R1075:AB1075" si="1746">$C1074*R1074</f>
        <v>363.72474900000003</v>
      </c>
      <c r="S1075" s="5">
        <f t="shared" si="1746"/>
        <v>82.390689000000009</v>
      </c>
      <c r="T1075" s="5">
        <f t="shared" si="1746"/>
        <v>1012.8026160000001</v>
      </c>
      <c r="U1075" s="5">
        <f t="shared" si="1746"/>
        <v>351.66757500000006</v>
      </c>
      <c r="V1075" s="5">
        <f t="shared" si="1746"/>
        <v>727.44949800000006</v>
      </c>
      <c r="W1075" s="5">
        <f t="shared" si="1746"/>
        <v>974.62156500000003</v>
      </c>
      <c r="X1075" s="5">
        <f t="shared" si="1746"/>
        <v>1237.869864</v>
      </c>
      <c r="Y1075" s="5">
        <f t="shared" si="1746"/>
        <v>50.238225</v>
      </c>
      <c r="Z1075" s="5">
        <f t="shared" si="1746"/>
        <v>0</v>
      </c>
      <c r="AA1075" s="5">
        <f t="shared" si="1746"/>
        <v>14.066703</v>
      </c>
      <c r="AB1075" s="5">
        <f t="shared" si="1746"/>
        <v>0</v>
      </c>
      <c r="AC1075" s="56"/>
      <c r="AD1075" s="23"/>
    </row>
    <row r="1076" spans="1:30" s="14" customFormat="1">
      <c r="A1076" s="78" t="s">
        <v>449</v>
      </c>
      <c r="B1076" s="26">
        <f>482287/2</f>
        <v>241143.5</v>
      </c>
      <c r="C1076" s="130">
        <f t="shared" si="1728"/>
        <v>20095.29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>
        <v>1</v>
      </c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56"/>
      <c r="AD1076" s="23"/>
    </row>
    <row r="1077" spans="1:30" s="14" customFormat="1">
      <c r="A1077" s="79"/>
      <c r="B1077" s="9"/>
      <c r="C1077" s="130"/>
      <c r="D1077" s="5">
        <f t="shared" ref="D1077" si="1747">$C1076*D1076</f>
        <v>0</v>
      </c>
      <c r="E1077" s="5">
        <f t="shared" ref="E1077" si="1748">$C1076*E1076</f>
        <v>0</v>
      </c>
      <c r="F1077" s="5">
        <f t="shared" ref="F1077:O1077" si="1749">$C1076*F1076</f>
        <v>0</v>
      </c>
      <c r="G1077" s="5">
        <f t="shared" si="1749"/>
        <v>0</v>
      </c>
      <c r="H1077" s="5">
        <f t="shared" si="1749"/>
        <v>0</v>
      </c>
      <c r="I1077" s="5">
        <f t="shared" si="1749"/>
        <v>0</v>
      </c>
      <c r="J1077" s="5">
        <f t="shared" si="1749"/>
        <v>0</v>
      </c>
      <c r="K1077" s="5">
        <f t="shared" si="1749"/>
        <v>0</v>
      </c>
      <c r="L1077" s="5">
        <f t="shared" si="1749"/>
        <v>0</v>
      </c>
      <c r="M1077" s="5">
        <f t="shared" si="1749"/>
        <v>20095.29</v>
      </c>
      <c r="N1077" s="5">
        <f t="shared" si="1749"/>
        <v>0</v>
      </c>
      <c r="O1077" s="5">
        <f t="shared" si="1749"/>
        <v>0</v>
      </c>
      <c r="P1077" s="5">
        <f t="shared" ref="P1077" si="1750">$C1076*P1076</f>
        <v>0</v>
      </c>
      <c r="Q1077" s="5">
        <f t="shared" ref="Q1077" si="1751">$C1076*Q1076</f>
        <v>0</v>
      </c>
      <c r="R1077" s="5">
        <f t="shared" ref="R1077:AB1077" si="1752">$C1076*R1076</f>
        <v>0</v>
      </c>
      <c r="S1077" s="5">
        <f t="shared" si="1752"/>
        <v>0</v>
      </c>
      <c r="T1077" s="5">
        <f t="shared" si="1752"/>
        <v>0</v>
      </c>
      <c r="U1077" s="5">
        <f t="shared" si="1752"/>
        <v>0</v>
      </c>
      <c r="V1077" s="5">
        <f t="shared" si="1752"/>
        <v>0</v>
      </c>
      <c r="W1077" s="5">
        <f t="shared" si="1752"/>
        <v>0</v>
      </c>
      <c r="X1077" s="5">
        <f t="shared" si="1752"/>
        <v>0</v>
      </c>
      <c r="Y1077" s="5">
        <f t="shared" si="1752"/>
        <v>0</v>
      </c>
      <c r="Z1077" s="5">
        <f t="shared" si="1752"/>
        <v>0</v>
      </c>
      <c r="AA1077" s="5">
        <f t="shared" si="1752"/>
        <v>0</v>
      </c>
      <c r="AB1077" s="5">
        <f t="shared" si="1752"/>
        <v>0</v>
      </c>
      <c r="AC1077" s="56"/>
      <c r="AD1077" s="23"/>
    </row>
    <row r="1078" spans="1:30" s="14" customFormat="1">
      <c r="A1078" s="78" t="s">
        <v>147</v>
      </c>
      <c r="B1078" s="207">
        <v>1036274</v>
      </c>
      <c r="C1078" s="130">
        <f t="shared" si="1728"/>
        <v>86356.17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>
        <v>0.97060000000000002</v>
      </c>
      <c r="N1078" s="4"/>
      <c r="O1078" s="4"/>
      <c r="P1078" s="4"/>
      <c r="Q1078" s="4"/>
      <c r="R1078" s="4"/>
      <c r="S1078" s="4"/>
      <c r="T1078" s="4">
        <v>2.9399999999999999E-2</v>
      </c>
      <c r="U1078" s="4"/>
      <c r="V1078" s="4"/>
      <c r="W1078" s="4"/>
      <c r="X1078" s="4"/>
      <c r="Y1078" s="4"/>
      <c r="Z1078" s="4"/>
      <c r="AA1078" s="4"/>
      <c r="AB1078" s="4"/>
      <c r="AC1078" s="56"/>
      <c r="AD1078" s="23"/>
    </row>
    <row r="1079" spans="1:30" s="14" customFormat="1">
      <c r="A1079" s="79"/>
      <c r="B1079" s="9"/>
      <c r="C1079" s="130"/>
      <c r="D1079" s="5">
        <f t="shared" ref="D1079" si="1753">$C1078*D1078</f>
        <v>0</v>
      </c>
      <c r="E1079" s="5">
        <f t="shared" ref="E1079" si="1754">$C1078*E1078</f>
        <v>0</v>
      </c>
      <c r="F1079" s="5">
        <f t="shared" ref="F1079:AB1079" si="1755">$C1078*F1078</f>
        <v>0</v>
      </c>
      <c r="G1079" s="5">
        <f t="shared" si="1755"/>
        <v>0</v>
      </c>
      <c r="H1079" s="5">
        <f t="shared" si="1755"/>
        <v>0</v>
      </c>
      <c r="I1079" s="5">
        <f t="shared" si="1755"/>
        <v>0</v>
      </c>
      <c r="J1079" s="5">
        <f t="shared" si="1755"/>
        <v>0</v>
      </c>
      <c r="K1079" s="5">
        <f t="shared" si="1755"/>
        <v>0</v>
      </c>
      <c r="L1079" s="5">
        <f t="shared" si="1755"/>
        <v>0</v>
      </c>
      <c r="M1079" s="5">
        <f t="shared" si="1755"/>
        <v>83817.298601999995</v>
      </c>
      <c r="N1079" s="5">
        <f t="shared" si="1755"/>
        <v>0</v>
      </c>
      <c r="O1079" s="5">
        <f t="shared" si="1755"/>
        <v>0</v>
      </c>
      <c r="P1079" s="5">
        <f t="shared" si="1755"/>
        <v>0</v>
      </c>
      <c r="Q1079" s="5">
        <f t="shared" si="1755"/>
        <v>0</v>
      </c>
      <c r="R1079" s="5">
        <f t="shared" si="1755"/>
        <v>0</v>
      </c>
      <c r="S1079" s="5">
        <f t="shared" si="1755"/>
        <v>0</v>
      </c>
      <c r="T1079" s="5">
        <f t="shared" si="1755"/>
        <v>2538.8713979999998</v>
      </c>
      <c r="U1079" s="5">
        <f t="shared" si="1755"/>
        <v>0</v>
      </c>
      <c r="V1079" s="5">
        <f t="shared" si="1755"/>
        <v>0</v>
      </c>
      <c r="W1079" s="5">
        <f t="shared" si="1755"/>
        <v>0</v>
      </c>
      <c r="X1079" s="5">
        <f t="shared" si="1755"/>
        <v>0</v>
      </c>
      <c r="Y1079" s="5">
        <f t="shared" si="1755"/>
        <v>0</v>
      </c>
      <c r="Z1079" s="5">
        <f t="shared" si="1755"/>
        <v>0</v>
      </c>
      <c r="AA1079" s="5">
        <f t="shared" si="1755"/>
        <v>0</v>
      </c>
      <c r="AB1079" s="5">
        <f t="shared" si="1755"/>
        <v>0</v>
      </c>
      <c r="AC1079" s="56"/>
      <c r="AD1079" s="23"/>
    </row>
    <row r="1080" spans="1:30" s="14" customFormat="1">
      <c r="A1080" s="81" t="s">
        <v>234</v>
      </c>
      <c r="B1080" s="207">
        <v>698188</v>
      </c>
      <c r="C1080" s="130">
        <f t="shared" si="1728"/>
        <v>58182.33</v>
      </c>
      <c r="D1080" s="37"/>
      <c r="E1080" s="37"/>
      <c r="F1080" s="37"/>
      <c r="G1080" s="37"/>
      <c r="H1080" s="37"/>
      <c r="I1080" s="37"/>
      <c r="J1080" s="37"/>
      <c r="K1080" s="37"/>
      <c r="L1080" s="37"/>
      <c r="M1080" s="37">
        <v>0.72060000000000002</v>
      </c>
      <c r="N1080" s="37"/>
      <c r="O1080" s="37"/>
      <c r="P1080" s="37"/>
      <c r="Q1080" s="37"/>
      <c r="R1080" s="37"/>
      <c r="S1080" s="37"/>
      <c r="T1080" s="37">
        <v>0.27939999999999998</v>
      </c>
      <c r="U1080" s="37"/>
      <c r="V1080" s="37"/>
      <c r="W1080" s="37"/>
      <c r="X1080" s="37"/>
      <c r="Y1080" s="37"/>
      <c r="Z1080" s="37"/>
      <c r="AA1080" s="37"/>
      <c r="AB1080" s="37"/>
      <c r="AC1080" s="56"/>
      <c r="AD1080" s="23"/>
    </row>
    <row r="1081" spans="1:30" s="14" customFormat="1">
      <c r="A1081" s="82"/>
      <c r="B1081" s="29"/>
      <c r="C1081" s="130"/>
      <c r="D1081" s="36">
        <f t="shared" ref="D1081" si="1756">$C1080*D1080</f>
        <v>0</v>
      </c>
      <c r="E1081" s="36">
        <f t="shared" ref="E1081" si="1757">$C1080*E1080</f>
        <v>0</v>
      </c>
      <c r="F1081" s="36">
        <f t="shared" ref="F1081:AB1081" si="1758">$C1080*F1080</f>
        <v>0</v>
      </c>
      <c r="G1081" s="36">
        <f t="shared" si="1758"/>
        <v>0</v>
      </c>
      <c r="H1081" s="36">
        <f t="shared" si="1758"/>
        <v>0</v>
      </c>
      <c r="I1081" s="36">
        <f t="shared" si="1758"/>
        <v>0</v>
      </c>
      <c r="J1081" s="36">
        <f t="shared" si="1758"/>
        <v>0</v>
      </c>
      <c r="K1081" s="36">
        <f t="shared" si="1758"/>
        <v>0</v>
      </c>
      <c r="L1081" s="36">
        <f t="shared" si="1758"/>
        <v>0</v>
      </c>
      <c r="M1081" s="36">
        <f t="shared" si="1758"/>
        <v>41926.186998000005</v>
      </c>
      <c r="N1081" s="36">
        <f t="shared" si="1758"/>
        <v>0</v>
      </c>
      <c r="O1081" s="36">
        <f t="shared" si="1758"/>
        <v>0</v>
      </c>
      <c r="P1081" s="36">
        <f t="shared" si="1758"/>
        <v>0</v>
      </c>
      <c r="Q1081" s="36">
        <f t="shared" si="1758"/>
        <v>0</v>
      </c>
      <c r="R1081" s="36">
        <f t="shared" si="1758"/>
        <v>0</v>
      </c>
      <c r="S1081" s="36">
        <f t="shared" si="1758"/>
        <v>0</v>
      </c>
      <c r="T1081" s="36">
        <f t="shared" si="1758"/>
        <v>16256.143001999999</v>
      </c>
      <c r="U1081" s="36">
        <f t="shared" si="1758"/>
        <v>0</v>
      </c>
      <c r="V1081" s="36">
        <f t="shared" si="1758"/>
        <v>0</v>
      </c>
      <c r="W1081" s="36">
        <f t="shared" si="1758"/>
        <v>0</v>
      </c>
      <c r="X1081" s="36">
        <f t="shared" si="1758"/>
        <v>0</v>
      </c>
      <c r="Y1081" s="36">
        <f t="shared" si="1758"/>
        <v>0</v>
      </c>
      <c r="Z1081" s="36">
        <f t="shared" si="1758"/>
        <v>0</v>
      </c>
      <c r="AA1081" s="36">
        <f t="shared" si="1758"/>
        <v>0</v>
      </c>
      <c r="AB1081" s="36">
        <f t="shared" si="1758"/>
        <v>0</v>
      </c>
      <c r="AC1081" s="56"/>
      <c r="AD1081" s="23"/>
    </row>
    <row r="1082" spans="1:30" s="14" customFormat="1">
      <c r="A1082" s="81" t="s">
        <v>516</v>
      </c>
      <c r="B1082" s="207">
        <v>665275</v>
      </c>
      <c r="C1082" s="130">
        <f t="shared" si="1728"/>
        <v>55439.58</v>
      </c>
      <c r="D1082" s="37">
        <v>8.0100000000000005E-2</v>
      </c>
      <c r="E1082" s="37"/>
      <c r="F1082" s="37"/>
      <c r="G1082" s="37"/>
      <c r="H1082" s="37">
        <v>1.9400000000000001E-2</v>
      </c>
      <c r="I1082" s="37"/>
      <c r="J1082" s="37"/>
      <c r="K1082" s="37"/>
      <c r="L1082" s="37"/>
      <c r="M1082" s="37">
        <v>0.12989999999999999</v>
      </c>
      <c r="N1082" s="37"/>
      <c r="O1082" s="37"/>
      <c r="P1082" s="37"/>
      <c r="Q1082" s="37">
        <v>0.13850000000000001</v>
      </c>
      <c r="R1082" s="37">
        <v>5.8799999999999998E-2</v>
      </c>
      <c r="S1082" s="37">
        <v>3.4500000000000003E-2</v>
      </c>
      <c r="T1082" s="37">
        <v>0.1762</v>
      </c>
      <c r="U1082" s="37"/>
      <c r="V1082" s="37"/>
      <c r="W1082" s="37">
        <v>0.14849999999999999</v>
      </c>
      <c r="X1082" s="37">
        <v>0.2079</v>
      </c>
      <c r="Y1082" s="37">
        <v>6.1999999999999998E-3</v>
      </c>
      <c r="Z1082" s="37"/>
      <c r="AA1082" s="37"/>
      <c r="AB1082" s="37"/>
      <c r="AC1082" s="56"/>
      <c r="AD1082" s="23"/>
    </row>
    <row r="1083" spans="1:30" s="14" customFormat="1">
      <c r="A1083" s="82"/>
      <c r="B1083" s="29"/>
      <c r="C1083" s="129"/>
      <c r="D1083" s="36">
        <f t="shared" ref="D1083" si="1759">$C1082*D1082</f>
        <v>4440.7103580000003</v>
      </c>
      <c r="E1083" s="36">
        <f t="shared" ref="E1083" si="1760">$C1082*E1082</f>
        <v>0</v>
      </c>
      <c r="F1083" s="36">
        <f t="shared" ref="F1083:AB1083" si="1761">$C1082*F1082</f>
        <v>0</v>
      </c>
      <c r="G1083" s="36">
        <f t="shared" si="1761"/>
        <v>0</v>
      </c>
      <c r="H1083" s="36">
        <f t="shared" si="1761"/>
        <v>1075.5278520000002</v>
      </c>
      <c r="I1083" s="36">
        <f t="shared" si="1761"/>
        <v>0</v>
      </c>
      <c r="J1083" s="36">
        <f t="shared" si="1761"/>
        <v>0</v>
      </c>
      <c r="K1083" s="36">
        <f t="shared" si="1761"/>
        <v>0</v>
      </c>
      <c r="L1083" s="36">
        <f t="shared" si="1761"/>
        <v>0</v>
      </c>
      <c r="M1083" s="36">
        <f t="shared" si="1761"/>
        <v>7201.6014419999992</v>
      </c>
      <c r="N1083" s="36">
        <f t="shared" si="1761"/>
        <v>0</v>
      </c>
      <c r="O1083" s="36">
        <f t="shared" si="1761"/>
        <v>0</v>
      </c>
      <c r="P1083" s="36">
        <f t="shared" si="1761"/>
        <v>0</v>
      </c>
      <c r="Q1083" s="36">
        <f t="shared" si="1761"/>
        <v>7678.3818300000012</v>
      </c>
      <c r="R1083" s="36">
        <f t="shared" si="1761"/>
        <v>3259.8473039999999</v>
      </c>
      <c r="S1083" s="36">
        <f t="shared" si="1761"/>
        <v>1912.6655100000003</v>
      </c>
      <c r="T1083" s="36">
        <f t="shared" si="1761"/>
        <v>9768.4539960000002</v>
      </c>
      <c r="U1083" s="36">
        <f t="shared" si="1761"/>
        <v>0</v>
      </c>
      <c r="V1083" s="36">
        <f t="shared" si="1761"/>
        <v>0</v>
      </c>
      <c r="W1083" s="36">
        <f t="shared" si="1761"/>
        <v>8232.7776300000005</v>
      </c>
      <c r="X1083" s="36">
        <f t="shared" si="1761"/>
        <v>11525.888682000001</v>
      </c>
      <c r="Y1083" s="36">
        <f t="shared" si="1761"/>
        <v>343.72539599999999</v>
      </c>
      <c r="Z1083" s="36">
        <f t="shared" si="1761"/>
        <v>0</v>
      </c>
      <c r="AA1083" s="36">
        <f t="shared" si="1761"/>
        <v>0</v>
      </c>
      <c r="AB1083" s="36">
        <f t="shared" si="1761"/>
        <v>0</v>
      </c>
      <c r="AC1083" s="56"/>
      <c r="AD1083" s="23"/>
    </row>
    <row r="1084" spans="1:30" s="14" customFormat="1">
      <c r="A1084" s="13" t="s">
        <v>50</v>
      </c>
      <c r="B1084" s="6">
        <f>SUM(B1068:B1082)</f>
        <v>4227307</v>
      </c>
      <c r="C1084" s="131">
        <f>SUM(C1068:C1082)</f>
        <v>352275.57</v>
      </c>
      <c r="D1084" s="6">
        <f>D1069+D1071+D1073+D1075+D1077+D1079+D1081+D1083</f>
        <v>4934.0531490000003</v>
      </c>
      <c r="E1084" s="6">
        <f t="shared" ref="E1084" si="1762">E1069+E1071+E1073+E1075+E1077+E1079+E1081+E1083</f>
        <v>2991.0747659999997</v>
      </c>
      <c r="F1084" s="6">
        <f t="shared" ref="F1084" si="1763">F1069+F1071+F1073+F1075+F1077+F1079+F1081+F1083</f>
        <v>1234.578162</v>
      </c>
      <c r="G1084" s="6">
        <f t="shared" ref="G1084:AB1084" si="1764">G1069+G1071+G1073+G1075+G1077+G1079+G1081+G1083</f>
        <v>1597.1961960000001</v>
      </c>
      <c r="H1084" s="6">
        <f t="shared" si="1764"/>
        <v>1921.4881560000003</v>
      </c>
      <c r="I1084" s="6">
        <f t="shared" si="1764"/>
        <v>2613.7843260000004</v>
      </c>
      <c r="J1084" s="6">
        <f t="shared" si="1764"/>
        <v>427.59583200000009</v>
      </c>
      <c r="K1084" s="6">
        <f t="shared" si="1764"/>
        <v>653.9700959999999</v>
      </c>
      <c r="L1084" s="6">
        <f t="shared" si="1764"/>
        <v>339.561396</v>
      </c>
      <c r="M1084" s="6">
        <f t="shared" si="1764"/>
        <v>247214.73360000004</v>
      </c>
      <c r="N1084" s="6">
        <f t="shared" si="1764"/>
        <v>3112.6461300000001</v>
      </c>
      <c r="O1084" s="6">
        <f t="shared" si="1764"/>
        <v>473.70910799999996</v>
      </c>
      <c r="P1084" s="6">
        <f t="shared" si="1764"/>
        <v>0</v>
      </c>
      <c r="Q1084" s="6">
        <f t="shared" si="1764"/>
        <v>8470.6917540000013</v>
      </c>
      <c r="R1084" s="6">
        <f t="shared" si="1764"/>
        <v>3639.2338019999997</v>
      </c>
      <c r="S1084" s="6">
        <f t="shared" si="1764"/>
        <v>1998.6038880000003</v>
      </c>
      <c r="T1084" s="6">
        <f t="shared" si="1764"/>
        <v>46890.800769000009</v>
      </c>
      <c r="U1084" s="6">
        <f t="shared" si="1764"/>
        <v>366.81015000000008</v>
      </c>
      <c r="V1084" s="6">
        <f t="shared" si="1764"/>
        <v>771.92540400000007</v>
      </c>
      <c r="W1084" s="6">
        <f t="shared" si="1764"/>
        <v>9368.1700770000007</v>
      </c>
      <c r="X1084" s="6">
        <f t="shared" si="1764"/>
        <v>12843.105639000001</v>
      </c>
      <c r="Y1084" s="6">
        <f t="shared" si="1764"/>
        <v>397.16519399999999</v>
      </c>
      <c r="Z1084" s="6">
        <f t="shared" si="1764"/>
        <v>0</v>
      </c>
      <c r="AA1084" s="6">
        <f t="shared" si="1764"/>
        <v>14.672406000000001</v>
      </c>
      <c r="AB1084" s="6">
        <f t="shared" si="1764"/>
        <v>0</v>
      </c>
      <c r="AC1084" s="56"/>
      <c r="AD1084" s="23"/>
    </row>
    <row r="1085" spans="1:30" s="14" customFormat="1">
      <c r="A1085" s="69"/>
      <c r="C1085" s="154"/>
      <c r="AC1085" s="56"/>
      <c r="AD1085" s="23"/>
    </row>
    <row r="1086" spans="1:30" s="14" customFormat="1">
      <c r="A1086" s="69"/>
      <c r="C1086" s="154"/>
      <c r="AC1086" s="56"/>
      <c r="AD1086" s="23"/>
    </row>
    <row r="1087" spans="1:30" s="14" customFormat="1" ht="13.8" thickBot="1">
      <c r="A1087" s="64" t="s">
        <v>136</v>
      </c>
      <c r="B1087" s="65"/>
      <c r="C1087" s="152"/>
      <c r="D1087" s="65"/>
      <c r="E1087" s="65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56"/>
      <c r="AD1087" s="23"/>
    </row>
    <row r="1088" spans="1:30" s="14" customFormat="1" ht="13.8" thickBot="1">
      <c r="A1088" s="93" t="s">
        <v>1</v>
      </c>
      <c r="B1088" s="94" t="s">
        <v>2</v>
      </c>
      <c r="C1088" s="125" t="s">
        <v>3</v>
      </c>
      <c r="D1088" s="211" t="s">
        <v>4</v>
      </c>
      <c r="E1088" s="212"/>
      <c r="F1088" s="212"/>
      <c r="G1088" s="212"/>
      <c r="H1088" s="212"/>
      <c r="I1088" s="212"/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103"/>
      <c r="AA1088" s="103"/>
      <c r="AB1088" s="103"/>
      <c r="AC1088" s="56"/>
      <c r="AD1088" s="23"/>
    </row>
    <row r="1089" spans="1:30" s="14" customFormat="1">
      <c r="A1089" s="95" t="s">
        <v>5</v>
      </c>
      <c r="B1089" s="96" t="s">
        <v>6</v>
      </c>
      <c r="C1089" s="126" t="s">
        <v>6</v>
      </c>
      <c r="D1089" s="97"/>
      <c r="E1089" s="98"/>
      <c r="F1089" s="98"/>
      <c r="G1089" s="98"/>
      <c r="H1089" s="98"/>
      <c r="I1089" s="98"/>
      <c r="J1089" s="98"/>
      <c r="K1089" s="98"/>
      <c r="L1089" s="98"/>
      <c r="M1089" s="98"/>
      <c r="N1089" s="98"/>
      <c r="O1089" s="98"/>
      <c r="P1089" s="98"/>
      <c r="Q1089" s="98"/>
      <c r="R1089" s="98"/>
      <c r="S1089" s="98"/>
      <c r="T1089" s="98"/>
      <c r="U1089" s="98"/>
      <c r="V1089" s="98"/>
      <c r="W1089" s="98"/>
      <c r="X1089" s="98"/>
      <c r="Y1089" s="99"/>
      <c r="Z1089" s="96" t="s">
        <v>7</v>
      </c>
      <c r="AA1089" s="96"/>
      <c r="AB1089" s="96"/>
      <c r="AC1089" s="56"/>
      <c r="AD1089" s="23"/>
    </row>
    <row r="1090" spans="1:30" s="14" customFormat="1">
      <c r="A1090" s="95" t="s">
        <v>8</v>
      </c>
      <c r="B1090" s="96" t="s">
        <v>9</v>
      </c>
      <c r="C1090" s="126" t="s">
        <v>9</v>
      </c>
      <c r="D1090" s="100" t="s">
        <v>10</v>
      </c>
      <c r="E1090" s="96" t="s">
        <v>11</v>
      </c>
      <c r="F1090" s="96" t="s">
        <v>12</v>
      </c>
      <c r="G1090" s="96" t="s">
        <v>13</v>
      </c>
      <c r="H1090" s="96" t="s">
        <v>14</v>
      </c>
      <c r="I1090" s="96" t="s">
        <v>15</v>
      </c>
      <c r="J1090" s="96" t="s">
        <v>16</v>
      </c>
      <c r="K1090" s="96" t="s">
        <v>17</v>
      </c>
      <c r="L1090" s="96" t="s">
        <v>18</v>
      </c>
      <c r="M1090" s="96" t="s">
        <v>19</v>
      </c>
      <c r="N1090" s="96" t="s">
        <v>20</v>
      </c>
      <c r="O1090" s="96" t="s">
        <v>169</v>
      </c>
      <c r="P1090" s="96" t="s">
        <v>21</v>
      </c>
      <c r="Q1090" s="96" t="s">
        <v>22</v>
      </c>
      <c r="R1090" s="96" t="s">
        <v>23</v>
      </c>
      <c r="S1090" s="96" t="s">
        <v>24</v>
      </c>
      <c r="T1090" s="96" t="s">
        <v>25</v>
      </c>
      <c r="U1090" s="96" t="s">
        <v>26</v>
      </c>
      <c r="V1090" s="96" t="s">
        <v>27</v>
      </c>
      <c r="W1090" s="96" t="s">
        <v>28</v>
      </c>
      <c r="X1090" s="96" t="s">
        <v>29</v>
      </c>
      <c r="Y1090" s="96" t="s">
        <v>30</v>
      </c>
      <c r="Z1090" s="96" t="s">
        <v>31</v>
      </c>
      <c r="AA1090" s="96" t="s">
        <v>484</v>
      </c>
      <c r="AB1090" s="96" t="s">
        <v>467</v>
      </c>
      <c r="AC1090" s="56"/>
      <c r="AD1090" s="23"/>
    </row>
    <row r="1091" spans="1:30" s="14" customFormat="1">
      <c r="A1091" s="95"/>
      <c r="B1091" s="96"/>
      <c r="C1091" s="126" t="s">
        <v>746</v>
      </c>
      <c r="D1091" s="101"/>
      <c r="E1091" s="102"/>
      <c r="F1091" s="102"/>
      <c r="G1091" s="102"/>
      <c r="H1091" s="102"/>
      <c r="I1091" s="102"/>
      <c r="J1091" s="102"/>
      <c r="K1091" s="102"/>
      <c r="L1091" s="102"/>
      <c r="M1091" s="102"/>
      <c r="N1091" s="102"/>
      <c r="O1091" s="102"/>
      <c r="P1091" s="102"/>
      <c r="Q1091" s="102"/>
      <c r="R1091" s="102"/>
      <c r="S1091" s="102"/>
      <c r="T1091" s="102"/>
      <c r="U1091" s="102"/>
      <c r="V1091" s="102"/>
      <c r="W1091" s="102"/>
      <c r="X1091" s="102"/>
      <c r="Y1091" s="102"/>
      <c r="Z1091" s="102"/>
      <c r="AA1091" s="102"/>
      <c r="AB1091" s="102"/>
      <c r="AC1091" s="56"/>
      <c r="AD1091" s="23"/>
    </row>
    <row r="1092" spans="1:30" s="14" customFormat="1">
      <c r="A1092" s="78" t="s">
        <v>137</v>
      </c>
      <c r="B1092" s="207">
        <v>1939160</v>
      </c>
      <c r="C1092" s="142">
        <f>ROUND(B1092/12,2)</f>
        <v>161596.67000000001</v>
      </c>
      <c r="D1092" s="37">
        <v>1.78E-2</v>
      </c>
      <c r="E1092" s="37"/>
      <c r="F1092" s="37"/>
      <c r="G1092" s="37"/>
      <c r="H1092" s="37">
        <v>0.26519999999999999</v>
      </c>
      <c r="I1092" s="37"/>
      <c r="J1092" s="37"/>
      <c r="K1092" s="37"/>
      <c r="L1092" s="37"/>
      <c r="M1092" s="37">
        <v>3.2500000000000001E-2</v>
      </c>
      <c r="N1092" s="37"/>
      <c r="O1092" s="37"/>
      <c r="P1092" s="37"/>
      <c r="Q1092" s="37">
        <v>2.6700000000000002E-2</v>
      </c>
      <c r="R1092" s="37">
        <v>1.1599999999999999E-2</v>
      </c>
      <c r="S1092" s="37">
        <v>2.5000000000000001E-3</v>
      </c>
      <c r="T1092" s="37">
        <v>4.7899999999999998E-2</v>
      </c>
      <c r="U1092" s="37"/>
      <c r="V1092" s="37">
        <v>0.52459999999999996</v>
      </c>
      <c r="W1092" s="37">
        <v>3.2300000000000002E-2</v>
      </c>
      <c r="X1092" s="37">
        <v>3.8100000000000002E-2</v>
      </c>
      <c r="Y1092" s="37"/>
      <c r="Z1092" s="37">
        <v>8.0000000000000004E-4</v>
      </c>
      <c r="AA1092" s="37">
        <v>0</v>
      </c>
      <c r="AB1092" s="37">
        <v>0</v>
      </c>
      <c r="AC1092" s="56"/>
      <c r="AD1092" s="23"/>
    </row>
    <row r="1093" spans="1:30" s="14" customFormat="1">
      <c r="A1093" s="79"/>
      <c r="B1093" s="8"/>
      <c r="C1093" s="142"/>
      <c r="D1093" s="36">
        <f t="shared" ref="D1093" si="1765">$C1092*D1092</f>
        <v>2876.4207260000003</v>
      </c>
      <c r="E1093" s="36">
        <f t="shared" ref="E1093" si="1766">$C1092*E1092</f>
        <v>0</v>
      </c>
      <c r="F1093" s="36">
        <f t="shared" ref="F1093:AB1093" si="1767">$C1092*F1092</f>
        <v>0</v>
      </c>
      <c r="G1093" s="36">
        <f t="shared" si="1767"/>
        <v>0</v>
      </c>
      <c r="H1093" s="36">
        <f t="shared" si="1767"/>
        <v>42855.436884000002</v>
      </c>
      <c r="I1093" s="36">
        <f t="shared" si="1767"/>
        <v>0</v>
      </c>
      <c r="J1093" s="36">
        <f t="shared" si="1767"/>
        <v>0</v>
      </c>
      <c r="K1093" s="36">
        <f t="shared" si="1767"/>
        <v>0</v>
      </c>
      <c r="L1093" s="36">
        <f t="shared" si="1767"/>
        <v>0</v>
      </c>
      <c r="M1093" s="36">
        <f t="shared" si="1767"/>
        <v>5251.891775000001</v>
      </c>
      <c r="N1093" s="36">
        <f t="shared" si="1767"/>
        <v>0</v>
      </c>
      <c r="O1093" s="36">
        <f t="shared" si="1767"/>
        <v>0</v>
      </c>
      <c r="P1093" s="36">
        <f t="shared" si="1767"/>
        <v>0</v>
      </c>
      <c r="Q1093" s="36">
        <f t="shared" si="1767"/>
        <v>4314.6310890000004</v>
      </c>
      <c r="R1093" s="36">
        <f t="shared" si="1767"/>
        <v>1874.5213719999999</v>
      </c>
      <c r="S1093" s="36">
        <f t="shared" si="1767"/>
        <v>403.99167500000004</v>
      </c>
      <c r="T1093" s="36">
        <f t="shared" si="1767"/>
        <v>7740.480493</v>
      </c>
      <c r="U1093" s="36">
        <f t="shared" si="1767"/>
        <v>0</v>
      </c>
      <c r="V1093" s="36">
        <f t="shared" si="1767"/>
        <v>84773.613081999996</v>
      </c>
      <c r="W1093" s="36">
        <f t="shared" si="1767"/>
        <v>5219.5724410000012</v>
      </c>
      <c r="X1093" s="36">
        <f t="shared" si="1767"/>
        <v>6156.8331270000008</v>
      </c>
      <c r="Y1093" s="36">
        <f t="shared" si="1767"/>
        <v>0</v>
      </c>
      <c r="Z1093" s="36">
        <f t="shared" si="1767"/>
        <v>129.27733600000002</v>
      </c>
      <c r="AA1093" s="36">
        <f t="shared" si="1767"/>
        <v>0</v>
      </c>
      <c r="AB1093" s="36">
        <f t="shared" si="1767"/>
        <v>0</v>
      </c>
      <c r="AC1093" s="56"/>
      <c r="AD1093" s="23"/>
    </row>
    <row r="1094" spans="1:30" s="14" customFormat="1">
      <c r="A1094" s="78" t="s">
        <v>138</v>
      </c>
      <c r="B1094" s="26">
        <f>182866/2</f>
        <v>91433</v>
      </c>
      <c r="C1094" s="142">
        <f t="shared" ref="C1094:C1130" si="1768">ROUND(B1094/12,2)</f>
        <v>7619.42</v>
      </c>
      <c r="D1094" s="35">
        <v>1.6299999999999999E-2</v>
      </c>
      <c r="E1094" s="35">
        <v>0.14269999999999999</v>
      </c>
      <c r="F1094" s="35">
        <v>5.8900000000000001E-2</v>
      </c>
      <c r="G1094" s="35">
        <v>7.6200000000000004E-2</v>
      </c>
      <c r="H1094" s="35">
        <v>3.9600000000000003E-2</v>
      </c>
      <c r="I1094" s="35">
        <v>0.12470000000000001</v>
      </c>
      <c r="J1094" s="35">
        <v>2.0400000000000001E-2</v>
      </c>
      <c r="K1094" s="35">
        <v>3.1199999999999999E-2</v>
      </c>
      <c r="L1094" s="35">
        <v>1.6199999999999999E-2</v>
      </c>
      <c r="M1094" s="35">
        <v>2.53E-2</v>
      </c>
      <c r="N1094" s="35">
        <v>0.14849999999999999</v>
      </c>
      <c r="O1094" s="35">
        <v>2.2599999999999999E-2</v>
      </c>
      <c r="P1094" s="35">
        <v>0</v>
      </c>
      <c r="Q1094" s="35">
        <v>3.78E-2</v>
      </c>
      <c r="R1094" s="35">
        <v>1.8100000000000002E-2</v>
      </c>
      <c r="S1094" s="35">
        <v>4.1000000000000003E-3</v>
      </c>
      <c r="T1094" s="35">
        <v>5.04E-2</v>
      </c>
      <c r="U1094" s="35">
        <v>1.7500000000000002E-2</v>
      </c>
      <c r="V1094" s="35">
        <v>3.6200000000000003E-2</v>
      </c>
      <c r="W1094" s="35">
        <v>4.8500000000000001E-2</v>
      </c>
      <c r="X1094" s="35">
        <v>6.1600000000000002E-2</v>
      </c>
      <c r="Y1094" s="35">
        <v>2.5000000000000001E-3</v>
      </c>
      <c r="Z1094" s="4">
        <v>0</v>
      </c>
      <c r="AA1094" s="4">
        <v>6.9999999999999999E-4</v>
      </c>
      <c r="AB1094" s="4">
        <v>0</v>
      </c>
      <c r="AC1094" s="56"/>
      <c r="AD1094" s="23"/>
    </row>
    <row r="1095" spans="1:30" s="14" customFormat="1">
      <c r="A1095" s="79"/>
      <c r="B1095" s="27"/>
      <c r="C1095" s="142"/>
      <c r="D1095" s="5">
        <f t="shared" ref="D1095" si="1769">$C1094*D1094</f>
        <v>124.19654599999998</v>
      </c>
      <c r="E1095" s="5">
        <f t="shared" ref="E1095" si="1770">$C1094*E1094</f>
        <v>1087.291234</v>
      </c>
      <c r="F1095" s="5">
        <f t="shared" ref="F1095:O1095" si="1771">$C1094*F1094</f>
        <v>448.783838</v>
      </c>
      <c r="G1095" s="5">
        <f t="shared" si="1771"/>
        <v>580.59980400000006</v>
      </c>
      <c r="H1095" s="5">
        <f t="shared" si="1771"/>
        <v>301.72903200000002</v>
      </c>
      <c r="I1095" s="5">
        <f t="shared" si="1771"/>
        <v>950.14167400000008</v>
      </c>
      <c r="J1095" s="5">
        <f t="shared" si="1771"/>
        <v>155.43616800000001</v>
      </c>
      <c r="K1095" s="5">
        <f t="shared" si="1771"/>
        <v>237.72590399999999</v>
      </c>
      <c r="L1095" s="5">
        <f t="shared" si="1771"/>
        <v>123.43460399999999</v>
      </c>
      <c r="M1095" s="5">
        <f t="shared" si="1771"/>
        <v>192.77132599999999</v>
      </c>
      <c r="N1095" s="5">
        <f t="shared" si="1771"/>
        <v>1131.48387</v>
      </c>
      <c r="O1095" s="5">
        <f t="shared" si="1771"/>
        <v>172.198892</v>
      </c>
      <c r="P1095" s="5">
        <f t="shared" ref="P1095" si="1772">$C1094*P1094</f>
        <v>0</v>
      </c>
      <c r="Q1095" s="5">
        <f t="shared" ref="Q1095" si="1773">$C1094*Q1094</f>
        <v>288.01407599999999</v>
      </c>
      <c r="R1095" s="5">
        <f t="shared" ref="R1095:AB1095" si="1774">$C1094*R1094</f>
        <v>137.91150200000001</v>
      </c>
      <c r="S1095" s="5">
        <f t="shared" si="1774"/>
        <v>31.239622000000004</v>
      </c>
      <c r="T1095" s="5">
        <f t="shared" si="1774"/>
        <v>384.01876800000002</v>
      </c>
      <c r="U1095" s="5">
        <f t="shared" si="1774"/>
        <v>133.33985000000001</v>
      </c>
      <c r="V1095" s="5">
        <f t="shared" si="1774"/>
        <v>275.82300400000003</v>
      </c>
      <c r="W1095" s="5">
        <f t="shared" si="1774"/>
        <v>369.54187000000002</v>
      </c>
      <c r="X1095" s="5">
        <f t="shared" si="1774"/>
        <v>469.35627200000005</v>
      </c>
      <c r="Y1095" s="5">
        <f t="shared" si="1774"/>
        <v>19.048550000000002</v>
      </c>
      <c r="Z1095" s="5">
        <f t="shared" si="1774"/>
        <v>0</v>
      </c>
      <c r="AA1095" s="5">
        <f t="shared" si="1774"/>
        <v>5.3335939999999997</v>
      </c>
      <c r="AB1095" s="5">
        <f t="shared" si="1774"/>
        <v>0</v>
      </c>
      <c r="AC1095" s="56"/>
      <c r="AD1095" s="23"/>
    </row>
    <row r="1096" spans="1:30" s="14" customFormat="1">
      <c r="A1096" s="78" t="s">
        <v>450</v>
      </c>
      <c r="B1096" s="26">
        <f>182866/2</f>
        <v>91433</v>
      </c>
      <c r="C1096" s="142">
        <f t="shared" si="1768"/>
        <v>7619.42</v>
      </c>
      <c r="D1096" s="4">
        <v>3.9399999999999998E-2</v>
      </c>
      <c r="E1096" s="4"/>
      <c r="F1096" s="4">
        <v>3.3E-3</v>
      </c>
      <c r="G1096" s="4"/>
      <c r="H1096" s="4">
        <v>0.34539999999999998</v>
      </c>
      <c r="I1096" s="4"/>
      <c r="J1096" s="4"/>
      <c r="K1096" s="4"/>
      <c r="L1096" s="4"/>
      <c r="M1096" s="4">
        <v>0.1469</v>
      </c>
      <c r="N1096" s="4">
        <v>3.0000000000000001E-3</v>
      </c>
      <c r="O1096" s="4"/>
      <c r="P1096" s="4"/>
      <c r="Q1096" s="4">
        <v>9.4299999999999995E-2</v>
      </c>
      <c r="R1096" s="4">
        <v>2.1600000000000001E-2</v>
      </c>
      <c r="S1096" s="4">
        <v>8.9999999999999993E-3</v>
      </c>
      <c r="T1096" s="4">
        <v>0.1052</v>
      </c>
      <c r="U1096" s="4"/>
      <c r="V1096" s="4">
        <v>2.4400000000000002E-2</v>
      </c>
      <c r="W1096" s="4">
        <v>5.5E-2</v>
      </c>
      <c r="X1096" s="4">
        <v>0.14710000000000001</v>
      </c>
      <c r="Y1096" s="4">
        <v>5.4000000000000003E-3</v>
      </c>
      <c r="Z1096" s="4"/>
      <c r="AA1096" s="4"/>
      <c r="AB1096" s="4"/>
      <c r="AC1096" s="56"/>
      <c r="AD1096" s="23"/>
    </row>
    <row r="1097" spans="1:30" s="14" customFormat="1">
      <c r="A1097" s="79"/>
      <c r="B1097" s="9"/>
      <c r="C1097" s="142"/>
      <c r="D1097" s="5">
        <f t="shared" ref="D1097" si="1775">$C1096*D1096</f>
        <v>300.20514800000001</v>
      </c>
      <c r="E1097" s="5">
        <f t="shared" ref="E1097" si="1776">$C1096*E1096</f>
        <v>0</v>
      </c>
      <c r="F1097" s="5">
        <f t="shared" ref="F1097:O1097" si="1777">$C1096*F1096</f>
        <v>25.144086000000001</v>
      </c>
      <c r="G1097" s="5">
        <f t="shared" si="1777"/>
        <v>0</v>
      </c>
      <c r="H1097" s="5">
        <f t="shared" si="1777"/>
        <v>2631.747668</v>
      </c>
      <c r="I1097" s="5">
        <f t="shared" si="1777"/>
        <v>0</v>
      </c>
      <c r="J1097" s="5">
        <f t="shared" si="1777"/>
        <v>0</v>
      </c>
      <c r="K1097" s="5">
        <f t="shared" si="1777"/>
        <v>0</v>
      </c>
      <c r="L1097" s="5">
        <f t="shared" si="1777"/>
        <v>0</v>
      </c>
      <c r="M1097" s="5">
        <f t="shared" si="1777"/>
        <v>1119.2927979999999</v>
      </c>
      <c r="N1097" s="5">
        <f t="shared" si="1777"/>
        <v>22.858260000000001</v>
      </c>
      <c r="O1097" s="5">
        <f t="shared" si="1777"/>
        <v>0</v>
      </c>
      <c r="P1097" s="5">
        <f t="shared" ref="P1097" si="1778">$C1096*P1096</f>
        <v>0</v>
      </c>
      <c r="Q1097" s="5">
        <f t="shared" ref="Q1097" si="1779">$C1096*Q1096</f>
        <v>718.51130599999999</v>
      </c>
      <c r="R1097" s="5">
        <f t="shared" ref="R1097:AB1097" si="1780">$C1096*R1096</f>
        <v>164.57947200000001</v>
      </c>
      <c r="S1097" s="5">
        <f t="shared" si="1780"/>
        <v>68.57477999999999</v>
      </c>
      <c r="T1097" s="5">
        <f t="shared" si="1780"/>
        <v>801.56298400000003</v>
      </c>
      <c r="U1097" s="5">
        <f t="shared" si="1780"/>
        <v>0</v>
      </c>
      <c r="V1097" s="5">
        <f t="shared" si="1780"/>
        <v>185.913848</v>
      </c>
      <c r="W1097" s="5">
        <f t="shared" si="1780"/>
        <v>419.06810000000002</v>
      </c>
      <c r="X1097" s="5">
        <f t="shared" si="1780"/>
        <v>1120.8166820000001</v>
      </c>
      <c r="Y1097" s="5">
        <f t="shared" si="1780"/>
        <v>41.144868000000002</v>
      </c>
      <c r="Z1097" s="5">
        <f t="shared" si="1780"/>
        <v>0</v>
      </c>
      <c r="AA1097" s="5">
        <f t="shared" si="1780"/>
        <v>0</v>
      </c>
      <c r="AB1097" s="5">
        <f t="shared" si="1780"/>
        <v>0</v>
      </c>
      <c r="AC1097" s="56"/>
      <c r="AD1097" s="23"/>
    </row>
    <row r="1098" spans="1:30" s="14" customFormat="1">
      <c r="A1098" s="78" t="s">
        <v>139</v>
      </c>
      <c r="B1098" s="26">
        <f>182866/2</f>
        <v>91433</v>
      </c>
      <c r="C1098" s="142">
        <f t="shared" si="1768"/>
        <v>7619.42</v>
      </c>
      <c r="D1098" s="35">
        <v>1.6299999999999999E-2</v>
      </c>
      <c r="E1098" s="35">
        <v>0.14269999999999999</v>
      </c>
      <c r="F1098" s="35">
        <v>5.8900000000000001E-2</v>
      </c>
      <c r="G1098" s="35">
        <v>7.6200000000000004E-2</v>
      </c>
      <c r="H1098" s="35">
        <v>3.9600000000000003E-2</v>
      </c>
      <c r="I1098" s="35">
        <v>0.12470000000000001</v>
      </c>
      <c r="J1098" s="35">
        <v>2.0400000000000001E-2</v>
      </c>
      <c r="K1098" s="35">
        <v>3.1199999999999999E-2</v>
      </c>
      <c r="L1098" s="35">
        <v>1.6199999999999999E-2</v>
      </c>
      <c r="M1098" s="35">
        <v>2.53E-2</v>
      </c>
      <c r="N1098" s="35">
        <v>0.14849999999999999</v>
      </c>
      <c r="O1098" s="35">
        <v>2.2599999999999999E-2</v>
      </c>
      <c r="P1098" s="35">
        <v>0</v>
      </c>
      <c r="Q1098" s="35">
        <v>3.78E-2</v>
      </c>
      <c r="R1098" s="35">
        <v>1.8100000000000002E-2</v>
      </c>
      <c r="S1098" s="35">
        <v>4.1000000000000003E-3</v>
      </c>
      <c r="T1098" s="35">
        <v>5.04E-2</v>
      </c>
      <c r="U1098" s="35">
        <v>1.7500000000000002E-2</v>
      </c>
      <c r="V1098" s="35">
        <v>3.6200000000000003E-2</v>
      </c>
      <c r="W1098" s="35">
        <v>4.8500000000000001E-2</v>
      </c>
      <c r="X1098" s="35">
        <v>6.1600000000000002E-2</v>
      </c>
      <c r="Y1098" s="35">
        <v>2.5000000000000001E-3</v>
      </c>
      <c r="Z1098" s="4">
        <v>0</v>
      </c>
      <c r="AA1098" s="4">
        <v>6.9999999999999999E-4</v>
      </c>
      <c r="AB1098" s="4">
        <v>0</v>
      </c>
      <c r="AC1098" s="56"/>
      <c r="AD1098" s="23"/>
    </row>
    <row r="1099" spans="1:30" s="14" customFormat="1">
      <c r="A1099" s="79"/>
      <c r="B1099" s="27"/>
      <c r="C1099" s="142"/>
      <c r="D1099" s="5">
        <f t="shared" ref="D1099" si="1781">$C1098*D1098</f>
        <v>124.19654599999998</v>
      </c>
      <c r="E1099" s="5">
        <f t="shared" ref="E1099" si="1782">$C1098*E1098</f>
        <v>1087.291234</v>
      </c>
      <c r="F1099" s="5">
        <f t="shared" ref="F1099:O1099" si="1783">$C1098*F1098</f>
        <v>448.783838</v>
      </c>
      <c r="G1099" s="5">
        <f t="shared" si="1783"/>
        <v>580.59980400000006</v>
      </c>
      <c r="H1099" s="5">
        <f t="shared" si="1783"/>
        <v>301.72903200000002</v>
      </c>
      <c r="I1099" s="5">
        <f t="shared" si="1783"/>
        <v>950.14167400000008</v>
      </c>
      <c r="J1099" s="5">
        <f t="shared" si="1783"/>
        <v>155.43616800000001</v>
      </c>
      <c r="K1099" s="5">
        <f t="shared" si="1783"/>
        <v>237.72590399999999</v>
      </c>
      <c r="L1099" s="5">
        <f t="shared" si="1783"/>
        <v>123.43460399999999</v>
      </c>
      <c r="M1099" s="5">
        <f t="shared" si="1783"/>
        <v>192.77132599999999</v>
      </c>
      <c r="N1099" s="5">
        <f t="shared" si="1783"/>
        <v>1131.48387</v>
      </c>
      <c r="O1099" s="5">
        <f t="shared" si="1783"/>
        <v>172.198892</v>
      </c>
      <c r="P1099" s="5">
        <f t="shared" ref="P1099" si="1784">$C1098*P1098</f>
        <v>0</v>
      </c>
      <c r="Q1099" s="5">
        <f t="shared" ref="Q1099" si="1785">$C1098*Q1098</f>
        <v>288.01407599999999</v>
      </c>
      <c r="R1099" s="5">
        <f t="shared" ref="R1099:AB1099" si="1786">$C1098*R1098</f>
        <v>137.91150200000001</v>
      </c>
      <c r="S1099" s="5">
        <f t="shared" si="1786"/>
        <v>31.239622000000004</v>
      </c>
      <c r="T1099" s="5">
        <f t="shared" si="1786"/>
        <v>384.01876800000002</v>
      </c>
      <c r="U1099" s="5">
        <f t="shared" si="1786"/>
        <v>133.33985000000001</v>
      </c>
      <c r="V1099" s="5">
        <f t="shared" si="1786"/>
        <v>275.82300400000003</v>
      </c>
      <c r="W1099" s="5">
        <f t="shared" si="1786"/>
        <v>369.54187000000002</v>
      </c>
      <c r="X1099" s="5">
        <f t="shared" si="1786"/>
        <v>469.35627200000005</v>
      </c>
      <c r="Y1099" s="5">
        <f t="shared" si="1786"/>
        <v>19.048550000000002</v>
      </c>
      <c r="Z1099" s="5">
        <f t="shared" si="1786"/>
        <v>0</v>
      </c>
      <c r="AA1099" s="5">
        <f t="shared" si="1786"/>
        <v>5.3335939999999997</v>
      </c>
      <c r="AB1099" s="5">
        <f t="shared" si="1786"/>
        <v>0</v>
      </c>
      <c r="AC1099" s="56"/>
      <c r="AD1099" s="23"/>
    </row>
    <row r="1100" spans="1:30" s="14" customFormat="1">
      <c r="A1100" s="78" t="s">
        <v>451</v>
      </c>
      <c r="B1100" s="26">
        <f>182866/2</f>
        <v>91433</v>
      </c>
      <c r="C1100" s="142">
        <f t="shared" si="1768"/>
        <v>7619.42</v>
      </c>
      <c r="D1100" s="4">
        <v>3.9399999999999998E-2</v>
      </c>
      <c r="E1100" s="4"/>
      <c r="F1100" s="4">
        <v>3.3E-3</v>
      </c>
      <c r="G1100" s="4"/>
      <c r="H1100" s="4">
        <v>0.34539999999999998</v>
      </c>
      <c r="I1100" s="4"/>
      <c r="J1100" s="4"/>
      <c r="K1100" s="4"/>
      <c r="L1100" s="4"/>
      <c r="M1100" s="4">
        <v>0.1469</v>
      </c>
      <c r="N1100" s="4">
        <v>3.0000000000000001E-3</v>
      </c>
      <c r="O1100" s="4"/>
      <c r="P1100" s="4"/>
      <c r="Q1100" s="4">
        <v>9.4299999999999995E-2</v>
      </c>
      <c r="R1100" s="4">
        <v>2.1600000000000001E-2</v>
      </c>
      <c r="S1100" s="4">
        <v>8.9999999999999993E-3</v>
      </c>
      <c r="T1100" s="4">
        <v>0.1052</v>
      </c>
      <c r="U1100" s="4"/>
      <c r="V1100" s="4">
        <v>2.4400000000000002E-2</v>
      </c>
      <c r="W1100" s="4">
        <v>5.5E-2</v>
      </c>
      <c r="X1100" s="4">
        <v>0.14710000000000001</v>
      </c>
      <c r="Y1100" s="4">
        <v>5.4000000000000003E-3</v>
      </c>
      <c r="Z1100" s="4"/>
      <c r="AA1100" s="4"/>
      <c r="AB1100" s="4"/>
      <c r="AC1100" s="56"/>
      <c r="AD1100" s="23"/>
    </row>
    <row r="1101" spans="1:30" s="14" customFormat="1">
      <c r="A1101" s="79"/>
      <c r="B1101" s="9"/>
      <c r="C1101" s="142"/>
      <c r="D1101" s="5">
        <f t="shared" ref="D1101" si="1787">$C1100*D1100</f>
        <v>300.20514800000001</v>
      </c>
      <c r="E1101" s="5">
        <f t="shared" ref="E1101" si="1788">$C1100*E1100</f>
        <v>0</v>
      </c>
      <c r="F1101" s="5">
        <f t="shared" ref="F1101:O1101" si="1789">$C1100*F1100</f>
        <v>25.144086000000001</v>
      </c>
      <c r="G1101" s="5">
        <f t="shared" si="1789"/>
        <v>0</v>
      </c>
      <c r="H1101" s="5">
        <f t="shared" si="1789"/>
        <v>2631.747668</v>
      </c>
      <c r="I1101" s="5">
        <f t="shared" si="1789"/>
        <v>0</v>
      </c>
      <c r="J1101" s="5">
        <f t="shared" si="1789"/>
        <v>0</v>
      </c>
      <c r="K1101" s="5">
        <f t="shared" si="1789"/>
        <v>0</v>
      </c>
      <c r="L1101" s="5">
        <f t="shared" si="1789"/>
        <v>0</v>
      </c>
      <c r="M1101" s="5">
        <f t="shared" si="1789"/>
        <v>1119.2927979999999</v>
      </c>
      <c r="N1101" s="5">
        <f t="shared" si="1789"/>
        <v>22.858260000000001</v>
      </c>
      <c r="O1101" s="5">
        <f t="shared" si="1789"/>
        <v>0</v>
      </c>
      <c r="P1101" s="5">
        <f t="shared" ref="P1101" si="1790">$C1100*P1100</f>
        <v>0</v>
      </c>
      <c r="Q1101" s="5">
        <f t="shared" ref="Q1101" si="1791">$C1100*Q1100</f>
        <v>718.51130599999999</v>
      </c>
      <c r="R1101" s="5">
        <f t="shared" ref="R1101:AB1101" si="1792">$C1100*R1100</f>
        <v>164.57947200000001</v>
      </c>
      <c r="S1101" s="5">
        <f t="shared" si="1792"/>
        <v>68.57477999999999</v>
      </c>
      <c r="T1101" s="5">
        <f t="shared" si="1792"/>
        <v>801.56298400000003</v>
      </c>
      <c r="U1101" s="5">
        <f t="shared" si="1792"/>
        <v>0</v>
      </c>
      <c r="V1101" s="5">
        <f t="shared" si="1792"/>
        <v>185.913848</v>
      </c>
      <c r="W1101" s="5">
        <f t="shared" si="1792"/>
        <v>419.06810000000002</v>
      </c>
      <c r="X1101" s="5">
        <f t="shared" si="1792"/>
        <v>1120.8166820000001</v>
      </c>
      <c r="Y1101" s="5">
        <f t="shared" si="1792"/>
        <v>41.144868000000002</v>
      </c>
      <c r="Z1101" s="5">
        <f t="shared" si="1792"/>
        <v>0</v>
      </c>
      <c r="AA1101" s="5">
        <f t="shared" si="1792"/>
        <v>0</v>
      </c>
      <c r="AB1101" s="5">
        <f t="shared" si="1792"/>
        <v>0</v>
      </c>
      <c r="AC1101" s="56"/>
      <c r="AD1101" s="23"/>
    </row>
    <row r="1102" spans="1:30" s="14" customFormat="1">
      <c r="A1102" s="78" t="s">
        <v>140</v>
      </c>
      <c r="B1102" s="26">
        <f>182866/2</f>
        <v>91433</v>
      </c>
      <c r="C1102" s="142">
        <f t="shared" si="1768"/>
        <v>7619.42</v>
      </c>
      <c r="D1102" s="35">
        <v>1.6299999999999999E-2</v>
      </c>
      <c r="E1102" s="35">
        <v>0.14269999999999999</v>
      </c>
      <c r="F1102" s="35">
        <v>5.8900000000000001E-2</v>
      </c>
      <c r="G1102" s="35">
        <v>7.6200000000000004E-2</v>
      </c>
      <c r="H1102" s="35">
        <v>3.9600000000000003E-2</v>
      </c>
      <c r="I1102" s="35">
        <v>0.12470000000000001</v>
      </c>
      <c r="J1102" s="35">
        <v>2.0400000000000001E-2</v>
      </c>
      <c r="K1102" s="35">
        <v>3.1199999999999999E-2</v>
      </c>
      <c r="L1102" s="35">
        <v>1.6199999999999999E-2</v>
      </c>
      <c r="M1102" s="35">
        <v>2.53E-2</v>
      </c>
      <c r="N1102" s="35">
        <v>0.14849999999999999</v>
      </c>
      <c r="O1102" s="35">
        <v>2.2599999999999999E-2</v>
      </c>
      <c r="P1102" s="35">
        <v>0</v>
      </c>
      <c r="Q1102" s="35">
        <v>3.78E-2</v>
      </c>
      <c r="R1102" s="35">
        <v>1.8100000000000002E-2</v>
      </c>
      <c r="S1102" s="35">
        <v>4.1000000000000003E-3</v>
      </c>
      <c r="T1102" s="35">
        <v>5.04E-2</v>
      </c>
      <c r="U1102" s="35">
        <v>1.7500000000000002E-2</v>
      </c>
      <c r="V1102" s="35">
        <v>3.6200000000000003E-2</v>
      </c>
      <c r="W1102" s="35">
        <v>4.8500000000000001E-2</v>
      </c>
      <c r="X1102" s="35">
        <v>6.1600000000000002E-2</v>
      </c>
      <c r="Y1102" s="35">
        <v>2.5000000000000001E-3</v>
      </c>
      <c r="Z1102" s="4">
        <v>0</v>
      </c>
      <c r="AA1102" s="4">
        <v>6.9999999999999999E-4</v>
      </c>
      <c r="AB1102" s="4">
        <v>0</v>
      </c>
      <c r="AC1102" s="56"/>
      <c r="AD1102" s="23"/>
    </row>
    <row r="1103" spans="1:30" s="14" customFormat="1">
      <c r="A1103" s="79"/>
      <c r="B1103" s="27"/>
      <c r="C1103" s="142"/>
      <c r="D1103" s="5">
        <f t="shared" ref="D1103" si="1793">$C1102*D1102</f>
        <v>124.19654599999998</v>
      </c>
      <c r="E1103" s="5">
        <f t="shared" ref="E1103" si="1794">$C1102*E1102</f>
        <v>1087.291234</v>
      </c>
      <c r="F1103" s="5">
        <f t="shared" ref="F1103:O1103" si="1795">$C1102*F1102</f>
        <v>448.783838</v>
      </c>
      <c r="G1103" s="5">
        <f t="shared" si="1795"/>
        <v>580.59980400000006</v>
      </c>
      <c r="H1103" s="5">
        <f t="shared" si="1795"/>
        <v>301.72903200000002</v>
      </c>
      <c r="I1103" s="5">
        <f t="shared" si="1795"/>
        <v>950.14167400000008</v>
      </c>
      <c r="J1103" s="5">
        <f t="shared" si="1795"/>
        <v>155.43616800000001</v>
      </c>
      <c r="K1103" s="5">
        <f t="shared" si="1795"/>
        <v>237.72590399999999</v>
      </c>
      <c r="L1103" s="5">
        <f t="shared" si="1795"/>
        <v>123.43460399999999</v>
      </c>
      <c r="M1103" s="5">
        <f t="shared" si="1795"/>
        <v>192.77132599999999</v>
      </c>
      <c r="N1103" s="5">
        <f t="shared" si="1795"/>
        <v>1131.48387</v>
      </c>
      <c r="O1103" s="5">
        <f t="shared" si="1795"/>
        <v>172.198892</v>
      </c>
      <c r="P1103" s="5">
        <f t="shared" ref="P1103" si="1796">$C1102*P1102</f>
        <v>0</v>
      </c>
      <c r="Q1103" s="5">
        <f t="shared" ref="Q1103" si="1797">$C1102*Q1102</f>
        <v>288.01407599999999</v>
      </c>
      <c r="R1103" s="5">
        <f t="shared" ref="R1103:AB1103" si="1798">$C1102*R1102</f>
        <v>137.91150200000001</v>
      </c>
      <c r="S1103" s="5">
        <f t="shared" si="1798"/>
        <v>31.239622000000004</v>
      </c>
      <c r="T1103" s="5">
        <f t="shared" si="1798"/>
        <v>384.01876800000002</v>
      </c>
      <c r="U1103" s="5">
        <f t="shared" si="1798"/>
        <v>133.33985000000001</v>
      </c>
      <c r="V1103" s="5">
        <f t="shared" si="1798"/>
        <v>275.82300400000003</v>
      </c>
      <c r="W1103" s="5">
        <f t="shared" si="1798"/>
        <v>369.54187000000002</v>
      </c>
      <c r="X1103" s="5">
        <f t="shared" si="1798"/>
        <v>469.35627200000005</v>
      </c>
      <c r="Y1103" s="5">
        <f t="shared" si="1798"/>
        <v>19.048550000000002</v>
      </c>
      <c r="Z1103" s="5">
        <f t="shared" si="1798"/>
        <v>0</v>
      </c>
      <c r="AA1103" s="5">
        <f t="shared" si="1798"/>
        <v>5.3335939999999997</v>
      </c>
      <c r="AB1103" s="5">
        <f t="shared" si="1798"/>
        <v>0</v>
      </c>
      <c r="AC1103" s="56"/>
      <c r="AD1103" s="23"/>
    </row>
    <row r="1104" spans="1:30" s="14" customFormat="1">
      <c r="A1104" s="78" t="s">
        <v>452</v>
      </c>
      <c r="B1104" s="26">
        <f>182866/2</f>
        <v>91433</v>
      </c>
      <c r="C1104" s="142">
        <f t="shared" si="1768"/>
        <v>7619.42</v>
      </c>
      <c r="D1104" s="4">
        <v>3.9399999999999998E-2</v>
      </c>
      <c r="E1104" s="4"/>
      <c r="F1104" s="4">
        <v>3.3E-3</v>
      </c>
      <c r="G1104" s="4"/>
      <c r="H1104" s="4">
        <v>0.34539999999999998</v>
      </c>
      <c r="I1104" s="4"/>
      <c r="J1104" s="4"/>
      <c r="K1104" s="4"/>
      <c r="L1104" s="4"/>
      <c r="M1104" s="4">
        <v>0.1469</v>
      </c>
      <c r="N1104" s="4">
        <v>3.0000000000000001E-3</v>
      </c>
      <c r="O1104" s="4"/>
      <c r="P1104" s="4"/>
      <c r="Q1104" s="4">
        <v>9.4299999999999995E-2</v>
      </c>
      <c r="R1104" s="4">
        <v>2.1600000000000001E-2</v>
      </c>
      <c r="S1104" s="4">
        <v>8.9999999999999993E-3</v>
      </c>
      <c r="T1104" s="4">
        <v>0.1052</v>
      </c>
      <c r="U1104" s="4"/>
      <c r="V1104" s="4">
        <v>2.4400000000000002E-2</v>
      </c>
      <c r="W1104" s="4">
        <v>5.5E-2</v>
      </c>
      <c r="X1104" s="4">
        <v>0.14710000000000001</v>
      </c>
      <c r="Y1104" s="4">
        <v>5.4000000000000003E-3</v>
      </c>
      <c r="Z1104" s="4"/>
      <c r="AA1104" s="4"/>
      <c r="AB1104" s="4"/>
      <c r="AC1104" s="56"/>
      <c r="AD1104" s="23"/>
    </row>
    <row r="1105" spans="1:30" s="14" customFormat="1">
      <c r="A1105" s="79"/>
      <c r="B1105" s="9"/>
      <c r="C1105" s="142"/>
      <c r="D1105" s="5">
        <f t="shared" ref="D1105" si="1799">$C1104*D1104</f>
        <v>300.20514800000001</v>
      </c>
      <c r="E1105" s="5">
        <f t="shared" ref="E1105" si="1800">$C1104*E1104</f>
        <v>0</v>
      </c>
      <c r="F1105" s="5">
        <f t="shared" ref="F1105:O1105" si="1801">$C1104*F1104</f>
        <v>25.144086000000001</v>
      </c>
      <c r="G1105" s="5">
        <f t="shared" si="1801"/>
        <v>0</v>
      </c>
      <c r="H1105" s="5">
        <f t="shared" si="1801"/>
        <v>2631.747668</v>
      </c>
      <c r="I1105" s="5">
        <f t="shared" si="1801"/>
        <v>0</v>
      </c>
      <c r="J1105" s="5">
        <f t="shared" si="1801"/>
        <v>0</v>
      </c>
      <c r="K1105" s="5">
        <f t="shared" si="1801"/>
        <v>0</v>
      </c>
      <c r="L1105" s="5">
        <f t="shared" si="1801"/>
        <v>0</v>
      </c>
      <c r="M1105" s="5">
        <f t="shared" si="1801"/>
        <v>1119.2927979999999</v>
      </c>
      <c r="N1105" s="5">
        <f t="shared" si="1801"/>
        <v>22.858260000000001</v>
      </c>
      <c r="O1105" s="5">
        <f t="shared" si="1801"/>
        <v>0</v>
      </c>
      <c r="P1105" s="5">
        <f t="shared" ref="P1105" si="1802">$C1104*P1104</f>
        <v>0</v>
      </c>
      <c r="Q1105" s="5">
        <f t="shared" ref="Q1105" si="1803">$C1104*Q1104</f>
        <v>718.51130599999999</v>
      </c>
      <c r="R1105" s="5">
        <f t="shared" ref="R1105:AB1105" si="1804">$C1104*R1104</f>
        <v>164.57947200000001</v>
      </c>
      <c r="S1105" s="5">
        <f t="shared" si="1804"/>
        <v>68.57477999999999</v>
      </c>
      <c r="T1105" s="5">
        <f t="shared" si="1804"/>
        <v>801.56298400000003</v>
      </c>
      <c r="U1105" s="5">
        <f t="shared" si="1804"/>
        <v>0</v>
      </c>
      <c r="V1105" s="5">
        <f t="shared" si="1804"/>
        <v>185.913848</v>
      </c>
      <c r="W1105" s="5">
        <f t="shared" si="1804"/>
        <v>419.06810000000002</v>
      </c>
      <c r="X1105" s="5">
        <f t="shared" si="1804"/>
        <v>1120.8166820000001</v>
      </c>
      <c r="Y1105" s="5">
        <f t="shared" si="1804"/>
        <v>41.144868000000002</v>
      </c>
      <c r="Z1105" s="5">
        <f t="shared" si="1804"/>
        <v>0</v>
      </c>
      <c r="AA1105" s="5">
        <f t="shared" si="1804"/>
        <v>0</v>
      </c>
      <c r="AB1105" s="5">
        <f t="shared" si="1804"/>
        <v>0</v>
      </c>
      <c r="AC1105" s="56"/>
      <c r="AD1105" s="23"/>
    </row>
    <row r="1106" spans="1:30" s="14" customFormat="1">
      <c r="A1106" s="78" t="s">
        <v>141</v>
      </c>
      <c r="B1106" s="26">
        <f>185161/2</f>
        <v>92580.5</v>
      </c>
      <c r="C1106" s="142">
        <f t="shared" si="1768"/>
        <v>7715.04</v>
      </c>
      <c r="D1106" s="35">
        <v>1.6299999999999999E-2</v>
      </c>
      <c r="E1106" s="35">
        <v>0.14269999999999999</v>
      </c>
      <c r="F1106" s="35">
        <v>5.8900000000000001E-2</v>
      </c>
      <c r="G1106" s="35">
        <v>7.6200000000000004E-2</v>
      </c>
      <c r="H1106" s="35">
        <v>3.9600000000000003E-2</v>
      </c>
      <c r="I1106" s="35">
        <v>0.12470000000000001</v>
      </c>
      <c r="J1106" s="35">
        <v>2.0400000000000001E-2</v>
      </c>
      <c r="K1106" s="35">
        <v>3.1199999999999999E-2</v>
      </c>
      <c r="L1106" s="35">
        <v>1.6199999999999999E-2</v>
      </c>
      <c r="M1106" s="35">
        <v>2.53E-2</v>
      </c>
      <c r="N1106" s="35">
        <v>0.14849999999999999</v>
      </c>
      <c r="O1106" s="35">
        <v>2.2599999999999999E-2</v>
      </c>
      <c r="P1106" s="35">
        <v>0</v>
      </c>
      <c r="Q1106" s="35">
        <v>3.78E-2</v>
      </c>
      <c r="R1106" s="35">
        <v>1.8100000000000002E-2</v>
      </c>
      <c r="S1106" s="35">
        <v>4.1000000000000003E-3</v>
      </c>
      <c r="T1106" s="35">
        <v>5.04E-2</v>
      </c>
      <c r="U1106" s="35">
        <v>1.7500000000000002E-2</v>
      </c>
      <c r="V1106" s="35">
        <v>3.6200000000000003E-2</v>
      </c>
      <c r="W1106" s="35">
        <v>4.8500000000000001E-2</v>
      </c>
      <c r="X1106" s="35">
        <v>6.1600000000000002E-2</v>
      </c>
      <c r="Y1106" s="35">
        <v>2.5000000000000001E-3</v>
      </c>
      <c r="Z1106" s="4">
        <v>0</v>
      </c>
      <c r="AA1106" s="4">
        <v>6.9999999999999999E-4</v>
      </c>
      <c r="AB1106" s="4">
        <v>0</v>
      </c>
      <c r="AC1106" s="56"/>
      <c r="AD1106" s="23"/>
    </row>
    <row r="1107" spans="1:30" s="14" customFormat="1">
      <c r="A1107" s="79"/>
      <c r="B1107" s="27"/>
      <c r="C1107" s="142"/>
      <c r="D1107" s="5">
        <f t="shared" ref="D1107" si="1805">$C1106*D1106</f>
        <v>125.75515199999998</v>
      </c>
      <c r="E1107" s="5">
        <f t="shared" ref="E1107" si="1806">$C1106*E1106</f>
        <v>1100.9362079999999</v>
      </c>
      <c r="F1107" s="5">
        <f t="shared" ref="F1107:O1107" si="1807">$C1106*F1106</f>
        <v>454.41585600000002</v>
      </c>
      <c r="G1107" s="5">
        <f t="shared" si="1807"/>
        <v>587.88604800000007</v>
      </c>
      <c r="H1107" s="5">
        <f t="shared" si="1807"/>
        <v>305.51558400000005</v>
      </c>
      <c r="I1107" s="5">
        <f t="shared" si="1807"/>
        <v>962.06548800000007</v>
      </c>
      <c r="J1107" s="5">
        <f t="shared" si="1807"/>
        <v>157.38681600000001</v>
      </c>
      <c r="K1107" s="5">
        <f t="shared" si="1807"/>
        <v>240.70924799999997</v>
      </c>
      <c r="L1107" s="5">
        <f t="shared" si="1807"/>
        <v>124.98364799999999</v>
      </c>
      <c r="M1107" s="5">
        <f t="shared" si="1807"/>
        <v>195.19051199999998</v>
      </c>
      <c r="N1107" s="5">
        <f t="shared" si="1807"/>
        <v>1145.68344</v>
      </c>
      <c r="O1107" s="5">
        <f t="shared" si="1807"/>
        <v>174.359904</v>
      </c>
      <c r="P1107" s="5">
        <f t="shared" ref="P1107" si="1808">$C1106*P1106</f>
        <v>0</v>
      </c>
      <c r="Q1107" s="5">
        <f t="shared" ref="Q1107" si="1809">$C1106*Q1106</f>
        <v>291.628512</v>
      </c>
      <c r="R1107" s="5">
        <f t="shared" ref="R1107:AB1107" si="1810">$C1106*R1106</f>
        <v>139.642224</v>
      </c>
      <c r="S1107" s="5">
        <f t="shared" si="1810"/>
        <v>31.631664000000004</v>
      </c>
      <c r="T1107" s="5">
        <f t="shared" si="1810"/>
        <v>388.83801599999998</v>
      </c>
      <c r="U1107" s="5">
        <f t="shared" si="1810"/>
        <v>135.01320000000001</v>
      </c>
      <c r="V1107" s="5">
        <f t="shared" si="1810"/>
        <v>279.284448</v>
      </c>
      <c r="W1107" s="5">
        <f t="shared" si="1810"/>
        <v>374.17944</v>
      </c>
      <c r="X1107" s="5">
        <f t="shared" si="1810"/>
        <v>475.246464</v>
      </c>
      <c r="Y1107" s="5">
        <f t="shared" si="1810"/>
        <v>19.287600000000001</v>
      </c>
      <c r="Z1107" s="5">
        <f t="shared" si="1810"/>
        <v>0</v>
      </c>
      <c r="AA1107" s="5">
        <f t="shared" si="1810"/>
        <v>5.4005279999999996</v>
      </c>
      <c r="AB1107" s="5">
        <f t="shared" si="1810"/>
        <v>0</v>
      </c>
      <c r="AC1107" s="56"/>
      <c r="AD1107" s="23"/>
    </row>
    <row r="1108" spans="1:30" s="14" customFormat="1">
      <c r="A1108" s="78" t="s">
        <v>453</v>
      </c>
      <c r="B1108" s="26">
        <f>185161/2</f>
        <v>92580.5</v>
      </c>
      <c r="C1108" s="142">
        <f t="shared" si="1768"/>
        <v>7715.04</v>
      </c>
      <c r="D1108" s="4">
        <v>3.9399999999999998E-2</v>
      </c>
      <c r="E1108" s="4"/>
      <c r="F1108" s="4">
        <v>3.3E-3</v>
      </c>
      <c r="G1108" s="4"/>
      <c r="H1108" s="4">
        <v>0.34539999999999998</v>
      </c>
      <c r="I1108" s="4"/>
      <c r="J1108" s="4"/>
      <c r="K1108" s="4"/>
      <c r="L1108" s="4"/>
      <c r="M1108" s="4">
        <v>0.1469</v>
      </c>
      <c r="N1108" s="4">
        <v>3.0000000000000001E-3</v>
      </c>
      <c r="O1108" s="4"/>
      <c r="P1108" s="4"/>
      <c r="Q1108" s="4">
        <v>9.4299999999999995E-2</v>
      </c>
      <c r="R1108" s="4">
        <v>2.1600000000000001E-2</v>
      </c>
      <c r="S1108" s="4">
        <v>8.9999999999999993E-3</v>
      </c>
      <c r="T1108" s="4">
        <v>0.1052</v>
      </c>
      <c r="U1108" s="4"/>
      <c r="V1108" s="4">
        <v>2.4400000000000002E-2</v>
      </c>
      <c r="W1108" s="4">
        <v>5.5E-2</v>
      </c>
      <c r="X1108" s="4">
        <v>0.14710000000000001</v>
      </c>
      <c r="Y1108" s="4">
        <v>5.4000000000000003E-3</v>
      </c>
      <c r="Z1108" s="4"/>
      <c r="AA1108" s="4"/>
      <c r="AB1108" s="4"/>
      <c r="AC1108" s="56"/>
      <c r="AD1108" s="23"/>
    </row>
    <row r="1109" spans="1:30" s="14" customFormat="1">
      <c r="A1109" s="79"/>
      <c r="B1109" s="9"/>
      <c r="C1109" s="142"/>
      <c r="D1109" s="5">
        <f t="shared" ref="D1109" si="1811">$C1108*D1108</f>
        <v>303.972576</v>
      </c>
      <c r="E1109" s="5">
        <f t="shared" ref="E1109" si="1812">$C1108*E1108</f>
        <v>0</v>
      </c>
      <c r="F1109" s="5">
        <f t="shared" ref="F1109:O1109" si="1813">$C1108*F1108</f>
        <v>25.459631999999999</v>
      </c>
      <c r="G1109" s="5">
        <f t="shared" si="1813"/>
        <v>0</v>
      </c>
      <c r="H1109" s="5">
        <f t="shared" si="1813"/>
        <v>2664.7748159999996</v>
      </c>
      <c r="I1109" s="5">
        <f t="shared" si="1813"/>
        <v>0</v>
      </c>
      <c r="J1109" s="5">
        <f t="shared" si="1813"/>
        <v>0</v>
      </c>
      <c r="K1109" s="5">
        <f t="shared" si="1813"/>
        <v>0</v>
      </c>
      <c r="L1109" s="5">
        <f t="shared" si="1813"/>
        <v>0</v>
      </c>
      <c r="M1109" s="5">
        <f t="shared" si="1813"/>
        <v>1133.3393760000001</v>
      </c>
      <c r="N1109" s="5">
        <f t="shared" si="1813"/>
        <v>23.145120000000002</v>
      </c>
      <c r="O1109" s="5">
        <f t="shared" si="1813"/>
        <v>0</v>
      </c>
      <c r="P1109" s="5">
        <f t="shared" ref="P1109" si="1814">$C1108*P1108</f>
        <v>0</v>
      </c>
      <c r="Q1109" s="5">
        <f t="shared" ref="Q1109" si="1815">$C1108*Q1108</f>
        <v>727.5282719999999</v>
      </c>
      <c r="R1109" s="5">
        <f t="shared" ref="R1109:AB1109" si="1816">$C1108*R1108</f>
        <v>166.64486400000001</v>
      </c>
      <c r="S1109" s="5">
        <f t="shared" si="1816"/>
        <v>69.435359999999989</v>
      </c>
      <c r="T1109" s="5">
        <f t="shared" si="1816"/>
        <v>811.622208</v>
      </c>
      <c r="U1109" s="5">
        <f t="shared" si="1816"/>
        <v>0</v>
      </c>
      <c r="V1109" s="5">
        <f t="shared" si="1816"/>
        <v>188.24697600000002</v>
      </c>
      <c r="W1109" s="5">
        <f t="shared" si="1816"/>
        <v>424.3272</v>
      </c>
      <c r="X1109" s="5">
        <f t="shared" si="1816"/>
        <v>1134.882384</v>
      </c>
      <c r="Y1109" s="5">
        <f t="shared" si="1816"/>
        <v>41.661216000000003</v>
      </c>
      <c r="Z1109" s="5">
        <f t="shared" si="1816"/>
        <v>0</v>
      </c>
      <c r="AA1109" s="5">
        <f t="shared" si="1816"/>
        <v>0</v>
      </c>
      <c r="AB1109" s="5">
        <f t="shared" si="1816"/>
        <v>0</v>
      </c>
      <c r="AC1109" s="56"/>
      <c r="AD1109" s="23"/>
    </row>
    <row r="1110" spans="1:30" s="14" customFormat="1">
      <c r="A1110" s="78" t="s">
        <v>142</v>
      </c>
      <c r="B1110" s="207">
        <v>1588271</v>
      </c>
      <c r="C1110" s="142">
        <f t="shared" si="1768"/>
        <v>132355.92000000001</v>
      </c>
      <c r="D1110" s="4"/>
      <c r="E1110" s="4"/>
      <c r="F1110" s="4">
        <v>1.6799999999999999E-2</v>
      </c>
      <c r="G1110" s="4"/>
      <c r="H1110" s="4">
        <v>1.83E-2</v>
      </c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>
        <v>0.96489999999999998</v>
      </c>
      <c r="W1110" s="4"/>
      <c r="X1110" s="4"/>
      <c r="Y1110" s="4"/>
      <c r="Z1110" s="4"/>
      <c r="AA1110" s="4"/>
      <c r="AB1110" s="4"/>
      <c r="AC1110" s="56"/>
      <c r="AD1110" s="23"/>
    </row>
    <row r="1111" spans="1:30" s="14" customFormat="1">
      <c r="A1111" s="79"/>
      <c r="B1111" s="8"/>
      <c r="C1111" s="142"/>
      <c r="D1111" s="5">
        <f t="shared" ref="D1111" si="1817">$C1110*D1110</f>
        <v>0</v>
      </c>
      <c r="E1111" s="5">
        <f t="shared" ref="E1111" si="1818">$C1110*E1110</f>
        <v>0</v>
      </c>
      <c r="F1111" s="5">
        <f t="shared" ref="F1111:AB1111" si="1819">$C1110*F1110</f>
        <v>2223.5794559999999</v>
      </c>
      <c r="G1111" s="5">
        <f t="shared" si="1819"/>
        <v>0</v>
      </c>
      <c r="H1111" s="5">
        <f t="shared" si="1819"/>
        <v>2422.1133360000003</v>
      </c>
      <c r="I1111" s="5">
        <f t="shared" si="1819"/>
        <v>0</v>
      </c>
      <c r="J1111" s="5">
        <f t="shared" si="1819"/>
        <v>0</v>
      </c>
      <c r="K1111" s="5">
        <f t="shared" si="1819"/>
        <v>0</v>
      </c>
      <c r="L1111" s="5">
        <f t="shared" si="1819"/>
        <v>0</v>
      </c>
      <c r="M1111" s="5">
        <f t="shared" si="1819"/>
        <v>0</v>
      </c>
      <c r="N1111" s="5">
        <f t="shared" si="1819"/>
        <v>0</v>
      </c>
      <c r="O1111" s="5">
        <f t="shared" si="1819"/>
        <v>0</v>
      </c>
      <c r="P1111" s="5">
        <f t="shared" si="1819"/>
        <v>0</v>
      </c>
      <c r="Q1111" s="5">
        <f t="shared" si="1819"/>
        <v>0</v>
      </c>
      <c r="R1111" s="5">
        <f t="shared" si="1819"/>
        <v>0</v>
      </c>
      <c r="S1111" s="5">
        <f t="shared" si="1819"/>
        <v>0</v>
      </c>
      <c r="T1111" s="5">
        <f t="shared" si="1819"/>
        <v>0</v>
      </c>
      <c r="U1111" s="5">
        <f t="shared" si="1819"/>
        <v>0</v>
      </c>
      <c r="V1111" s="5">
        <f t="shared" si="1819"/>
        <v>127710.22720800001</v>
      </c>
      <c r="W1111" s="5">
        <f t="shared" si="1819"/>
        <v>0</v>
      </c>
      <c r="X1111" s="5">
        <f t="shared" si="1819"/>
        <v>0</v>
      </c>
      <c r="Y1111" s="5">
        <f t="shared" si="1819"/>
        <v>0</v>
      </c>
      <c r="Z1111" s="5">
        <f t="shared" si="1819"/>
        <v>0</v>
      </c>
      <c r="AA1111" s="5">
        <f t="shared" si="1819"/>
        <v>0</v>
      </c>
      <c r="AB1111" s="5">
        <f t="shared" si="1819"/>
        <v>0</v>
      </c>
      <c r="AC1111" s="56"/>
      <c r="AD1111" s="23"/>
    </row>
    <row r="1112" spans="1:30" s="14" customFormat="1">
      <c r="A1112" s="78" t="s">
        <v>143</v>
      </c>
      <c r="B1112" s="207">
        <v>2955800</v>
      </c>
      <c r="C1112" s="142">
        <f t="shared" si="1768"/>
        <v>246316.67</v>
      </c>
      <c r="D1112" s="4"/>
      <c r="E1112" s="4"/>
      <c r="F1112" s="4">
        <v>3.5400000000000001E-2</v>
      </c>
      <c r="G1112" s="4"/>
      <c r="H1112" s="4">
        <v>7.3099999999999998E-2</v>
      </c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>
        <v>0.89149999999999996</v>
      </c>
      <c r="W1112" s="4"/>
      <c r="X1112" s="4"/>
      <c r="Y1112" s="4"/>
      <c r="Z1112" s="4"/>
      <c r="AA1112" s="4"/>
      <c r="AB1112" s="4"/>
      <c r="AC1112" s="56"/>
      <c r="AD1112" s="23"/>
    </row>
    <row r="1113" spans="1:30" s="14" customFormat="1">
      <c r="A1113" s="79"/>
      <c r="B1113" s="8"/>
      <c r="C1113" s="142"/>
      <c r="D1113" s="5">
        <f t="shared" ref="D1113" si="1820">$C1112*D1112</f>
        <v>0</v>
      </c>
      <c r="E1113" s="5">
        <f t="shared" ref="E1113" si="1821">$C1112*E1112</f>
        <v>0</v>
      </c>
      <c r="F1113" s="5">
        <f t="shared" ref="F1113:AB1113" si="1822">$C1112*F1112</f>
        <v>8719.6101180000005</v>
      </c>
      <c r="G1113" s="5">
        <f t="shared" si="1822"/>
        <v>0</v>
      </c>
      <c r="H1113" s="5">
        <f t="shared" si="1822"/>
        <v>18005.748577000002</v>
      </c>
      <c r="I1113" s="5">
        <f t="shared" si="1822"/>
        <v>0</v>
      </c>
      <c r="J1113" s="5">
        <f t="shared" si="1822"/>
        <v>0</v>
      </c>
      <c r="K1113" s="5">
        <f t="shared" si="1822"/>
        <v>0</v>
      </c>
      <c r="L1113" s="5">
        <f t="shared" si="1822"/>
        <v>0</v>
      </c>
      <c r="M1113" s="5">
        <f t="shared" si="1822"/>
        <v>0</v>
      </c>
      <c r="N1113" s="5">
        <f t="shared" si="1822"/>
        <v>0</v>
      </c>
      <c r="O1113" s="5">
        <f t="shared" si="1822"/>
        <v>0</v>
      </c>
      <c r="P1113" s="5">
        <f t="shared" si="1822"/>
        <v>0</v>
      </c>
      <c r="Q1113" s="5">
        <f t="shared" si="1822"/>
        <v>0</v>
      </c>
      <c r="R1113" s="5">
        <f t="shared" si="1822"/>
        <v>0</v>
      </c>
      <c r="S1113" s="5">
        <f t="shared" si="1822"/>
        <v>0</v>
      </c>
      <c r="T1113" s="5">
        <f t="shared" si="1822"/>
        <v>0</v>
      </c>
      <c r="U1113" s="5">
        <f t="shared" si="1822"/>
        <v>0</v>
      </c>
      <c r="V1113" s="5">
        <f t="shared" si="1822"/>
        <v>219591.31130500001</v>
      </c>
      <c r="W1113" s="5">
        <f t="shared" si="1822"/>
        <v>0</v>
      </c>
      <c r="X1113" s="5">
        <f t="shared" si="1822"/>
        <v>0</v>
      </c>
      <c r="Y1113" s="5">
        <f t="shared" si="1822"/>
        <v>0</v>
      </c>
      <c r="Z1113" s="5">
        <f t="shared" si="1822"/>
        <v>0</v>
      </c>
      <c r="AA1113" s="5">
        <f t="shared" si="1822"/>
        <v>0</v>
      </c>
      <c r="AB1113" s="5">
        <f t="shared" si="1822"/>
        <v>0</v>
      </c>
      <c r="AC1113" s="56"/>
      <c r="AD1113" s="23"/>
    </row>
    <row r="1114" spans="1:30" s="14" customFormat="1">
      <c r="A1114" s="78" t="s">
        <v>144</v>
      </c>
      <c r="B1114" s="207">
        <v>5524296</v>
      </c>
      <c r="C1114" s="142">
        <f t="shared" si="1768"/>
        <v>460358</v>
      </c>
      <c r="D1114" s="4">
        <v>7.7000000000000002E-3</v>
      </c>
      <c r="E1114" s="4"/>
      <c r="F1114" s="4"/>
      <c r="G1114" s="4"/>
      <c r="H1114" s="4">
        <v>0.1676</v>
      </c>
      <c r="I1114" s="4"/>
      <c r="J1114" s="4"/>
      <c r="K1114" s="4"/>
      <c r="L1114" s="4"/>
      <c r="M1114" s="4">
        <v>1.2200000000000001E-2</v>
      </c>
      <c r="N1114" s="4"/>
      <c r="O1114" s="4"/>
      <c r="P1114" s="4"/>
      <c r="Q1114" s="4">
        <v>1.3899999999999999E-2</v>
      </c>
      <c r="R1114" s="4">
        <v>5.8999999999999999E-3</v>
      </c>
      <c r="S1114" s="4">
        <v>1.2999999999999999E-3</v>
      </c>
      <c r="T1114" s="4">
        <v>2.1000000000000001E-2</v>
      </c>
      <c r="U1114" s="4"/>
      <c r="V1114" s="4">
        <v>0.74860000000000004</v>
      </c>
      <c r="W1114" s="4"/>
      <c r="X1114" s="4">
        <v>2.1000000000000001E-2</v>
      </c>
      <c r="Y1114" s="4">
        <v>8.0000000000000004E-4</v>
      </c>
      <c r="Z1114" s="4"/>
      <c r="AA1114" s="4"/>
      <c r="AB1114" s="4"/>
      <c r="AC1114" s="56"/>
      <c r="AD1114" s="23"/>
    </row>
    <row r="1115" spans="1:30" s="14" customFormat="1">
      <c r="A1115" s="79"/>
      <c r="B1115" s="8"/>
      <c r="C1115" s="142"/>
      <c r="D1115" s="5">
        <f t="shared" ref="D1115" si="1823">$C1114*D1114</f>
        <v>3544.7566000000002</v>
      </c>
      <c r="E1115" s="5">
        <f t="shared" ref="E1115" si="1824">$C1114*E1114</f>
        <v>0</v>
      </c>
      <c r="F1115" s="5">
        <f t="shared" ref="F1115:AB1115" si="1825">$C1114*F1114</f>
        <v>0</v>
      </c>
      <c r="G1115" s="5">
        <f t="shared" si="1825"/>
        <v>0</v>
      </c>
      <c r="H1115" s="5">
        <f t="shared" si="1825"/>
        <v>77156.000799999994</v>
      </c>
      <c r="I1115" s="5">
        <f t="shared" si="1825"/>
        <v>0</v>
      </c>
      <c r="J1115" s="5">
        <f t="shared" si="1825"/>
        <v>0</v>
      </c>
      <c r="K1115" s="5">
        <f t="shared" si="1825"/>
        <v>0</v>
      </c>
      <c r="L1115" s="5">
        <f t="shared" si="1825"/>
        <v>0</v>
      </c>
      <c r="M1115" s="5">
        <f t="shared" si="1825"/>
        <v>5616.3676000000005</v>
      </c>
      <c r="N1115" s="5">
        <f t="shared" si="1825"/>
        <v>0</v>
      </c>
      <c r="O1115" s="5">
        <f t="shared" si="1825"/>
        <v>0</v>
      </c>
      <c r="P1115" s="5">
        <f t="shared" si="1825"/>
        <v>0</v>
      </c>
      <c r="Q1115" s="5">
        <f t="shared" si="1825"/>
        <v>6398.9762000000001</v>
      </c>
      <c r="R1115" s="5">
        <f t="shared" si="1825"/>
        <v>2716.1122</v>
      </c>
      <c r="S1115" s="5">
        <f t="shared" si="1825"/>
        <v>598.46539999999993</v>
      </c>
      <c r="T1115" s="5">
        <f t="shared" si="1825"/>
        <v>9667.518</v>
      </c>
      <c r="U1115" s="5">
        <f t="shared" si="1825"/>
        <v>0</v>
      </c>
      <c r="V1115" s="5">
        <f t="shared" si="1825"/>
        <v>344623.9988</v>
      </c>
      <c r="W1115" s="5">
        <f t="shared" si="1825"/>
        <v>0</v>
      </c>
      <c r="X1115" s="5">
        <f t="shared" si="1825"/>
        <v>9667.518</v>
      </c>
      <c r="Y1115" s="5">
        <f t="shared" si="1825"/>
        <v>368.28640000000001</v>
      </c>
      <c r="Z1115" s="5">
        <f t="shared" si="1825"/>
        <v>0</v>
      </c>
      <c r="AA1115" s="5">
        <f t="shared" si="1825"/>
        <v>0</v>
      </c>
      <c r="AB1115" s="5">
        <f t="shared" si="1825"/>
        <v>0</v>
      </c>
      <c r="AC1115" s="56"/>
      <c r="AD1115" s="23"/>
    </row>
    <row r="1116" spans="1:30" s="14" customFormat="1">
      <c r="A1116" s="78" t="s">
        <v>145</v>
      </c>
      <c r="B1116" s="207">
        <v>492910</v>
      </c>
      <c r="C1116" s="142">
        <f t="shared" si="1768"/>
        <v>41075.83</v>
      </c>
      <c r="D1116" s="4"/>
      <c r="E1116" s="4"/>
      <c r="F1116" s="4"/>
      <c r="G1116" s="4"/>
      <c r="H1116" s="4">
        <v>0.30570000000000003</v>
      </c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>
        <v>0.69430000000000003</v>
      </c>
      <c r="W1116" s="4"/>
      <c r="X1116" s="4"/>
      <c r="Y1116" s="4"/>
      <c r="Z1116" s="4"/>
      <c r="AA1116" s="4"/>
      <c r="AB1116" s="4"/>
      <c r="AC1116" s="56"/>
      <c r="AD1116" s="23"/>
    </row>
    <row r="1117" spans="1:30" s="14" customFormat="1">
      <c r="A1117" s="79"/>
      <c r="B1117" s="8"/>
      <c r="C1117" s="142"/>
      <c r="D1117" s="5">
        <f t="shared" ref="D1117" si="1826">$C1116*D1116</f>
        <v>0</v>
      </c>
      <c r="E1117" s="5">
        <f t="shared" ref="E1117" si="1827">$C1116*E1116</f>
        <v>0</v>
      </c>
      <c r="F1117" s="5">
        <f t="shared" ref="F1117:AB1117" si="1828">$C1116*F1116</f>
        <v>0</v>
      </c>
      <c r="G1117" s="5">
        <f t="shared" si="1828"/>
        <v>0</v>
      </c>
      <c r="H1117" s="5">
        <f t="shared" si="1828"/>
        <v>12556.881231000001</v>
      </c>
      <c r="I1117" s="5">
        <f t="shared" si="1828"/>
        <v>0</v>
      </c>
      <c r="J1117" s="5">
        <f t="shared" si="1828"/>
        <v>0</v>
      </c>
      <c r="K1117" s="5">
        <f t="shared" si="1828"/>
        <v>0</v>
      </c>
      <c r="L1117" s="5">
        <f t="shared" si="1828"/>
        <v>0</v>
      </c>
      <c r="M1117" s="5">
        <f t="shared" si="1828"/>
        <v>0</v>
      </c>
      <c r="N1117" s="5">
        <f t="shared" si="1828"/>
        <v>0</v>
      </c>
      <c r="O1117" s="5">
        <f t="shared" si="1828"/>
        <v>0</v>
      </c>
      <c r="P1117" s="5">
        <f t="shared" si="1828"/>
        <v>0</v>
      </c>
      <c r="Q1117" s="5">
        <f t="shared" si="1828"/>
        <v>0</v>
      </c>
      <c r="R1117" s="5">
        <f t="shared" si="1828"/>
        <v>0</v>
      </c>
      <c r="S1117" s="5">
        <f t="shared" si="1828"/>
        <v>0</v>
      </c>
      <c r="T1117" s="5">
        <f t="shared" si="1828"/>
        <v>0</v>
      </c>
      <c r="U1117" s="5">
        <f t="shared" si="1828"/>
        <v>0</v>
      </c>
      <c r="V1117" s="5">
        <f t="shared" si="1828"/>
        <v>28518.948769000002</v>
      </c>
      <c r="W1117" s="5">
        <f t="shared" si="1828"/>
        <v>0</v>
      </c>
      <c r="X1117" s="5">
        <f t="shared" si="1828"/>
        <v>0</v>
      </c>
      <c r="Y1117" s="5">
        <f t="shared" si="1828"/>
        <v>0</v>
      </c>
      <c r="Z1117" s="5">
        <f t="shared" si="1828"/>
        <v>0</v>
      </c>
      <c r="AA1117" s="5">
        <f t="shared" si="1828"/>
        <v>0</v>
      </c>
      <c r="AB1117" s="5">
        <f t="shared" si="1828"/>
        <v>0</v>
      </c>
      <c r="AC1117" s="56"/>
      <c r="AD1117" s="23"/>
    </row>
    <row r="1118" spans="1:30" s="14" customFormat="1">
      <c r="A1118" s="78" t="s">
        <v>148</v>
      </c>
      <c r="B1118" s="207">
        <v>1974087</v>
      </c>
      <c r="C1118" s="142">
        <f t="shared" si="1768"/>
        <v>164507.25</v>
      </c>
      <c r="D1118" s="4"/>
      <c r="E1118" s="4"/>
      <c r="F1118" s="4">
        <v>5.67E-2</v>
      </c>
      <c r="G1118" s="4"/>
      <c r="H1118" s="4">
        <v>0.29680000000000001</v>
      </c>
      <c r="I1118" s="4"/>
      <c r="J1118" s="4"/>
      <c r="K1118" s="4"/>
      <c r="L1118" s="4"/>
      <c r="M1118" s="4"/>
      <c r="N1118" s="34">
        <v>0.1091</v>
      </c>
      <c r="O1118" s="4"/>
      <c r="P1118" s="4"/>
      <c r="Q1118" s="4"/>
      <c r="R1118" s="4"/>
      <c r="S1118" s="4"/>
      <c r="T1118" s="4"/>
      <c r="U1118" s="4"/>
      <c r="V1118" s="4">
        <v>0.53739999999999999</v>
      </c>
      <c r="W1118" s="4"/>
      <c r="X1118" s="4"/>
      <c r="Y1118" s="4"/>
      <c r="Z1118" s="4"/>
      <c r="AA1118" s="4"/>
      <c r="AB1118" s="4"/>
      <c r="AC1118" s="56"/>
      <c r="AD1118" s="23"/>
    </row>
    <row r="1119" spans="1:30" s="14" customFormat="1">
      <c r="A1119" s="79"/>
      <c r="B1119" s="9"/>
      <c r="C1119" s="142"/>
      <c r="D1119" s="5">
        <f t="shared" ref="D1119" si="1829">$C1118*D1118</f>
        <v>0</v>
      </c>
      <c r="E1119" s="5">
        <f t="shared" ref="E1119" si="1830">$C1118*E1118</f>
        <v>0</v>
      </c>
      <c r="F1119" s="5">
        <f t="shared" ref="F1119:AB1119" si="1831">$C1118*F1118</f>
        <v>9327.5610749999996</v>
      </c>
      <c r="G1119" s="5">
        <f t="shared" si="1831"/>
        <v>0</v>
      </c>
      <c r="H1119" s="5">
        <f t="shared" si="1831"/>
        <v>48825.751799999998</v>
      </c>
      <c r="I1119" s="5">
        <f t="shared" si="1831"/>
        <v>0</v>
      </c>
      <c r="J1119" s="5">
        <f t="shared" si="1831"/>
        <v>0</v>
      </c>
      <c r="K1119" s="5">
        <f t="shared" si="1831"/>
        <v>0</v>
      </c>
      <c r="L1119" s="5">
        <f t="shared" si="1831"/>
        <v>0</v>
      </c>
      <c r="M1119" s="5">
        <f t="shared" si="1831"/>
        <v>0</v>
      </c>
      <c r="N1119" s="5">
        <f t="shared" si="1831"/>
        <v>17947.740975000001</v>
      </c>
      <c r="O1119" s="5">
        <f t="shared" si="1831"/>
        <v>0</v>
      </c>
      <c r="P1119" s="5">
        <f t="shared" si="1831"/>
        <v>0</v>
      </c>
      <c r="Q1119" s="5">
        <f t="shared" si="1831"/>
        <v>0</v>
      </c>
      <c r="R1119" s="5">
        <f t="shared" si="1831"/>
        <v>0</v>
      </c>
      <c r="S1119" s="5">
        <f t="shared" si="1831"/>
        <v>0</v>
      </c>
      <c r="T1119" s="5">
        <f t="shared" si="1831"/>
        <v>0</v>
      </c>
      <c r="U1119" s="5">
        <f t="shared" si="1831"/>
        <v>0</v>
      </c>
      <c r="V1119" s="5">
        <f t="shared" si="1831"/>
        <v>88406.196150000003</v>
      </c>
      <c r="W1119" s="5">
        <f t="shared" si="1831"/>
        <v>0</v>
      </c>
      <c r="X1119" s="5">
        <f t="shared" si="1831"/>
        <v>0</v>
      </c>
      <c r="Y1119" s="5">
        <f t="shared" si="1831"/>
        <v>0</v>
      </c>
      <c r="Z1119" s="5">
        <f t="shared" si="1831"/>
        <v>0</v>
      </c>
      <c r="AA1119" s="5">
        <f t="shared" si="1831"/>
        <v>0</v>
      </c>
      <c r="AB1119" s="5">
        <f t="shared" si="1831"/>
        <v>0</v>
      </c>
      <c r="AC1119" s="56"/>
      <c r="AD1119" s="23"/>
    </row>
    <row r="1120" spans="1:30" s="14" customFormat="1">
      <c r="A1120" s="78" t="s">
        <v>182</v>
      </c>
      <c r="B1120" s="207">
        <v>2989485</v>
      </c>
      <c r="C1120" s="142">
        <f t="shared" si="1768"/>
        <v>249123.75</v>
      </c>
      <c r="D1120" s="4"/>
      <c r="E1120" s="4"/>
      <c r="F1120" s="4"/>
      <c r="G1120" s="4"/>
      <c r="H1120" s="4">
        <v>0.1933</v>
      </c>
      <c r="I1120" s="4"/>
      <c r="J1120" s="4"/>
      <c r="K1120" s="4"/>
      <c r="L1120" s="4"/>
      <c r="M1120" s="4"/>
      <c r="N1120" s="34">
        <v>0.17</v>
      </c>
      <c r="O1120" s="4"/>
      <c r="P1120" s="4"/>
      <c r="Q1120" s="4"/>
      <c r="R1120" s="4"/>
      <c r="S1120" s="4"/>
      <c r="T1120" s="4"/>
      <c r="U1120" s="4"/>
      <c r="V1120" s="4">
        <v>0.63670000000000004</v>
      </c>
      <c r="W1120" s="4"/>
      <c r="X1120" s="4"/>
      <c r="Y1120" s="4"/>
      <c r="Z1120" s="4"/>
      <c r="AA1120" s="4"/>
      <c r="AB1120" s="4"/>
      <c r="AC1120" s="56"/>
      <c r="AD1120" s="23"/>
    </row>
    <row r="1121" spans="1:30" s="14" customFormat="1">
      <c r="A1121" s="79"/>
      <c r="B1121" s="9"/>
      <c r="C1121" s="142"/>
      <c r="D1121" s="5">
        <f t="shared" ref="D1121" si="1832">$C1120*D1120</f>
        <v>0</v>
      </c>
      <c r="E1121" s="5">
        <f t="shared" ref="E1121" si="1833">$C1120*E1120</f>
        <v>0</v>
      </c>
      <c r="F1121" s="5">
        <f t="shared" ref="F1121:N1121" si="1834">$C1120*F1120</f>
        <v>0</v>
      </c>
      <c r="G1121" s="5">
        <f t="shared" si="1834"/>
        <v>0</v>
      </c>
      <c r="H1121" s="5">
        <f t="shared" si="1834"/>
        <v>48155.620875000001</v>
      </c>
      <c r="I1121" s="5">
        <f t="shared" si="1834"/>
        <v>0</v>
      </c>
      <c r="J1121" s="5">
        <f t="shared" si="1834"/>
        <v>0</v>
      </c>
      <c r="K1121" s="5">
        <f t="shared" si="1834"/>
        <v>0</v>
      </c>
      <c r="L1121" s="5">
        <f t="shared" si="1834"/>
        <v>0</v>
      </c>
      <c r="M1121" s="5">
        <f t="shared" si="1834"/>
        <v>0</v>
      </c>
      <c r="N1121" s="5">
        <f t="shared" si="1834"/>
        <v>42351.037500000006</v>
      </c>
      <c r="O1121" s="5">
        <f t="shared" ref="O1121" si="1835">$C1120*O1120</f>
        <v>0</v>
      </c>
      <c r="P1121" s="5">
        <f t="shared" ref="P1121" si="1836">$C1120*P1120</f>
        <v>0</v>
      </c>
      <c r="Q1121" s="5">
        <f t="shared" ref="Q1121:AB1121" si="1837">$C1120*Q1120</f>
        <v>0</v>
      </c>
      <c r="R1121" s="5">
        <f t="shared" si="1837"/>
        <v>0</v>
      </c>
      <c r="S1121" s="5">
        <f t="shared" si="1837"/>
        <v>0</v>
      </c>
      <c r="T1121" s="5">
        <f t="shared" si="1837"/>
        <v>0</v>
      </c>
      <c r="U1121" s="5">
        <f t="shared" si="1837"/>
        <v>0</v>
      </c>
      <c r="V1121" s="5">
        <f t="shared" si="1837"/>
        <v>158617.091625</v>
      </c>
      <c r="W1121" s="5">
        <f t="shared" si="1837"/>
        <v>0</v>
      </c>
      <c r="X1121" s="5">
        <f t="shared" si="1837"/>
        <v>0</v>
      </c>
      <c r="Y1121" s="5">
        <f t="shared" si="1837"/>
        <v>0</v>
      </c>
      <c r="Z1121" s="5">
        <f t="shared" si="1837"/>
        <v>0</v>
      </c>
      <c r="AA1121" s="5">
        <f t="shared" si="1837"/>
        <v>0</v>
      </c>
      <c r="AB1121" s="5">
        <f t="shared" si="1837"/>
        <v>0</v>
      </c>
      <c r="AC1121" s="56"/>
      <c r="AD1121" s="23"/>
    </row>
    <row r="1122" spans="1:30" s="14" customFormat="1">
      <c r="A1122" s="78" t="s">
        <v>181</v>
      </c>
      <c r="B1122" s="207">
        <v>5302119</v>
      </c>
      <c r="C1122" s="142">
        <f t="shared" si="1768"/>
        <v>441843.25</v>
      </c>
      <c r="D1122" s="4"/>
      <c r="E1122" s="4"/>
      <c r="F1122" s="4">
        <v>4.7399999999999998E-2</v>
      </c>
      <c r="G1122" s="4"/>
      <c r="H1122" s="4"/>
      <c r="I1122" s="4"/>
      <c r="J1122" s="4"/>
      <c r="K1122" s="4"/>
      <c r="L1122" s="4"/>
      <c r="M1122" s="4"/>
      <c r="N1122" s="34"/>
      <c r="O1122" s="4"/>
      <c r="P1122" s="4"/>
      <c r="Q1122" s="4"/>
      <c r="R1122" s="4"/>
      <c r="S1122" s="4"/>
      <c r="T1122" s="4"/>
      <c r="U1122" s="4"/>
      <c r="V1122" s="4">
        <v>0.9526</v>
      </c>
      <c r="W1122" s="4"/>
      <c r="X1122" s="4"/>
      <c r="Y1122" s="4"/>
      <c r="Z1122" s="4"/>
      <c r="AA1122" s="4"/>
      <c r="AB1122" s="4"/>
      <c r="AC1122" s="56"/>
      <c r="AD1122" s="23"/>
    </row>
    <row r="1123" spans="1:30" s="14" customFormat="1">
      <c r="A1123" s="79"/>
      <c r="B1123" s="9"/>
      <c r="C1123" s="142"/>
      <c r="D1123" s="5">
        <f t="shared" ref="D1123" si="1838">$C1122*D1122</f>
        <v>0</v>
      </c>
      <c r="E1123" s="5">
        <f t="shared" ref="E1123" si="1839">$C1122*E1122</f>
        <v>0</v>
      </c>
      <c r="F1123" s="5">
        <f t="shared" ref="F1123:N1123" si="1840">$C1122*F1122</f>
        <v>20943.370049999998</v>
      </c>
      <c r="G1123" s="5">
        <f t="shared" si="1840"/>
        <v>0</v>
      </c>
      <c r="H1123" s="5">
        <f t="shared" si="1840"/>
        <v>0</v>
      </c>
      <c r="I1123" s="5">
        <f t="shared" si="1840"/>
        <v>0</v>
      </c>
      <c r="J1123" s="5">
        <f t="shared" si="1840"/>
        <v>0</v>
      </c>
      <c r="K1123" s="5">
        <f t="shared" si="1840"/>
        <v>0</v>
      </c>
      <c r="L1123" s="5">
        <f t="shared" si="1840"/>
        <v>0</v>
      </c>
      <c r="M1123" s="5">
        <f t="shared" si="1840"/>
        <v>0</v>
      </c>
      <c r="N1123" s="5">
        <f t="shared" si="1840"/>
        <v>0</v>
      </c>
      <c r="O1123" s="5">
        <f t="shared" ref="O1123" si="1841">$C1122*O1122</f>
        <v>0</v>
      </c>
      <c r="P1123" s="5">
        <f t="shared" ref="P1123" si="1842">$C1122*P1122</f>
        <v>0</v>
      </c>
      <c r="Q1123" s="5">
        <f t="shared" ref="Q1123:AB1123" si="1843">$C1122*Q1122</f>
        <v>0</v>
      </c>
      <c r="R1123" s="5">
        <f t="shared" si="1843"/>
        <v>0</v>
      </c>
      <c r="S1123" s="5">
        <f t="shared" si="1843"/>
        <v>0</v>
      </c>
      <c r="T1123" s="5">
        <f t="shared" si="1843"/>
        <v>0</v>
      </c>
      <c r="U1123" s="5">
        <f t="shared" si="1843"/>
        <v>0</v>
      </c>
      <c r="V1123" s="5">
        <f t="shared" si="1843"/>
        <v>420899.87994999997</v>
      </c>
      <c r="W1123" s="5">
        <f t="shared" si="1843"/>
        <v>0</v>
      </c>
      <c r="X1123" s="5">
        <f t="shared" si="1843"/>
        <v>0</v>
      </c>
      <c r="Y1123" s="5">
        <f t="shared" si="1843"/>
        <v>0</v>
      </c>
      <c r="Z1123" s="5">
        <f t="shared" si="1843"/>
        <v>0</v>
      </c>
      <c r="AA1123" s="5">
        <f t="shared" si="1843"/>
        <v>0</v>
      </c>
      <c r="AB1123" s="5">
        <f t="shared" si="1843"/>
        <v>0</v>
      </c>
      <c r="AC1123" s="56"/>
      <c r="AD1123" s="23"/>
    </row>
    <row r="1124" spans="1:30" s="14" customFormat="1">
      <c r="A1124" s="78" t="s">
        <v>236</v>
      </c>
      <c r="B1124" s="207">
        <v>893665</v>
      </c>
      <c r="C1124" s="142">
        <f t="shared" si="1768"/>
        <v>74472.08</v>
      </c>
      <c r="D1124" s="4"/>
      <c r="E1124" s="4"/>
      <c r="F1124" s="4"/>
      <c r="G1124" s="4"/>
      <c r="H1124" s="4">
        <v>0.33050000000000002</v>
      </c>
      <c r="I1124" s="4"/>
      <c r="J1124" s="4"/>
      <c r="K1124" s="4"/>
      <c r="L1124" s="4"/>
      <c r="M1124" s="4">
        <v>1.38E-2</v>
      </c>
      <c r="N1124" s="34"/>
      <c r="O1124" s="4"/>
      <c r="P1124" s="4"/>
      <c r="Q1124" s="4"/>
      <c r="R1124" s="4"/>
      <c r="S1124" s="4"/>
      <c r="T1124" s="4">
        <v>1.35E-2</v>
      </c>
      <c r="U1124" s="4"/>
      <c r="V1124" s="4">
        <v>0.64219999999999999</v>
      </c>
      <c r="W1124" s="4"/>
      <c r="X1124" s="4"/>
      <c r="Y1124" s="4"/>
      <c r="Z1124" s="4"/>
      <c r="AA1124" s="4"/>
      <c r="AB1124" s="4"/>
      <c r="AC1124" s="56"/>
      <c r="AD1124" s="23"/>
    </row>
    <row r="1125" spans="1:30" s="14" customFormat="1">
      <c r="A1125" s="79"/>
      <c r="B1125" s="9"/>
      <c r="C1125" s="142"/>
      <c r="D1125" s="5">
        <f t="shared" ref="D1125" si="1844">$C1124*D1124</f>
        <v>0</v>
      </c>
      <c r="E1125" s="5">
        <f t="shared" ref="E1125" si="1845">$C1124*E1124</f>
        <v>0</v>
      </c>
      <c r="F1125" s="5">
        <f t="shared" ref="F1125:N1125" si="1846">$C1124*F1124</f>
        <v>0</v>
      </c>
      <c r="G1125" s="5">
        <f t="shared" si="1846"/>
        <v>0</v>
      </c>
      <c r="H1125" s="5">
        <f t="shared" si="1846"/>
        <v>24613.022440000001</v>
      </c>
      <c r="I1125" s="5">
        <f t="shared" si="1846"/>
        <v>0</v>
      </c>
      <c r="J1125" s="5">
        <f t="shared" si="1846"/>
        <v>0</v>
      </c>
      <c r="K1125" s="5">
        <f t="shared" si="1846"/>
        <v>0</v>
      </c>
      <c r="L1125" s="5">
        <f t="shared" si="1846"/>
        <v>0</v>
      </c>
      <c r="M1125" s="5">
        <f t="shared" si="1846"/>
        <v>1027.714704</v>
      </c>
      <c r="N1125" s="5">
        <f t="shared" si="1846"/>
        <v>0</v>
      </c>
      <c r="O1125" s="5">
        <f t="shared" ref="O1125" si="1847">$C1124*O1124</f>
        <v>0</v>
      </c>
      <c r="P1125" s="5">
        <f t="shared" ref="P1125" si="1848">$C1124*P1124</f>
        <v>0</v>
      </c>
      <c r="Q1125" s="5">
        <f t="shared" ref="Q1125:AB1125" si="1849">$C1124*Q1124</f>
        <v>0</v>
      </c>
      <c r="R1125" s="5">
        <f t="shared" si="1849"/>
        <v>0</v>
      </c>
      <c r="S1125" s="5">
        <f t="shared" si="1849"/>
        <v>0</v>
      </c>
      <c r="T1125" s="5">
        <f t="shared" si="1849"/>
        <v>1005.37308</v>
      </c>
      <c r="U1125" s="5">
        <f t="shared" si="1849"/>
        <v>0</v>
      </c>
      <c r="V1125" s="5">
        <f t="shared" si="1849"/>
        <v>47825.969775999998</v>
      </c>
      <c r="W1125" s="5">
        <f t="shared" si="1849"/>
        <v>0</v>
      </c>
      <c r="X1125" s="5">
        <f t="shared" si="1849"/>
        <v>0</v>
      </c>
      <c r="Y1125" s="5">
        <f t="shared" si="1849"/>
        <v>0</v>
      </c>
      <c r="Z1125" s="5">
        <f t="shared" si="1849"/>
        <v>0</v>
      </c>
      <c r="AA1125" s="5">
        <f t="shared" si="1849"/>
        <v>0</v>
      </c>
      <c r="AB1125" s="5">
        <f t="shared" si="1849"/>
        <v>0</v>
      </c>
      <c r="AC1125" s="56"/>
      <c r="AD1125" s="23"/>
    </row>
    <row r="1126" spans="1:30" s="14" customFormat="1">
      <c r="A1126" s="78" t="s">
        <v>517</v>
      </c>
      <c r="B1126" s="207">
        <v>817732</v>
      </c>
      <c r="C1126" s="142">
        <f t="shared" si="1768"/>
        <v>68144.33</v>
      </c>
      <c r="D1126" s="4">
        <v>1.7500000000000002E-2</v>
      </c>
      <c r="E1126" s="4"/>
      <c r="F1126" s="4">
        <v>0.19700000000000001</v>
      </c>
      <c r="G1126" s="4"/>
      <c r="H1126" s="4">
        <v>0.2213</v>
      </c>
      <c r="I1126" s="4"/>
      <c r="J1126" s="4"/>
      <c r="K1126" s="4"/>
      <c r="L1126" s="4"/>
      <c r="M1126" s="4">
        <v>3.6999999999999998E-2</v>
      </c>
      <c r="N1126" s="34"/>
      <c r="O1126" s="4"/>
      <c r="P1126" s="4"/>
      <c r="Q1126" s="4">
        <v>7.1000000000000004E-3</v>
      </c>
      <c r="R1126" s="4">
        <v>2.4799999999999999E-2</v>
      </c>
      <c r="S1126" s="4">
        <v>5.9999999999999995E-4</v>
      </c>
      <c r="T1126" s="4">
        <v>5.5399999999999998E-2</v>
      </c>
      <c r="U1126" s="4"/>
      <c r="V1126" s="4">
        <v>0.41860000000000003</v>
      </c>
      <c r="W1126" s="4">
        <v>2.07E-2</v>
      </c>
      <c r="X1126" s="4"/>
      <c r="Y1126" s="4"/>
      <c r="Z1126" s="4"/>
      <c r="AA1126" s="4"/>
      <c r="AB1126" s="4"/>
      <c r="AC1126" s="56"/>
      <c r="AD1126" s="23"/>
    </row>
    <row r="1127" spans="1:30" s="14" customFormat="1">
      <c r="A1127" s="79"/>
      <c r="B1127" s="9"/>
      <c r="C1127" s="142"/>
      <c r="D1127" s="5">
        <f t="shared" ref="D1127" si="1850">$C1126*D1126</f>
        <v>1192.5257750000001</v>
      </c>
      <c r="E1127" s="5">
        <f t="shared" ref="E1127" si="1851">$C1126*E1126</f>
        <v>0</v>
      </c>
      <c r="F1127" s="5">
        <f t="shared" ref="F1127:AB1127" si="1852">$C1126*F1126</f>
        <v>13424.433010000001</v>
      </c>
      <c r="G1127" s="5">
        <f t="shared" si="1852"/>
        <v>0</v>
      </c>
      <c r="H1127" s="5">
        <f t="shared" si="1852"/>
        <v>15080.340228999999</v>
      </c>
      <c r="I1127" s="5">
        <f t="shared" si="1852"/>
        <v>0</v>
      </c>
      <c r="J1127" s="5">
        <f t="shared" si="1852"/>
        <v>0</v>
      </c>
      <c r="K1127" s="5">
        <f t="shared" si="1852"/>
        <v>0</v>
      </c>
      <c r="L1127" s="5">
        <f t="shared" si="1852"/>
        <v>0</v>
      </c>
      <c r="M1127" s="5">
        <f t="shared" si="1852"/>
        <v>2521.3402099999998</v>
      </c>
      <c r="N1127" s="5">
        <f t="shared" si="1852"/>
        <v>0</v>
      </c>
      <c r="O1127" s="5">
        <f t="shared" si="1852"/>
        <v>0</v>
      </c>
      <c r="P1127" s="5">
        <f t="shared" si="1852"/>
        <v>0</v>
      </c>
      <c r="Q1127" s="5">
        <f t="shared" si="1852"/>
        <v>483.82474300000001</v>
      </c>
      <c r="R1127" s="5">
        <f t="shared" si="1852"/>
        <v>1689.979384</v>
      </c>
      <c r="S1127" s="5">
        <f t="shared" si="1852"/>
        <v>40.886597999999999</v>
      </c>
      <c r="T1127" s="5">
        <f t="shared" si="1852"/>
        <v>3775.195882</v>
      </c>
      <c r="U1127" s="5">
        <f t="shared" si="1852"/>
        <v>0</v>
      </c>
      <c r="V1127" s="5">
        <f t="shared" si="1852"/>
        <v>28525.216538000004</v>
      </c>
      <c r="W1127" s="5">
        <f t="shared" si="1852"/>
        <v>1410.5876310000001</v>
      </c>
      <c r="X1127" s="5">
        <f t="shared" si="1852"/>
        <v>0</v>
      </c>
      <c r="Y1127" s="5">
        <f t="shared" si="1852"/>
        <v>0</v>
      </c>
      <c r="Z1127" s="5">
        <f t="shared" si="1852"/>
        <v>0</v>
      </c>
      <c r="AA1127" s="5">
        <f t="shared" si="1852"/>
        <v>0</v>
      </c>
      <c r="AB1127" s="5">
        <f t="shared" si="1852"/>
        <v>0</v>
      </c>
      <c r="AC1127" s="56"/>
      <c r="AD1127" s="23"/>
    </row>
    <row r="1128" spans="1:30" s="14" customFormat="1">
      <c r="A1128" s="78" t="s">
        <v>518</v>
      </c>
      <c r="B1128" s="207">
        <v>3946268</v>
      </c>
      <c r="C1128" s="142">
        <f t="shared" si="1768"/>
        <v>328855.67</v>
      </c>
      <c r="D1128" s="4"/>
      <c r="E1128" s="4"/>
      <c r="F1128" s="4">
        <v>4.7399999999999998E-2</v>
      </c>
      <c r="G1128" s="4"/>
      <c r="H1128" s="4"/>
      <c r="I1128" s="4"/>
      <c r="J1128" s="4"/>
      <c r="K1128" s="4"/>
      <c r="L1128" s="4"/>
      <c r="M1128" s="4"/>
      <c r="N1128" s="34"/>
      <c r="O1128" s="4"/>
      <c r="P1128" s="4"/>
      <c r="Q1128" s="4"/>
      <c r="R1128" s="4"/>
      <c r="S1128" s="4"/>
      <c r="T1128" s="4"/>
      <c r="U1128" s="4"/>
      <c r="V1128" s="4">
        <v>0.9526</v>
      </c>
      <c r="W1128" s="4"/>
      <c r="X1128" s="4"/>
      <c r="Y1128" s="4"/>
      <c r="Z1128" s="4"/>
      <c r="AA1128" s="4"/>
      <c r="AB1128" s="4"/>
      <c r="AC1128" s="56"/>
      <c r="AD1128" s="23"/>
    </row>
    <row r="1129" spans="1:30" s="14" customFormat="1">
      <c r="A1129" s="79"/>
      <c r="B1129" s="9"/>
      <c r="C1129" s="142"/>
      <c r="D1129" s="5">
        <f t="shared" ref="D1129" si="1853">$C1128*D1128</f>
        <v>0</v>
      </c>
      <c r="E1129" s="5">
        <f t="shared" ref="E1129" si="1854">$C1128*E1128</f>
        <v>0</v>
      </c>
      <c r="F1129" s="5">
        <f t="shared" ref="F1129:AB1129" si="1855">$C1128*F1128</f>
        <v>15587.758757999998</v>
      </c>
      <c r="G1129" s="5">
        <f t="shared" si="1855"/>
        <v>0</v>
      </c>
      <c r="H1129" s="5">
        <f t="shared" si="1855"/>
        <v>0</v>
      </c>
      <c r="I1129" s="5">
        <f t="shared" si="1855"/>
        <v>0</v>
      </c>
      <c r="J1129" s="5">
        <f t="shared" si="1855"/>
        <v>0</v>
      </c>
      <c r="K1129" s="5">
        <f t="shared" si="1855"/>
        <v>0</v>
      </c>
      <c r="L1129" s="5">
        <f t="shared" si="1855"/>
        <v>0</v>
      </c>
      <c r="M1129" s="5">
        <f t="shared" si="1855"/>
        <v>0</v>
      </c>
      <c r="N1129" s="5">
        <f t="shared" si="1855"/>
        <v>0</v>
      </c>
      <c r="O1129" s="5">
        <f t="shared" si="1855"/>
        <v>0</v>
      </c>
      <c r="P1129" s="5">
        <f t="shared" si="1855"/>
        <v>0</v>
      </c>
      <c r="Q1129" s="5">
        <f t="shared" si="1855"/>
        <v>0</v>
      </c>
      <c r="R1129" s="5">
        <f t="shared" si="1855"/>
        <v>0</v>
      </c>
      <c r="S1129" s="5">
        <f t="shared" si="1855"/>
        <v>0</v>
      </c>
      <c r="T1129" s="5">
        <f t="shared" si="1855"/>
        <v>0</v>
      </c>
      <c r="U1129" s="5">
        <f t="shared" si="1855"/>
        <v>0</v>
      </c>
      <c r="V1129" s="5">
        <f t="shared" si="1855"/>
        <v>313267.911242</v>
      </c>
      <c r="W1129" s="5">
        <f t="shared" si="1855"/>
        <v>0</v>
      </c>
      <c r="X1129" s="5">
        <f t="shared" si="1855"/>
        <v>0</v>
      </c>
      <c r="Y1129" s="5">
        <f t="shared" si="1855"/>
        <v>0</v>
      </c>
      <c r="Z1129" s="5">
        <f t="shared" si="1855"/>
        <v>0</v>
      </c>
      <c r="AA1129" s="5">
        <f t="shared" si="1855"/>
        <v>0</v>
      </c>
      <c r="AB1129" s="5">
        <f t="shared" si="1855"/>
        <v>0</v>
      </c>
      <c r="AC1129" s="56"/>
      <c r="AD1129" s="23"/>
    </row>
    <row r="1130" spans="1:30" s="14" customFormat="1">
      <c r="A1130" s="78" t="s">
        <v>519</v>
      </c>
      <c r="B1130" s="207">
        <v>962585</v>
      </c>
      <c r="C1130" s="130">
        <f t="shared" si="1768"/>
        <v>80215.42</v>
      </c>
      <c r="D1130" s="4">
        <v>8.0000000000000002E-3</v>
      </c>
      <c r="E1130" s="4"/>
      <c r="F1130" s="4"/>
      <c r="G1130" s="4"/>
      <c r="H1130" s="4">
        <v>0.33679999999999999</v>
      </c>
      <c r="I1130" s="4"/>
      <c r="J1130" s="4"/>
      <c r="K1130" s="4"/>
      <c r="L1130" s="4"/>
      <c r="M1130" s="4">
        <v>2.0899999999999998E-2</v>
      </c>
      <c r="N1130" s="34"/>
      <c r="O1130" s="4"/>
      <c r="P1130" s="4"/>
      <c r="Q1130" s="4"/>
      <c r="R1130" s="4"/>
      <c r="S1130" s="4"/>
      <c r="T1130" s="4">
        <v>3.0700000000000002E-2</v>
      </c>
      <c r="U1130" s="4"/>
      <c r="V1130" s="4">
        <v>0.60360000000000003</v>
      </c>
      <c r="W1130" s="4"/>
      <c r="X1130" s="4"/>
      <c r="Y1130" s="4"/>
      <c r="Z1130" s="4"/>
      <c r="AA1130" s="4"/>
      <c r="AB1130" s="4"/>
      <c r="AC1130" s="56"/>
      <c r="AD1130" s="23"/>
    </row>
    <row r="1131" spans="1:30" s="14" customFormat="1">
      <c r="A1131" s="79"/>
      <c r="B1131" s="9"/>
      <c r="C1131" s="129"/>
      <c r="D1131" s="5">
        <f t="shared" ref="D1131" si="1856">$C1130*D1130</f>
        <v>641.72335999999996</v>
      </c>
      <c r="E1131" s="5">
        <f t="shared" ref="E1131" si="1857">$C1130*E1130</f>
        <v>0</v>
      </c>
      <c r="F1131" s="5">
        <f t="shared" ref="F1131:AB1131" si="1858">$C1130*F1130</f>
        <v>0</v>
      </c>
      <c r="G1131" s="5">
        <f t="shared" si="1858"/>
        <v>0</v>
      </c>
      <c r="H1131" s="5">
        <f t="shared" si="1858"/>
        <v>27016.553455999998</v>
      </c>
      <c r="I1131" s="5">
        <f t="shared" si="1858"/>
        <v>0</v>
      </c>
      <c r="J1131" s="5">
        <f t="shared" si="1858"/>
        <v>0</v>
      </c>
      <c r="K1131" s="5">
        <f t="shared" si="1858"/>
        <v>0</v>
      </c>
      <c r="L1131" s="5">
        <f t="shared" si="1858"/>
        <v>0</v>
      </c>
      <c r="M1131" s="5">
        <f t="shared" si="1858"/>
        <v>1676.5022779999999</v>
      </c>
      <c r="N1131" s="5">
        <f t="shared" si="1858"/>
        <v>0</v>
      </c>
      <c r="O1131" s="5">
        <f t="shared" si="1858"/>
        <v>0</v>
      </c>
      <c r="P1131" s="5">
        <f t="shared" si="1858"/>
        <v>0</v>
      </c>
      <c r="Q1131" s="5">
        <f t="shared" si="1858"/>
        <v>0</v>
      </c>
      <c r="R1131" s="5">
        <f t="shared" si="1858"/>
        <v>0</v>
      </c>
      <c r="S1131" s="5">
        <f t="shared" si="1858"/>
        <v>0</v>
      </c>
      <c r="T1131" s="5">
        <f t="shared" si="1858"/>
        <v>2462.613394</v>
      </c>
      <c r="U1131" s="5">
        <f t="shared" si="1858"/>
        <v>0</v>
      </c>
      <c r="V1131" s="5">
        <f t="shared" si="1858"/>
        <v>48418.027512000001</v>
      </c>
      <c r="W1131" s="5">
        <f t="shared" si="1858"/>
        <v>0</v>
      </c>
      <c r="X1131" s="5">
        <f t="shared" si="1858"/>
        <v>0</v>
      </c>
      <c r="Y1131" s="5">
        <f t="shared" si="1858"/>
        <v>0</v>
      </c>
      <c r="Z1131" s="5">
        <f t="shared" si="1858"/>
        <v>0</v>
      </c>
      <c r="AA1131" s="5">
        <f t="shared" si="1858"/>
        <v>0</v>
      </c>
      <c r="AB1131" s="5">
        <f t="shared" si="1858"/>
        <v>0</v>
      </c>
      <c r="AC1131" s="56"/>
      <c r="AD1131" s="23"/>
    </row>
    <row r="1132" spans="1:30" s="14" customFormat="1">
      <c r="A1132" s="13" t="s">
        <v>50</v>
      </c>
      <c r="B1132" s="6">
        <f>SUM(B1092:B1130)</f>
        <v>30120137</v>
      </c>
      <c r="C1132" s="131">
        <f>SUM(C1092:C1130)</f>
        <v>2510011.44</v>
      </c>
      <c r="D1132" s="6">
        <f>D1093+D1095+D1097+D1099+D1101+D1103+D1105+D1107+D1109+D1111+D1113+D1115+D1117+D1119+D1121+D1123+D1125+D1127+D1129+D1131</f>
        <v>9958.3592710000012</v>
      </c>
      <c r="E1132" s="6">
        <f>E1093+E1095+E1097+E1099+E1101+E1103+E1105+E1107+E1109+E1111+E1113+E1115+E1117+E1119+E1121+E1123+E1125+E1127+E1129+E1131</f>
        <v>4362.8099099999999</v>
      </c>
      <c r="F1132" s="6">
        <f t="shared" ref="F1132" si="1859">F1093+F1095+F1097+F1099+F1101+F1103+F1105+F1107+F1109+F1111+F1113+F1115+F1117+F1119+F1121+F1123+F1125+F1127+F1129+F1131</f>
        <v>72127.971726999996</v>
      </c>
      <c r="G1132" s="6">
        <f t="shared" ref="G1132" si="1860">G1093+G1095+G1097+G1099+G1101+G1103+G1105+G1107+G1109+G1111+G1113+G1115+G1117+G1119+G1121+G1123+G1125+G1127+G1129+G1131</f>
        <v>2329.6854600000006</v>
      </c>
      <c r="H1132" s="6">
        <f t="shared" ref="H1132:AB1132" si="1861">H1093+H1095+H1097+H1099+H1101+H1103+H1105+H1107+H1109+H1111+H1113+H1115+H1117+H1119+H1121+H1123+H1125+H1127+H1129+H1131</f>
        <v>328458.19012799999</v>
      </c>
      <c r="I1132" s="6">
        <f t="shared" si="1861"/>
        <v>3812.4905100000005</v>
      </c>
      <c r="J1132" s="6">
        <f t="shared" si="1861"/>
        <v>623.69532000000004</v>
      </c>
      <c r="K1132" s="6">
        <f t="shared" si="1861"/>
        <v>953.88695999999993</v>
      </c>
      <c r="L1132" s="6">
        <f t="shared" si="1861"/>
        <v>495.28746000000001</v>
      </c>
      <c r="M1132" s="6">
        <f t="shared" si="1861"/>
        <v>21358.538827</v>
      </c>
      <c r="N1132" s="6">
        <f t="shared" si="1861"/>
        <v>64930.633425000007</v>
      </c>
      <c r="O1132" s="6">
        <f t="shared" si="1861"/>
        <v>690.95658000000003</v>
      </c>
      <c r="P1132" s="6">
        <f t="shared" si="1861"/>
        <v>0</v>
      </c>
      <c r="Q1132" s="6">
        <f t="shared" si="1861"/>
        <v>15236.164962000001</v>
      </c>
      <c r="R1132" s="6">
        <f t="shared" si="1861"/>
        <v>7494.3729659999999</v>
      </c>
      <c r="S1132" s="6">
        <f t="shared" si="1861"/>
        <v>1443.8539030000002</v>
      </c>
      <c r="T1132" s="6">
        <f t="shared" si="1861"/>
        <v>29408.386329000001</v>
      </c>
      <c r="U1132" s="6">
        <f t="shared" si="1861"/>
        <v>535.03275000000008</v>
      </c>
      <c r="V1132" s="6">
        <f t="shared" si="1861"/>
        <v>1913031.1339369998</v>
      </c>
      <c r="W1132" s="6">
        <f t="shared" si="1861"/>
        <v>9794.4966220000024</v>
      </c>
      <c r="X1132" s="6">
        <f t="shared" si="1861"/>
        <v>22204.998837000006</v>
      </c>
      <c r="Y1132" s="6">
        <f t="shared" si="1861"/>
        <v>609.81547</v>
      </c>
      <c r="Z1132" s="6">
        <f t="shared" si="1861"/>
        <v>129.27733600000002</v>
      </c>
      <c r="AA1132" s="6">
        <f t="shared" si="1861"/>
        <v>21.401310000000002</v>
      </c>
      <c r="AB1132" s="6">
        <f t="shared" si="1861"/>
        <v>0</v>
      </c>
      <c r="AC1132" s="56"/>
      <c r="AD1132" s="23"/>
    </row>
    <row r="1133" spans="1:30" s="14" customFormat="1">
      <c r="A1133" s="13"/>
      <c r="B1133" s="6"/>
      <c r="C1133" s="131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56"/>
      <c r="AD1133" s="23"/>
    </row>
    <row r="1134" spans="1:30" s="14" customFormat="1">
      <c r="A1134" s="69"/>
      <c r="B1134" s="23"/>
      <c r="C1134" s="132"/>
      <c r="AC1134" s="56"/>
      <c r="AD1134" s="23"/>
    </row>
    <row r="1135" spans="1:30" s="14" customFormat="1" ht="13.8" thickBot="1">
      <c r="A1135" s="66" t="s">
        <v>507</v>
      </c>
      <c r="B1135" s="65"/>
      <c r="C1135" s="124"/>
      <c r="D1135" s="65"/>
      <c r="E1135" s="65"/>
      <c r="F1135" s="65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56"/>
      <c r="AD1135" s="23"/>
    </row>
    <row r="1136" spans="1:30" s="14" customFormat="1" ht="13.8" thickBot="1">
      <c r="A1136" s="93" t="s">
        <v>1</v>
      </c>
      <c r="B1136" s="94" t="s">
        <v>2</v>
      </c>
      <c r="C1136" s="125" t="s">
        <v>3</v>
      </c>
      <c r="D1136" s="211" t="s">
        <v>4</v>
      </c>
      <c r="E1136" s="212"/>
      <c r="F1136" s="212"/>
      <c r="G1136" s="212"/>
      <c r="H1136" s="212"/>
      <c r="I1136" s="212"/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103"/>
      <c r="AA1136" s="103"/>
      <c r="AB1136" s="103"/>
      <c r="AC1136" s="56"/>
      <c r="AD1136" s="23"/>
    </row>
    <row r="1137" spans="1:30" s="14" customFormat="1">
      <c r="A1137" s="95" t="s">
        <v>5</v>
      </c>
      <c r="B1137" s="96" t="s">
        <v>6</v>
      </c>
      <c r="C1137" s="126" t="s">
        <v>6</v>
      </c>
      <c r="D1137" s="97"/>
      <c r="E1137" s="98"/>
      <c r="F1137" s="98"/>
      <c r="G1137" s="98"/>
      <c r="H1137" s="98"/>
      <c r="I1137" s="98"/>
      <c r="J1137" s="98"/>
      <c r="K1137" s="98"/>
      <c r="L1137" s="98"/>
      <c r="M1137" s="98"/>
      <c r="N1137" s="98"/>
      <c r="O1137" s="98"/>
      <c r="P1137" s="98"/>
      <c r="Q1137" s="98"/>
      <c r="R1137" s="98"/>
      <c r="S1137" s="98"/>
      <c r="T1137" s="98"/>
      <c r="U1137" s="98"/>
      <c r="V1137" s="98"/>
      <c r="W1137" s="98"/>
      <c r="X1137" s="98"/>
      <c r="Y1137" s="99"/>
      <c r="Z1137" s="96" t="s">
        <v>7</v>
      </c>
      <c r="AA1137" s="96"/>
      <c r="AB1137" s="96"/>
      <c r="AC1137" s="56"/>
      <c r="AD1137" s="23"/>
    </row>
    <row r="1138" spans="1:30" s="14" customFormat="1">
      <c r="A1138" s="95" t="s">
        <v>8</v>
      </c>
      <c r="B1138" s="96" t="s">
        <v>9</v>
      </c>
      <c r="C1138" s="126" t="s">
        <v>9</v>
      </c>
      <c r="D1138" s="100" t="s">
        <v>10</v>
      </c>
      <c r="E1138" s="96" t="s">
        <v>11</v>
      </c>
      <c r="F1138" s="96" t="s">
        <v>12</v>
      </c>
      <c r="G1138" s="96" t="s">
        <v>13</v>
      </c>
      <c r="H1138" s="96" t="s">
        <v>14</v>
      </c>
      <c r="I1138" s="96" t="s">
        <v>15</v>
      </c>
      <c r="J1138" s="96" t="s">
        <v>16</v>
      </c>
      <c r="K1138" s="96" t="s">
        <v>17</v>
      </c>
      <c r="L1138" s="96" t="s">
        <v>18</v>
      </c>
      <c r="M1138" s="96" t="s">
        <v>19</v>
      </c>
      <c r="N1138" s="96" t="s">
        <v>20</v>
      </c>
      <c r="O1138" s="96" t="s">
        <v>169</v>
      </c>
      <c r="P1138" s="96" t="s">
        <v>21</v>
      </c>
      <c r="Q1138" s="96" t="s">
        <v>22</v>
      </c>
      <c r="R1138" s="96" t="s">
        <v>23</v>
      </c>
      <c r="S1138" s="96" t="s">
        <v>24</v>
      </c>
      <c r="T1138" s="96" t="s">
        <v>25</v>
      </c>
      <c r="U1138" s="96" t="s">
        <v>26</v>
      </c>
      <c r="V1138" s="96" t="s">
        <v>27</v>
      </c>
      <c r="W1138" s="96" t="s">
        <v>28</v>
      </c>
      <c r="X1138" s="96" t="s">
        <v>29</v>
      </c>
      <c r="Y1138" s="96" t="s">
        <v>30</v>
      </c>
      <c r="Z1138" s="96" t="s">
        <v>31</v>
      </c>
      <c r="AA1138" s="96" t="s">
        <v>484</v>
      </c>
      <c r="AB1138" s="96" t="s">
        <v>467</v>
      </c>
      <c r="AC1138" s="56"/>
      <c r="AD1138" s="23"/>
    </row>
    <row r="1139" spans="1:30" s="14" customFormat="1">
      <c r="A1139" s="95"/>
      <c r="B1139" s="96"/>
      <c r="C1139" s="126" t="s">
        <v>746</v>
      </c>
      <c r="D1139" s="101"/>
      <c r="E1139" s="102"/>
      <c r="F1139" s="102"/>
      <c r="G1139" s="102"/>
      <c r="H1139" s="102"/>
      <c r="I1139" s="102"/>
      <c r="J1139" s="102"/>
      <c r="K1139" s="102"/>
      <c r="L1139" s="102"/>
      <c r="M1139" s="102"/>
      <c r="N1139" s="102"/>
      <c r="O1139" s="102"/>
      <c r="P1139" s="102"/>
      <c r="Q1139" s="102"/>
      <c r="R1139" s="102"/>
      <c r="S1139" s="102"/>
      <c r="T1139" s="102"/>
      <c r="U1139" s="102"/>
      <c r="V1139" s="102"/>
      <c r="W1139" s="102"/>
      <c r="X1139" s="102"/>
      <c r="Y1139" s="102"/>
      <c r="Z1139" s="102"/>
      <c r="AA1139" s="102"/>
      <c r="AB1139" s="102"/>
      <c r="AC1139" s="56"/>
      <c r="AD1139" s="23"/>
    </row>
    <row r="1140" spans="1:30" s="14" customFormat="1">
      <c r="A1140" s="78" t="s">
        <v>577</v>
      </c>
      <c r="B1140" s="15">
        <v>23029624</v>
      </c>
      <c r="C1140" s="130">
        <f>ROUND(B1140/12,2)</f>
        <v>1919135.33</v>
      </c>
      <c r="D1140" s="2"/>
      <c r="E1140" s="2"/>
      <c r="F1140" s="4">
        <v>6.7400000000000002E-2</v>
      </c>
      <c r="G1140" s="16"/>
      <c r="H1140" s="2"/>
      <c r="I1140" s="2"/>
      <c r="J1140" s="2"/>
      <c r="K1140" s="2"/>
      <c r="L1140" s="4">
        <v>0.93259999999999998</v>
      </c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56"/>
      <c r="AD1140" s="23"/>
    </row>
    <row r="1141" spans="1:30" s="14" customFormat="1">
      <c r="A1141" s="80"/>
      <c r="B1141" s="1"/>
      <c r="C1141" s="130"/>
      <c r="D1141" s="5">
        <f t="shared" ref="D1141" si="1862">$C1140*D1140</f>
        <v>0</v>
      </c>
      <c r="E1141" s="5">
        <f t="shared" ref="E1141" si="1863">$C1140*E1140</f>
        <v>0</v>
      </c>
      <c r="F1141" s="5">
        <f t="shared" ref="F1141:AB1141" si="1864">$C1140*F1140</f>
        <v>129349.72124200001</v>
      </c>
      <c r="G1141" s="5">
        <f t="shared" si="1864"/>
        <v>0</v>
      </c>
      <c r="H1141" s="5">
        <f t="shared" si="1864"/>
        <v>0</v>
      </c>
      <c r="I1141" s="5">
        <f t="shared" si="1864"/>
        <v>0</v>
      </c>
      <c r="J1141" s="5">
        <f t="shared" si="1864"/>
        <v>0</v>
      </c>
      <c r="K1141" s="5">
        <f t="shared" si="1864"/>
        <v>0</v>
      </c>
      <c r="L1141" s="5">
        <f t="shared" si="1864"/>
        <v>1789785.608758</v>
      </c>
      <c r="M1141" s="5">
        <f t="shared" si="1864"/>
        <v>0</v>
      </c>
      <c r="N1141" s="5">
        <f t="shared" si="1864"/>
        <v>0</v>
      </c>
      <c r="O1141" s="5">
        <f t="shared" si="1864"/>
        <v>0</v>
      </c>
      <c r="P1141" s="5">
        <f t="shared" si="1864"/>
        <v>0</v>
      </c>
      <c r="Q1141" s="5">
        <f t="shared" si="1864"/>
        <v>0</v>
      </c>
      <c r="R1141" s="5">
        <f t="shared" si="1864"/>
        <v>0</v>
      </c>
      <c r="S1141" s="5">
        <f t="shared" si="1864"/>
        <v>0</v>
      </c>
      <c r="T1141" s="5">
        <f t="shared" si="1864"/>
        <v>0</v>
      </c>
      <c r="U1141" s="5">
        <f t="shared" si="1864"/>
        <v>0</v>
      </c>
      <c r="V1141" s="5">
        <f t="shared" si="1864"/>
        <v>0</v>
      </c>
      <c r="W1141" s="5">
        <f t="shared" si="1864"/>
        <v>0</v>
      </c>
      <c r="X1141" s="5">
        <f t="shared" si="1864"/>
        <v>0</v>
      </c>
      <c r="Y1141" s="5">
        <f t="shared" si="1864"/>
        <v>0</v>
      </c>
      <c r="Z1141" s="5">
        <f t="shared" si="1864"/>
        <v>0</v>
      </c>
      <c r="AA1141" s="5">
        <f t="shared" si="1864"/>
        <v>0</v>
      </c>
      <c r="AB1141" s="5">
        <f t="shared" si="1864"/>
        <v>0</v>
      </c>
      <c r="AC1141" s="56"/>
      <c r="AD1141" s="23"/>
    </row>
    <row r="1142" spans="1:30" s="14" customFormat="1">
      <c r="A1142" s="78" t="s">
        <v>146</v>
      </c>
      <c r="B1142" s="26">
        <v>422819</v>
      </c>
      <c r="C1142" s="130">
        <f t="shared" ref="C1142:C1150" si="1865">ROUND(B1142/12,2)</f>
        <v>35234.92</v>
      </c>
      <c r="D1142" s="4"/>
      <c r="E1142" s="4"/>
      <c r="F1142" s="4">
        <v>0.9698</v>
      </c>
      <c r="G1142" s="4"/>
      <c r="H1142" s="4"/>
      <c r="I1142" s="4"/>
      <c r="J1142" s="4"/>
      <c r="K1142" s="4"/>
      <c r="L1142" s="4">
        <v>3.0200000000000001E-2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56"/>
      <c r="AD1142" s="23"/>
    </row>
    <row r="1143" spans="1:30" s="14" customFormat="1">
      <c r="A1143" s="79"/>
      <c r="B1143" s="9"/>
      <c r="C1143" s="130"/>
      <c r="D1143" s="5">
        <f t="shared" ref="D1143:S1147" si="1866">$C1142*D1142</f>
        <v>0</v>
      </c>
      <c r="E1143" s="5">
        <f t="shared" ref="E1143:T1145" si="1867">$C1142*E1142</f>
        <v>0</v>
      </c>
      <c r="F1143" s="5">
        <f t="shared" ref="F1143:AB1143" si="1868">$C1142*F1142</f>
        <v>34170.825416</v>
      </c>
      <c r="G1143" s="5">
        <f t="shared" si="1868"/>
        <v>0</v>
      </c>
      <c r="H1143" s="5">
        <f t="shared" si="1868"/>
        <v>0</v>
      </c>
      <c r="I1143" s="5">
        <f t="shared" si="1868"/>
        <v>0</v>
      </c>
      <c r="J1143" s="5">
        <f t="shared" si="1868"/>
        <v>0</v>
      </c>
      <c r="K1143" s="5">
        <f t="shared" si="1868"/>
        <v>0</v>
      </c>
      <c r="L1143" s="5">
        <f t="shared" si="1868"/>
        <v>1064.0945839999999</v>
      </c>
      <c r="M1143" s="5">
        <f t="shared" si="1868"/>
        <v>0</v>
      </c>
      <c r="N1143" s="5">
        <f t="shared" si="1868"/>
        <v>0</v>
      </c>
      <c r="O1143" s="5">
        <f t="shared" si="1868"/>
        <v>0</v>
      </c>
      <c r="P1143" s="5">
        <f t="shared" si="1868"/>
        <v>0</v>
      </c>
      <c r="Q1143" s="5">
        <f t="shared" si="1868"/>
        <v>0</v>
      </c>
      <c r="R1143" s="5">
        <f t="shared" si="1868"/>
        <v>0</v>
      </c>
      <c r="S1143" s="5">
        <f t="shared" si="1868"/>
        <v>0</v>
      </c>
      <c r="T1143" s="5">
        <f t="shared" si="1868"/>
        <v>0</v>
      </c>
      <c r="U1143" s="5">
        <f t="shared" si="1868"/>
        <v>0</v>
      </c>
      <c r="V1143" s="5">
        <f t="shared" si="1868"/>
        <v>0</v>
      </c>
      <c r="W1143" s="5">
        <f t="shared" si="1868"/>
        <v>0</v>
      </c>
      <c r="X1143" s="5">
        <f t="shared" si="1868"/>
        <v>0</v>
      </c>
      <c r="Y1143" s="5">
        <f t="shared" si="1868"/>
        <v>0</v>
      </c>
      <c r="Z1143" s="5">
        <f t="shared" si="1868"/>
        <v>0</v>
      </c>
      <c r="AA1143" s="5">
        <f t="shared" si="1868"/>
        <v>0</v>
      </c>
      <c r="AB1143" s="5">
        <f t="shared" si="1868"/>
        <v>0</v>
      </c>
      <c r="AC1143" s="56"/>
      <c r="AD1143" s="23"/>
    </row>
    <row r="1144" spans="1:30" s="14" customFormat="1">
      <c r="A1144" s="78" t="s">
        <v>593</v>
      </c>
      <c r="B1144" s="26">
        <v>0</v>
      </c>
      <c r="C1144" s="130">
        <f t="shared" si="1865"/>
        <v>0</v>
      </c>
      <c r="D1144" s="4"/>
      <c r="E1144" s="4"/>
      <c r="F1144" s="4">
        <v>0</v>
      </c>
      <c r="G1144" s="4"/>
      <c r="H1144" s="4"/>
      <c r="I1144" s="4"/>
      <c r="J1144" s="4"/>
      <c r="K1144" s="4"/>
      <c r="L1144" s="4">
        <v>1</v>
      </c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56"/>
      <c r="AD1144" s="23"/>
    </row>
    <row r="1145" spans="1:30" s="14" customFormat="1">
      <c r="A1145" s="79"/>
      <c r="B1145" s="9"/>
      <c r="C1145" s="130"/>
      <c r="D1145" s="5">
        <f t="shared" si="1866"/>
        <v>0</v>
      </c>
      <c r="E1145" s="5">
        <f t="shared" si="1867"/>
        <v>0</v>
      </c>
      <c r="F1145" s="5">
        <f t="shared" si="1867"/>
        <v>0</v>
      </c>
      <c r="G1145" s="5">
        <f t="shared" si="1867"/>
        <v>0</v>
      </c>
      <c r="H1145" s="5">
        <f t="shared" si="1867"/>
        <v>0</v>
      </c>
      <c r="I1145" s="5">
        <f t="shared" si="1867"/>
        <v>0</v>
      </c>
      <c r="J1145" s="5">
        <f t="shared" si="1867"/>
        <v>0</v>
      </c>
      <c r="K1145" s="5">
        <f t="shared" si="1867"/>
        <v>0</v>
      </c>
      <c r="L1145" s="5">
        <f t="shared" si="1867"/>
        <v>0</v>
      </c>
      <c r="M1145" s="5">
        <f t="shared" si="1867"/>
        <v>0</v>
      </c>
      <c r="N1145" s="5">
        <f t="shared" si="1867"/>
        <v>0</v>
      </c>
      <c r="O1145" s="5">
        <f t="shared" si="1867"/>
        <v>0</v>
      </c>
      <c r="P1145" s="5">
        <f t="shared" si="1867"/>
        <v>0</v>
      </c>
      <c r="Q1145" s="5">
        <f t="shared" si="1867"/>
        <v>0</v>
      </c>
      <c r="R1145" s="5">
        <f t="shared" si="1867"/>
        <v>0</v>
      </c>
      <c r="S1145" s="5">
        <f t="shared" si="1867"/>
        <v>0</v>
      </c>
      <c r="T1145" s="5">
        <f t="shared" si="1867"/>
        <v>0</v>
      </c>
      <c r="U1145" s="5">
        <f t="shared" ref="U1145:AB1145" si="1869">$C1144*U1144</f>
        <v>0</v>
      </c>
      <c r="V1145" s="5">
        <f t="shared" si="1869"/>
        <v>0</v>
      </c>
      <c r="W1145" s="5">
        <f t="shared" si="1869"/>
        <v>0</v>
      </c>
      <c r="X1145" s="5">
        <f t="shared" si="1869"/>
        <v>0</v>
      </c>
      <c r="Y1145" s="5">
        <f t="shared" si="1869"/>
        <v>0</v>
      </c>
      <c r="Z1145" s="5">
        <f t="shared" si="1869"/>
        <v>0</v>
      </c>
      <c r="AA1145" s="5">
        <f t="shared" si="1869"/>
        <v>0</v>
      </c>
      <c r="AB1145" s="5">
        <f t="shared" si="1869"/>
        <v>0</v>
      </c>
      <c r="AC1145" s="56"/>
      <c r="AD1145" s="23"/>
    </row>
    <row r="1146" spans="1:30" s="14" customFormat="1">
      <c r="A1146" s="78" t="s">
        <v>594</v>
      </c>
      <c r="B1146" s="26">
        <v>0</v>
      </c>
      <c r="C1146" s="130">
        <f t="shared" si="1865"/>
        <v>0</v>
      </c>
      <c r="D1146" s="4"/>
      <c r="E1146" s="4"/>
      <c r="F1146" s="4"/>
      <c r="G1146" s="4">
        <v>0.3821</v>
      </c>
      <c r="H1146" s="4"/>
      <c r="I1146" s="4"/>
      <c r="J1146" s="4"/>
      <c r="K1146" s="4"/>
      <c r="L1146" s="4">
        <v>0.6179</v>
      </c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56"/>
      <c r="AD1146" s="23"/>
    </row>
    <row r="1147" spans="1:30" s="14" customFormat="1">
      <c r="A1147" s="79"/>
      <c r="B1147" s="9"/>
      <c r="C1147" s="130"/>
      <c r="D1147" s="5">
        <f t="shared" si="1866"/>
        <v>0</v>
      </c>
      <c r="E1147" s="5">
        <f t="shared" si="1866"/>
        <v>0</v>
      </c>
      <c r="F1147" s="5">
        <f t="shared" si="1866"/>
        <v>0</v>
      </c>
      <c r="G1147" s="5">
        <f t="shared" si="1866"/>
        <v>0</v>
      </c>
      <c r="H1147" s="5">
        <f t="shared" si="1866"/>
        <v>0</v>
      </c>
      <c r="I1147" s="5">
        <f t="shared" si="1866"/>
        <v>0</v>
      </c>
      <c r="J1147" s="5">
        <f t="shared" si="1866"/>
        <v>0</v>
      </c>
      <c r="K1147" s="5">
        <f t="shared" si="1866"/>
        <v>0</v>
      </c>
      <c r="L1147" s="5">
        <f t="shared" si="1866"/>
        <v>0</v>
      </c>
      <c r="M1147" s="5">
        <f t="shared" si="1866"/>
        <v>0</v>
      </c>
      <c r="N1147" s="5">
        <f t="shared" si="1866"/>
        <v>0</v>
      </c>
      <c r="O1147" s="5">
        <f t="shared" si="1866"/>
        <v>0</v>
      </c>
      <c r="P1147" s="5">
        <f t="shared" si="1866"/>
        <v>0</v>
      </c>
      <c r="Q1147" s="5">
        <f t="shared" si="1866"/>
        <v>0</v>
      </c>
      <c r="R1147" s="5">
        <f t="shared" si="1866"/>
        <v>0</v>
      </c>
      <c r="S1147" s="5">
        <f t="shared" si="1866"/>
        <v>0</v>
      </c>
      <c r="T1147" s="5">
        <f t="shared" ref="T1147:AB1147" si="1870">$C1146*T1146</f>
        <v>0</v>
      </c>
      <c r="U1147" s="5">
        <f t="shared" si="1870"/>
        <v>0</v>
      </c>
      <c r="V1147" s="5">
        <f t="shared" si="1870"/>
        <v>0</v>
      </c>
      <c r="W1147" s="5">
        <f t="shared" si="1870"/>
        <v>0</v>
      </c>
      <c r="X1147" s="5">
        <f t="shared" si="1870"/>
        <v>0</v>
      </c>
      <c r="Y1147" s="5">
        <f t="shared" si="1870"/>
        <v>0</v>
      </c>
      <c r="Z1147" s="5">
        <f t="shared" si="1870"/>
        <v>0</v>
      </c>
      <c r="AA1147" s="5">
        <f t="shared" si="1870"/>
        <v>0</v>
      </c>
      <c r="AB1147" s="5">
        <f t="shared" si="1870"/>
        <v>0</v>
      </c>
      <c r="AC1147" s="56"/>
      <c r="AD1147" s="23"/>
    </row>
    <row r="1148" spans="1:30" s="14" customFormat="1">
      <c r="A1148" s="78" t="s">
        <v>595</v>
      </c>
      <c r="B1148" s="26">
        <v>1484892</v>
      </c>
      <c r="C1148" s="130">
        <f t="shared" si="1865"/>
        <v>123741</v>
      </c>
      <c r="D1148" s="4"/>
      <c r="E1148" s="4"/>
      <c r="F1148" s="4">
        <v>0.18690000000000001</v>
      </c>
      <c r="G1148" s="4"/>
      <c r="H1148" s="4"/>
      <c r="I1148" s="4"/>
      <c r="J1148" s="4"/>
      <c r="K1148" s="4"/>
      <c r="L1148" s="4">
        <v>0.81310000000000004</v>
      </c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56"/>
      <c r="AD1148" s="23"/>
    </row>
    <row r="1149" spans="1:30" s="14" customFormat="1">
      <c r="A1149" s="79"/>
      <c r="B1149" s="9"/>
      <c r="C1149" s="130"/>
      <c r="D1149" s="5">
        <f t="shared" ref="D1149:AB1149" si="1871">$C1148*D1148</f>
        <v>0</v>
      </c>
      <c r="E1149" s="5">
        <f t="shared" si="1871"/>
        <v>0</v>
      </c>
      <c r="F1149" s="5">
        <f t="shared" si="1871"/>
        <v>23127.192900000002</v>
      </c>
      <c r="G1149" s="5">
        <f t="shared" si="1871"/>
        <v>0</v>
      </c>
      <c r="H1149" s="5">
        <f t="shared" si="1871"/>
        <v>0</v>
      </c>
      <c r="I1149" s="5">
        <f t="shared" si="1871"/>
        <v>0</v>
      </c>
      <c r="J1149" s="5">
        <f t="shared" si="1871"/>
        <v>0</v>
      </c>
      <c r="K1149" s="5">
        <f t="shared" si="1871"/>
        <v>0</v>
      </c>
      <c r="L1149" s="5">
        <f t="shared" si="1871"/>
        <v>100613.80710000001</v>
      </c>
      <c r="M1149" s="5">
        <f t="shared" si="1871"/>
        <v>0</v>
      </c>
      <c r="N1149" s="5">
        <f t="shared" si="1871"/>
        <v>0</v>
      </c>
      <c r="O1149" s="5">
        <f t="shared" si="1871"/>
        <v>0</v>
      </c>
      <c r="P1149" s="5">
        <f t="shared" si="1871"/>
        <v>0</v>
      </c>
      <c r="Q1149" s="5">
        <f t="shared" si="1871"/>
        <v>0</v>
      </c>
      <c r="R1149" s="5">
        <f t="shared" si="1871"/>
        <v>0</v>
      </c>
      <c r="S1149" s="5">
        <f t="shared" si="1871"/>
        <v>0</v>
      </c>
      <c r="T1149" s="5">
        <f t="shared" si="1871"/>
        <v>0</v>
      </c>
      <c r="U1149" s="5">
        <f t="shared" si="1871"/>
        <v>0</v>
      </c>
      <c r="V1149" s="5">
        <f t="shared" si="1871"/>
        <v>0</v>
      </c>
      <c r="W1149" s="5">
        <f t="shared" si="1871"/>
        <v>0</v>
      </c>
      <c r="X1149" s="5">
        <f t="shared" si="1871"/>
        <v>0</v>
      </c>
      <c r="Y1149" s="5">
        <f t="shared" si="1871"/>
        <v>0</v>
      </c>
      <c r="Z1149" s="5">
        <f t="shared" si="1871"/>
        <v>0</v>
      </c>
      <c r="AA1149" s="5">
        <f t="shared" si="1871"/>
        <v>0</v>
      </c>
      <c r="AB1149" s="5">
        <f t="shared" si="1871"/>
        <v>0</v>
      </c>
      <c r="AC1149" s="56"/>
      <c r="AD1149" s="23"/>
    </row>
    <row r="1150" spans="1:30" s="14" customFormat="1">
      <c r="A1150" s="78" t="s">
        <v>596</v>
      </c>
      <c r="B1150" s="26">
        <v>1022580</v>
      </c>
      <c r="C1150" s="130">
        <f t="shared" si="1865"/>
        <v>85215</v>
      </c>
      <c r="D1150" s="4">
        <v>9.9000000000000008E-3</v>
      </c>
      <c r="E1150" s="4"/>
      <c r="F1150" s="4">
        <v>0.66139999999999999</v>
      </c>
      <c r="G1150" s="4"/>
      <c r="H1150" s="4">
        <v>4.5999999999999999E-2</v>
      </c>
      <c r="I1150" s="4"/>
      <c r="J1150" s="4"/>
      <c r="K1150" s="4"/>
      <c r="L1150" s="4"/>
      <c r="M1150" s="4">
        <v>5.8299999999999998E-2</v>
      </c>
      <c r="N1150" s="4">
        <v>8.8099999999999998E-2</v>
      </c>
      <c r="O1150" s="4"/>
      <c r="P1150" s="4">
        <v>4.0000000000000002E-4</v>
      </c>
      <c r="Q1150" s="4"/>
      <c r="R1150" s="4"/>
      <c r="S1150" s="4">
        <v>1.1999999999999999E-3</v>
      </c>
      <c r="T1150" s="4">
        <v>3.39E-2</v>
      </c>
      <c r="U1150" s="4"/>
      <c r="V1150" s="4">
        <v>6.2899999999999998E-2</v>
      </c>
      <c r="W1150" s="4"/>
      <c r="X1150" s="4">
        <v>3.4500000000000003E-2</v>
      </c>
      <c r="Y1150" s="4"/>
      <c r="Z1150" s="4">
        <v>3.3999999999999998E-3</v>
      </c>
      <c r="AA1150" s="4"/>
      <c r="AB1150" s="4"/>
      <c r="AC1150" s="56"/>
      <c r="AD1150" s="23"/>
    </row>
    <row r="1151" spans="1:30" s="14" customFormat="1">
      <c r="A1151" s="79"/>
      <c r="B1151" s="9"/>
      <c r="C1151" s="129"/>
      <c r="D1151" s="5">
        <f>$C1150*D1150</f>
        <v>843.62850000000003</v>
      </c>
      <c r="E1151" s="5">
        <f t="shared" ref="E1151:AB1151" si="1872">$C1150*E1150</f>
        <v>0</v>
      </c>
      <c r="F1151" s="5">
        <f t="shared" si="1872"/>
        <v>56361.201000000001</v>
      </c>
      <c r="G1151" s="5">
        <f t="shared" si="1872"/>
        <v>0</v>
      </c>
      <c r="H1151" s="5">
        <f t="shared" si="1872"/>
        <v>3919.89</v>
      </c>
      <c r="I1151" s="5">
        <f t="shared" si="1872"/>
        <v>0</v>
      </c>
      <c r="J1151" s="5">
        <f t="shared" si="1872"/>
        <v>0</v>
      </c>
      <c r="K1151" s="5">
        <f t="shared" si="1872"/>
        <v>0</v>
      </c>
      <c r="L1151" s="5">
        <f t="shared" si="1872"/>
        <v>0</v>
      </c>
      <c r="M1151" s="5">
        <f t="shared" si="1872"/>
        <v>4968.0344999999998</v>
      </c>
      <c r="N1151" s="5">
        <f t="shared" si="1872"/>
        <v>7507.4414999999999</v>
      </c>
      <c r="O1151" s="5">
        <f t="shared" si="1872"/>
        <v>0</v>
      </c>
      <c r="P1151" s="5">
        <f t="shared" si="1872"/>
        <v>34.085999999999999</v>
      </c>
      <c r="Q1151" s="5">
        <f t="shared" si="1872"/>
        <v>0</v>
      </c>
      <c r="R1151" s="5">
        <f t="shared" si="1872"/>
        <v>0</v>
      </c>
      <c r="S1151" s="5">
        <f t="shared" si="1872"/>
        <v>102.258</v>
      </c>
      <c r="T1151" s="5">
        <f t="shared" si="1872"/>
        <v>2888.7885000000001</v>
      </c>
      <c r="U1151" s="5">
        <f t="shared" si="1872"/>
        <v>0</v>
      </c>
      <c r="V1151" s="5">
        <f t="shared" si="1872"/>
        <v>5360.0235000000002</v>
      </c>
      <c r="W1151" s="5">
        <f t="shared" si="1872"/>
        <v>0</v>
      </c>
      <c r="X1151" s="5">
        <f t="shared" si="1872"/>
        <v>2939.9175000000005</v>
      </c>
      <c r="Y1151" s="5">
        <f t="shared" si="1872"/>
        <v>0</v>
      </c>
      <c r="Z1151" s="5">
        <f t="shared" si="1872"/>
        <v>289.73099999999999</v>
      </c>
      <c r="AA1151" s="5">
        <f t="shared" si="1872"/>
        <v>0</v>
      </c>
      <c r="AB1151" s="5">
        <f t="shared" si="1872"/>
        <v>0</v>
      </c>
      <c r="AC1151" s="56"/>
      <c r="AD1151" s="23"/>
    </row>
    <row r="1152" spans="1:30" s="14" customFormat="1">
      <c r="A1152" s="13" t="s">
        <v>50</v>
      </c>
      <c r="B1152" s="6">
        <f>SUM(B1140:B1150)</f>
        <v>25959915</v>
      </c>
      <c r="C1152" s="131">
        <f>SUM(C1140:C1150)</f>
        <v>2163326.25</v>
      </c>
      <c r="D1152" s="6">
        <f>D1141+D1143+D1145+D1147+D1149+D1151</f>
        <v>843.62850000000003</v>
      </c>
      <c r="E1152" s="6">
        <f>E1141+E1143+E1145+E1147+E1149+E1151</f>
        <v>0</v>
      </c>
      <c r="F1152" s="6">
        <f>F1141+F1143+F1145+F1147+F1149+F1151</f>
        <v>243008.940558</v>
      </c>
      <c r="G1152" s="6">
        <f t="shared" ref="G1152:AB1152" si="1873">G1141+G1143+G1145+G1147+G1149+G1151</f>
        <v>0</v>
      </c>
      <c r="H1152" s="6">
        <f t="shared" si="1873"/>
        <v>3919.89</v>
      </c>
      <c r="I1152" s="6">
        <f t="shared" si="1873"/>
        <v>0</v>
      </c>
      <c r="J1152" s="6">
        <f t="shared" si="1873"/>
        <v>0</v>
      </c>
      <c r="K1152" s="6">
        <f t="shared" si="1873"/>
        <v>0</v>
      </c>
      <c r="L1152" s="6">
        <f t="shared" si="1873"/>
        <v>1891463.5104420001</v>
      </c>
      <c r="M1152" s="6">
        <f t="shared" si="1873"/>
        <v>4968.0344999999998</v>
      </c>
      <c r="N1152" s="6">
        <f t="shared" si="1873"/>
        <v>7507.4414999999999</v>
      </c>
      <c r="O1152" s="6">
        <f t="shared" si="1873"/>
        <v>0</v>
      </c>
      <c r="P1152" s="6">
        <f t="shared" si="1873"/>
        <v>34.085999999999999</v>
      </c>
      <c r="Q1152" s="6">
        <f t="shared" si="1873"/>
        <v>0</v>
      </c>
      <c r="R1152" s="6">
        <f t="shared" si="1873"/>
        <v>0</v>
      </c>
      <c r="S1152" s="6">
        <f t="shared" si="1873"/>
        <v>102.258</v>
      </c>
      <c r="T1152" s="6">
        <f t="shared" si="1873"/>
        <v>2888.7885000000001</v>
      </c>
      <c r="U1152" s="6">
        <f t="shared" si="1873"/>
        <v>0</v>
      </c>
      <c r="V1152" s="6">
        <f t="shared" si="1873"/>
        <v>5360.0235000000002</v>
      </c>
      <c r="W1152" s="6">
        <f t="shared" si="1873"/>
        <v>0</v>
      </c>
      <c r="X1152" s="6">
        <f t="shared" si="1873"/>
        <v>2939.9175000000005</v>
      </c>
      <c r="Y1152" s="6">
        <f t="shared" si="1873"/>
        <v>0</v>
      </c>
      <c r="Z1152" s="6">
        <f t="shared" si="1873"/>
        <v>289.73099999999999</v>
      </c>
      <c r="AA1152" s="6">
        <f t="shared" si="1873"/>
        <v>0</v>
      </c>
      <c r="AB1152" s="6">
        <f t="shared" si="1873"/>
        <v>0</v>
      </c>
      <c r="AC1152" s="56"/>
      <c r="AD1152" s="23"/>
    </row>
    <row r="1153" spans="1:30" s="14" customFormat="1">
      <c r="A1153" s="13"/>
      <c r="B1153" s="6"/>
      <c r="C1153" s="131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56"/>
      <c r="AD1153" s="23"/>
    </row>
    <row r="1154" spans="1:30" s="14" customFormat="1">
      <c r="A1154" s="69"/>
      <c r="C1154" s="132"/>
      <c r="AC1154" s="56"/>
      <c r="AD1154" s="23"/>
    </row>
    <row r="1155" spans="1:30" s="14" customFormat="1" ht="13.8" thickBot="1">
      <c r="A1155" s="66" t="s">
        <v>271</v>
      </c>
      <c r="B1155" s="65"/>
      <c r="C1155" s="124"/>
      <c r="D1155" s="65"/>
      <c r="E1155" s="65"/>
      <c r="F1155" s="65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56"/>
      <c r="AD1155" s="23"/>
    </row>
    <row r="1156" spans="1:30" s="14" customFormat="1" ht="13.8" thickBot="1">
      <c r="A1156" s="93" t="s">
        <v>1</v>
      </c>
      <c r="B1156" s="94" t="s">
        <v>2</v>
      </c>
      <c r="C1156" s="125" t="s">
        <v>3</v>
      </c>
      <c r="D1156" s="211" t="s">
        <v>4</v>
      </c>
      <c r="E1156" s="212"/>
      <c r="F1156" s="212"/>
      <c r="G1156" s="212"/>
      <c r="H1156" s="212"/>
      <c r="I1156" s="212"/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103"/>
      <c r="AA1156" s="103"/>
      <c r="AB1156" s="103"/>
      <c r="AC1156" s="56"/>
      <c r="AD1156" s="23"/>
    </row>
    <row r="1157" spans="1:30" s="14" customFormat="1">
      <c r="A1157" s="95" t="s">
        <v>5</v>
      </c>
      <c r="B1157" s="96" t="s">
        <v>6</v>
      </c>
      <c r="C1157" s="126" t="s">
        <v>6</v>
      </c>
      <c r="D1157" s="97"/>
      <c r="E1157" s="98"/>
      <c r="F1157" s="98"/>
      <c r="G1157" s="98"/>
      <c r="H1157" s="98"/>
      <c r="I1157" s="98"/>
      <c r="J1157" s="98"/>
      <c r="K1157" s="98"/>
      <c r="L1157" s="98"/>
      <c r="M1157" s="98"/>
      <c r="N1157" s="98"/>
      <c r="O1157" s="98"/>
      <c r="P1157" s="98"/>
      <c r="Q1157" s="98"/>
      <c r="R1157" s="98"/>
      <c r="S1157" s="98"/>
      <c r="T1157" s="98"/>
      <c r="U1157" s="98"/>
      <c r="V1157" s="98"/>
      <c r="W1157" s="98"/>
      <c r="X1157" s="98"/>
      <c r="Y1157" s="99"/>
      <c r="Z1157" s="96" t="s">
        <v>7</v>
      </c>
      <c r="AA1157" s="96"/>
      <c r="AB1157" s="96"/>
      <c r="AC1157" s="56"/>
      <c r="AD1157" s="23"/>
    </row>
    <row r="1158" spans="1:30" s="14" customFormat="1">
      <c r="A1158" s="95" t="s">
        <v>8</v>
      </c>
      <c r="B1158" s="96" t="s">
        <v>9</v>
      </c>
      <c r="C1158" s="126" t="s">
        <v>9</v>
      </c>
      <c r="D1158" s="100" t="s">
        <v>10</v>
      </c>
      <c r="E1158" s="96" t="s">
        <v>11</v>
      </c>
      <c r="F1158" s="96" t="s">
        <v>12</v>
      </c>
      <c r="G1158" s="96" t="s">
        <v>13</v>
      </c>
      <c r="H1158" s="96" t="s">
        <v>14</v>
      </c>
      <c r="I1158" s="96" t="s">
        <v>15</v>
      </c>
      <c r="J1158" s="96" t="s">
        <v>16</v>
      </c>
      <c r="K1158" s="96" t="s">
        <v>17</v>
      </c>
      <c r="L1158" s="96" t="s">
        <v>18</v>
      </c>
      <c r="M1158" s="96" t="s">
        <v>19</v>
      </c>
      <c r="N1158" s="96" t="s">
        <v>20</v>
      </c>
      <c r="O1158" s="96" t="s">
        <v>169</v>
      </c>
      <c r="P1158" s="96" t="s">
        <v>21</v>
      </c>
      <c r="Q1158" s="96" t="s">
        <v>22</v>
      </c>
      <c r="R1158" s="96" t="s">
        <v>23</v>
      </c>
      <c r="S1158" s="96" t="s">
        <v>24</v>
      </c>
      <c r="T1158" s="96" t="s">
        <v>25</v>
      </c>
      <c r="U1158" s="96" t="s">
        <v>26</v>
      </c>
      <c r="V1158" s="96" t="s">
        <v>27</v>
      </c>
      <c r="W1158" s="96" t="s">
        <v>28</v>
      </c>
      <c r="X1158" s="96" t="s">
        <v>29</v>
      </c>
      <c r="Y1158" s="96" t="s">
        <v>30</v>
      </c>
      <c r="Z1158" s="96" t="s">
        <v>31</v>
      </c>
      <c r="AA1158" s="96" t="s">
        <v>484</v>
      </c>
      <c r="AB1158" s="96" t="s">
        <v>467</v>
      </c>
      <c r="AC1158" s="56"/>
      <c r="AD1158" s="23"/>
    </row>
    <row r="1159" spans="1:30" s="14" customFormat="1">
      <c r="A1159" s="95"/>
      <c r="B1159" s="96"/>
      <c r="C1159" s="126" t="s">
        <v>746</v>
      </c>
      <c r="D1159" s="101"/>
      <c r="E1159" s="102"/>
      <c r="F1159" s="102"/>
      <c r="G1159" s="102"/>
      <c r="H1159" s="102"/>
      <c r="I1159" s="102"/>
      <c r="J1159" s="102"/>
      <c r="K1159" s="102"/>
      <c r="L1159" s="102"/>
      <c r="M1159" s="102"/>
      <c r="N1159" s="102"/>
      <c r="O1159" s="102"/>
      <c r="P1159" s="102"/>
      <c r="Q1159" s="102"/>
      <c r="R1159" s="102"/>
      <c r="S1159" s="102"/>
      <c r="T1159" s="102"/>
      <c r="U1159" s="102"/>
      <c r="V1159" s="102"/>
      <c r="W1159" s="102"/>
      <c r="X1159" s="102"/>
      <c r="Y1159" s="102"/>
      <c r="Z1159" s="102"/>
      <c r="AA1159" s="102"/>
      <c r="AB1159" s="102"/>
      <c r="AC1159" s="56"/>
      <c r="AD1159" s="23"/>
    </row>
    <row r="1160" spans="1:30" s="14" customFormat="1">
      <c r="A1160" s="78" t="s">
        <v>272</v>
      </c>
      <c r="B1160" s="26">
        <v>25498914</v>
      </c>
      <c r="C1160" s="130">
        <f>ROUND(B1160/12,2)</f>
        <v>2124909.5</v>
      </c>
      <c r="D1160" s="17"/>
      <c r="E1160" s="17">
        <v>4.1300000000000003E-2</v>
      </c>
      <c r="F1160" s="4">
        <v>2.23E-2</v>
      </c>
      <c r="G1160" s="16">
        <v>8.0000000000000004E-4</v>
      </c>
      <c r="H1160" s="17"/>
      <c r="I1160" s="17">
        <v>0.92989999999999995</v>
      </c>
      <c r="J1160" s="17">
        <v>4.1000000000000003E-3</v>
      </c>
      <c r="K1160" s="17"/>
      <c r="L1160" s="4"/>
      <c r="M1160" s="17"/>
      <c r="N1160" s="17">
        <v>1.6000000000000001E-3</v>
      </c>
      <c r="O1160" s="17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17"/>
      <c r="AB1160" s="17"/>
      <c r="AC1160" s="56"/>
      <c r="AD1160" s="23"/>
    </row>
    <row r="1161" spans="1:30" s="14" customFormat="1">
      <c r="A1161" s="80"/>
      <c r="B1161" s="1"/>
      <c r="C1161" s="130"/>
      <c r="D1161" s="5"/>
      <c r="E1161" s="5">
        <f>$C1160*E1160</f>
        <v>87758.762350000005</v>
      </c>
      <c r="F1161" s="5">
        <f>$C1160*F1160</f>
        <v>47385.481850000004</v>
      </c>
      <c r="G1161" s="5">
        <f>$C1160*G1160</f>
        <v>1699.9276</v>
      </c>
      <c r="H1161" s="5"/>
      <c r="I1161" s="5">
        <f>$C1160*I1160</f>
        <v>1975953.34405</v>
      </c>
      <c r="J1161" s="5">
        <f>$C1160*J1160</f>
        <v>8712.1289500000003</v>
      </c>
      <c r="K1161" s="5"/>
      <c r="L1161" s="5"/>
      <c r="M1161" s="5"/>
      <c r="N1161" s="5">
        <f>$C1160*N1160</f>
        <v>3399.8552</v>
      </c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6"/>
      <c r="AD1161" s="23"/>
    </row>
    <row r="1162" spans="1:30" s="14" customFormat="1">
      <c r="A1162" s="78" t="s">
        <v>386</v>
      </c>
      <c r="B1162" s="26">
        <v>1201540</v>
      </c>
      <c r="C1162" s="130">
        <f t="shared" ref="C1162" si="1874">ROUND(B1162/12,2)</f>
        <v>100128.33</v>
      </c>
      <c r="D1162" s="4"/>
      <c r="E1162" s="4">
        <v>3.3399999999999999E-2</v>
      </c>
      <c r="F1162" s="4"/>
      <c r="G1162" s="4">
        <v>3.4299999999999997E-2</v>
      </c>
      <c r="H1162" s="4"/>
      <c r="I1162" s="4">
        <v>0.92020000000000002</v>
      </c>
      <c r="J1162" s="4"/>
      <c r="K1162" s="4"/>
      <c r="L1162" s="4">
        <v>1.21E-2</v>
      </c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56"/>
      <c r="AD1162" s="23"/>
    </row>
    <row r="1163" spans="1:30" s="14" customFormat="1">
      <c r="A1163" s="79"/>
      <c r="B1163" s="9"/>
      <c r="C1163" s="130"/>
      <c r="D1163" s="5"/>
      <c r="E1163" s="5">
        <f>$C1162*E1162</f>
        <v>3344.2862220000002</v>
      </c>
      <c r="F1163" s="5">
        <f>$C1162*F1162</f>
        <v>0</v>
      </c>
      <c r="G1163" s="5">
        <f>$C1162*G1162</f>
        <v>3434.401719</v>
      </c>
      <c r="H1163" s="5"/>
      <c r="I1163" s="5">
        <f>$C1162*I1162</f>
        <v>92138.08926600001</v>
      </c>
      <c r="J1163" s="5">
        <f>$C1162*J1162</f>
        <v>0</v>
      </c>
      <c r="K1163" s="5"/>
      <c r="L1163" s="5">
        <f>$C1162*L1162</f>
        <v>1211.5527930000001</v>
      </c>
      <c r="M1163" s="5"/>
      <c r="N1163" s="5">
        <f>$C1162*N1162</f>
        <v>0</v>
      </c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6"/>
      <c r="AD1163" s="23"/>
    </row>
    <row r="1164" spans="1:30" s="14" customFormat="1">
      <c r="A1164" s="78" t="s">
        <v>520</v>
      </c>
      <c r="B1164" s="26">
        <v>1231072</v>
      </c>
      <c r="C1164" s="130">
        <f>ROUND(B1164/12,2)</f>
        <v>102589.33</v>
      </c>
      <c r="D1164" s="4">
        <v>1.8E-3</v>
      </c>
      <c r="E1164" s="4">
        <v>0.18679999999999999</v>
      </c>
      <c r="F1164" s="4">
        <v>5.8599999999999999E-2</v>
      </c>
      <c r="G1164" s="4">
        <v>7.85E-2</v>
      </c>
      <c r="H1164" s="4">
        <v>3.32E-2</v>
      </c>
      <c r="I1164" s="4">
        <v>0.3821</v>
      </c>
      <c r="J1164" s="4">
        <v>2.76E-2</v>
      </c>
      <c r="K1164" s="4">
        <v>4.1300000000000003E-2</v>
      </c>
      <c r="L1164" s="4">
        <v>2.23E-2</v>
      </c>
      <c r="M1164" s="4">
        <v>1.9699999999999999E-2</v>
      </c>
      <c r="N1164" s="4">
        <v>5.1499999999999997E-2</v>
      </c>
      <c r="O1164" s="4">
        <v>1.3599999999999999E-2</v>
      </c>
      <c r="P1164" s="4">
        <v>5.0000000000000001E-4</v>
      </c>
      <c r="Q1164" s="4">
        <v>5.1999999999999998E-3</v>
      </c>
      <c r="R1164" s="4">
        <v>4.0000000000000002E-4</v>
      </c>
      <c r="S1164" s="4">
        <v>4.0000000000000002E-4</v>
      </c>
      <c r="T1164" s="4">
        <v>1.0800000000000001E-2</v>
      </c>
      <c r="U1164" s="4">
        <v>1.2500000000000001E-2</v>
      </c>
      <c r="V1164" s="4">
        <v>3.56E-2</v>
      </c>
      <c r="W1164" s="4">
        <v>4.4999999999999997E-3</v>
      </c>
      <c r="X1164" s="4">
        <v>1.17E-2</v>
      </c>
      <c r="Y1164" s="4">
        <v>1.4E-3</v>
      </c>
      <c r="Z1164" s="4"/>
      <c r="AA1164" s="4"/>
      <c r="AB1164" s="4"/>
      <c r="AC1164" s="56"/>
      <c r="AD1164" s="23"/>
    </row>
    <row r="1165" spans="1:30" s="14" customFormat="1">
      <c r="A1165" s="79"/>
      <c r="B1165" s="9"/>
      <c r="C1165" s="129"/>
      <c r="D1165" s="5">
        <f>$C1164*D1164</f>
        <v>184.66079400000001</v>
      </c>
      <c r="E1165" s="5">
        <f>$C1164*E1164</f>
        <v>19163.686844</v>
      </c>
      <c r="F1165" s="5">
        <f>$C1164*F1164</f>
        <v>6011.7347380000001</v>
      </c>
      <c r="G1165" s="5">
        <f>$C1164*G1164</f>
        <v>8053.2624050000004</v>
      </c>
      <c r="H1165" s="5">
        <f t="shared" ref="H1165:W1169" si="1875">$C1164*H1164</f>
        <v>3405.9657560000001</v>
      </c>
      <c r="I1165" s="5">
        <f t="shared" ref="I1165:X1167" si="1876">$C1164*I1164</f>
        <v>39199.382992999999</v>
      </c>
      <c r="J1165" s="5">
        <f t="shared" ref="J1165:AB1165" si="1877">$C1164*J1164</f>
        <v>2831.4655080000002</v>
      </c>
      <c r="K1165" s="5">
        <f t="shared" si="1877"/>
        <v>4236.9393290000007</v>
      </c>
      <c r="L1165" s="5">
        <f t="shared" si="1877"/>
        <v>2287.7420590000002</v>
      </c>
      <c r="M1165" s="5">
        <f t="shared" si="1877"/>
        <v>2021.0098009999999</v>
      </c>
      <c r="N1165" s="5">
        <f t="shared" si="1877"/>
        <v>5283.3504949999997</v>
      </c>
      <c r="O1165" s="5">
        <f t="shared" si="1877"/>
        <v>1395.214888</v>
      </c>
      <c r="P1165" s="5">
        <f t="shared" si="1877"/>
        <v>51.294665000000002</v>
      </c>
      <c r="Q1165" s="5">
        <f t="shared" si="1877"/>
        <v>533.464516</v>
      </c>
      <c r="R1165" s="5">
        <f t="shared" si="1877"/>
        <v>41.035732000000003</v>
      </c>
      <c r="S1165" s="5">
        <f t="shared" si="1877"/>
        <v>41.035732000000003</v>
      </c>
      <c r="T1165" s="5">
        <f t="shared" si="1877"/>
        <v>1107.9647640000001</v>
      </c>
      <c r="U1165" s="5">
        <f t="shared" si="1877"/>
        <v>1282.3666250000001</v>
      </c>
      <c r="V1165" s="5">
        <f t="shared" si="1877"/>
        <v>3652.1801479999999</v>
      </c>
      <c r="W1165" s="5">
        <f t="shared" si="1877"/>
        <v>461.65198499999997</v>
      </c>
      <c r="X1165" s="5">
        <f t="shared" si="1877"/>
        <v>1200.295161</v>
      </c>
      <c r="Y1165" s="5">
        <f t="shared" si="1877"/>
        <v>143.62506200000001</v>
      </c>
      <c r="Z1165" s="5">
        <f t="shared" si="1877"/>
        <v>0</v>
      </c>
      <c r="AA1165" s="5">
        <f t="shared" si="1877"/>
        <v>0</v>
      </c>
      <c r="AB1165" s="5">
        <f t="shared" si="1877"/>
        <v>0</v>
      </c>
      <c r="AC1165" s="56"/>
      <c r="AD1165" s="23"/>
    </row>
    <row r="1166" spans="1:30" s="14" customFormat="1">
      <c r="A1166" s="78" t="s">
        <v>750</v>
      </c>
      <c r="B1166" s="26">
        <f>SUM(871302*0.4725)</f>
        <v>411690.19500000001</v>
      </c>
      <c r="C1166" s="130">
        <f>ROUND(B1166/12,2)</f>
        <v>34307.519999999997</v>
      </c>
      <c r="D1166" s="4"/>
      <c r="E1166" s="4"/>
      <c r="F1166" s="4"/>
      <c r="G1166" s="4"/>
      <c r="H1166" s="4"/>
      <c r="I1166" s="4">
        <v>1</v>
      </c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56"/>
      <c r="AD1166" s="23"/>
    </row>
    <row r="1167" spans="1:30" s="14" customFormat="1">
      <c r="A1167" s="79"/>
      <c r="B1167" s="9"/>
      <c r="C1167" s="129"/>
      <c r="D1167" s="5">
        <f>$C1166*D1166</f>
        <v>0</v>
      </c>
      <c r="E1167" s="5">
        <f>$C1166*E1166</f>
        <v>0</v>
      </c>
      <c r="F1167" s="5">
        <f>$C1166*F1166</f>
        <v>0</v>
      </c>
      <c r="G1167" s="5">
        <f>$C1166*G1166</f>
        <v>0</v>
      </c>
      <c r="H1167" s="5">
        <f t="shared" si="1875"/>
        <v>0</v>
      </c>
      <c r="I1167" s="5">
        <f t="shared" si="1876"/>
        <v>34307.519999999997</v>
      </c>
      <c r="J1167" s="5">
        <f t="shared" si="1876"/>
        <v>0</v>
      </c>
      <c r="K1167" s="5">
        <f t="shared" si="1876"/>
        <v>0</v>
      </c>
      <c r="L1167" s="5">
        <f t="shared" si="1876"/>
        <v>0</v>
      </c>
      <c r="M1167" s="5">
        <f t="shared" si="1876"/>
        <v>0</v>
      </c>
      <c r="N1167" s="5">
        <f t="shared" si="1876"/>
        <v>0</v>
      </c>
      <c r="O1167" s="5">
        <f t="shared" si="1876"/>
        <v>0</v>
      </c>
      <c r="P1167" s="5">
        <f t="shared" si="1876"/>
        <v>0</v>
      </c>
      <c r="Q1167" s="5">
        <f t="shared" si="1876"/>
        <v>0</v>
      </c>
      <c r="R1167" s="5">
        <f t="shared" si="1876"/>
        <v>0</v>
      </c>
      <c r="S1167" s="5">
        <f t="shared" si="1876"/>
        <v>0</v>
      </c>
      <c r="T1167" s="5">
        <f t="shared" si="1876"/>
        <v>0</v>
      </c>
      <c r="U1167" s="5">
        <f t="shared" si="1876"/>
        <v>0</v>
      </c>
      <c r="V1167" s="5">
        <f t="shared" si="1876"/>
        <v>0</v>
      </c>
      <c r="W1167" s="5">
        <f t="shared" si="1876"/>
        <v>0</v>
      </c>
      <c r="X1167" s="5">
        <f t="shared" si="1876"/>
        <v>0</v>
      </c>
      <c r="Y1167" s="5">
        <f t="shared" ref="Y1167:AB1167" si="1878">$C1166*Y1166</f>
        <v>0</v>
      </c>
      <c r="Z1167" s="5">
        <f t="shared" si="1878"/>
        <v>0</v>
      </c>
      <c r="AA1167" s="5">
        <f t="shared" si="1878"/>
        <v>0</v>
      </c>
      <c r="AB1167" s="5">
        <f t="shared" si="1878"/>
        <v>0</v>
      </c>
      <c r="AC1167" s="56"/>
      <c r="AD1167" s="23"/>
    </row>
    <row r="1168" spans="1:30" s="14" customFormat="1">
      <c r="A1168" s="78" t="s">
        <v>751</v>
      </c>
      <c r="B1168" s="26">
        <f>SUM(871302*0.5275)</f>
        <v>459611.80499999999</v>
      </c>
      <c r="C1168" s="130">
        <f>ROUND(B1168/12,2)</f>
        <v>38300.980000000003</v>
      </c>
      <c r="D1168" s="106">
        <v>8.6999999999999994E-3</v>
      </c>
      <c r="E1168" s="106">
        <v>0.2407</v>
      </c>
      <c r="F1168" s="106">
        <v>3.95E-2</v>
      </c>
      <c r="G1168" s="106">
        <v>0.1104</v>
      </c>
      <c r="H1168" s="106">
        <v>4.2999999999999997E-2</v>
      </c>
      <c r="I1168" s="106"/>
      <c r="J1168" s="106">
        <v>3.5200000000000002E-2</v>
      </c>
      <c r="K1168" s="106">
        <v>5.3499999999999999E-2</v>
      </c>
      <c r="L1168" s="106">
        <v>2.1100000000000001E-2</v>
      </c>
      <c r="M1168" s="106">
        <v>1.7299999999999999E-2</v>
      </c>
      <c r="N1168" s="106">
        <v>0.2009</v>
      </c>
      <c r="O1168" s="106">
        <v>1.7299999999999999E-2</v>
      </c>
      <c r="P1168" s="106">
        <v>6.9999999999999999E-4</v>
      </c>
      <c r="Q1168" s="106">
        <v>1.9800000000000002E-2</v>
      </c>
      <c r="R1168" s="106">
        <v>1.6299999999999999E-2</v>
      </c>
      <c r="S1168" s="106">
        <v>4.3E-3</v>
      </c>
      <c r="T1168" s="106">
        <v>3.5900000000000001E-2</v>
      </c>
      <c r="U1168" s="106">
        <v>1.6799999999999999E-2</v>
      </c>
      <c r="V1168" s="106">
        <v>3.9100000000000003E-2</v>
      </c>
      <c r="W1168" s="106">
        <v>3.6400000000000002E-2</v>
      </c>
      <c r="X1168" s="106">
        <v>3.9300000000000002E-2</v>
      </c>
      <c r="Y1168" s="106">
        <v>1.4E-3</v>
      </c>
      <c r="Z1168" s="107">
        <v>1.6999999999999999E-3</v>
      </c>
      <c r="AA1168" s="107">
        <v>6.9999999999999999E-4</v>
      </c>
      <c r="AB1168" s="107"/>
      <c r="AC1168" s="56"/>
      <c r="AD1168" s="23"/>
    </row>
    <row r="1169" spans="1:30" s="14" customFormat="1">
      <c r="A1169" s="79"/>
      <c r="B1169" s="9"/>
      <c r="C1169" s="129"/>
      <c r="D1169" s="5">
        <f>$C1168*D1168</f>
        <v>333.218526</v>
      </c>
      <c r="E1169" s="5">
        <f>$C1168*E1168</f>
        <v>9219.0458859999999</v>
      </c>
      <c r="F1169" s="5">
        <f>$C1168*F1168</f>
        <v>1512.8887100000002</v>
      </c>
      <c r="G1169" s="5">
        <f>$C1168*G1168</f>
        <v>4228.4281920000003</v>
      </c>
      <c r="H1169" s="5">
        <f t="shared" si="1875"/>
        <v>1646.9421400000001</v>
      </c>
      <c r="I1169" s="5">
        <f t="shared" si="1875"/>
        <v>0</v>
      </c>
      <c r="J1169" s="5">
        <f t="shared" si="1875"/>
        <v>1348.1944960000003</v>
      </c>
      <c r="K1169" s="5">
        <f t="shared" si="1875"/>
        <v>2049.1024299999999</v>
      </c>
      <c r="L1169" s="5">
        <f t="shared" si="1875"/>
        <v>808.15067800000008</v>
      </c>
      <c r="M1169" s="5">
        <f t="shared" si="1875"/>
        <v>662.60695400000009</v>
      </c>
      <c r="N1169" s="5">
        <f t="shared" si="1875"/>
        <v>7694.6668820000004</v>
      </c>
      <c r="O1169" s="5">
        <f t="shared" si="1875"/>
        <v>662.60695400000009</v>
      </c>
      <c r="P1169" s="5">
        <f t="shared" si="1875"/>
        <v>26.810686</v>
      </c>
      <c r="Q1169" s="5">
        <f t="shared" si="1875"/>
        <v>758.35940400000015</v>
      </c>
      <c r="R1169" s="5">
        <f t="shared" si="1875"/>
        <v>624.30597399999999</v>
      </c>
      <c r="S1169" s="5">
        <f t="shared" si="1875"/>
        <v>164.69421400000002</v>
      </c>
      <c r="T1169" s="5">
        <f t="shared" si="1875"/>
        <v>1375.0051820000001</v>
      </c>
      <c r="U1169" s="5">
        <f t="shared" si="1875"/>
        <v>643.45646399999998</v>
      </c>
      <c r="V1169" s="5">
        <f t="shared" si="1875"/>
        <v>1497.5683180000003</v>
      </c>
      <c r="W1169" s="5">
        <f t="shared" si="1875"/>
        <v>1394.1556720000001</v>
      </c>
      <c r="X1169" s="5">
        <f t="shared" ref="X1169:AB1169" si="1879">$C1168*X1168</f>
        <v>1505.2285140000001</v>
      </c>
      <c r="Y1169" s="5">
        <f t="shared" si="1879"/>
        <v>53.621372000000001</v>
      </c>
      <c r="Z1169" s="5">
        <f t="shared" si="1879"/>
        <v>65.111666</v>
      </c>
      <c r="AA1169" s="5">
        <f t="shared" si="1879"/>
        <v>26.810686</v>
      </c>
      <c r="AB1169" s="5">
        <f t="shared" si="1879"/>
        <v>0</v>
      </c>
      <c r="AC1169" s="56"/>
      <c r="AD1169" s="23"/>
    </row>
    <row r="1170" spans="1:30" s="14" customFormat="1">
      <c r="A1170" s="45" t="s">
        <v>50</v>
      </c>
      <c r="B1170" s="30">
        <f>SUM(B1160:B1168)</f>
        <v>28802828</v>
      </c>
      <c r="C1170" s="46">
        <f>SUM(C1160:C1168)</f>
        <v>2400235.66</v>
      </c>
      <c r="D1170" s="46">
        <f>D1161+D1163+D1165+D1167+D1169</f>
        <v>517.87932000000001</v>
      </c>
      <c r="E1170" s="46">
        <f t="shared" ref="E1170:AB1170" si="1880">E1161+E1163+E1165+E1167+E1169</f>
        <v>119485.78130199999</v>
      </c>
      <c r="F1170" s="46">
        <f t="shared" si="1880"/>
        <v>54910.105298000002</v>
      </c>
      <c r="G1170" s="46">
        <f t="shared" si="1880"/>
        <v>17416.019916000001</v>
      </c>
      <c r="H1170" s="46">
        <f t="shared" si="1880"/>
        <v>5052.9078960000006</v>
      </c>
      <c r="I1170" s="46">
        <f t="shared" si="1880"/>
        <v>2141598.3363089999</v>
      </c>
      <c r="J1170" s="46">
        <f t="shared" si="1880"/>
        <v>12891.788954</v>
      </c>
      <c r="K1170" s="46">
        <f t="shared" si="1880"/>
        <v>6286.0417590000006</v>
      </c>
      <c r="L1170" s="46">
        <f t="shared" si="1880"/>
        <v>4307.44553</v>
      </c>
      <c r="M1170" s="46">
        <f t="shared" si="1880"/>
        <v>2683.616755</v>
      </c>
      <c r="N1170" s="46">
        <f t="shared" si="1880"/>
        <v>16377.872577000002</v>
      </c>
      <c r="O1170" s="46">
        <f t="shared" si="1880"/>
        <v>2057.8218420000003</v>
      </c>
      <c r="P1170" s="46">
        <f t="shared" si="1880"/>
        <v>78.105350999999999</v>
      </c>
      <c r="Q1170" s="46">
        <f t="shared" si="1880"/>
        <v>1291.8239200000003</v>
      </c>
      <c r="R1170" s="46">
        <f t="shared" si="1880"/>
        <v>665.34170600000004</v>
      </c>
      <c r="S1170" s="46">
        <f t="shared" si="1880"/>
        <v>205.72994600000001</v>
      </c>
      <c r="T1170" s="46">
        <f t="shared" si="1880"/>
        <v>2482.9699460000002</v>
      </c>
      <c r="U1170" s="46">
        <f t="shared" si="1880"/>
        <v>1925.823089</v>
      </c>
      <c r="V1170" s="46">
        <f t="shared" si="1880"/>
        <v>5149.748466</v>
      </c>
      <c r="W1170" s="46">
        <f t="shared" si="1880"/>
        <v>1855.8076570000001</v>
      </c>
      <c r="X1170" s="46">
        <f t="shared" si="1880"/>
        <v>2705.5236750000004</v>
      </c>
      <c r="Y1170" s="46">
        <f t="shared" si="1880"/>
        <v>197.24643400000002</v>
      </c>
      <c r="Z1170" s="46">
        <f t="shared" si="1880"/>
        <v>65.111666</v>
      </c>
      <c r="AA1170" s="46">
        <f t="shared" si="1880"/>
        <v>26.810686</v>
      </c>
      <c r="AB1170" s="46">
        <f t="shared" si="1880"/>
        <v>0</v>
      </c>
      <c r="AC1170" s="56"/>
      <c r="AD1170" s="23"/>
    </row>
    <row r="1171" spans="1:30" s="14" customFormat="1">
      <c r="A1171" s="13"/>
      <c r="B1171" s="6"/>
      <c r="C1171" s="27"/>
      <c r="D1171" s="27"/>
      <c r="E1171" s="27"/>
      <c r="F1171" s="27"/>
      <c r="G1171" s="27"/>
      <c r="H1171" s="27"/>
      <c r="I1171" s="27"/>
      <c r="J1171" s="27"/>
      <c r="K1171" s="27"/>
      <c r="L1171" s="27"/>
      <c r="M1171" s="27"/>
      <c r="N1171" s="27"/>
      <c r="O1171" s="27"/>
      <c r="P1171" s="27"/>
      <c r="Q1171" s="27"/>
      <c r="R1171" s="27"/>
      <c r="S1171" s="27"/>
      <c r="T1171" s="27"/>
      <c r="U1171" s="27"/>
      <c r="V1171" s="27"/>
      <c r="W1171" s="27"/>
      <c r="X1171" s="27"/>
      <c r="Y1171" s="27"/>
      <c r="Z1171" s="27"/>
      <c r="AA1171" s="27"/>
      <c r="AB1171" s="27"/>
      <c r="AC1171" s="56"/>
      <c r="AD1171" s="23"/>
    </row>
    <row r="1172" spans="1:30" s="14" customFormat="1">
      <c r="A1172" s="13"/>
      <c r="B1172" s="6"/>
      <c r="C1172" s="131"/>
      <c r="D1172" s="17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56"/>
      <c r="AD1172" s="23"/>
    </row>
    <row r="1173" spans="1:30" s="14" customFormat="1" ht="13.8" thickBot="1">
      <c r="A1173" s="66" t="s">
        <v>316</v>
      </c>
      <c r="B1173" s="65"/>
      <c r="C1173" s="124"/>
      <c r="D1173" s="65"/>
      <c r="E1173" s="65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56"/>
      <c r="AD1173" s="23"/>
    </row>
    <row r="1174" spans="1:30" s="14" customFormat="1" ht="13.8" thickBot="1">
      <c r="A1174" s="93" t="s">
        <v>1</v>
      </c>
      <c r="B1174" s="94" t="s">
        <v>2</v>
      </c>
      <c r="C1174" s="125" t="s">
        <v>3</v>
      </c>
      <c r="D1174" s="211" t="s">
        <v>4</v>
      </c>
      <c r="E1174" s="212"/>
      <c r="F1174" s="212"/>
      <c r="G1174" s="212"/>
      <c r="H1174" s="212"/>
      <c r="I1174" s="212"/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103"/>
      <c r="AA1174" s="103"/>
      <c r="AB1174" s="103"/>
      <c r="AC1174" s="56"/>
      <c r="AD1174" s="23"/>
    </row>
    <row r="1175" spans="1:30" s="14" customFormat="1">
      <c r="A1175" s="95" t="s">
        <v>5</v>
      </c>
      <c r="B1175" s="96" t="s">
        <v>6</v>
      </c>
      <c r="C1175" s="126" t="s">
        <v>6</v>
      </c>
      <c r="D1175" s="97"/>
      <c r="E1175" s="98"/>
      <c r="F1175" s="98"/>
      <c r="G1175" s="98"/>
      <c r="H1175" s="98"/>
      <c r="I1175" s="98"/>
      <c r="J1175" s="98"/>
      <c r="K1175" s="98"/>
      <c r="L1175" s="98"/>
      <c r="M1175" s="98"/>
      <c r="N1175" s="98"/>
      <c r="O1175" s="98"/>
      <c r="P1175" s="98"/>
      <c r="Q1175" s="98"/>
      <c r="R1175" s="98"/>
      <c r="S1175" s="98"/>
      <c r="T1175" s="98"/>
      <c r="U1175" s="98"/>
      <c r="V1175" s="98"/>
      <c r="W1175" s="98"/>
      <c r="X1175" s="98"/>
      <c r="Y1175" s="99"/>
      <c r="Z1175" s="96" t="s">
        <v>7</v>
      </c>
      <c r="AA1175" s="96"/>
      <c r="AB1175" s="96"/>
      <c r="AC1175" s="56"/>
      <c r="AD1175" s="23"/>
    </row>
    <row r="1176" spans="1:30" s="14" customFormat="1">
      <c r="A1176" s="95" t="s">
        <v>8</v>
      </c>
      <c r="B1176" s="96" t="s">
        <v>9</v>
      </c>
      <c r="C1176" s="126" t="s">
        <v>9</v>
      </c>
      <c r="D1176" s="100" t="s">
        <v>10</v>
      </c>
      <c r="E1176" s="96" t="s">
        <v>11</v>
      </c>
      <c r="F1176" s="96" t="s">
        <v>12</v>
      </c>
      <c r="G1176" s="96" t="s">
        <v>13</v>
      </c>
      <c r="H1176" s="96" t="s">
        <v>14</v>
      </c>
      <c r="I1176" s="96" t="s">
        <v>15</v>
      </c>
      <c r="J1176" s="96" t="s">
        <v>16</v>
      </c>
      <c r="K1176" s="96" t="s">
        <v>17</v>
      </c>
      <c r="L1176" s="96" t="s">
        <v>18</v>
      </c>
      <c r="M1176" s="96" t="s">
        <v>19</v>
      </c>
      <c r="N1176" s="96" t="s">
        <v>20</v>
      </c>
      <c r="O1176" s="96" t="s">
        <v>169</v>
      </c>
      <c r="P1176" s="96" t="s">
        <v>21</v>
      </c>
      <c r="Q1176" s="96" t="s">
        <v>22</v>
      </c>
      <c r="R1176" s="96" t="s">
        <v>23</v>
      </c>
      <c r="S1176" s="96" t="s">
        <v>24</v>
      </c>
      <c r="T1176" s="96" t="s">
        <v>25</v>
      </c>
      <c r="U1176" s="96" t="s">
        <v>26</v>
      </c>
      <c r="V1176" s="96" t="s">
        <v>27</v>
      </c>
      <c r="W1176" s="96" t="s">
        <v>28</v>
      </c>
      <c r="X1176" s="96" t="s">
        <v>29</v>
      </c>
      <c r="Y1176" s="96" t="s">
        <v>30</v>
      </c>
      <c r="Z1176" s="96" t="s">
        <v>31</v>
      </c>
      <c r="AA1176" s="96" t="s">
        <v>484</v>
      </c>
      <c r="AB1176" s="96" t="s">
        <v>467</v>
      </c>
      <c r="AC1176" s="56"/>
      <c r="AD1176" s="23"/>
    </row>
    <row r="1177" spans="1:30" s="14" customFormat="1">
      <c r="A1177" s="95"/>
      <c r="B1177" s="96"/>
      <c r="C1177" s="126" t="s">
        <v>696</v>
      </c>
      <c r="D1177" s="97"/>
      <c r="E1177" s="98"/>
      <c r="F1177" s="98"/>
      <c r="G1177" s="98"/>
      <c r="H1177" s="98"/>
      <c r="I1177" s="98"/>
      <c r="J1177" s="98"/>
      <c r="K1177" s="98"/>
      <c r="L1177" s="98"/>
      <c r="M1177" s="98"/>
      <c r="N1177" s="98"/>
      <c r="O1177" s="98"/>
      <c r="P1177" s="98"/>
      <c r="Q1177" s="98"/>
      <c r="R1177" s="98"/>
      <c r="S1177" s="98"/>
      <c r="T1177" s="98"/>
      <c r="U1177" s="98"/>
      <c r="V1177" s="98"/>
      <c r="W1177" s="98"/>
      <c r="X1177" s="98"/>
      <c r="Y1177" s="98"/>
      <c r="Z1177" s="98"/>
      <c r="AA1177" s="98"/>
      <c r="AB1177" s="98"/>
      <c r="AC1177" s="56"/>
      <c r="AD1177" s="23"/>
    </row>
    <row r="1178" spans="1:30" s="14" customFormat="1">
      <c r="A1178" s="136" t="s">
        <v>317</v>
      </c>
      <c r="B1178" s="26">
        <v>1296893.1200000001</v>
      </c>
      <c r="C1178" s="130">
        <f>ROUND(B1178/12,2)</f>
        <v>108074.43</v>
      </c>
      <c r="D1178" s="120"/>
      <c r="E1178" s="34"/>
      <c r="F1178" s="37"/>
      <c r="G1178" s="37"/>
      <c r="H1178" s="120"/>
      <c r="I1178" s="120"/>
      <c r="J1178" s="120"/>
      <c r="K1178" s="120"/>
      <c r="L1178" s="37"/>
      <c r="M1178" s="120"/>
      <c r="N1178" s="120"/>
      <c r="O1178" s="120"/>
      <c r="P1178" s="120"/>
      <c r="Q1178" s="120">
        <v>0.35399999999999998</v>
      </c>
      <c r="R1178" s="120"/>
      <c r="S1178" s="120">
        <v>5.67E-2</v>
      </c>
      <c r="T1178" s="120"/>
      <c r="U1178" s="120"/>
      <c r="V1178" s="120"/>
      <c r="W1178" s="120"/>
      <c r="X1178" s="120">
        <v>0.54369999999999996</v>
      </c>
      <c r="Y1178" s="120">
        <v>2.9399999999999999E-2</v>
      </c>
      <c r="Z1178" s="120">
        <v>1.6199999999999999E-2</v>
      </c>
      <c r="AA1178" s="120">
        <v>0</v>
      </c>
      <c r="AB1178" s="120">
        <v>0</v>
      </c>
      <c r="AC1178" s="56"/>
      <c r="AD1178" s="23"/>
    </row>
    <row r="1179" spans="1:30" s="14" customFormat="1">
      <c r="A1179" s="47"/>
      <c r="B1179" s="141"/>
      <c r="C1179" s="130"/>
      <c r="D1179" s="27">
        <f>$C1178*D1178</f>
        <v>0</v>
      </c>
      <c r="E1179" s="27">
        <f t="shared" ref="E1179" si="1881">$C1178*E1178</f>
        <v>0</v>
      </c>
      <c r="F1179" s="27">
        <f t="shared" ref="F1179" si="1882">$C1178*F1178</f>
        <v>0</v>
      </c>
      <c r="G1179" s="27">
        <f t="shared" ref="G1179:AB1179" si="1883">$C1178*G1178</f>
        <v>0</v>
      </c>
      <c r="H1179" s="27">
        <f t="shared" si="1883"/>
        <v>0</v>
      </c>
      <c r="I1179" s="27">
        <f t="shared" si="1883"/>
        <v>0</v>
      </c>
      <c r="J1179" s="27">
        <f t="shared" si="1883"/>
        <v>0</v>
      </c>
      <c r="K1179" s="27">
        <f t="shared" si="1883"/>
        <v>0</v>
      </c>
      <c r="L1179" s="27">
        <f t="shared" si="1883"/>
        <v>0</v>
      </c>
      <c r="M1179" s="27">
        <f t="shared" si="1883"/>
        <v>0</v>
      </c>
      <c r="N1179" s="27">
        <f t="shared" si="1883"/>
        <v>0</v>
      </c>
      <c r="O1179" s="27">
        <f t="shared" si="1883"/>
        <v>0</v>
      </c>
      <c r="P1179" s="27">
        <f t="shared" si="1883"/>
        <v>0</v>
      </c>
      <c r="Q1179" s="27">
        <f t="shared" si="1883"/>
        <v>38258.348219999993</v>
      </c>
      <c r="R1179" s="27">
        <f t="shared" si="1883"/>
        <v>0</v>
      </c>
      <c r="S1179" s="27">
        <f t="shared" si="1883"/>
        <v>6127.820181</v>
      </c>
      <c r="T1179" s="27">
        <f t="shared" si="1883"/>
        <v>0</v>
      </c>
      <c r="U1179" s="27">
        <f t="shared" si="1883"/>
        <v>0</v>
      </c>
      <c r="V1179" s="27">
        <f t="shared" si="1883"/>
        <v>0</v>
      </c>
      <c r="W1179" s="27">
        <f t="shared" si="1883"/>
        <v>0</v>
      </c>
      <c r="X1179" s="27">
        <f t="shared" si="1883"/>
        <v>58760.067590999992</v>
      </c>
      <c r="Y1179" s="27">
        <f t="shared" si="1883"/>
        <v>3177.3882419999995</v>
      </c>
      <c r="Z1179" s="27">
        <f t="shared" si="1883"/>
        <v>1750.8057659999997</v>
      </c>
      <c r="AA1179" s="27">
        <f t="shared" si="1883"/>
        <v>0</v>
      </c>
      <c r="AB1179" s="27">
        <f t="shared" si="1883"/>
        <v>0</v>
      </c>
      <c r="AC1179" s="56"/>
      <c r="AD1179" s="23"/>
    </row>
    <row r="1180" spans="1:30" s="14" customFormat="1">
      <c r="A1180" s="136" t="s">
        <v>318</v>
      </c>
      <c r="B1180" s="26">
        <v>643620.53</v>
      </c>
      <c r="C1180" s="130">
        <f t="shared" ref="C1180:C1184" si="1884">ROUND(B1180/12,2)</f>
        <v>53635.040000000001</v>
      </c>
      <c r="D1180" s="120"/>
      <c r="E1180" s="34"/>
      <c r="F1180" s="37"/>
      <c r="G1180" s="37"/>
      <c r="H1180" s="120"/>
      <c r="I1180" s="120"/>
      <c r="J1180" s="120"/>
      <c r="K1180" s="120"/>
      <c r="L1180" s="37"/>
      <c r="M1180" s="120"/>
      <c r="N1180" s="120"/>
      <c r="O1180" s="120"/>
      <c r="P1180" s="120"/>
      <c r="Q1180" s="120">
        <v>0.61770000000000003</v>
      </c>
      <c r="R1180" s="120"/>
      <c r="S1180" s="120">
        <v>0.03</v>
      </c>
      <c r="T1180" s="120"/>
      <c r="U1180" s="120"/>
      <c r="V1180" s="120"/>
      <c r="W1180" s="120"/>
      <c r="X1180" s="120">
        <v>0.32729999999999998</v>
      </c>
      <c r="Y1180" s="120">
        <v>1.4500000000000001E-2</v>
      </c>
      <c r="Z1180" s="120">
        <v>1.0500000000000001E-2</v>
      </c>
      <c r="AA1180" s="120">
        <v>0</v>
      </c>
      <c r="AB1180" s="120">
        <v>0</v>
      </c>
      <c r="AC1180" s="56"/>
      <c r="AD1180" s="23"/>
    </row>
    <row r="1181" spans="1:30" s="14" customFormat="1">
      <c r="A1181" s="47"/>
      <c r="B1181" s="141"/>
      <c r="C1181" s="130"/>
      <c r="D1181" s="27">
        <f t="shared" ref="D1181" si="1885">$C1180*D1180</f>
        <v>0</v>
      </c>
      <c r="E1181" s="27">
        <f t="shared" ref="E1181" si="1886">$C1180*E1180</f>
        <v>0</v>
      </c>
      <c r="F1181" s="27">
        <f t="shared" ref="F1181:AB1181" si="1887">$C1180*F1180</f>
        <v>0</v>
      </c>
      <c r="G1181" s="27">
        <f t="shared" si="1887"/>
        <v>0</v>
      </c>
      <c r="H1181" s="27">
        <f t="shared" si="1887"/>
        <v>0</v>
      </c>
      <c r="I1181" s="27">
        <f t="shared" si="1887"/>
        <v>0</v>
      </c>
      <c r="J1181" s="27">
        <f t="shared" si="1887"/>
        <v>0</v>
      </c>
      <c r="K1181" s="27">
        <f t="shared" si="1887"/>
        <v>0</v>
      </c>
      <c r="L1181" s="27">
        <f t="shared" si="1887"/>
        <v>0</v>
      </c>
      <c r="M1181" s="27">
        <f t="shared" si="1887"/>
        <v>0</v>
      </c>
      <c r="N1181" s="27">
        <f t="shared" si="1887"/>
        <v>0</v>
      </c>
      <c r="O1181" s="27">
        <f t="shared" si="1887"/>
        <v>0</v>
      </c>
      <c r="P1181" s="27">
        <f t="shared" si="1887"/>
        <v>0</v>
      </c>
      <c r="Q1181" s="27">
        <f t="shared" si="1887"/>
        <v>33130.364207999999</v>
      </c>
      <c r="R1181" s="27">
        <f t="shared" si="1887"/>
        <v>0</v>
      </c>
      <c r="S1181" s="27">
        <f t="shared" si="1887"/>
        <v>1609.0511999999999</v>
      </c>
      <c r="T1181" s="27">
        <f t="shared" si="1887"/>
        <v>0</v>
      </c>
      <c r="U1181" s="27">
        <f t="shared" si="1887"/>
        <v>0</v>
      </c>
      <c r="V1181" s="27">
        <f t="shared" si="1887"/>
        <v>0</v>
      </c>
      <c r="W1181" s="27">
        <f t="shared" si="1887"/>
        <v>0</v>
      </c>
      <c r="X1181" s="27">
        <f t="shared" si="1887"/>
        <v>17554.748592</v>
      </c>
      <c r="Y1181" s="27">
        <f t="shared" si="1887"/>
        <v>777.70808</v>
      </c>
      <c r="Z1181" s="27">
        <f t="shared" si="1887"/>
        <v>563.16792000000009</v>
      </c>
      <c r="AA1181" s="27">
        <f t="shared" si="1887"/>
        <v>0</v>
      </c>
      <c r="AB1181" s="27">
        <f t="shared" si="1887"/>
        <v>0</v>
      </c>
      <c r="AC1181" s="56"/>
      <c r="AD1181" s="23"/>
    </row>
    <row r="1182" spans="1:30" s="14" customFormat="1">
      <c r="A1182" s="136" t="s">
        <v>319</v>
      </c>
      <c r="B1182" s="26">
        <v>834411.48</v>
      </c>
      <c r="C1182" s="130">
        <f t="shared" si="1884"/>
        <v>69534.289999999994</v>
      </c>
      <c r="D1182" s="7">
        <v>2.4500000000000001E-2</v>
      </c>
      <c r="E1182" s="34"/>
      <c r="F1182" s="4"/>
      <c r="G1182" s="4"/>
      <c r="H1182" s="7"/>
      <c r="I1182" s="7"/>
      <c r="J1182" s="7"/>
      <c r="K1182" s="7"/>
      <c r="L1182" s="4"/>
      <c r="M1182" s="7"/>
      <c r="N1182" s="7"/>
      <c r="O1182" s="7"/>
      <c r="P1182" s="7"/>
      <c r="Q1182" s="7">
        <v>0.97550000000000003</v>
      </c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56"/>
      <c r="AD1182" s="23"/>
    </row>
    <row r="1183" spans="1:30" s="14" customFormat="1">
      <c r="A1183" s="47"/>
      <c r="B1183" s="141"/>
      <c r="C1183" s="130"/>
      <c r="D1183" s="27">
        <f t="shared" ref="D1183" si="1888">$C1182*D1182</f>
        <v>1703.590105</v>
      </c>
      <c r="E1183" s="27">
        <f t="shared" ref="E1183" si="1889">$C1182*E1182</f>
        <v>0</v>
      </c>
      <c r="F1183" s="27">
        <f t="shared" ref="F1183:AB1183" si="1890">$C1182*F1182</f>
        <v>0</v>
      </c>
      <c r="G1183" s="27">
        <f t="shared" si="1890"/>
        <v>0</v>
      </c>
      <c r="H1183" s="27">
        <f t="shared" si="1890"/>
        <v>0</v>
      </c>
      <c r="I1183" s="27">
        <f t="shared" si="1890"/>
        <v>0</v>
      </c>
      <c r="J1183" s="27">
        <f t="shared" si="1890"/>
        <v>0</v>
      </c>
      <c r="K1183" s="27">
        <f t="shared" si="1890"/>
        <v>0</v>
      </c>
      <c r="L1183" s="27">
        <f t="shared" si="1890"/>
        <v>0</v>
      </c>
      <c r="M1183" s="27">
        <f t="shared" si="1890"/>
        <v>0</v>
      </c>
      <c r="N1183" s="27">
        <f t="shared" si="1890"/>
        <v>0</v>
      </c>
      <c r="O1183" s="27">
        <f t="shared" si="1890"/>
        <v>0</v>
      </c>
      <c r="P1183" s="27">
        <f t="shared" si="1890"/>
        <v>0</v>
      </c>
      <c r="Q1183" s="27">
        <f t="shared" si="1890"/>
        <v>67830.699894999998</v>
      </c>
      <c r="R1183" s="27">
        <f t="shared" si="1890"/>
        <v>0</v>
      </c>
      <c r="S1183" s="27">
        <f t="shared" si="1890"/>
        <v>0</v>
      </c>
      <c r="T1183" s="27">
        <f t="shared" si="1890"/>
        <v>0</v>
      </c>
      <c r="U1183" s="27">
        <f t="shared" si="1890"/>
        <v>0</v>
      </c>
      <c r="V1183" s="27">
        <f t="shared" si="1890"/>
        <v>0</v>
      </c>
      <c r="W1183" s="27">
        <f t="shared" si="1890"/>
        <v>0</v>
      </c>
      <c r="X1183" s="27">
        <f t="shared" si="1890"/>
        <v>0</v>
      </c>
      <c r="Y1183" s="27">
        <f t="shared" si="1890"/>
        <v>0</v>
      </c>
      <c r="Z1183" s="27">
        <f t="shared" si="1890"/>
        <v>0</v>
      </c>
      <c r="AA1183" s="27">
        <f t="shared" si="1890"/>
        <v>0</v>
      </c>
      <c r="AB1183" s="27">
        <f t="shared" si="1890"/>
        <v>0</v>
      </c>
      <c r="AC1183" s="56"/>
      <c r="AD1183" s="23"/>
    </row>
    <row r="1184" spans="1:30" s="14" customFormat="1">
      <c r="A1184" s="136" t="s">
        <v>320</v>
      </c>
      <c r="B1184" s="26">
        <v>20228234.050000001</v>
      </c>
      <c r="C1184" s="130">
        <f t="shared" si="1884"/>
        <v>1685686.17</v>
      </c>
      <c r="D1184" s="120"/>
      <c r="E1184" s="34"/>
      <c r="F1184" s="37"/>
      <c r="G1184" s="37"/>
      <c r="H1184" s="120"/>
      <c r="I1184" s="120"/>
      <c r="J1184" s="120"/>
      <c r="K1184" s="120"/>
      <c r="L1184" s="37"/>
      <c r="M1184" s="120"/>
      <c r="N1184" s="120"/>
      <c r="O1184" s="120"/>
      <c r="P1184" s="120">
        <v>1.77E-2</v>
      </c>
      <c r="Q1184" s="120">
        <v>0.35830000000000001</v>
      </c>
      <c r="R1184" s="120"/>
      <c r="S1184" s="120">
        <v>0.2361</v>
      </c>
      <c r="T1184" s="120"/>
      <c r="U1184" s="120"/>
      <c r="V1184" s="120"/>
      <c r="W1184" s="120"/>
      <c r="X1184" s="120">
        <v>0.35870000000000002</v>
      </c>
      <c r="Y1184" s="120">
        <v>1.43E-2</v>
      </c>
      <c r="Z1184" s="120">
        <v>1.49E-2</v>
      </c>
      <c r="AA1184" s="120">
        <v>0</v>
      </c>
      <c r="AB1184" s="120">
        <v>0</v>
      </c>
      <c r="AC1184" s="56"/>
      <c r="AD1184" s="23"/>
    </row>
    <row r="1185" spans="1:30" s="14" customFormat="1">
      <c r="A1185" s="47"/>
      <c r="B1185" s="21"/>
      <c r="C1185" s="133"/>
      <c r="D1185" s="27">
        <f t="shared" ref="D1185:D1187" si="1891">$C1184*D1184</f>
        <v>0</v>
      </c>
      <c r="E1185" s="27">
        <f t="shared" ref="E1185:T1187" si="1892">$C1184*E1184</f>
        <v>0</v>
      </c>
      <c r="F1185" s="27">
        <f t="shared" ref="F1185:AB1185" si="1893">$C1184*F1184</f>
        <v>0</v>
      </c>
      <c r="G1185" s="27">
        <f t="shared" si="1893"/>
        <v>0</v>
      </c>
      <c r="H1185" s="27">
        <f t="shared" si="1893"/>
        <v>0</v>
      </c>
      <c r="I1185" s="27">
        <f t="shared" si="1893"/>
        <v>0</v>
      </c>
      <c r="J1185" s="27">
        <f t="shared" si="1893"/>
        <v>0</v>
      </c>
      <c r="K1185" s="27">
        <f t="shared" si="1893"/>
        <v>0</v>
      </c>
      <c r="L1185" s="27">
        <f t="shared" si="1893"/>
        <v>0</v>
      </c>
      <c r="M1185" s="27">
        <f t="shared" si="1893"/>
        <v>0</v>
      </c>
      <c r="N1185" s="27">
        <f t="shared" si="1893"/>
        <v>0</v>
      </c>
      <c r="O1185" s="27">
        <f t="shared" si="1893"/>
        <v>0</v>
      </c>
      <c r="P1185" s="27">
        <f t="shared" si="1893"/>
        <v>29836.645208999998</v>
      </c>
      <c r="Q1185" s="27">
        <f t="shared" si="1893"/>
        <v>603981.35471099999</v>
      </c>
      <c r="R1185" s="27">
        <f t="shared" si="1893"/>
        <v>0</v>
      </c>
      <c r="S1185" s="27">
        <f t="shared" si="1893"/>
        <v>397990.50473699998</v>
      </c>
      <c r="T1185" s="27">
        <f t="shared" si="1893"/>
        <v>0</v>
      </c>
      <c r="U1185" s="27">
        <f t="shared" si="1893"/>
        <v>0</v>
      </c>
      <c r="V1185" s="27">
        <f t="shared" si="1893"/>
        <v>0</v>
      </c>
      <c r="W1185" s="27">
        <f t="shared" si="1893"/>
        <v>0</v>
      </c>
      <c r="X1185" s="27">
        <f t="shared" si="1893"/>
        <v>604655.62917900004</v>
      </c>
      <c r="Y1185" s="27">
        <f t="shared" si="1893"/>
        <v>24105.312231</v>
      </c>
      <c r="Z1185" s="27">
        <f t="shared" si="1893"/>
        <v>25116.723932999997</v>
      </c>
      <c r="AA1185" s="27">
        <f t="shared" si="1893"/>
        <v>0</v>
      </c>
      <c r="AB1185" s="27">
        <f t="shared" si="1893"/>
        <v>0</v>
      </c>
      <c r="AC1185" s="56"/>
      <c r="AD1185" s="23"/>
    </row>
    <row r="1186" spans="1:30" s="14" customFormat="1">
      <c r="A1186" s="136" t="s">
        <v>699</v>
      </c>
      <c r="B1186" s="26">
        <v>1068517.58</v>
      </c>
      <c r="C1186" s="130">
        <f t="shared" ref="C1186" si="1894">ROUND(B1186/12,2)</f>
        <v>89043.13</v>
      </c>
      <c r="D1186" s="120">
        <v>0.13800000000000001</v>
      </c>
      <c r="E1186" s="34"/>
      <c r="F1186" s="37"/>
      <c r="G1186" s="37"/>
      <c r="H1186" s="120"/>
      <c r="I1186" s="120"/>
      <c r="J1186" s="120"/>
      <c r="K1186" s="120"/>
      <c r="L1186" s="37"/>
      <c r="M1186" s="120"/>
      <c r="N1186" s="120"/>
      <c r="O1186" s="120"/>
      <c r="P1186" s="120"/>
      <c r="Q1186" s="120">
        <v>0.31950000000000001</v>
      </c>
      <c r="R1186" s="120"/>
      <c r="S1186" s="120"/>
      <c r="T1186" s="120"/>
      <c r="U1186" s="120"/>
      <c r="V1186" s="120"/>
      <c r="W1186" s="120"/>
      <c r="X1186" s="120">
        <v>0.52100000000000002</v>
      </c>
      <c r="Y1186" s="120">
        <v>2.1499999999999998E-2</v>
      </c>
      <c r="Z1186" s="120"/>
      <c r="AA1186" s="120"/>
      <c r="AB1186" s="120"/>
      <c r="AC1186" s="56"/>
      <c r="AD1186" s="23"/>
    </row>
    <row r="1187" spans="1:30" s="14" customFormat="1">
      <c r="A1187" s="193"/>
      <c r="B1187" s="21"/>
      <c r="C1187" s="133"/>
      <c r="D1187" s="27">
        <f t="shared" si="1891"/>
        <v>12287.951940000001</v>
      </c>
      <c r="E1187" s="27">
        <f t="shared" si="1892"/>
        <v>0</v>
      </c>
      <c r="F1187" s="27">
        <f t="shared" si="1892"/>
        <v>0</v>
      </c>
      <c r="G1187" s="27">
        <f t="shared" si="1892"/>
        <v>0</v>
      </c>
      <c r="H1187" s="27">
        <f t="shared" si="1892"/>
        <v>0</v>
      </c>
      <c r="I1187" s="27">
        <f t="shared" si="1892"/>
        <v>0</v>
      </c>
      <c r="J1187" s="27">
        <f t="shared" si="1892"/>
        <v>0</v>
      </c>
      <c r="K1187" s="27">
        <f t="shared" si="1892"/>
        <v>0</v>
      </c>
      <c r="L1187" s="27">
        <f t="shared" si="1892"/>
        <v>0</v>
      </c>
      <c r="M1187" s="27">
        <f t="shared" si="1892"/>
        <v>0</v>
      </c>
      <c r="N1187" s="27">
        <f t="shared" si="1892"/>
        <v>0</v>
      </c>
      <c r="O1187" s="27">
        <f t="shared" si="1892"/>
        <v>0</v>
      </c>
      <c r="P1187" s="27">
        <f t="shared" si="1892"/>
        <v>0</v>
      </c>
      <c r="Q1187" s="27">
        <f t="shared" si="1892"/>
        <v>28449.280035000003</v>
      </c>
      <c r="R1187" s="27">
        <f t="shared" si="1892"/>
        <v>0</v>
      </c>
      <c r="S1187" s="27">
        <f t="shared" si="1892"/>
        <v>0</v>
      </c>
      <c r="T1187" s="27">
        <f t="shared" si="1892"/>
        <v>0</v>
      </c>
      <c r="U1187" s="27">
        <f t="shared" ref="U1187:AB1187" si="1895">$C1186*U1186</f>
        <v>0</v>
      </c>
      <c r="V1187" s="27">
        <f t="shared" si="1895"/>
        <v>0</v>
      </c>
      <c r="W1187" s="27">
        <f t="shared" si="1895"/>
        <v>0</v>
      </c>
      <c r="X1187" s="27">
        <f t="shared" si="1895"/>
        <v>46391.470730000001</v>
      </c>
      <c r="Y1187" s="27">
        <f t="shared" si="1895"/>
        <v>1914.427295</v>
      </c>
      <c r="Z1187" s="27">
        <f t="shared" si="1895"/>
        <v>0</v>
      </c>
      <c r="AA1187" s="27">
        <f t="shared" si="1895"/>
        <v>0</v>
      </c>
      <c r="AB1187" s="27">
        <f t="shared" si="1895"/>
        <v>0</v>
      </c>
      <c r="AC1187" s="56"/>
      <c r="AD1187" s="23"/>
    </row>
    <row r="1188" spans="1:30" s="14" customFormat="1">
      <c r="A1188" s="71" t="s">
        <v>50</v>
      </c>
      <c r="B1188" s="122">
        <f>SUM(B1178:B1186)</f>
        <v>24071676.759999998</v>
      </c>
      <c r="C1188" s="46">
        <f>SUM(C1178:C1186)</f>
        <v>2005973.06</v>
      </c>
      <c r="D1188" s="46">
        <f>D1179+D1181+D1183+D1185+D1187</f>
        <v>13991.542045</v>
      </c>
      <c r="E1188" s="46">
        <f t="shared" ref="E1188:AB1188" si="1896">E1179+E1181+E1183+E1185+E1187</f>
        <v>0</v>
      </c>
      <c r="F1188" s="46">
        <f t="shared" si="1896"/>
        <v>0</v>
      </c>
      <c r="G1188" s="46">
        <f t="shared" si="1896"/>
        <v>0</v>
      </c>
      <c r="H1188" s="46">
        <f t="shared" si="1896"/>
        <v>0</v>
      </c>
      <c r="I1188" s="46">
        <f t="shared" si="1896"/>
        <v>0</v>
      </c>
      <c r="J1188" s="46">
        <f t="shared" si="1896"/>
        <v>0</v>
      </c>
      <c r="K1188" s="46">
        <f t="shared" si="1896"/>
        <v>0</v>
      </c>
      <c r="L1188" s="46">
        <f t="shared" si="1896"/>
        <v>0</v>
      </c>
      <c r="M1188" s="46">
        <f t="shared" si="1896"/>
        <v>0</v>
      </c>
      <c r="N1188" s="46">
        <f t="shared" si="1896"/>
        <v>0</v>
      </c>
      <c r="O1188" s="46">
        <f t="shared" si="1896"/>
        <v>0</v>
      </c>
      <c r="P1188" s="46">
        <f t="shared" si="1896"/>
        <v>29836.645208999998</v>
      </c>
      <c r="Q1188" s="46">
        <f t="shared" si="1896"/>
        <v>771650.04706900008</v>
      </c>
      <c r="R1188" s="46">
        <f t="shared" si="1896"/>
        <v>0</v>
      </c>
      <c r="S1188" s="46">
        <f t="shared" si="1896"/>
        <v>405727.37611799996</v>
      </c>
      <c r="T1188" s="46">
        <f t="shared" si="1896"/>
        <v>0</v>
      </c>
      <c r="U1188" s="46">
        <f t="shared" si="1896"/>
        <v>0</v>
      </c>
      <c r="V1188" s="46">
        <f t="shared" si="1896"/>
        <v>0</v>
      </c>
      <c r="W1188" s="46">
        <f t="shared" si="1896"/>
        <v>0</v>
      </c>
      <c r="X1188" s="46">
        <f t="shared" si="1896"/>
        <v>727361.91609199997</v>
      </c>
      <c r="Y1188" s="46">
        <f t="shared" si="1896"/>
        <v>29974.835848000002</v>
      </c>
      <c r="Z1188" s="46">
        <f t="shared" si="1896"/>
        <v>27430.697618999999</v>
      </c>
      <c r="AA1188" s="46">
        <f t="shared" si="1896"/>
        <v>0</v>
      </c>
      <c r="AB1188" s="46">
        <f t="shared" si="1896"/>
        <v>0</v>
      </c>
      <c r="AC1188" s="56"/>
      <c r="AD1188" s="23"/>
    </row>
    <row r="1189" spans="1:30" s="14" customFormat="1">
      <c r="A1189" s="108"/>
      <c r="B1189" s="109"/>
      <c r="C1189" s="138"/>
      <c r="D1189" s="27"/>
      <c r="E1189" s="27"/>
      <c r="F1189" s="27"/>
      <c r="G1189" s="27"/>
      <c r="H1189" s="27"/>
      <c r="I1189" s="27"/>
      <c r="J1189" s="27"/>
      <c r="K1189" s="27"/>
      <c r="L1189" s="27"/>
      <c r="M1189" s="27"/>
      <c r="N1189" s="27"/>
      <c r="O1189" s="27"/>
      <c r="P1189" s="27"/>
      <c r="Q1189" s="27"/>
      <c r="R1189" s="27"/>
      <c r="S1189" s="27"/>
      <c r="T1189" s="27"/>
      <c r="U1189" s="27"/>
      <c r="V1189" s="27"/>
      <c r="W1189" s="27"/>
      <c r="X1189" s="27"/>
      <c r="Y1189" s="27"/>
      <c r="Z1189" s="27"/>
      <c r="AA1189" s="27"/>
      <c r="AB1189" s="27"/>
      <c r="AC1189" s="56"/>
      <c r="AD1189" s="23"/>
    </row>
    <row r="1190" spans="1:30" s="14" customFormat="1">
      <c r="A1190" s="13"/>
      <c r="B1190" s="6"/>
      <c r="C1190" s="153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56"/>
      <c r="AD1190" s="23"/>
    </row>
    <row r="1191" spans="1:30" s="14" customFormat="1" ht="13.5" customHeight="1" thickBot="1">
      <c r="A1191" s="66" t="s">
        <v>324</v>
      </c>
      <c r="B1191" s="65"/>
      <c r="C1191" s="152"/>
      <c r="D1191" s="65"/>
      <c r="E1191" s="65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56"/>
      <c r="AD1191" s="23"/>
    </row>
    <row r="1192" spans="1:30" s="14" customFormat="1" ht="13.5" customHeight="1" thickBot="1">
      <c r="A1192" s="93" t="s">
        <v>1</v>
      </c>
      <c r="B1192" s="94" t="s">
        <v>2</v>
      </c>
      <c r="C1192" s="125" t="s">
        <v>3</v>
      </c>
      <c r="D1192" s="211" t="s">
        <v>4</v>
      </c>
      <c r="E1192" s="212"/>
      <c r="F1192" s="212"/>
      <c r="G1192" s="212"/>
      <c r="H1192" s="212"/>
      <c r="I1192" s="212"/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103"/>
      <c r="AA1192" s="103"/>
      <c r="AB1192" s="103"/>
      <c r="AC1192" s="56"/>
      <c r="AD1192" s="23"/>
    </row>
    <row r="1193" spans="1:30" s="14" customFormat="1">
      <c r="A1193" s="95" t="s">
        <v>5</v>
      </c>
      <c r="B1193" s="96" t="s">
        <v>6</v>
      </c>
      <c r="C1193" s="126" t="s">
        <v>6</v>
      </c>
      <c r="D1193" s="97"/>
      <c r="E1193" s="98"/>
      <c r="F1193" s="98"/>
      <c r="G1193" s="98"/>
      <c r="H1193" s="98"/>
      <c r="I1193" s="98"/>
      <c r="J1193" s="98"/>
      <c r="K1193" s="98"/>
      <c r="L1193" s="98"/>
      <c r="M1193" s="98"/>
      <c r="N1193" s="98"/>
      <c r="O1193" s="98"/>
      <c r="P1193" s="98"/>
      <c r="Q1193" s="98"/>
      <c r="R1193" s="98"/>
      <c r="S1193" s="98"/>
      <c r="T1193" s="98"/>
      <c r="U1193" s="98"/>
      <c r="V1193" s="98"/>
      <c r="W1193" s="98"/>
      <c r="X1193" s="98"/>
      <c r="Y1193" s="99"/>
      <c r="Z1193" s="96" t="s">
        <v>7</v>
      </c>
      <c r="AA1193" s="96"/>
      <c r="AB1193" s="96"/>
      <c r="AC1193" s="56"/>
      <c r="AD1193" s="23"/>
    </row>
    <row r="1194" spans="1:30" s="14" customFormat="1">
      <c r="A1194" s="95" t="s">
        <v>8</v>
      </c>
      <c r="B1194" s="96" t="s">
        <v>9</v>
      </c>
      <c r="C1194" s="126" t="s">
        <v>9</v>
      </c>
      <c r="D1194" s="100" t="s">
        <v>10</v>
      </c>
      <c r="E1194" s="96" t="s">
        <v>11</v>
      </c>
      <c r="F1194" s="96" t="s">
        <v>12</v>
      </c>
      <c r="G1194" s="96" t="s">
        <v>13</v>
      </c>
      <c r="H1194" s="96" t="s">
        <v>14</v>
      </c>
      <c r="I1194" s="96" t="s">
        <v>15</v>
      </c>
      <c r="J1194" s="96" t="s">
        <v>16</v>
      </c>
      <c r="K1194" s="96" t="s">
        <v>17</v>
      </c>
      <c r="L1194" s="96" t="s">
        <v>18</v>
      </c>
      <c r="M1194" s="96" t="s">
        <v>19</v>
      </c>
      <c r="N1194" s="96" t="s">
        <v>20</v>
      </c>
      <c r="O1194" s="96" t="s">
        <v>169</v>
      </c>
      <c r="P1194" s="96" t="s">
        <v>21</v>
      </c>
      <c r="Q1194" s="96" t="s">
        <v>22</v>
      </c>
      <c r="R1194" s="96" t="s">
        <v>23</v>
      </c>
      <c r="S1194" s="96" t="s">
        <v>24</v>
      </c>
      <c r="T1194" s="96" t="s">
        <v>25</v>
      </c>
      <c r="U1194" s="96" t="s">
        <v>26</v>
      </c>
      <c r="V1194" s="96" t="s">
        <v>27</v>
      </c>
      <c r="W1194" s="96" t="s">
        <v>28</v>
      </c>
      <c r="X1194" s="96" t="s">
        <v>29</v>
      </c>
      <c r="Y1194" s="96" t="s">
        <v>30</v>
      </c>
      <c r="Z1194" s="96" t="s">
        <v>31</v>
      </c>
      <c r="AA1194" s="96" t="s">
        <v>484</v>
      </c>
      <c r="AB1194" s="96" t="s">
        <v>467</v>
      </c>
      <c r="AC1194" s="56"/>
      <c r="AD1194" s="23"/>
    </row>
    <row r="1195" spans="1:30" s="14" customFormat="1">
      <c r="A1195" s="95"/>
      <c r="B1195" s="96"/>
      <c r="C1195" s="126" t="s">
        <v>696</v>
      </c>
      <c r="D1195" s="97"/>
      <c r="E1195" s="98"/>
      <c r="F1195" s="98"/>
      <c r="G1195" s="98"/>
      <c r="H1195" s="98"/>
      <c r="I1195" s="98"/>
      <c r="J1195" s="98"/>
      <c r="K1195" s="98"/>
      <c r="L1195" s="98"/>
      <c r="M1195" s="98"/>
      <c r="N1195" s="98"/>
      <c r="O1195" s="98"/>
      <c r="P1195" s="98"/>
      <c r="Q1195" s="98"/>
      <c r="R1195" s="98"/>
      <c r="S1195" s="98"/>
      <c r="T1195" s="98"/>
      <c r="U1195" s="98"/>
      <c r="V1195" s="98"/>
      <c r="W1195" s="98"/>
      <c r="X1195" s="98"/>
      <c r="Y1195" s="98"/>
      <c r="Z1195" s="98"/>
      <c r="AA1195" s="98"/>
      <c r="AB1195" s="98"/>
      <c r="AC1195" s="56"/>
      <c r="AD1195" s="23"/>
    </row>
    <row r="1196" spans="1:30" s="14" customFormat="1">
      <c r="A1196" s="136" t="s">
        <v>325</v>
      </c>
      <c r="B1196" s="26">
        <v>2122057.86</v>
      </c>
      <c r="C1196" s="130">
        <f>ROUND(B1196/12,2)</f>
        <v>176838.16</v>
      </c>
      <c r="D1196" s="120">
        <v>6.7100000000000007E-2</v>
      </c>
      <c r="E1196" s="34"/>
      <c r="F1196" s="37">
        <v>3.9699999999999999E-2</v>
      </c>
      <c r="G1196" s="37"/>
      <c r="H1196" s="120"/>
      <c r="I1196" s="120"/>
      <c r="J1196" s="120"/>
      <c r="K1196" s="120"/>
      <c r="L1196" s="37"/>
      <c r="M1196" s="120">
        <v>9.0999999999999998E-2</v>
      </c>
      <c r="N1196" s="120"/>
      <c r="O1196" s="120"/>
      <c r="P1196" s="120"/>
      <c r="Q1196" s="120">
        <v>0.16850000000000001</v>
      </c>
      <c r="R1196" s="120">
        <v>0.1053</v>
      </c>
      <c r="S1196" s="120">
        <v>1.6899999999999998E-2</v>
      </c>
      <c r="T1196" s="120">
        <v>0.19</v>
      </c>
      <c r="U1196" s="120"/>
      <c r="V1196" s="120"/>
      <c r="W1196" s="120">
        <v>8.5000000000000006E-2</v>
      </c>
      <c r="X1196" s="120">
        <v>0.22670000000000001</v>
      </c>
      <c r="Y1196" s="120">
        <v>3.3999999999999998E-3</v>
      </c>
      <c r="Z1196" s="120">
        <v>6.4000000000000003E-3</v>
      </c>
      <c r="AA1196" s="120">
        <v>0</v>
      </c>
      <c r="AB1196" s="120">
        <v>0</v>
      </c>
      <c r="AC1196" s="56"/>
      <c r="AD1196" s="23"/>
    </row>
    <row r="1197" spans="1:30" s="14" customFormat="1">
      <c r="A1197" s="47"/>
      <c r="B1197" s="21"/>
      <c r="C1197" s="130"/>
      <c r="D1197" s="27">
        <f>$C1196*D1196</f>
        <v>11865.840536000002</v>
      </c>
      <c r="E1197" s="27">
        <f t="shared" ref="E1197" si="1897">$C1196*E1196</f>
        <v>0</v>
      </c>
      <c r="F1197" s="27">
        <f t="shared" ref="F1197" si="1898">$C1196*F1196</f>
        <v>7020.4749519999996</v>
      </c>
      <c r="G1197" s="27">
        <f t="shared" ref="G1197:AB1197" si="1899">$C1196*G1196</f>
        <v>0</v>
      </c>
      <c r="H1197" s="27">
        <f t="shared" si="1899"/>
        <v>0</v>
      </c>
      <c r="I1197" s="27">
        <f t="shared" si="1899"/>
        <v>0</v>
      </c>
      <c r="J1197" s="27">
        <f t="shared" si="1899"/>
        <v>0</v>
      </c>
      <c r="K1197" s="27">
        <f t="shared" si="1899"/>
        <v>0</v>
      </c>
      <c r="L1197" s="27">
        <f t="shared" si="1899"/>
        <v>0</v>
      </c>
      <c r="M1197" s="27">
        <f t="shared" si="1899"/>
        <v>16092.272559999999</v>
      </c>
      <c r="N1197" s="27">
        <f t="shared" si="1899"/>
        <v>0</v>
      </c>
      <c r="O1197" s="27">
        <f t="shared" si="1899"/>
        <v>0</v>
      </c>
      <c r="P1197" s="27">
        <f t="shared" si="1899"/>
        <v>0</v>
      </c>
      <c r="Q1197" s="27">
        <f t="shared" si="1899"/>
        <v>29797.229960000004</v>
      </c>
      <c r="R1197" s="27">
        <f t="shared" si="1899"/>
        <v>18621.058248000001</v>
      </c>
      <c r="S1197" s="27">
        <f t="shared" si="1899"/>
        <v>2988.5649039999998</v>
      </c>
      <c r="T1197" s="27">
        <f t="shared" si="1899"/>
        <v>33599.250400000004</v>
      </c>
      <c r="U1197" s="27">
        <f t="shared" si="1899"/>
        <v>0</v>
      </c>
      <c r="V1197" s="27">
        <f t="shared" si="1899"/>
        <v>0</v>
      </c>
      <c r="W1197" s="27">
        <f t="shared" si="1899"/>
        <v>15031.243600000002</v>
      </c>
      <c r="X1197" s="27">
        <f t="shared" si="1899"/>
        <v>40089.210872000003</v>
      </c>
      <c r="Y1197" s="27">
        <f t="shared" si="1899"/>
        <v>601.24974399999996</v>
      </c>
      <c r="Z1197" s="27">
        <f t="shared" si="1899"/>
        <v>1131.764224</v>
      </c>
      <c r="AA1197" s="27">
        <f t="shared" si="1899"/>
        <v>0</v>
      </c>
      <c r="AB1197" s="27">
        <f t="shared" si="1899"/>
        <v>0</v>
      </c>
      <c r="AC1197" s="56"/>
      <c r="AD1197" s="23"/>
    </row>
    <row r="1198" spans="1:30" s="14" customFormat="1">
      <c r="A1198" s="78" t="s">
        <v>326</v>
      </c>
      <c r="B1198" s="26">
        <f>565606.76/2</f>
        <v>282803.38</v>
      </c>
      <c r="C1198" s="130">
        <f t="shared" ref="C1198:C1254" si="1900">ROUND(B1198/12,2)</f>
        <v>23566.95</v>
      </c>
      <c r="D1198" s="35">
        <v>1.6299999999999999E-2</v>
      </c>
      <c r="E1198" s="35">
        <v>0.14269999999999999</v>
      </c>
      <c r="F1198" s="35">
        <v>5.8900000000000001E-2</v>
      </c>
      <c r="G1198" s="35">
        <v>7.6200000000000004E-2</v>
      </c>
      <c r="H1198" s="35">
        <v>3.9600000000000003E-2</v>
      </c>
      <c r="I1198" s="35">
        <v>0.12470000000000001</v>
      </c>
      <c r="J1198" s="35">
        <v>2.0400000000000001E-2</v>
      </c>
      <c r="K1198" s="35">
        <v>3.1199999999999999E-2</v>
      </c>
      <c r="L1198" s="35">
        <v>1.6199999999999999E-2</v>
      </c>
      <c r="M1198" s="35">
        <v>2.53E-2</v>
      </c>
      <c r="N1198" s="35">
        <v>0.14849999999999999</v>
      </c>
      <c r="O1198" s="35">
        <v>2.2599999999999999E-2</v>
      </c>
      <c r="P1198" s="35">
        <v>0</v>
      </c>
      <c r="Q1198" s="35">
        <v>3.78E-2</v>
      </c>
      <c r="R1198" s="35">
        <v>1.8100000000000002E-2</v>
      </c>
      <c r="S1198" s="35">
        <v>4.1000000000000003E-3</v>
      </c>
      <c r="T1198" s="35">
        <v>5.04E-2</v>
      </c>
      <c r="U1198" s="35">
        <v>1.7500000000000002E-2</v>
      </c>
      <c r="V1198" s="35">
        <v>3.6200000000000003E-2</v>
      </c>
      <c r="W1198" s="35">
        <v>4.8500000000000001E-2</v>
      </c>
      <c r="X1198" s="35">
        <v>6.1600000000000002E-2</v>
      </c>
      <c r="Y1198" s="35">
        <v>2.5000000000000001E-3</v>
      </c>
      <c r="Z1198" s="4">
        <v>0</v>
      </c>
      <c r="AA1198" s="4">
        <v>6.9999999999999999E-4</v>
      </c>
      <c r="AB1198" s="4">
        <v>0</v>
      </c>
      <c r="AC1198" s="56"/>
      <c r="AD1198" s="23"/>
    </row>
    <row r="1199" spans="1:30" s="14" customFormat="1">
      <c r="A1199" s="79"/>
      <c r="B1199" s="27"/>
      <c r="C1199" s="130"/>
      <c r="D1199" s="5">
        <f>$C1198*D1198</f>
        <v>384.14128499999998</v>
      </c>
      <c r="E1199" s="5">
        <f t="shared" ref="E1199" si="1901">$C1198*E1198</f>
        <v>3363.0037649999999</v>
      </c>
      <c r="F1199" s="5">
        <f t="shared" ref="F1199" si="1902">$C1198*F1198</f>
        <v>1388.093355</v>
      </c>
      <c r="G1199" s="5">
        <f t="shared" ref="G1199:AB1199" si="1903">$C1198*G1198</f>
        <v>1795.80159</v>
      </c>
      <c r="H1199" s="5">
        <f t="shared" si="1903"/>
        <v>933.2512200000001</v>
      </c>
      <c r="I1199" s="5">
        <f t="shared" si="1903"/>
        <v>2938.7986650000003</v>
      </c>
      <c r="J1199" s="5">
        <f t="shared" si="1903"/>
        <v>480.76578000000006</v>
      </c>
      <c r="K1199" s="5">
        <f t="shared" si="1903"/>
        <v>735.28883999999994</v>
      </c>
      <c r="L1199" s="5">
        <f t="shared" si="1903"/>
        <v>381.78458999999998</v>
      </c>
      <c r="M1199" s="5">
        <f t="shared" si="1903"/>
        <v>596.24383499999999</v>
      </c>
      <c r="N1199" s="5">
        <f t="shared" si="1903"/>
        <v>3499.6920749999999</v>
      </c>
      <c r="O1199" s="5">
        <f t="shared" si="1903"/>
        <v>532.61306999999999</v>
      </c>
      <c r="P1199" s="5">
        <f t="shared" si="1903"/>
        <v>0</v>
      </c>
      <c r="Q1199" s="5">
        <f t="shared" si="1903"/>
        <v>890.83071000000007</v>
      </c>
      <c r="R1199" s="5">
        <f t="shared" si="1903"/>
        <v>426.56179500000007</v>
      </c>
      <c r="S1199" s="5">
        <f t="shared" si="1903"/>
        <v>96.62449500000001</v>
      </c>
      <c r="T1199" s="5">
        <f t="shared" si="1903"/>
        <v>1187.7742800000001</v>
      </c>
      <c r="U1199" s="5">
        <f t="shared" si="1903"/>
        <v>412.42162500000006</v>
      </c>
      <c r="V1199" s="5">
        <f t="shared" si="1903"/>
        <v>853.12359000000015</v>
      </c>
      <c r="W1199" s="5">
        <f t="shared" si="1903"/>
        <v>1142.997075</v>
      </c>
      <c r="X1199" s="5">
        <f t="shared" si="1903"/>
        <v>1451.7241200000001</v>
      </c>
      <c r="Y1199" s="5">
        <f t="shared" si="1903"/>
        <v>58.917375</v>
      </c>
      <c r="Z1199" s="5">
        <f t="shared" si="1903"/>
        <v>0</v>
      </c>
      <c r="AA1199" s="5">
        <f t="shared" si="1903"/>
        <v>16.496865</v>
      </c>
      <c r="AB1199" s="5">
        <f t="shared" si="1903"/>
        <v>0</v>
      </c>
      <c r="AC1199" s="56"/>
      <c r="AD1199" s="23"/>
    </row>
    <row r="1200" spans="1:30" s="14" customFormat="1">
      <c r="A1200" s="78" t="s">
        <v>454</v>
      </c>
      <c r="B1200" s="26">
        <f>565606.76/2</f>
        <v>282803.38</v>
      </c>
      <c r="C1200" s="130">
        <f t="shared" si="1900"/>
        <v>23566.95</v>
      </c>
      <c r="D1200" s="4">
        <v>3.5099999999999999E-2</v>
      </c>
      <c r="E1200" s="4"/>
      <c r="F1200" s="4">
        <v>0</v>
      </c>
      <c r="G1200" s="4"/>
      <c r="H1200" s="4"/>
      <c r="I1200" s="4"/>
      <c r="J1200" s="4"/>
      <c r="K1200" s="4"/>
      <c r="L1200" s="4"/>
      <c r="M1200" s="4">
        <v>0</v>
      </c>
      <c r="N1200" s="4"/>
      <c r="O1200" s="4"/>
      <c r="P1200" s="4"/>
      <c r="Q1200" s="4">
        <v>0.1202</v>
      </c>
      <c r="R1200" s="4">
        <v>7.6899999999999996E-2</v>
      </c>
      <c r="S1200" s="4">
        <v>1.3100000000000001E-2</v>
      </c>
      <c r="T1200" s="4">
        <v>0.13300000000000001</v>
      </c>
      <c r="U1200" s="4"/>
      <c r="V1200" s="4">
        <v>5.4199999999999998E-2</v>
      </c>
      <c r="W1200" s="4">
        <v>0.37219999999999998</v>
      </c>
      <c r="X1200" s="4">
        <v>0.18840000000000001</v>
      </c>
      <c r="Y1200" s="4">
        <v>6.8999999999999999E-3</v>
      </c>
      <c r="Z1200" s="4"/>
      <c r="AA1200" s="4"/>
      <c r="AB1200" s="4"/>
      <c r="AC1200" s="56"/>
      <c r="AD1200" s="23"/>
    </row>
    <row r="1201" spans="1:30" s="14" customFormat="1">
      <c r="A1201" s="79"/>
      <c r="B1201" s="9"/>
      <c r="C1201" s="130"/>
      <c r="D1201" s="5">
        <f t="shared" ref="D1201" si="1904">$C1200*D1200</f>
        <v>827.19994499999996</v>
      </c>
      <c r="E1201" s="5">
        <f t="shared" ref="E1201" si="1905">$C1200*E1200</f>
        <v>0</v>
      </c>
      <c r="F1201" s="5">
        <f t="shared" ref="F1201:O1201" si="1906">$C1200*F1200</f>
        <v>0</v>
      </c>
      <c r="G1201" s="5">
        <f t="shared" si="1906"/>
        <v>0</v>
      </c>
      <c r="H1201" s="5">
        <f t="shared" si="1906"/>
        <v>0</v>
      </c>
      <c r="I1201" s="5">
        <f t="shared" si="1906"/>
        <v>0</v>
      </c>
      <c r="J1201" s="5">
        <f t="shared" si="1906"/>
        <v>0</v>
      </c>
      <c r="K1201" s="5">
        <f t="shared" si="1906"/>
        <v>0</v>
      </c>
      <c r="L1201" s="5">
        <f t="shared" si="1906"/>
        <v>0</v>
      </c>
      <c r="M1201" s="5">
        <f t="shared" si="1906"/>
        <v>0</v>
      </c>
      <c r="N1201" s="5">
        <f t="shared" si="1906"/>
        <v>0</v>
      </c>
      <c r="O1201" s="5">
        <f t="shared" si="1906"/>
        <v>0</v>
      </c>
      <c r="P1201" s="5">
        <f t="shared" ref="P1201" si="1907">$C1200*P1200</f>
        <v>0</v>
      </c>
      <c r="Q1201" s="5">
        <f t="shared" ref="Q1201" si="1908">$C1200*Q1200</f>
        <v>2832.74739</v>
      </c>
      <c r="R1201" s="5">
        <f t="shared" ref="R1201:AB1201" si="1909">$C1200*R1200</f>
        <v>1812.2984549999999</v>
      </c>
      <c r="S1201" s="5">
        <f t="shared" si="1909"/>
        <v>308.72704500000003</v>
      </c>
      <c r="T1201" s="5">
        <f t="shared" si="1909"/>
        <v>3134.4043500000002</v>
      </c>
      <c r="U1201" s="5">
        <f t="shared" si="1909"/>
        <v>0</v>
      </c>
      <c r="V1201" s="5">
        <f t="shared" si="1909"/>
        <v>1277.3286900000001</v>
      </c>
      <c r="W1201" s="5">
        <f t="shared" si="1909"/>
        <v>8771.6187900000004</v>
      </c>
      <c r="X1201" s="5">
        <f t="shared" si="1909"/>
        <v>4440.0133800000003</v>
      </c>
      <c r="Y1201" s="5">
        <f t="shared" si="1909"/>
        <v>162.61195499999999</v>
      </c>
      <c r="Z1201" s="5">
        <f t="shared" si="1909"/>
        <v>0</v>
      </c>
      <c r="AA1201" s="5">
        <f t="shared" si="1909"/>
        <v>0</v>
      </c>
      <c r="AB1201" s="5">
        <f t="shared" si="1909"/>
        <v>0</v>
      </c>
      <c r="AC1201" s="56"/>
      <c r="AD1201" s="23"/>
    </row>
    <row r="1202" spans="1:30" s="14" customFormat="1">
      <c r="A1202" s="78" t="s">
        <v>327</v>
      </c>
      <c r="B1202" s="26">
        <v>232950.05066900002</v>
      </c>
      <c r="C1202" s="130">
        <f t="shared" si="1900"/>
        <v>19412.5</v>
      </c>
      <c r="D1202" s="35">
        <v>8.5800000000000001E-2</v>
      </c>
      <c r="E1202" s="35"/>
      <c r="F1202" s="35">
        <v>1.6899999999999998E-2</v>
      </c>
      <c r="G1202" s="35"/>
      <c r="H1202" s="35"/>
      <c r="I1202" s="35"/>
      <c r="J1202" s="35"/>
      <c r="K1202" s="35"/>
      <c r="L1202" s="35"/>
      <c r="M1202" s="35">
        <v>0.12239999999999999</v>
      </c>
      <c r="N1202" s="35"/>
      <c r="O1202" s="35"/>
      <c r="P1202" s="35"/>
      <c r="Q1202" s="35">
        <v>0.18160000000000001</v>
      </c>
      <c r="R1202" s="35">
        <v>1.55E-2</v>
      </c>
      <c r="S1202" s="35">
        <v>1.77E-2</v>
      </c>
      <c r="T1202" s="35">
        <v>0.21779999999999999</v>
      </c>
      <c r="U1202" s="35"/>
      <c r="V1202" s="35"/>
      <c r="W1202" s="35">
        <v>6.4000000000000001E-2</v>
      </c>
      <c r="X1202" s="35">
        <v>0.26129999999999998</v>
      </c>
      <c r="Y1202" s="35">
        <v>9.7000000000000003E-3</v>
      </c>
      <c r="Z1202" s="37">
        <v>7.3000000000000001E-3</v>
      </c>
      <c r="AA1202" s="37">
        <v>0</v>
      </c>
      <c r="AB1202" s="37">
        <v>0</v>
      </c>
      <c r="AC1202" s="56"/>
      <c r="AD1202" s="23"/>
    </row>
    <row r="1203" spans="1:30" s="14" customFormat="1">
      <c r="A1203" s="79"/>
      <c r="B1203" s="27"/>
      <c r="C1203" s="130"/>
      <c r="D1203" s="36">
        <f>$C1202*D1202</f>
        <v>1665.5925</v>
      </c>
      <c r="E1203" s="36">
        <f t="shared" ref="E1203" si="1910">$C1202*E1202</f>
        <v>0</v>
      </c>
      <c r="F1203" s="36">
        <f t="shared" ref="F1203" si="1911">$C1202*F1202</f>
        <v>328.07124999999996</v>
      </c>
      <c r="G1203" s="36">
        <f t="shared" ref="G1203:AB1203" si="1912">$C1202*G1202</f>
        <v>0</v>
      </c>
      <c r="H1203" s="36">
        <f t="shared" si="1912"/>
        <v>0</v>
      </c>
      <c r="I1203" s="36">
        <f t="shared" si="1912"/>
        <v>0</v>
      </c>
      <c r="J1203" s="36">
        <f t="shared" si="1912"/>
        <v>0</v>
      </c>
      <c r="K1203" s="36">
        <f t="shared" si="1912"/>
        <v>0</v>
      </c>
      <c r="L1203" s="36">
        <f t="shared" si="1912"/>
        <v>0</v>
      </c>
      <c r="M1203" s="36">
        <f t="shared" si="1912"/>
        <v>2376.0899999999997</v>
      </c>
      <c r="N1203" s="36">
        <f t="shared" si="1912"/>
        <v>0</v>
      </c>
      <c r="O1203" s="36">
        <f t="shared" si="1912"/>
        <v>0</v>
      </c>
      <c r="P1203" s="36">
        <f t="shared" si="1912"/>
        <v>0</v>
      </c>
      <c r="Q1203" s="36">
        <f t="shared" si="1912"/>
        <v>3525.3100000000004</v>
      </c>
      <c r="R1203" s="36">
        <f t="shared" si="1912"/>
        <v>300.89375000000001</v>
      </c>
      <c r="S1203" s="36">
        <f t="shared" si="1912"/>
        <v>343.60124999999999</v>
      </c>
      <c r="T1203" s="36">
        <f t="shared" si="1912"/>
        <v>4228.0424999999996</v>
      </c>
      <c r="U1203" s="36">
        <f t="shared" si="1912"/>
        <v>0</v>
      </c>
      <c r="V1203" s="36">
        <f t="shared" si="1912"/>
        <v>0</v>
      </c>
      <c r="W1203" s="36">
        <f t="shared" si="1912"/>
        <v>1242.4000000000001</v>
      </c>
      <c r="X1203" s="36">
        <f t="shared" si="1912"/>
        <v>5072.4862499999999</v>
      </c>
      <c r="Y1203" s="36">
        <f t="shared" si="1912"/>
        <v>188.30125000000001</v>
      </c>
      <c r="Z1203" s="36">
        <f t="shared" si="1912"/>
        <v>141.71125000000001</v>
      </c>
      <c r="AA1203" s="36">
        <f t="shared" si="1912"/>
        <v>0</v>
      </c>
      <c r="AB1203" s="36">
        <f t="shared" si="1912"/>
        <v>0</v>
      </c>
      <c r="AC1203" s="56"/>
      <c r="AD1203" s="23"/>
    </row>
    <row r="1204" spans="1:30" s="14" customFormat="1">
      <c r="A1204" s="78" t="s">
        <v>328</v>
      </c>
      <c r="B1204" s="26">
        <v>185686.83007229149</v>
      </c>
      <c r="C1204" s="130">
        <f t="shared" si="1900"/>
        <v>15473.9</v>
      </c>
      <c r="D1204" s="35">
        <v>8.5800000000000001E-2</v>
      </c>
      <c r="E1204" s="35"/>
      <c r="F1204" s="35">
        <v>1.6899999999999998E-2</v>
      </c>
      <c r="G1204" s="35"/>
      <c r="H1204" s="35"/>
      <c r="I1204" s="35"/>
      <c r="J1204" s="35"/>
      <c r="K1204" s="35"/>
      <c r="L1204" s="35"/>
      <c r="M1204" s="35">
        <v>0.12239999999999999</v>
      </c>
      <c r="N1204" s="35"/>
      <c r="O1204" s="35"/>
      <c r="P1204" s="35"/>
      <c r="Q1204" s="35">
        <v>0.18160000000000001</v>
      </c>
      <c r="R1204" s="35">
        <v>1.55E-2</v>
      </c>
      <c r="S1204" s="35">
        <v>1.77E-2</v>
      </c>
      <c r="T1204" s="35">
        <v>0.21779999999999999</v>
      </c>
      <c r="U1204" s="35"/>
      <c r="V1204" s="35"/>
      <c r="W1204" s="35">
        <v>6.4000000000000001E-2</v>
      </c>
      <c r="X1204" s="35">
        <v>0.26129999999999998</v>
      </c>
      <c r="Y1204" s="35">
        <v>9.7000000000000003E-3</v>
      </c>
      <c r="Z1204" s="37">
        <v>7.3000000000000001E-3</v>
      </c>
      <c r="AA1204" s="37">
        <v>0</v>
      </c>
      <c r="AB1204" s="37">
        <v>0</v>
      </c>
      <c r="AC1204" s="56"/>
      <c r="AD1204" s="23"/>
    </row>
    <row r="1205" spans="1:30" s="14" customFormat="1">
      <c r="A1205" s="79"/>
      <c r="B1205" s="27"/>
      <c r="C1205" s="130"/>
      <c r="D1205" s="36">
        <f>$C1204*D1204</f>
        <v>1327.6606199999999</v>
      </c>
      <c r="E1205" s="36">
        <f t="shared" ref="E1205" si="1913">$C1204*E1204</f>
        <v>0</v>
      </c>
      <c r="F1205" s="36">
        <f t="shared" ref="F1205" si="1914">$C1204*F1204</f>
        <v>261.50890999999996</v>
      </c>
      <c r="G1205" s="36">
        <f t="shared" ref="G1205:AB1205" si="1915">$C1204*G1204</f>
        <v>0</v>
      </c>
      <c r="H1205" s="36">
        <f t="shared" si="1915"/>
        <v>0</v>
      </c>
      <c r="I1205" s="36">
        <f t="shared" si="1915"/>
        <v>0</v>
      </c>
      <c r="J1205" s="36">
        <f t="shared" si="1915"/>
        <v>0</v>
      </c>
      <c r="K1205" s="36">
        <f t="shared" si="1915"/>
        <v>0</v>
      </c>
      <c r="L1205" s="36">
        <f t="shared" si="1915"/>
        <v>0</v>
      </c>
      <c r="M1205" s="36">
        <f t="shared" si="1915"/>
        <v>1894.0053599999999</v>
      </c>
      <c r="N1205" s="36">
        <f t="shared" si="1915"/>
        <v>0</v>
      </c>
      <c r="O1205" s="36">
        <f t="shared" si="1915"/>
        <v>0</v>
      </c>
      <c r="P1205" s="36">
        <f t="shared" si="1915"/>
        <v>0</v>
      </c>
      <c r="Q1205" s="36">
        <f t="shared" si="1915"/>
        <v>2810.0602400000002</v>
      </c>
      <c r="R1205" s="36">
        <f t="shared" si="1915"/>
        <v>239.84545</v>
      </c>
      <c r="S1205" s="36">
        <f t="shared" si="1915"/>
        <v>273.88803000000001</v>
      </c>
      <c r="T1205" s="36">
        <f t="shared" si="1915"/>
        <v>3370.21542</v>
      </c>
      <c r="U1205" s="36">
        <f t="shared" si="1915"/>
        <v>0</v>
      </c>
      <c r="V1205" s="36">
        <f t="shared" si="1915"/>
        <v>0</v>
      </c>
      <c r="W1205" s="36">
        <f t="shared" si="1915"/>
        <v>990.32960000000003</v>
      </c>
      <c r="X1205" s="36">
        <f t="shared" si="1915"/>
        <v>4043.3300699999995</v>
      </c>
      <c r="Y1205" s="36">
        <f t="shared" si="1915"/>
        <v>150.09683000000001</v>
      </c>
      <c r="Z1205" s="36">
        <f t="shared" si="1915"/>
        <v>112.95947</v>
      </c>
      <c r="AA1205" s="36">
        <f t="shared" si="1915"/>
        <v>0</v>
      </c>
      <c r="AB1205" s="36">
        <f t="shared" si="1915"/>
        <v>0</v>
      </c>
      <c r="AC1205" s="56"/>
      <c r="AD1205" s="23"/>
    </row>
    <row r="1206" spans="1:30" s="14" customFormat="1">
      <c r="A1206" s="78" t="s">
        <v>329</v>
      </c>
      <c r="B1206" s="26">
        <v>163617.82897594184</v>
      </c>
      <c r="C1206" s="130">
        <f t="shared" si="1900"/>
        <v>13634.82</v>
      </c>
      <c r="D1206" s="35">
        <v>8.5800000000000001E-2</v>
      </c>
      <c r="E1206" s="35"/>
      <c r="F1206" s="35">
        <v>1.6899999999999998E-2</v>
      </c>
      <c r="G1206" s="35"/>
      <c r="H1206" s="35"/>
      <c r="I1206" s="35"/>
      <c r="J1206" s="35"/>
      <c r="K1206" s="35"/>
      <c r="L1206" s="35"/>
      <c r="M1206" s="35">
        <v>0.12239999999999999</v>
      </c>
      <c r="N1206" s="35"/>
      <c r="O1206" s="35"/>
      <c r="P1206" s="35"/>
      <c r="Q1206" s="35">
        <v>0.18160000000000001</v>
      </c>
      <c r="R1206" s="35">
        <v>1.55E-2</v>
      </c>
      <c r="S1206" s="35">
        <v>1.77E-2</v>
      </c>
      <c r="T1206" s="35">
        <v>0.21779999999999999</v>
      </c>
      <c r="U1206" s="35"/>
      <c r="V1206" s="35"/>
      <c r="W1206" s="35">
        <v>6.4000000000000001E-2</v>
      </c>
      <c r="X1206" s="35">
        <v>0.26129999999999998</v>
      </c>
      <c r="Y1206" s="35">
        <v>9.7000000000000003E-3</v>
      </c>
      <c r="Z1206" s="37">
        <v>7.3000000000000001E-3</v>
      </c>
      <c r="AA1206" s="37">
        <v>0</v>
      </c>
      <c r="AB1206" s="37">
        <v>0</v>
      </c>
      <c r="AC1206" s="56"/>
      <c r="AD1206" s="23"/>
    </row>
    <row r="1207" spans="1:30" s="14" customFormat="1">
      <c r="A1207" s="79"/>
      <c r="B1207" s="27"/>
      <c r="C1207" s="130"/>
      <c r="D1207" s="36">
        <f>$C1206*D1206</f>
        <v>1169.8675559999999</v>
      </c>
      <c r="E1207" s="36">
        <f t="shared" ref="E1207" si="1916">$C1206*E1206</f>
        <v>0</v>
      </c>
      <c r="F1207" s="36">
        <f t="shared" ref="F1207" si="1917">$C1206*F1206</f>
        <v>230.42845799999998</v>
      </c>
      <c r="G1207" s="36">
        <f t="shared" ref="G1207:AB1207" si="1918">$C1206*G1206</f>
        <v>0</v>
      </c>
      <c r="H1207" s="36">
        <f t="shared" si="1918"/>
        <v>0</v>
      </c>
      <c r="I1207" s="36">
        <f t="shared" si="1918"/>
        <v>0</v>
      </c>
      <c r="J1207" s="36">
        <f t="shared" si="1918"/>
        <v>0</v>
      </c>
      <c r="K1207" s="36">
        <f t="shared" si="1918"/>
        <v>0</v>
      </c>
      <c r="L1207" s="36">
        <f t="shared" si="1918"/>
        <v>0</v>
      </c>
      <c r="M1207" s="36">
        <f t="shared" si="1918"/>
        <v>1668.9019679999999</v>
      </c>
      <c r="N1207" s="36">
        <f t="shared" si="1918"/>
        <v>0</v>
      </c>
      <c r="O1207" s="36">
        <f t="shared" si="1918"/>
        <v>0</v>
      </c>
      <c r="P1207" s="36">
        <f t="shared" si="1918"/>
        <v>0</v>
      </c>
      <c r="Q1207" s="36">
        <f t="shared" si="1918"/>
        <v>2476.0833120000002</v>
      </c>
      <c r="R1207" s="36">
        <f t="shared" si="1918"/>
        <v>211.33971</v>
      </c>
      <c r="S1207" s="36">
        <f t="shared" si="1918"/>
        <v>241.33631399999999</v>
      </c>
      <c r="T1207" s="36">
        <f t="shared" si="1918"/>
        <v>2969.6637959999998</v>
      </c>
      <c r="U1207" s="36">
        <f t="shared" si="1918"/>
        <v>0</v>
      </c>
      <c r="V1207" s="36">
        <f t="shared" si="1918"/>
        <v>0</v>
      </c>
      <c r="W1207" s="36">
        <f t="shared" si="1918"/>
        <v>872.62847999999997</v>
      </c>
      <c r="X1207" s="36">
        <f t="shared" si="1918"/>
        <v>3562.7784659999998</v>
      </c>
      <c r="Y1207" s="36">
        <f t="shared" si="1918"/>
        <v>132.25775400000001</v>
      </c>
      <c r="Z1207" s="36">
        <f t="shared" si="1918"/>
        <v>99.534186000000005</v>
      </c>
      <c r="AA1207" s="36">
        <f t="shared" si="1918"/>
        <v>0</v>
      </c>
      <c r="AB1207" s="36">
        <f t="shared" si="1918"/>
        <v>0</v>
      </c>
      <c r="AC1207" s="56"/>
      <c r="AD1207" s="23"/>
    </row>
    <row r="1208" spans="1:30" s="14" customFormat="1">
      <c r="A1208" s="78" t="s">
        <v>330</v>
      </c>
      <c r="B1208" s="26">
        <v>388110.33869018941</v>
      </c>
      <c r="C1208" s="130">
        <f t="shared" si="1900"/>
        <v>32342.53</v>
      </c>
      <c r="D1208" s="35">
        <v>8.5800000000000001E-2</v>
      </c>
      <c r="E1208" s="35"/>
      <c r="F1208" s="35">
        <v>1.6899999999999998E-2</v>
      </c>
      <c r="G1208" s="35"/>
      <c r="H1208" s="35"/>
      <c r="I1208" s="35"/>
      <c r="J1208" s="35"/>
      <c r="K1208" s="35"/>
      <c r="L1208" s="35"/>
      <c r="M1208" s="35">
        <v>0.12239999999999999</v>
      </c>
      <c r="N1208" s="35"/>
      <c r="O1208" s="35"/>
      <c r="P1208" s="35"/>
      <c r="Q1208" s="35">
        <v>0.18160000000000001</v>
      </c>
      <c r="R1208" s="35">
        <v>1.55E-2</v>
      </c>
      <c r="S1208" s="35">
        <v>1.77E-2</v>
      </c>
      <c r="T1208" s="35">
        <v>0.21779999999999999</v>
      </c>
      <c r="U1208" s="35"/>
      <c r="V1208" s="35"/>
      <c r="W1208" s="35">
        <v>6.4000000000000001E-2</v>
      </c>
      <c r="X1208" s="35">
        <v>0.26129999999999998</v>
      </c>
      <c r="Y1208" s="35">
        <v>9.7000000000000003E-3</v>
      </c>
      <c r="Z1208" s="37">
        <v>7.3000000000000001E-3</v>
      </c>
      <c r="AA1208" s="37">
        <v>0</v>
      </c>
      <c r="AB1208" s="37">
        <v>0</v>
      </c>
      <c r="AC1208" s="56"/>
      <c r="AD1208" s="23"/>
    </row>
    <row r="1209" spans="1:30" s="14" customFormat="1">
      <c r="A1209" s="79"/>
      <c r="B1209" s="27"/>
      <c r="C1209" s="130"/>
      <c r="D1209" s="36">
        <f>$C1208*D1208</f>
        <v>2774.9890740000001</v>
      </c>
      <c r="E1209" s="36">
        <f t="shared" ref="E1209" si="1919">$C1208*E1208</f>
        <v>0</v>
      </c>
      <c r="F1209" s="36">
        <f t="shared" ref="F1209" si="1920">$C1208*F1208</f>
        <v>546.58875699999987</v>
      </c>
      <c r="G1209" s="36">
        <f t="shared" ref="G1209:AB1209" si="1921">$C1208*G1208</f>
        <v>0</v>
      </c>
      <c r="H1209" s="36">
        <f t="shared" si="1921"/>
        <v>0</v>
      </c>
      <c r="I1209" s="36">
        <f t="shared" si="1921"/>
        <v>0</v>
      </c>
      <c r="J1209" s="36">
        <f t="shared" si="1921"/>
        <v>0</v>
      </c>
      <c r="K1209" s="36">
        <f t="shared" si="1921"/>
        <v>0</v>
      </c>
      <c r="L1209" s="36">
        <f t="shared" si="1921"/>
        <v>0</v>
      </c>
      <c r="M1209" s="36">
        <f t="shared" si="1921"/>
        <v>3958.7256719999996</v>
      </c>
      <c r="N1209" s="36">
        <f t="shared" si="1921"/>
        <v>0</v>
      </c>
      <c r="O1209" s="36">
        <f t="shared" si="1921"/>
        <v>0</v>
      </c>
      <c r="P1209" s="36">
        <f t="shared" si="1921"/>
        <v>0</v>
      </c>
      <c r="Q1209" s="36">
        <f t="shared" si="1921"/>
        <v>5873.403448</v>
      </c>
      <c r="R1209" s="36">
        <f t="shared" si="1921"/>
        <v>501.30921499999999</v>
      </c>
      <c r="S1209" s="36">
        <f t="shared" si="1921"/>
        <v>572.46278099999995</v>
      </c>
      <c r="T1209" s="36">
        <f t="shared" si="1921"/>
        <v>7044.2030339999992</v>
      </c>
      <c r="U1209" s="36">
        <f t="shared" si="1921"/>
        <v>0</v>
      </c>
      <c r="V1209" s="36">
        <f t="shared" si="1921"/>
        <v>0</v>
      </c>
      <c r="W1209" s="36">
        <f t="shared" si="1921"/>
        <v>2069.9219199999998</v>
      </c>
      <c r="X1209" s="36">
        <f t="shared" si="1921"/>
        <v>8451.1030889999984</v>
      </c>
      <c r="Y1209" s="36">
        <f t="shared" si="1921"/>
        <v>313.72254099999998</v>
      </c>
      <c r="Z1209" s="36">
        <f t="shared" si="1921"/>
        <v>236.100469</v>
      </c>
      <c r="AA1209" s="36">
        <f t="shared" si="1921"/>
        <v>0</v>
      </c>
      <c r="AB1209" s="36">
        <f t="shared" si="1921"/>
        <v>0</v>
      </c>
      <c r="AC1209" s="56"/>
      <c r="AD1209" s="23"/>
    </row>
    <row r="1210" spans="1:30" s="14" customFormat="1">
      <c r="A1210" s="78" t="s">
        <v>331</v>
      </c>
      <c r="B1210" s="26">
        <v>2045799.8538541747</v>
      </c>
      <c r="C1210" s="130">
        <f>ROUND(B1210/12,2)</f>
        <v>170483.32</v>
      </c>
      <c r="D1210" s="35"/>
      <c r="E1210" s="35"/>
      <c r="F1210" s="35">
        <v>0.1009</v>
      </c>
      <c r="G1210" s="35"/>
      <c r="H1210" s="35"/>
      <c r="I1210" s="35"/>
      <c r="J1210" s="35"/>
      <c r="K1210" s="35"/>
      <c r="L1210" s="35"/>
      <c r="M1210" s="35"/>
      <c r="N1210" s="35"/>
      <c r="O1210" s="35"/>
      <c r="P1210" s="35">
        <v>4.8999999999999998E-3</v>
      </c>
      <c r="Q1210" s="35">
        <v>5.1400000000000001E-2</v>
      </c>
      <c r="R1210" s="35"/>
      <c r="S1210" s="35">
        <v>5.4000000000000003E-3</v>
      </c>
      <c r="T1210" s="35"/>
      <c r="U1210" s="35">
        <v>0.70709999999999995</v>
      </c>
      <c r="V1210" s="35"/>
      <c r="W1210" s="35"/>
      <c r="X1210" s="35">
        <v>0.121</v>
      </c>
      <c r="Y1210" s="35">
        <v>4.7999999999999996E-3</v>
      </c>
      <c r="Z1210" s="37">
        <v>4.4999999999999997E-3</v>
      </c>
      <c r="AA1210" s="37">
        <v>0</v>
      </c>
      <c r="AB1210" s="37">
        <v>0</v>
      </c>
      <c r="AC1210" s="56"/>
      <c r="AD1210" s="23"/>
    </row>
    <row r="1211" spans="1:30" s="14" customFormat="1">
      <c r="A1211" s="79"/>
      <c r="B1211" s="27"/>
      <c r="C1211" s="130"/>
      <c r="D1211" s="36">
        <f>$C1210*D1210</f>
        <v>0</v>
      </c>
      <c r="E1211" s="36">
        <f t="shared" ref="E1211" si="1922">$C1210*E1210</f>
        <v>0</v>
      </c>
      <c r="F1211" s="36">
        <f t="shared" ref="F1211" si="1923">$C1210*F1210</f>
        <v>17201.766988000003</v>
      </c>
      <c r="G1211" s="36">
        <f t="shared" ref="G1211:AB1211" si="1924">$C1210*G1210</f>
        <v>0</v>
      </c>
      <c r="H1211" s="36">
        <f t="shared" si="1924"/>
        <v>0</v>
      </c>
      <c r="I1211" s="36">
        <f t="shared" si="1924"/>
        <v>0</v>
      </c>
      <c r="J1211" s="36">
        <f t="shared" si="1924"/>
        <v>0</v>
      </c>
      <c r="K1211" s="36">
        <f t="shared" si="1924"/>
        <v>0</v>
      </c>
      <c r="L1211" s="36">
        <f t="shared" si="1924"/>
        <v>0</v>
      </c>
      <c r="M1211" s="36">
        <f t="shared" si="1924"/>
        <v>0</v>
      </c>
      <c r="N1211" s="36">
        <f t="shared" si="1924"/>
        <v>0</v>
      </c>
      <c r="O1211" s="36">
        <f t="shared" si="1924"/>
        <v>0</v>
      </c>
      <c r="P1211" s="36">
        <f t="shared" si="1924"/>
        <v>835.36826800000006</v>
      </c>
      <c r="Q1211" s="36">
        <f t="shared" si="1924"/>
        <v>8762.8426479999998</v>
      </c>
      <c r="R1211" s="36">
        <f t="shared" si="1924"/>
        <v>0</v>
      </c>
      <c r="S1211" s="36">
        <f t="shared" si="1924"/>
        <v>920.60992800000008</v>
      </c>
      <c r="T1211" s="36">
        <f t="shared" si="1924"/>
        <v>0</v>
      </c>
      <c r="U1211" s="36">
        <f t="shared" si="1924"/>
        <v>120548.75557199999</v>
      </c>
      <c r="V1211" s="36">
        <f t="shared" si="1924"/>
        <v>0</v>
      </c>
      <c r="W1211" s="36">
        <f t="shared" si="1924"/>
        <v>0</v>
      </c>
      <c r="X1211" s="36">
        <f t="shared" si="1924"/>
        <v>20628.48172</v>
      </c>
      <c r="Y1211" s="36">
        <f t="shared" si="1924"/>
        <v>818.31993599999998</v>
      </c>
      <c r="Z1211" s="36">
        <f t="shared" si="1924"/>
        <v>767.17493999999999</v>
      </c>
      <c r="AA1211" s="36">
        <f t="shared" si="1924"/>
        <v>0</v>
      </c>
      <c r="AB1211" s="36">
        <f t="shared" si="1924"/>
        <v>0</v>
      </c>
      <c r="AC1211" s="56"/>
      <c r="AD1211" s="23"/>
    </row>
    <row r="1212" spans="1:30" s="14" customFormat="1">
      <c r="A1212" s="78" t="s">
        <v>332</v>
      </c>
      <c r="B1212" s="26">
        <v>22807174.43054093</v>
      </c>
      <c r="C1212" s="130">
        <f t="shared" si="1900"/>
        <v>1900597.87</v>
      </c>
      <c r="D1212" s="35"/>
      <c r="E1212" s="35"/>
      <c r="F1212" s="35">
        <v>0.33200000000000002</v>
      </c>
      <c r="G1212" s="35"/>
      <c r="H1212" s="35"/>
      <c r="I1212" s="35"/>
      <c r="J1212" s="35"/>
      <c r="K1212" s="35"/>
      <c r="L1212" s="35"/>
      <c r="M1212" s="35"/>
      <c r="N1212" s="35"/>
      <c r="O1212" s="35"/>
      <c r="P1212" s="35">
        <v>4.4000000000000003E-3</v>
      </c>
      <c r="Q1212" s="35">
        <v>8.6400000000000005E-2</v>
      </c>
      <c r="R1212" s="35">
        <v>5.5199999999999999E-2</v>
      </c>
      <c r="S1212" s="35">
        <v>8.6E-3</v>
      </c>
      <c r="T1212" s="35"/>
      <c r="U1212" s="35">
        <v>0.36809999999999998</v>
      </c>
      <c r="V1212" s="35"/>
      <c r="W1212" s="35"/>
      <c r="X1212" s="35">
        <v>0.13550000000000001</v>
      </c>
      <c r="Y1212" s="35">
        <v>5.4000000000000003E-3</v>
      </c>
      <c r="Z1212" s="37">
        <v>4.4000000000000003E-3</v>
      </c>
      <c r="AA1212" s="37">
        <v>0</v>
      </c>
      <c r="AB1212" s="37">
        <v>0</v>
      </c>
      <c r="AC1212" s="56"/>
      <c r="AD1212" s="23"/>
    </row>
    <row r="1213" spans="1:30" s="14" customFormat="1">
      <c r="A1213" s="79"/>
      <c r="B1213" s="27"/>
      <c r="C1213" s="130"/>
      <c r="D1213" s="36">
        <f>$C1212*D1212</f>
        <v>0</v>
      </c>
      <c r="E1213" s="36">
        <f t="shared" ref="E1213" si="1925">$C1212*E1212</f>
        <v>0</v>
      </c>
      <c r="F1213" s="36">
        <f t="shared" ref="F1213" si="1926">$C1212*F1212</f>
        <v>630998.49284000008</v>
      </c>
      <c r="G1213" s="36">
        <f t="shared" ref="G1213:AB1213" si="1927">$C1212*G1212</f>
        <v>0</v>
      </c>
      <c r="H1213" s="36">
        <f t="shared" si="1927"/>
        <v>0</v>
      </c>
      <c r="I1213" s="36">
        <f t="shared" si="1927"/>
        <v>0</v>
      </c>
      <c r="J1213" s="36">
        <f t="shared" si="1927"/>
        <v>0</v>
      </c>
      <c r="K1213" s="36">
        <f t="shared" si="1927"/>
        <v>0</v>
      </c>
      <c r="L1213" s="36">
        <f t="shared" si="1927"/>
        <v>0</v>
      </c>
      <c r="M1213" s="36">
        <f t="shared" si="1927"/>
        <v>0</v>
      </c>
      <c r="N1213" s="36">
        <f t="shared" si="1927"/>
        <v>0</v>
      </c>
      <c r="O1213" s="36">
        <f t="shared" si="1927"/>
        <v>0</v>
      </c>
      <c r="P1213" s="36">
        <f t="shared" si="1927"/>
        <v>8362.6306280000008</v>
      </c>
      <c r="Q1213" s="36">
        <f t="shared" si="1927"/>
        <v>164211.65596800001</v>
      </c>
      <c r="R1213" s="36">
        <f t="shared" si="1927"/>
        <v>104913.00242400001</v>
      </c>
      <c r="S1213" s="36">
        <f t="shared" si="1927"/>
        <v>16345.141682000001</v>
      </c>
      <c r="T1213" s="36">
        <f t="shared" si="1927"/>
        <v>0</v>
      </c>
      <c r="U1213" s="36">
        <f t="shared" si="1927"/>
        <v>699610.07594700006</v>
      </c>
      <c r="V1213" s="36">
        <f t="shared" si="1927"/>
        <v>0</v>
      </c>
      <c r="W1213" s="36">
        <f t="shared" si="1927"/>
        <v>0</v>
      </c>
      <c r="X1213" s="36">
        <f t="shared" si="1927"/>
        <v>257531.01138500002</v>
      </c>
      <c r="Y1213" s="36">
        <f t="shared" si="1927"/>
        <v>10263.228498</v>
      </c>
      <c r="Z1213" s="36">
        <f t="shared" si="1927"/>
        <v>8362.6306280000008</v>
      </c>
      <c r="AA1213" s="36">
        <f t="shared" si="1927"/>
        <v>0</v>
      </c>
      <c r="AB1213" s="36">
        <f t="shared" si="1927"/>
        <v>0</v>
      </c>
      <c r="AC1213" s="56"/>
      <c r="AD1213" s="23"/>
    </row>
    <row r="1214" spans="1:30" s="14" customFormat="1">
      <c r="A1214" s="78" t="s">
        <v>333</v>
      </c>
      <c r="B1214" s="26">
        <v>234344.74597826396</v>
      </c>
      <c r="C1214" s="130">
        <f t="shared" si="1900"/>
        <v>19528.73</v>
      </c>
      <c r="D1214" s="35">
        <v>1.6299999999999999E-2</v>
      </c>
      <c r="E1214" s="35">
        <v>0.14269999999999999</v>
      </c>
      <c r="F1214" s="35">
        <v>5.8900000000000001E-2</v>
      </c>
      <c r="G1214" s="35">
        <v>7.6200000000000004E-2</v>
      </c>
      <c r="H1214" s="35">
        <v>3.9600000000000003E-2</v>
      </c>
      <c r="I1214" s="35">
        <v>0.12470000000000001</v>
      </c>
      <c r="J1214" s="35">
        <v>2.0400000000000001E-2</v>
      </c>
      <c r="K1214" s="35">
        <v>3.1199999999999999E-2</v>
      </c>
      <c r="L1214" s="35">
        <v>1.6199999999999999E-2</v>
      </c>
      <c r="M1214" s="35">
        <v>2.53E-2</v>
      </c>
      <c r="N1214" s="35">
        <v>0.14849999999999999</v>
      </c>
      <c r="O1214" s="35">
        <v>2.2599999999999999E-2</v>
      </c>
      <c r="P1214" s="35">
        <v>0</v>
      </c>
      <c r="Q1214" s="35">
        <v>3.78E-2</v>
      </c>
      <c r="R1214" s="35">
        <v>1.8100000000000002E-2</v>
      </c>
      <c r="S1214" s="35">
        <v>4.1000000000000003E-3</v>
      </c>
      <c r="T1214" s="35">
        <v>5.04E-2</v>
      </c>
      <c r="U1214" s="35">
        <v>1.7500000000000002E-2</v>
      </c>
      <c r="V1214" s="35">
        <v>3.6200000000000003E-2</v>
      </c>
      <c r="W1214" s="35">
        <v>4.8500000000000001E-2</v>
      </c>
      <c r="X1214" s="35">
        <v>6.1600000000000002E-2</v>
      </c>
      <c r="Y1214" s="35">
        <v>2.5000000000000001E-3</v>
      </c>
      <c r="Z1214" s="4">
        <v>0</v>
      </c>
      <c r="AA1214" s="4">
        <v>6.9999999999999999E-4</v>
      </c>
      <c r="AB1214" s="4">
        <v>0</v>
      </c>
      <c r="AC1214" s="56"/>
      <c r="AD1214" s="23"/>
    </row>
    <row r="1215" spans="1:30" s="14" customFormat="1">
      <c r="A1215" s="79"/>
      <c r="B1215" s="27"/>
      <c r="C1215" s="130"/>
      <c r="D1215" s="5">
        <f>$C1214*D1214</f>
        <v>318.31829899999997</v>
      </c>
      <c r="E1215" s="5">
        <f t="shared" ref="E1215" si="1928">$C1214*E1214</f>
        <v>2786.7497709999998</v>
      </c>
      <c r="F1215" s="5">
        <f t="shared" ref="F1215" si="1929">$C1214*F1214</f>
        <v>1150.242197</v>
      </c>
      <c r="G1215" s="5">
        <f t="shared" ref="G1215:AB1215" si="1930">$C1214*G1214</f>
        <v>1488.0892260000001</v>
      </c>
      <c r="H1215" s="5">
        <f t="shared" si="1930"/>
        <v>773.33770800000002</v>
      </c>
      <c r="I1215" s="5">
        <f t="shared" si="1930"/>
        <v>2435.2326309999999</v>
      </c>
      <c r="J1215" s="5">
        <f t="shared" si="1930"/>
        <v>398.38609200000002</v>
      </c>
      <c r="K1215" s="5">
        <f t="shared" si="1930"/>
        <v>609.29637600000001</v>
      </c>
      <c r="L1215" s="5">
        <f t="shared" si="1930"/>
        <v>316.36542599999996</v>
      </c>
      <c r="M1215" s="5">
        <f t="shared" si="1930"/>
        <v>494.07686899999999</v>
      </c>
      <c r="N1215" s="5">
        <f t="shared" si="1930"/>
        <v>2900.0164049999998</v>
      </c>
      <c r="O1215" s="5">
        <f t="shared" si="1930"/>
        <v>441.34929799999998</v>
      </c>
      <c r="P1215" s="5">
        <f t="shared" si="1930"/>
        <v>0</v>
      </c>
      <c r="Q1215" s="5">
        <f t="shared" si="1930"/>
        <v>738.18599399999994</v>
      </c>
      <c r="R1215" s="5">
        <f t="shared" si="1930"/>
        <v>353.47001299999999</v>
      </c>
      <c r="S1215" s="5">
        <f t="shared" si="1930"/>
        <v>80.067793000000009</v>
      </c>
      <c r="T1215" s="5">
        <f t="shared" si="1930"/>
        <v>984.24799199999995</v>
      </c>
      <c r="U1215" s="5">
        <f t="shared" si="1930"/>
        <v>341.75277500000004</v>
      </c>
      <c r="V1215" s="5">
        <f t="shared" si="1930"/>
        <v>706.94002599999999</v>
      </c>
      <c r="W1215" s="5">
        <f t="shared" si="1930"/>
        <v>947.14340500000003</v>
      </c>
      <c r="X1215" s="5">
        <f t="shared" si="1930"/>
        <v>1202.9697679999999</v>
      </c>
      <c r="Y1215" s="5">
        <f t="shared" si="1930"/>
        <v>48.821824999999997</v>
      </c>
      <c r="Z1215" s="5">
        <f t="shared" si="1930"/>
        <v>0</v>
      </c>
      <c r="AA1215" s="5">
        <f t="shared" si="1930"/>
        <v>13.670111</v>
      </c>
      <c r="AB1215" s="5">
        <f t="shared" si="1930"/>
        <v>0</v>
      </c>
      <c r="AC1215" s="56"/>
      <c r="AD1215" s="23"/>
    </row>
    <row r="1216" spans="1:30" s="14" customFormat="1">
      <c r="A1216" s="78" t="s">
        <v>334</v>
      </c>
      <c r="B1216" s="26">
        <v>1189013.4765953617</v>
      </c>
      <c r="C1216" s="130">
        <f t="shared" si="1900"/>
        <v>99084.46</v>
      </c>
      <c r="D1216" s="35"/>
      <c r="E1216" s="35"/>
      <c r="F1216" s="35"/>
      <c r="G1216" s="35"/>
      <c r="H1216" s="35">
        <v>0.20810000000000001</v>
      </c>
      <c r="I1216" s="35"/>
      <c r="J1216" s="35"/>
      <c r="K1216" s="35"/>
      <c r="L1216" s="35"/>
      <c r="M1216" s="35"/>
      <c r="N1216" s="35"/>
      <c r="O1216" s="35"/>
      <c r="P1216" s="35"/>
      <c r="Q1216" s="35"/>
      <c r="R1216" s="35">
        <v>7.0300000000000001E-2</v>
      </c>
      <c r="S1216" s="35"/>
      <c r="T1216" s="35"/>
      <c r="U1216" s="35"/>
      <c r="V1216" s="35"/>
      <c r="W1216" s="35">
        <v>0.72160000000000002</v>
      </c>
      <c r="X1216" s="35"/>
      <c r="Y1216" s="35"/>
      <c r="Z1216" s="4"/>
      <c r="AA1216" s="4"/>
      <c r="AB1216" s="4"/>
      <c r="AC1216" s="56"/>
      <c r="AD1216" s="23"/>
    </row>
    <row r="1217" spans="1:30" s="14" customFormat="1">
      <c r="A1217" s="79"/>
      <c r="B1217" s="27"/>
      <c r="C1217" s="130"/>
      <c r="D1217" s="5">
        <f t="shared" ref="D1217" si="1931">$C1216*D1216</f>
        <v>0</v>
      </c>
      <c r="E1217" s="5">
        <f t="shared" ref="E1217" si="1932">$C1216*E1216</f>
        <v>0</v>
      </c>
      <c r="F1217" s="5">
        <f t="shared" ref="F1217:O1217" si="1933">$C1216*F1216</f>
        <v>0</v>
      </c>
      <c r="G1217" s="5">
        <f t="shared" si="1933"/>
        <v>0</v>
      </c>
      <c r="H1217" s="5">
        <f t="shared" si="1933"/>
        <v>20619.476126000001</v>
      </c>
      <c r="I1217" s="5">
        <f t="shared" si="1933"/>
        <v>0</v>
      </c>
      <c r="J1217" s="5">
        <f t="shared" si="1933"/>
        <v>0</v>
      </c>
      <c r="K1217" s="5">
        <f t="shared" si="1933"/>
        <v>0</v>
      </c>
      <c r="L1217" s="5">
        <f t="shared" si="1933"/>
        <v>0</v>
      </c>
      <c r="M1217" s="5">
        <f t="shared" si="1933"/>
        <v>0</v>
      </c>
      <c r="N1217" s="5">
        <f t="shared" si="1933"/>
        <v>0</v>
      </c>
      <c r="O1217" s="5">
        <f t="shared" si="1933"/>
        <v>0</v>
      </c>
      <c r="P1217" s="5">
        <f t="shared" ref="P1217" si="1934">$C1216*P1216</f>
        <v>0</v>
      </c>
      <c r="Q1217" s="5">
        <f t="shared" ref="Q1217" si="1935">$C1216*Q1216</f>
        <v>0</v>
      </c>
      <c r="R1217" s="5">
        <f t="shared" ref="R1217:AB1217" si="1936">$C1216*R1216</f>
        <v>6965.6375380000009</v>
      </c>
      <c r="S1217" s="5">
        <f t="shared" si="1936"/>
        <v>0</v>
      </c>
      <c r="T1217" s="5">
        <f t="shared" si="1936"/>
        <v>0</v>
      </c>
      <c r="U1217" s="5">
        <f t="shared" si="1936"/>
        <v>0</v>
      </c>
      <c r="V1217" s="5">
        <f t="shared" si="1936"/>
        <v>0</v>
      </c>
      <c r="W1217" s="5">
        <f t="shared" si="1936"/>
        <v>71499.346336000002</v>
      </c>
      <c r="X1217" s="5">
        <f t="shared" si="1936"/>
        <v>0</v>
      </c>
      <c r="Y1217" s="5">
        <f t="shared" si="1936"/>
        <v>0</v>
      </c>
      <c r="Z1217" s="5">
        <f t="shared" si="1936"/>
        <v>0</v>
      </c>
      <c r="AA1217" s="5">
        <f t="shared" si="1936"/>
        <v>0</v>
      </c>
      <c r="AB1217" s="5">
        <f t="shared" si="1936"/>
        <v>0</v>
      </c>
      <c r="AC1217" s="56"/>
      <c r="AD1217" s="23"/>
    </row>
    <row r="1218" spans="1:30" s="14" customFormat="1">
      <c r="A1218" s="78" t="s">
        <v>335</v>
      </c>
      <c r="B1218" s="26">
        <v>-298498.61848875205</v>
      </c>
      <c r="C1218" s="130">
        <f t="shared" si="1900"/>
        <v>-24874.880000000001</v>
      </c>
      <c r="D1218" s="35"/>
      <c r="E1218" s="35"/>
      <c r="F1218" s="35">
        <v>8.3000000000000004E-2</v>
      </c>
      <c r="G1218" s="35"/>
      <c r="H1218" s="35">
        <v>0.14699999999999999</v>
      </c>
      <c r="I1218" s="35"/>
      <c r="J1218" s="35"/>
      <c r="K1218" s="35">
        <v>4.7999999999999996E-3</v>
      </c>
      <c r="L1218" s="35"/>
      <c r="M1218" s="35"/>
      <c r="N1218" s="35">
        <v>0.36919999999999997</v>
      </c>
      <c r="O1218" s="35"/>
      <c r="P1218" s="35"/>
      <c r="Q1218" s="35"/>
      <c r="R1218" s="35">
        <v>0.23849999999999999</v>
      </c>
      <c r="S1218" s="35"/>
      <c r="T1218" s="35"/>
      <c r="U1218" s="35"/>
      <c r="V1218" s="35">
        <v>0.1575</v>
      </c>
      <c r="W1218" s="35"/>
      <c r="X1218" s="35"/>
      <c r="Y1218" s="35"/>
      <c r="Z1218" s="4"/>
      <c r="AA1218" s="4"/>
      <c r="AB1218" s="4"/>
      <c r="AC1218" s="56"/>
      <c r="AD1218" s="23"/>
    </row>
    <row r="1219" spans="1:30" s="14" customFormat="1">
      <c r="A1219" s="79"/>
      <c r="B1219" s="27"/>
      <c r="C1219" s="130"/>
      <c r="D1219" s="5">
        <f>$C1218*D1218</f>
        <v>0</v>
      </c>
      <c r="E1219" s="5">
        <f t="shared" ref="E1219" si="1937">$C1218*E1218</f>
        <v>0</v>
      </c>
      <c r="F1219" s="5">
        <f t="shared" ref="F1219" si="1938">$C1218*F1218</f>
        <v>-2064.6150400000001</v>
      </c>
      <c r="G1219" s="5">
        <f t="shared" ref="G1219:AB1219" si="1939">$C1218*G1218</f>
        <v>0</v>
      </c>
      <c r="H1219" s="5">
        <f t="shared" si="1939"/>
        <v>-3656.60736</v>
      </c>
      <c r="I1219" s="5">
        <f t="shared" si="1939"/>
        <v>0</v>
      </c>
      <c r="J1219" s="5">
        <f t="shared" si="1939"/>
        <v>0</v>
      </c>
      <c r="K1219" s="5">
        <f t="shared" si="1939"/>
        <v>-119.399424</v>
      </c>
      <c r="L1219" s="5">
        <f t="shared" si="1939"/>
        <v>0</v>
      </c>
      <c r="M1219" s="5">
        <f t="shared" si="1939"/>
        <v>0</v>
      </c>
      <c r="N1219" s="5">
        <f t="shared" si="1939"/>
        <v>-9183.8056959999994</v>
      </c>
      <c r="O1219" s="5">
        <f t="shared" si="1939"/>
        <v>0</v>
      </c>
      <c r="P1219" s="5">
        <f t="shared" si="1939"/>
        <v>0</v>
      </c>
      <c r="Q1219" s="5">
        <f t="shared" si="1939"/>
        <v>0</v>
      </c>
      <c r="R1219" s="5">
        <f t="shared" si="1939"/>
        <v>-5932.65888</v>
      </c>
      <c r="S1219" s="5">
        <f t="shared" si="1939"/>
        <v>0</v>
      </c>
      <c r="T1219" s="5">
        <f t="shared" si="1939"/>
        <v>0</v>
      </c>
      <c r="U1219" s="5">
        <f t="shared" si="1939"/>
        <v>0</v>
      </c>
      <c r="V1219" s="5">
        <f t="shared" si="1939"/>
        <v>-3917.7936</v>
      </c>
      <c r="W1219" s="5">
        <f t="shared" si="1939"/>
        <v>0</v>
      </c>
      <c r="X1219" s="5">
        <f t="shared" si="1939"/>
        <v>0</v>
      </c>
      <c r="Y1219" s="5">
        <f t="shared" si="1939"/>
        <v>0</v>
      </c>
      <c r="Z1219" s="5">
        <f t="shared" si="1939"/>
        <v>0</v>
      </c>
      <c r="AA1219" s="5">
        <f t="shared" si="1939"/>
        <v>0</v>
      </c>
      <c r="AB1219" s="5">
        <f t="shared" si="1939"/>
        <v>0</v>
      </c>
      <c r="AC1219" s="56"/>
      <c r="AD1219" s="23"/>
    </row>
    <row r="1220" spans="1:30" s="14" customFormat="1">
      <c r="A1220" s="78" t="s">
        <v>336</v>
      </c>
      <c r="B1220" s="26">
        <v>585311.45183429972</v>
      </c>
      <c r="C1220" s="130">
        <f t="shared" si="1900"/>
        <v>48775.95</v>
      </c>
      <c r="D1220" s="35"/>
      <c r="E1220" s="35"/>
      <c r="F1220" s="35">
        <v>8.3000000000000004E-2</v>
      </c>
      <c r="G1220" s="35"/>
      <c r="H1220" s="35">
        <v>0.14699999999999999</v>
      </c>
      <c r="I1220" s="35"/>
      <c r="J1220" s="35"/>
      <c r="K1220" s="35">
        <v>4.7999999999999996E-3</v>
      </c>
      <c r="L1220" s="35"/>
      <c r="M1220" s="35"/>
      <c r="N1220" s="35">
        <v>0.36919999999999997</v>
      </c>
      <c r="O1220" s="35"/>
      <c r="P1220" s="35"/>
      <c r="Q1220" s="35"/>
      <c r="R1220" s="35">
        <v>0.23849999999999999</v>
      </c>
      <c r="S1220" s="35"/>
      <c r="T1220" s="35"/>
      <c r="U1220" s="35"/>
      <c r="V1220" s="35">
        <v>0.1575</v>
      </c>
      <c r="W1220" s="35"/>
      <c r="X1220" s="35"/>
      <c r="Y1220" s="35"/>
      <c r="Z1220" s="4"/>
      <c r="AA1220" s="4"/>
      <c r="AB1220" s="4"/>
      <c r="AC1220" s="56"/>
      <c r="AD1220" s="23"/>
    </row>
    <row r="1221" spans="1:30" s="14" customFormat="1">
      <c r="A1221" s="79"/>
      <c r="B1221" s="54"/>
      <c r="C1221" s="130"/>
      <c r="D1221" s="5">
        <f>$C1220*D1220</f>
        <v>0</v>
      </c>
      <c r="E1221" s="5">
        <f t="shared" ref="E1221" si="1940">$C1220*E1220</f>
        <v>0</v>
      </c>
      <c r="F1221" s="5">
        <f t="shared" ref="F1221" si="1941">$C1220*F1220</f>
        <v>4048.4038500000001</v>
      </c>
      <c r="G1221" s="5">
        <f t="shared" ref="G1221:AB1221" si="1942">$C1220*G1220</f>
        <v>0</v>
      </c>
      <c r="H1221" s="5">
        <f t="shared" si="1942"/>
        <v>7170.0646499999993</v>
      </c>
      <c r="I1221" s="5">
        <f t="shared" si="1942"/>
        <v>0</v>
      </c>
      <c r="J1221" s="5">
        <f t="shared" si="1942"/>
        <v>0</v>
      </c>
      <c r="K1221" s="5">
        <f t="shared" si="1942"/>
        <v>234.12455999999997</v>
      </c>
      <c r="L1221" s="5">
        <f t="shared" si="1942"/>
        <v>0</v>
      </c>
      <c r="M1221" s="5">
        <f t="shared" si="1942"/>
        <v>0</v>
      </c>
      <c r="N1221" s="5">
        <f t="shared" si="1942"/>
        <v>18008.080739999998</v>
      </c>
      <c r="O1221" s="5">
        <f t="shared" si="1942"/>
        <v>0</v>
      </c>
      <c r="P1221" s="5">
        <f t="shared" si="1942"/>
        <v>0</v>
      </c>
      <c r="Q1221" s="5">
        <f t="shared" si="1942"/>
        <v>0</v>
      </c>
      <c r="R1221" s="5">
        <f t="shared" si="1942"/>
        <v>11633.064074999998</v>
      </c>
      <c r="S1221" s="5">
        <f t="shared" si="1942"/>
        <v>0</v>
      </c>
      <c r="T1221" s="5">
        <f t="shared" si="1942"/>
        <v>0</v>
      </c>
      <c r="U1221" s="5">
        <f t="shared" si="1942"/>
        <v>0</v>
      </c>
      <c r="V1221" s="5">
        <f t="shared" si="1942"/>
        <v>7682.212125</v>
      </c>
      <c r="W1221" s="5">
        <f t="shared" si="1942"/>
        <v>0</v>
      </c>
      <c r="X1221" s="5">
        <f t="shared" si="1942"/>
        <v>0</v>
      </c>
      <c r="Y1221" s="5">
        <f t="shared" si="1942"/>
        <v>0</v>
      </c>
      <c r="Z1221" s="5">
        <f t="shared" si="1942"/>
        <v>0</v>
      </c>
      <c r="AA1221" s="5">
        <f t="shared" si="1942"/>
        <v>0</v>
      </c>
      <c r="AB1221" s="5">
        <f t="shared" si="1942"/>
        <v>0</v>
      </c>
      <c r="AC1221" s="56"/>
      <c r="AD1221" s="23"/>
    </row>
    <row r="1222" spans="1:30" s="14" customFormat="1">
      <c r="A1222" s="78" t="s">
        <v>485</v>
      </c>
      <c r="B1222" s="26">
        <v>123270.08264908518</v>
      </c>
      <c r="C1222" s="130">
        <f t="shared" si="1900"/>
        <v>10272.51</v>
      </c>
      <c r="D1222" s="35"/>
      <c r="E1222" s="35">
        <v>6.4600000000000005E-2</v>
      </c>
      <c r="F1222" s="35">
        <v>8.7400000000000005E-2</v>
      </c>
      <c r="G1222" s="35"/>
      <c r="H1222" s="35">
        <v>0.19739999999999999</v>
      </c>
      <c r="I1222" s="35">
        <v>2.1600000000000001E-2</v>
      </c>
      <c r="J1222" s="35">
        <v>5.8999999999999999E-3</v>
      </c>
      <c r="K1222" s="35">
        <v>1.0200000000000001E-2</v>
      </c>
      <c r="L1222" s="35">
        <v>1E-4</v>
      </c>
      <c r="M1222" s="35"/>
      <c r="N1222" s="35">
        <v>0.39950000000000002</v>
      </c>
      <c r="O1222" s="35">
        <v>4.4999999999999997E-3</v>
      </c>
      <c r="P1222" s="35"/>
      <c r="Q1222" s="35"/>
      <c r="R1222" s="35"/>
      <c r="S1222" s="35"/>
      <c r="T1222" s="35"/>
      <c r="U1222" s="35"/>
      <c r="V1222" s="35">
        <v>0.20880000000000001</v>
      </c>
      <c r="W1222" s="35"/>
      <c r="X1222" s="35"/>
      <c r="Y1222" s="35"/>
      <c r="Z1222" s="4"/>
      <c r="AA1222" s="4"/>
      <c r="AB1222" s="4"/>
      <c r="AC1222" s="56"/>
      <c r="AD1222" s="23"/>
    </row>
    <row r="1223" spans="1:30" s="14" customFormat="1">
      <c r="A1223" s="79"/>
      <c r="B1223" s="54"/>
      <c r="C1223" s="130"/>
      <c r="D1223" s="5">
        <f>$C1222*D1222</f>
        <v>0</v>
      </c>
      <c r="E1223" s="5">
        <f t="shared" ref="E1223" si="1943">$C1222*E1222</f>
        <v>663.60414600000001</v>
      </c>
      <c r="F1223" s="5">
        <f t="shared" ref="F1223" si="1944">$C1222*F1222</f>
        <v>897.81737400000009</v>
      </c>
      <c r="G1223" s="5">
        <f t="shared" ref="G1223:AB1223" si="1945">$C1222*G1222</f>
        <v>0</v>
      </c>
      <c r="H1223" s="5">
        <f t="shared" si="1945"/>
        <v>2027.7934740000001</v>
      </c>
      <c r="I1223" s="5">
        <f t="shared" si="1945"/>
        <v>221.88621600000002</v>
      </c>
      <c r="J1223" s="5">
        <f t="shared" si="1945"/>
        <v>60.607809000000003</v>
      </c>
      <c r="K1223" s="5">
        <f t="shared" si="1945"/>
        <v>104.77960200000001</v>
      </c>
      <c r="L1223" s="5">
        <f t="shared" si="1945"/>
        <v>1.0272510000000001</v>
      </c>
      <c r="M1223" s="5">
        <f t="shared" si="1945"/>
        <v>0</v>
      </c>
      <c r="N1223" s="5">
        <f t="shared" si="1945"/>
        <v>4103.8677450000005</v>
      </c>
      <c r="O1223" s="5">
        <f t="shared" si="1945"/>
        <v>46.226295</v>
      </c>
      <c r="P1223" s="5">
        <f t="shared" si="1945"/>
        <v>0</v>
      </c>
      <c r="Q1223" s="5">
        <f t="shared" si="1945"/>
        <v>0</v>
      </c>
      <c r="R1223" s="5">
        <f t="shared" si="1945"/>
        <v>0</v>
      </c>
      <c r="S1223" s="5">
        <f t="shared" si="1945"/>
        <v>0</v>
      </c>
      <c r="T1223" s="5">
        <f t="shared" si="1945"/>
        <v>0</v>
      </c>
      <c r="U1223" s="5">
        <f t="shared" si="1945"/>
        <v>0</v>
      </c>
      <c r="V1223" s="5">
        <f t="shared" si="1945"/>
        <v>2144.9000880000003</v>
      </c>
      <c r="W1223" s="5">
        <f t="shared" si="1945"/>
        <v>0</v>
      </c>
      <c r="X1223" s="5">
        <f t="shared" si="1945"/>
        <v>0</v>
      </c>
      <c r="Y1223" s="5">
        <f t="shared" si="1945"/>
        <v>0</v>
      </c>
      <c r="Z1223" s="5">
        <f t="shared" si="1945"/>
        <v>0</v>
      </c>
      <c r="AA1223" s="5">
        <f t="shared" si="1945"/>
        <v>0</v>
      </c>
      <c r="AB1223" s="5">
        <f t="shared" si="1945"/>
        <v>0</v>
      </c>
      <c r="AC1223" s="56"/>
      <c r="AD1223" s="23"/>
    </row>
    <row r="1224" spans="1:30" s="14" customFormat="1">
      <c r="A1224" s="78" t="s">
        <v>486</v>
      </c>
      <c r="B1224" s="26">
        <v>124210.38360996111</v>
      </c>
      <c r="C1224" s="130">
        <f t="shared" si="1900"/>
        <v>10350.870000000001</v>
      </c>
      <c r="D1224" s="35"/>
      <c r="E1224" s="35">
        <v>6.4600000000000005E-2</v>
      </c>
      <c r="F1224" s="35">
        <v>8.7400000000000005E-2</v>
      </c>
      <c r="G1224" s="35"/>
      <c r="H1224" s="35">
        <v>0.19739999999999999</v>
      </c>
      <c r="I1224" s="35">
        <v>2.1600000000000001E-2</v>
      </c>
      <c r="J1224" s="35">
        <v>5.8999999999999999E-3</v>
      </c>
      <c r="K1224" s="35">
        <v>1.0200000000000001E-2</v>
      </c>
      <c r="L1224" s="35">
        <v>1E-4</v>
      </c>
      <c r="M1224" s="35"/>
      <c r="N1224" s="35">
        <v>0.39950000000000002</v>
      </c>
      <c r="O1224" s="35">
        <v>4.4999999999999997E-3</v>
      </c>
      <c r="P1224" s="35"/>
      <c r="Q1224" s="35"/>
      <c r="R1224" s="35"/>
      <c r="S1224" s="35"/>
      <c r="T1224" s="35"/>
      <c r="U1224" s="35"/>
      <c r="V1224" s="35">
        <v>0.20880000000000001</v>
      </c>
      <c r="W1224" s="35"/>
      <c r="X1224" s="35"/>
      <c r="Y1224" s="35"/>
      <c r="Z1224" s="4"/>
      <c r="AA1224" s="4"/>
      <c r="AB1224" s="4"/>
      <c r="AC1224" s="56"/>
      <c r="AD1224" s="23"/>
    </row>
    <row r="1225" spans="1:30" s="14" customFormat="1">
      <c r="A1225" s="79"/>
      <c r="B1225" s="54"/>
      <c r="C1225" s="130"/>
      <c r="D1225" s="5">
        <f>$C1224*D1224</f>
        <v>0</v>
      </c>
      <c r="E1225" s="5">
        <f t="shared" ref="E1225" si="1946">$C1224*E1224</f>
        <v>668.66620200000011</v>
      </c>
      <c r="F1225" s="5">
        <f t="shared" ref="F1225" si="1947">$C1224*F1224</f>
        <v>904.66603800000007</v>
      </c>
      <c r="G1225" s="5">
        <f t="shared" ref="G1225:AB1225" si="1948">$C1224*G1224</f>
        <v>0</v>
      </c>
      <c r="H1225" s="5">
        <f t="shared" si="1948"/>
        <v>2043.2617380000002</v>
      </c>
      <c r="I1225" s="5">
        <f t="shared" si="1948"/>
        <v>223.57879200000002</v>
      </c>
      <c r="J1225" s="5">
        <f t="shared" si="1948"/>
        <v>61.070133000000006</v>
      </c>
      <c r="K1225" s="5">
        <f t="shared" si="1948"/>
        <v>105.57887400000001</v>
      </c>
      <c r="L1225" s="5">
        <f t="shared" si="1948"/>
        <v>1.0350870000000001</v>
      </c>
      <c r="M1225" s="5">
        <f t="shared" si="1948"/>
        <v>0</v>
      </c>
      <c r="N1225" s="5">
        <f t="shared" si="1948"/>
        <v>4135.1725650000008</v>
      </c>
      <c r="O1225" s="5">
        <f t="shared" si="1948"/>
        <v>46.578915000000002</v>
      </c>
      <c r="P1225" s="5">
        <f t="shared" si="1948"/>
        <v>0</v>
      </c>
      <c r="Q1225" s="5">
        <f t="shared" si="1948"/>
        <v>0</v>
      </c>
      <c r="R1225" s="5">
        <f t="shared" si="1948"/>
        <v>0</v>
      </c>
      <c r="S1225" s="5">
        <f t="shared" si="1948"/>
        <v>0</v>
      </c>
      <c r="T1225" s="5">
        <f t="shared" si="1948"/>
        <v>0</v>
      </c>
      <c r="U1225" s="5">
        <f t="shared" si="1948"/>
        <v>0</v>
      </c>
      <c r="V1225" s="5">
        <f t="shared" si="1948"/>
        <v>2161.2616560000001</v>
      </c>
      <c r="W1225" s="5">
        <f t="shared" si="1948"/>
        <v>0</v>
      </c>
      <c r="X1225" s="5">
        <f t="shared" si="1948"/>
        <v>0</v>
      </c>
      <c r="Y1225" s="5">
        <f t="shared" si="1948"/>
        <v>0</v>
      </c>
      <c r="Z1225" s="5">
        <f t="shared" si="1948"/>
        <v>0</v>
      </c>
      <c r="AA1225" s="5">
        <f t="shared" si="1948"/>
        <v>0</v>
      </c>
      <c r="AB1225" s="5">
        <f t="shared" si="1948"/>
        <v>0</v>
      </c>
      <c r="AC1225" s="56"/>
      <c r="AD1225" s="23"/>
    </row>
    <row r="1226" spans="1:30" s="14" customFormat="1">
      <c r="A1226" s="78" t="s">
        <v>487</v>
      </c>
      <c r="B1226" s="26">
        <v>-9796.212440866615</v>
      </c>
      <c r="C1226" s="130">
        <f t="shared" si="1900"/>
        <v>-816.35</v>
      </c>
      <c r="D1226" s="35"/>
      <c r="E1226" s="35">
        <v>6.4600000000000005E-2</v>
      </c>
      <c r="F1226" s="35">
        <v>8.7400000000000005E-2</v>
      </c>
      <c r="G1226" s="35"/>
      <c r="H1226" s="35">
        <v>0.19739999999999999</v>
      </c>
      <c r="I1226" s="35">
        <v>2.1600000000000001E-2</v>
      </c>
      <c r="J1226" s="35">
        <v>5.8999999999999999E-3</v>
      </c>
      <c r="K1226" s="35">
        <v>1.0200000000000001E-2</v>
      </c>
      <c r="L1226" s="35">
        <v>1E-4</v>
      </c>
      <c r="M1226" s="35"/>
      <c r="N1226" s="35">
        <v>0.39950000000000002</v>
      </c>
      <c r="O1226" s="35">
        <v>4.4999999999999997E-3</v>
      </c>
      <c r="P1226" s="35"/>
      <c r="Q1226" s="35"/>
      <c r="R1226" s="35"/>
      <c r="S1226" s="35"/>
      <c r="T1226" s="35"/>
      <c r="U1226" s="35"/>
      <c r="V1226" s="35">
        <v>0.20880000000000001</v>
      </c>
      <c r="W1226" s="35"/>
      <c r="X1226" s="35"/>
      <c r="Y1226" s="35"/>
      <c r="Z1226" s="4"/>
      <c r="AA1226" s="4"/>
      <c r="AB1226" s="4"/>
      <c r="AC1226" s="56"/>
      <c r="AD1226" s="23"/>
    </row>
    <row r="1227" spans="1:30" s="14" customFormat="1">
      <c r="A1227" s="79"/>
      <c r="B1227" s="54"/>
      <c r="C1227" s="130"/>
      <c r="D1227" s="5">
        <f>$C1226*D1226</f>
        <v>0</v>
      </c>
      <c r="E1227" s="5">
        <f t="shared" ref="E1227" si="1949">$C1226*E1226</f>
        <v>-52.736210000000007</v>
      </c>
      <c r="F1227" s="5">
        <f t="shared" ref="F1227" si="1950">$C1226*F1226</f>
        <v>-71.348990000000001</v>
      </c>
      <c r="G1227" s="5">
        <f t="shared" ref="G1227:AB1227" si="1951">$C1226*G1226</f>
        <v>0</v>
      </c>
      <c r="H1227" s="5">
        <f t="shared" si="1951"/>
        <v>-161.14749</v>
      </c>
      <c r="I1227" s="5">
        <f t="shared" si="1951"/>
        <v>-17.63316</v>
      </c>
      <c r="J1227" s="5">
        <f t="shared" si="1951"/>
        <v>-4.816465</v>
      </c>
      <c r="K1227" s="5">
        <f t="shared" si="1951"/>
        <v>-8.3267700000000016</v>
      </c>
      <c r="L1227" s="5">
        <f t="shared" si="1951"/>
        <v>-8.1635000000000013E-2</v>
      </c>
      <c r="M1227" s="5">
        <f t="shared" si="1951"/>
        <v>0</v>
      </c>
      <c r="N1227" s="5">
        <f t="shared" si="1951"/>
        <v>-326.13182500000005</v>
      </c>
      <c r="O1227" s="5">
        <f t="shared" si="1951"/>
        <v>-3.673575</v>
      </c>
      <c r="P1227" s="5">
        <f t="shared" si="1951"/>
        <v>0</v>
      </c>
      <c r="Q1227" s="5">
        <f t="shared" si="1951"/>
        <v>0</v>
      </c>
      <c r="R1227" s="5">
        <f t="shared" si="1951"/>
        <v>0</v>
      </c>
      <c r="S1227" s="5">
        <f t="shared" si="1951"/>
        <v>0</v>
      </c>
      <c r="T1227" s="5">
        <f t="shared" si="1951"/>
        <v>0</v>
      </c>
      <c r="U1227" s="5">
        <f t="shared" si="1951"/>
        <v>0</v>
      </c>
      <c r="V1227" s="5">
        <f t="shared" si="1951"/>
        <v>-170.45388000000003</v>
      </c>
      <c r="W1227" s="5">
        <f t="shared" si="1951"/>
        <v>0</v>
      </c>
      <c r="X1227" s="5">
        <f t="shared" si="1951"/>
        <v>0</v>
      </c>
      <c r="Y1227" s="5">
        <f t="shared" si="1951"/>
        <v>0</v>
      </c>
      <c r="Z1227" s="5">
        <f t="shared" si="1951"/>
        <v>0</v>
      </c>
      <c r="AA1227" s="5">
        <f t="shared" si="1951"/>
        <v>0</v>
      </c>
      <c r="AB1227" s="5">
        <f t="shared" si="1951"/>
        <v>0</v>
      </c>
      <c r="AC1227" s="56"/>
      <c r="AD1227" s="23"/>
    </row>
    <row r="1228" spans="1:30" s="14" customFormat="1">
      <c r="A1228" s="78" t="s">
        <v>488</v>
      </c>
      <c r="B1228" s="26">
        <v>49326.201458352254</v>
      </c>
      <c r="C1228" s="130">
        <f t="shared" si="1900"/>
        <v>4110.5200000000004</v>
      </c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  <c r="P1228" s="35"/>
      <c r="Q1228" s="35">
        <v>1</v>
      </c>
      <c r="R1228" s="35"/>
      <c r="S1228" s="35"/>
      <c r="T1228" s="35"/>
      <c r="U1228" s="35"/>
      <c r="V1228" s="35"/>
      <c r="W1228" s="35"/>
      <c r="X1228" s="35"/>
      <c r="Y1228" s="35"/>
      <c r="Z1228" s="4"/>
      <c r="AA1228" s="4"/>
      <c r="AB1228" s="4"/>
      <c r="AC1228" s="56"/>
      <c r="AD1228" s="23"/>
    </row>
    <row r="1229" spans="1:30" s="14" customFormat="1">
      <c r="A1229" s="79"/>
      <c r="B1229" s="54"/>
      <c r="C1229" s="130"/>
      <c r="D1229" s="5">
        <f>$C1228*D1228</f>
        <v>0</v>
      </c>
      <c r="E1229" s="5">
        <f t="shared" ref="E1229" si="1952">$C1228*E1228</f>
        <v>0</v>
      </c>
      <c r="F1229" s="5">
        <f t="shared" ref="F1229" si="1953">$C1228*F1228</f>
        <v>0</v>
      </c>
      <c r="G1229" s="5">
        <f t="shared" ref="G1229:AB1229" si="1954">$C1228*G1228</f>
        <v>0</v>
      </c>
      <c r="H1229" s="5">
        <f t="shared" si="1954"/>
        <v>0</v>
      </c>
      <c r="I1229" s="5">
        <f t="shared" si="1954"/>
        <v>0</v>
      </c>
      <c r="J1229" s="5">
        <f t="shared" si="1954"/>
        <v>0</v>
      </c>
      <c r="K1229" s="5">
        <f t="shared" si="1954"/>
        <v>0</v>
      </c>
      <c r="L1229" s="5">
        <f t="shared" si="1954"/>
        <v>0</v>
      </c>
      <c r="M1229" s="5">
        <f t="shared" si="1954"/>
        <v>0</v>
      </c>
      <c r="N1229" s="5">
        <f t="shared" si="1954"/>
        <v>0</v>
      </c>
      <c r="O1229" s="5">
        <f t="shared" si="1954"/>
        <v>0</v>
      </c>
      <c r="P1229" s="5">
        <f t="shared" si="1954"/>
        <v>0</v>
      </c>
      <c r="Q1229" s="5">
        <f t="shared" si="1954"/>
        <v>4110.5200000000004</v>
      </c>
      <c r="R1229" s="5">
        <f t="shared" si="1954"/>
        <v>0</v>
      </c>
      <c r="S1229" s="5">
        <f t="shared" si="1954"/>
        <v>0</v>
      </c>
      <c r="T1229" s="5">
        <f t="shared" si="1954"/>
        <v>0</v>
      </c>
      <c r="U1229" s="5">
        <f t="shared" si="1954"/>
        <v>0</v>
      </c>
      <c r="V1229" s="5">
        <f t="shared" si="1954"/>
        <v>0</v>
      </c>
      <c r="W1229" s="5">
        <f t="shared" si="1954"/>
        <v>0</v>
      </c>
      <c r="X1229" s="5">
        <f t="shared" si="1954"/>
        <v>0</v>
      </c>
      <c r="Y1229" s="5">
        <f t="shared" si="1954"/>
        <v>0</v>
      </c>
      <c r="Z1229" s="5">
        <f t="shared" si="1954"/>
        <v>0</v>
      </c>
      <c r="AA1229" s="5">
        <f t="shared" si="1954"/>
        <v>0</v>
      </c>
      <c r="AB1229" s="5">
        <f t="shared" si="1954"/>
        <v>0</v>
      </c>
      <c r="AC1229" s="56"/>
      <c r="AD1229" s="23"/>
    </row>
    <row r="1230" spans="1:30" s="14" customFormat="1">
      <c r="A1230" s="78" t="s">
        <v>489</v>
      </c>
      <c r="B1230" s="26">
        <v>46525.596137291155</v>
      </c>
      <c r="C1230" s="130">
        <f t="shared" si="1900"/>
        <v>3877.13</v>
      </c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  <c r="P1230" s="35"/>
      <c r="Q1230" s="35">
        <v>1</v>
      </c>
      <c r="R1230" s="35"/>
      <c r="S1230" s="35"/>
      <c r="T1230" s="35"/>
      <c r="U1230" s="35"/>
      <c r="V1230" s="35"/>
      <c r="W1230" s="35"/>
      <c r="X1230" s="35"/>
      <c r="Y1230" s="35"/>
      <c r="Z1230" s="4"/>
      <c r="AA1230" s="4"/>
      <c r="AB1230" s="4"/>
      <c r="AC1230" s="56"/>
      <c r="AD1230" s="23"/>
    </row>
    <row r="1231" spans="1:30" s="14" customFormat="1">
      <c r="A1231" s="79"/>
      <c r="B1231" s="54"/>
      <c r="C1231" s="130"/>
      <c r="D1231" s="5">
        <f>$C1230*D1230</f>
        <v>0</v>
      </c>
      <c r="E1231" s="5">
        <f t="shared" ref="E1231" si="1955">$C1230*E1230</f>
        <v>0</v>
      </c>
      <c r="F1231" s="5">
        <f t="shared" ref="F1231" si="1956">$C1230*F1230</f>
        <v>0</v>
      </c>
      <c r="G1231" s="5">
        <f t="shared" ref="G1231:AB1231" si="1957">$C1230*G1230</f>
        <v>0</v>
      </c>
      <c r="H1231" s="5">
        <f t="shared" si="1957"/>
        <v>0</v>
      </c>
      <c r="I1231" s="5">
        <f t="shared" si="1957"/>
        <v>0</v>
      </c>
      <c r="J1231" s="5">
        <f t="shared" si="1957"/>
        <v>0</v>
      </c>
      <c r="K1231" s="5">
        <f t="shared" si="1957"/>
        <v>0</v>
      </c>
      <c r="L1231" s="5">
        <f t="shared" si="1957"/>
        <v>0</v>
      </c>
      <c r="M1231" s="5">
        <f t="shared" si="1957"/>
        <v>0</v>
      </c>
      <c r="N1231" s="5">
        <f t="shared" si="1957"/>
        <v>0</v>
      </c>
      <c r="O1231" s="5">
        <f t="shared" si="1957"/>
        <v>0</v>
      </c>
      <c r="P1231" s="5">
        <f t="shared" si="1957"/>
        <v>0</v>
      </c>
      <c r="Q1231" s="5">
        <f t="shared" si="1957"/>
        <v>3877.13</v>
      </c>
      <c r="R1231" s="5">
        <f t="shared" si="1957"/>
        <v>0</v>
      </c>
      <c r="S1231" s="5">
        <f t="shared" si="1957"/>
        <v>0</v>
      </c>
      <c r="T1231" s="5">
        <f t="shared" si="1957"/>
        <v>0</v>
      </c>
      <c r="U1231" s="5">
        <f t="shared" si="1957"/>
        <v>0</v>
      </c>
      <c r="V1231" s="5">
        <f t="shared" si="1957"/>
        <v>0</v>
      </c>
      <c r="W1231" s="5">
        <f t="shared" si="1957"/>
        <v>0</v>
      </c>
      <c r="X1231" s="5">
        <f t="shared" si="1957"/>
        <v>0</v>
      </c>
      <c r="Y1231" s="5">
        <f t="shared" si="1957"/>
        <v>0</v>
      </c>
      <c r="Z1231" s="5">
        <f t="shared" si="1957"/>
        <v>0</v>
      </c>
      <c r="AA1231" s="5">
        <f t="shared" si="1957"/>
        <v>0</v>
      </c>
      <c r="AB1231" s="5">
        <f t="shared" si="1957"/>
        <v>0</v>
      </c>
      <c r="AC1231" s="56"/>
      <c r="AD1231" s="23"/>
    </row>
    <row r="1232" spans="1:30" s="14" customFormat="1">
      <c r="A1232" s="78" t="s">
        <v>490</v>
      </c>
      <c r="B1232" s="26">
        <v>30870.17516386944</v>
      </c>
      <c r="C1232" s="130">
        <f t="shared" si="1900"/>
        <v>2572.5100000000002</v>
      </c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35">
        <v>1</v>
      </c>
      <c r="R1232" s="35"/>
      <c r="S1232" s="35"/>
      <c r="T1232" s="35"/>
      <c r="U1232" s="35"/>
      <c r="V1232" s="35"/>
      <c r="W1232" s="35"/>
      <c r="X1232" s="35"/>
      <c r="Y1232" s="35"/>
      <c r="Z1232" s="4"/>
      <c r="AA1232" s="4"/>
      <c r="AB1232" s="4"/>
      <c r="AC1232" s="56"/>
      <c r="AD1232" s="23"/>
    </row>
    <row r="1233" spans="1:30" s="14" customFormat="1">
      <c r="A1233" s="79"/>
      <c r="B1233" s="54"/>
      <c r="C1233" s="130"/>
      <c r="D1233" s="5">
        <f>$C1232*D1232</f>
        <v>0</v>
      </c>
      <c r="E1233" s="5">
        <f t="shared" ref="E1233" si="1958">$C1232*E1232</f>
        <v>0</v>
      </c>
      <c r="F1233" s="5">
        <f t="shared" ref="F1233" si="1959">$C1232*F1232</f>
        <v>0</v>
      </c>
      <c r="G1233" s="5">
        <f t="shared" ref="G1233:AB1233" si="1960">$C1232*G1232</f>
        <v>0</v>
      </c>
      <c r="H1233" s="5">
        <f t="shared" si="1960"/>
        <v>0</v>
      </c>
      <c r="I1233" s="5">
        <f t="shared" si="1960"/>
        <v>0</v>
      </c>
      <c r="J1233" s="5">
        <f t="shared" si="1960"/>
        <v>0</v>
      </c>
      <c r="K1233" s="5">
        <f t="shared" si="1960"/>
        <v>0</v>
      </c>
      <c r="L1233" s="5">
        <f t="shared" si="1960"/>
        <v>0</v>
      </c>
      <c r="M1233" s="5">
        <f t="shared" si="1960"/>
        <v>0</v>
      </c>
      <c r="N1233" s="5">
        <f t="shared" si="1960"/>
        <v>0</v>
      </c>
      <c r="O1233" s="5">
        <f t="shared" si="1960"/>
        <v>0</v>
      </c>
      <c r="P1233" s="5">
        <f t="shared" si="1960"/>
        <v>0</v>
      </c>
      <c r="Q1233" s="5">
        <f t="shared" si="1960"/>
        <v>2572.5100000000002</v>
      </c>
      <c r="R1233" s="5">
        <f t="shared" si="1960"/>
        <v>0</v>
      </c>
      <c r="S1233" s="5">
        <f t="shared" si="1960"/>
        <v>0</v>
      </c>
      <c r="T1233" s="5">
        <f t="shared" si="1960"/>
        <v>0</v>
      </c>
      <c r="U1233" s="5">
        <f t="shared" si="1960"/>
        <v>0</v>
      </c>
      <c r="V1233" s="5">
        <f t="shared" si="1960"/>
        <v>0</v>
      </c>
      <c r="W1233" s="5">
        <f t="shared" si="1960"/>
        <v>0</v>
      </c>
      <c r="X1233" s="5">
        <f t="shared" si="1960"/>
        <v>0</v>
      </c>
      <c r="Y1233" s="5">
        <f t="shared" si="1960"/>
        <v>0</v>
      </c>
      <c r="Z1233" s="5">
        <f t="shared" si="1960"/>
        <v>0</v>
      </c>
      <c r="AA1233" s="5">
        <f t="shared" si="1960"/>
        <v>0</v>
      </c>
      <c r="AB1233" s="5">
        <f t="shared" si="1960"/>
        <v>0</v>
      </c>
      <c r="AC1233" s="56"/>
      <c r="AD1233" s="23"/>
    </row>
    <row r="1234" spans="1:30" s="14" customFormat="1">
      <c r="A1234" s="78" t="s">
        <v>491</v>
      </c>
      <c r="B1234" s="26">
        <v>48328.754321826214</v>
      </c>
      <c r="C1234" s="130">
        <f t="shared" si="1900"/>
        <v>4027.4</v>
      </c>
      <c r="D1234" s="35"/>
      <c r="E1234" s="35"/>
      <c r="F1234" s="35">
        <v>1</v>
      </c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  <c r="V1234" s="35"/>
      <c r="W1234" s="35"/>
      <c r="X1234" s="35"/>
      <c r="Y1234" s="35"/>
      <c r="Z1234" s="4"/>
      <c r="AA1234" s="4"/>
      <c r="AB1234" s="4"/>
      <c r="AC1234" s="56"/>
      <c r="AD1234" s="23"/>
    </row>
    <row r="1235" spans="1:30" s="14" customFormat="1">
      <c r="A1235" s="79"/>
      <c r="B1235" s="54"/>
      <c r="C1235" s="130"/>
      <c r="D1235" s="5">
        <f>$C1234*D1234</f>
        <v>0</v>
      </c>
      <c r="E1235" s="5">
        <f t="shared" ref="E1235" si="1961">$C1234*E1234</f>
        <v>0</v>
      </c>
      <c r="F1235" s="5">
        <f t="shared" ref="F1235" si="1962">$C1234*F1234</f>
        <v>4027.4</v>
      </c>
      <c r="G1235" s="5">
        <f t="shared" ref="G1235:AB1235" si="1963">$C1234*G1234</f>
        <v>0</v>
      </c>
      <c r="H1235" s="5">
        <f t="shared" si="1963"/>
        <v>0</v>
      </c>
      <c r="I1235" s="5">
        <f t="shared" si="1963"/>
        <v>0</v>
      </c>
      <c r="J1235" s="5">
        <f t="shared" si="1963"/>
        <v>0</v>
      </c>
      <c r="K1235" s="5">
        <f t="shared" si="1963"/>
        <v>0</v>
      </c>
      <c r="L1235" s="5">
        <f t="shared" si="1963"/>
        <v>0</v>
      </c>
      <c r="M1235" s="5">
        <f t="shared" si="1963"/>
        <v>0</v>
      </c>
      <c r="N1235" s="5">
        <f t="shared" si="1963"/>
        <v>0</v>
      </c>
      <c r="O1235" s="5">
        <f t="shared" si="1963"/>
        <v>0</v>
      </c>
      <c r="P1235" s="5">
        <f t="shared" si="1963"/>
        <v>0</v>
      </c>
      <c r="Q1235" s="5">
        <f t="shared" si="1963"/>
        <v>0</v>
      </c>
      <c r="R1235" s="5">
        <f t="shared" si="1963"/>
        <v>0</v>
      </c>
      <c r="S1235" s="5">
        <f t="shared" si="1963"/>
        <v>0</v>
      </c>
      <c r="T1235" s="5">
        <f t="shared" si="1963"/>
        <v>0</v>
      </c>
      <c r="U1235" s="5">
        <f t="shared" si="1963"/>
        <v>0</v>
      </c>
      <c r="V1235" s="5">
        <f t="shared" si="1963"/>
        <v>0</v>
      </c>
      <c r="W1235" s="5">
        <f t="shared" si="1963"/>
        <v>0</v>
      </c>
      <c r="X1235" s="5">
        <f t="shared" si="1963"/>
        <v>0</v>
      </c>
      <c r="Y1235" s="5">
        <f t="shared" si="1963"/>
        <v>0</v>
      </c>
      <c r="Z1235" s="5">
        <f t="shared" si="1963"/>
        <v>0</v>
      </c>
      <c r="AA1235" s="5">
        <f t="shared" si="1963"/>
        <v>0</v>
      </c>
      <c r="AB1235" s="5">
        <f t="shared" si="1963"/>
        <v>0</v>
      </c>
      <c r="AC1235" s="56"/>
      <c r="AD1235" s="23"/>
    </row>
    <row r="1236" spans="1:30" s="14" customFormat="1">
      <c r="A1236" s="78" t="s">
        <v>492</v>
      </c>
      <c r="B1236" s="26">
        <v>975219.35411816137</v>
      </c>
      <c r="C1236" s="130">
        <f t="shared" si="1900"/>
        <v>81268.28</v>
      </c>
      <c r="D1236" s="35"/>
      <c r="E1236" s="35">
        <v>0.12909999999999999</v>
      </c>
      <c r="F1236" s="35">
        <v>0.19040000000000001</v>
      </c>
      <c r="G1236" s="35">
        <v>1.24E-2</v>
      </c>
      <c r="H1236" s="35"/>
      <c r="I1236" s="35">
        <v>3.5000000000000001E-3</v>
      </c>
      <c r="J1236" s="35">
        <v>1.4500000000000001E-2</v>
      </c>
      <c r="K1236" s="35">
        <v>2.3E-2</v>
      </c>
      <c r="L1236" s="35">
        <v>1.11E-2</v>
      </c>
      <c r="M1236" s="35"/>
      <c r="N1236" s="35">
        <v>0.44850000000000001</v>
      </c>
      <c r="O1236" s="35">
        <v>7.7999999999999996E-3</v>
      </c>
      <c r="P1236" s="35"/>
      <c r="Q1236" s="35"/>
      <c r="R1236" s="35"/>
      <c r="S1236" s="35"/>
      <c r="T1236" s="35"/>
      <c r="U1236" s="35"/>
      <c r="V1236" s="35">
        <v>0.1585</v>
      </c>
      <c r="W1236" s="35"/>
      <c r="X1236" s="35"/>
      <c r="Y1236" s="35">
        <v>1.1999999999999999E-3</v>
      </c>
      <c r="Z1236" s="4"/>
      <c r="AA1236" s="4"/>
      <c r="AB1236" s="4"/>
      <c r="AC1236" s="56"/>
      <c r="AD1236" s="23"/>
    </row>
    <row r="1237" spans="1:30" s="14" customFormat="1">
      <c r="A1237" s="79"/>
      <c r="B1237" s="54"/>
      <c r="C1237" s="130"/>
      <c r="D1237" s="5">
        <f>$C1236*D1236</f>
        <v>0</v>
      </c>
      <c r="E1237" s="5">
        <f t="shared" ref="E1237" si="1964">$C1236*E1236</f>
        <v>10491.734947999999</v>
      </c>
      <c r="F1237" s="5">
        <f t="shared" ref="F1237" si="1965">$C1236*F1236</f>
        <v>15473.480512</v>
      </c>
      <c r="G1237" s="5">
        <f t="shared" ref="G1237:AB1237" si="1966">$C1236*G1236</f>
        <v>1007.7266719999999</v>
      </c>
      <c r="H1237" s="5">
        <f t="shared" si="1966"/>
        <v>0</v>
      </c>
      <c r="I1237" s="5">
        <f t="shared" si="1966"/>
        <v>284.43898000000002</v>
      </c>
      <c r="J1237" s="5">
        <f t="shared" si="1966"/>
        <v>1178.3900599999999</v>
      </c>
      <c r="K1237" s="5">
        <f t="shared" si="1966"/>
        <v>1869.1704399999999</v>
      </c>
      <c r="L1237" s="5">
        <f t="shared" si="1966"/>
        <v>902.07790799999998</v>
      </c>
      <c r="M1237" s="5">
        <f t="shared" si="1966"/>
        <v>0</v>
      </c>
      <c r="N1237" s="5">
        <f t="shared" si="1966"/>
        <v>36448.823580000004</v>
      </c>
      <c r="O1237" s="5">
        <f t="shared" si="1966"/>
        <v>633.89258399999994</v>
      </c>
      <c r="P1237" s="5">
        <f t="shared" si="1966"/>
        <v>0</v>
      </c>
      <c r="Q1237" s="5">
        <f t="shared" si="1966"/>
        <v>0</v>
      </c>
      <c r="R1237" s="5">
        <f t="shared" si="1966"/>
        <v>0</v>
      </c>
      <c r="S1237" s="5">
        <f t="shared" si="1966"/>
        <v>0</v>
      </c>
      <c r="T1237" s="5">
        <f t="shared" si="1966"/>
        <v>0</v>
      </c>
      <c r="U1237" s="5">
        <f t="shared" si="1966"/>
        <v>0</v>
      </c>
      <c r="V1237" s="5">
        <f t="shared" si="1966"/>
        <v>12881.02238</v>
      </c>
      <c r="W1237" s="5">
        <f t="shared" si="1966"/>
        <v>0</v>
      </c>
      <c r="X1237" s="5">
        <f t="shared" si="1966"/>
        <v>0</v>
      </c>
      <c r="Y1237" s="5">
        <f t="shared" si="1966"/>
        <v>97.521935999999997</v>
      </c>
      <c r="Z1237" s="5">
        <f t="shared" si="1966"/>
        <v>0</v>
      </c>
      <c r="AA1237" s="5">
        <f t="shared" si="1966"/>
        <v>0</v>
      </c>
      <c r="AB1237" s="5">
        <f t="shared" si="1966"/>
        <v>0</v>
      </c>
      <c r="AC1237" s="56"/>
      <c r="AD1237" s="23"/>
    </row>
    <row r="1238" spans="1:30" s="14" customFormat="1">
      <c r="A1238" s="78" t="s">
        <v>550</v>
      </c>
      <c r="B1238" s="26">
        <v>0</v>
      </c>
      <c r="C1238" s="130">
        <f t="shared" si="1900"/>
        <v>0</v>
      </c>
      <c r="D1238" s="35">
        <v>1.6299999999999999E-2</v>
      </c>
      <c r="E1238" s="35">
        <v>0.14269999999999999</v>
      </c>
      <c r="F1238" s="35">
        <v>5.8900000000000001E-2</v>
      </c>
      <c r="G1238" s="35">
        <v>7.6200000000000004E-2</v>
      </c>
      <c r="H1238" s="35">
        <v>3.9600000000000003E-2</v>
      </c>
      <c r="I1238" s="35">
        <v>0.12470000000000001</v>
      </c>
      <c r="J1238" s="35">
        <v>2.0400000000000001E-2</v>
      </c>
      <c r="K1238" s="35">
        <v>3.1199999999999999E-2</v>
      </c>
      <c r="L1238" s="35">
        <v>1.6199999999999999E-2</v>
      </c>
      <c r="M1238" s="35">
        <v>2.53E-2</v>
      </c>
      <c r="N1238" s="35">
        <v>0.14849999999999999</v>
      </c>
      <c r="O1238" s="35">
        <v>2.2599999999999999E-2</v>
      </c>
      <c r="P1238" s="35">
        <v>0</v>
      </c>
      <c r="Q1238" s="35">
        <v>3.78E-2</v>
      </c>
      <c r="R1238" s="35">
        <v>1.8100000000000002E-2</v>
      </c>
      <c r="S1238" s="35">
        <v>4.1000000000000003E-3</v>
      </c>
      <c r="T1238" s="35">
        <v>5.04E-2</v>
      </c>
      <c r="U1238" s="35">
        <v>1.7500000000000002E-2</v>
      </c>
      <c r="V1238" s="35">
        <v>3.6200000000000003E-2</v>
      </c>
      <c r="W1238" s="35">
        <v>4.8500000000000001E-2</v>
      </c>
      <c r="X1238" s="35">
        <v>6.1600000000000002E-2</v>
      </c>
      <c r="Y1238" s="35">
        <v>2.5000000000000001E-3</v>
      </c>
      <c r="Z1238" s="4">
        <v>0</v>
      </c>
      <c r="AA1238" s="4">
        <v>6.9999999999999999E-4</v>
      </c>
      <c r="AB1238" s="4">
        <v>0</v>
      </c>
      <c r="AC1238" s="56"/>
      <c r="AD1238" s="23"/>
    </row>
    <row r="1239" spans="1:30" s="14" customFormat="1">
      <c r="A1239" s="79"/>
      <c r="B1239" s="54"/>
      <c r="C1239" s="130"/>
      <c r="D1239" s="5">
        <f>$C1238*D1238</f>
        <v>0</v>
      </c>
      <c r="E1239" s="5">
        <f t="shared" ref="E1239" si="1967">$C1238*E1238</f>
        <v>0</v>
      </c>
      <c r="F1239" s="5">
        <f t="shared" ref="F1239" si="1968">$C1238*F1238</f>
        <v>0</v>
      </c>
      <c r="G1239" s="5">
        <f t="shared" ref="G1239:AB1239" si="1969">$C1238*G1238</f>
        <v>0</v>
      </c>
      <c r="H1239" s="5">
        <f t="shared" si="1969"/>
        <v>0</v>
      </c>
      <c r="I1239" s="5">
        <f t="shared" si="1969"/>
        <v>0</v>
      </c>
      <c r="J1239" s="5">
        <f t="shared" si="1969"/>
        <v>0</v>
      </c>
      <c r="K1239" s="5">
        <f t="shared" si="1969"/>
        <v>0</v>
      </c>
      <c r="L1239" s="5">
        <f t="shared" si="1969"/>
        <v>0</v>
      </c>
      <c r="M1239" s="5">
        <f t="shared" si="1969"/>
        <v>0</v>
      </c>
      <c r="N1239" s="5">
        <f t="shared" si="1969"/>
        <v>0</v>
      </c>
      <c r="O1239" s="5">
        <f t="shared" si="1969"/>
        <v>0</v>
      </c>
      <c r="P1239" s="5">
        <f t="shared" si="1969"/>
        <v>0</v>
      </c>
      <c r="Q1239" s="5">
        <f t="shared" si="1969"/>
        <v>0</v>
      </c>
      <c r="R1239" s="5">
        <f t="shared" si="1969"/>
        <v>0</v>
      </c>
      <c r="S1239" s="5">
        <f t="shared" si="1969"/>
        <v>0</v>
      </c>
      <c r="T1239" s="5">
        <f t="shared" si="1969"/>
        <v>0</v>
      </c>
      <c r="U1239" s="5">
        <f t="shared" si="1969"/>
        <v>0</v>
      </c>
      <c r="V1239" s="5">
        <f t="shared" si="1969"/>
        <v>0</v>
      </c>
      <c r="W1239" s="5">
        <f t="shared" si="1969"/>
        <v>0</v>
      </c>
      <c r="X1239" s="5">
        <f t="shared" si="1969"/>
        <v>0</v>
      </c>
      <c r="Y1239" s="5">
        <f t="shared" si="1969"/>
        <v>0</v>
      </c>
      <c r="Z1239" s="5">
        <f t="shared" si="1969"/>
        <v>0</v>
      </c>
      <c r="AA1239" s="5">
        <f t="shared" si="1969"/>
        <v>0</v>
      </c>
      <c r="AB1239" s="5">
        <f t="shared" si="1969"/>
        <v>0</v>
      </c>
      <c r="AC1239" s="56"/>
      <c r="AD1239" s="23"/>
    </row>
    <row r="1240" spans="1:30" s="14" customFormat="1">
      <c r="A1240" s="78" t="s">
        <v>552</v>
      </c>
      <c r="B1240" s="26">
        <v>0</v>
      </c>
      <c r="C1240" s="130">
        <f t="shared" si="1900"/>
        <v>0</v>
      </c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  <c r="P1240" s="35"/>
      <c r="Q1240" s="35"/>
      <c r="R1240" s="35"/>
      <c r="S1240" s="35"/>
      <c r="T1240" s="35"/>
      <c r="U1240" s="35">
        <v>1</v>
      </c>
      <c r="V1240" s="35"/>
      <c r="W1240" s="35"/>
      <c r="X1240" s="35"/>
      <c r="Y1240" s="35"/>
      <c r="Z1240" s="4"/>
      <c r="AA1240" s="4"/>
      <c r="AB1240" s="4"/>
      <c r="AC1240" s="56"/>
      <c r="AD1240" s="23"/>
    </row>
    <row r="1241" spans="1:30" s="14" customFormat="1">
      <c r="A1241" s="79"/>
      <c r="B1241" s="54"/>
      <c r="C1241" s="130"/>
      <c r="D1241" s="5">
        <f>$C1240*D1240</f>
        <v>0</v>
      </c>
      <c r="E1241" s="5">
        <f t="shared" ref="E1241" si="1970">$C1240*E1240</f>
        <v>0</v>
      </c>
      <c r="F1241" s="5">
        <f t="shared" ref="F1241" si="1971">$C1240*F1240</f>
        <v>0</v>
      </c>
      <c r="G1241" s="5">
        <f t="shared" ref="G1241:AB1241" si="1972">$C1240*G1240</f>
        <v>0</v>
      </c>
      <c r="H1241" s="5">
        <f t="shared" si="1972"/>
        <v>0</v>
      </c>
      <c r="I1241" s="5">
        <f t="shared" si="1972"/>
        <v>0</v>
      </c>
      <c r="J1241" s="5">
        <f t="shared" si="1972"/>
        <v>0</v>
      </c>
      <c r="K1241" s="5">
        <f t="shared" si="1972"/>
        <v>0</v>
      </c>
      <c r="L1241" s="5">
        <f t="shared" si="1972"/>
        <v>0</v>
      </c>
      <c r="M1241" s="5">
        <f t="shared" si="1972"/>
        <v>0</v>
      </c>
      <c r="N1241" s="5">
        <f t="shared" si="1972"/>
        <v>0</v>
      </c>
      <c r="O1241" s="5">
        <f t="shared" si="1972"/>
        <v>0</v>
      </c>
      <c r="P1241" s="5">
        <f t="shared" si="1972"/>
        <v>0</v>
      </c>
      <c r="Q1241" s="5">
        <f t="shared" si="1972"/>
        <v>0</v>
      </c>
      <c r="R1241" s="5">
        <f t="shared" si="1972"/>
        <v>0</v>
      </c>
      <c r="S1241" s="5">
        <f t="shared" si="1972"/>
        <v>0</v>
      </c>
      <c r="T1241" s="5">
        <f t="shared" si="1972"/>
        <v>0</v>
      </c>
      <c r="U1241" s="5">
        <f t="shared" si="1972"/>
        <v>0</v>
      </c>
      <c r="V1241" s="5">
        <f t="shared" si="1972"/>
        <v>0</v>
      </c>
      <c r="W1241" s="5">
        <f t="shared" si="1972"/>
        <v>0</v>
      </c>
      <c r="X1241" s="5">
        <f t="shared" si="1972"/>
        <v>0</v>
      </c>
      <c r="Y1241" s="5">
        <f t="shared" si="1972"/>
        <v>0</v>
      </c>
      <c r="Z1241" s="5">
        <f t="shared" si="1972"/>
        <v>0</v>
      </c>
      <c r="AA1241" s="5">
        <f t="shared" si="1972"/>
        <v>0</v>
      </c>
      <c r="AB1241" s="5">
        <f t="shared" si="1972"/>
        <v>0</v>
      </c>
      <c r="AC1241" s="56"/>
      <c r="AD1241" s="23"/>
    </row>
    <row r="1242" spans="1:30" s="14" customFormat="1">
      <c r="A1242" s="78" t="s">
        <v>551</v>
      </c>
      <c r="B1242" s="26">
        <v>0</v>
      </c>
      <c r="C1242" s="130">
        <f t="shared" si="1900"/>
        <v>0</v>
      </c>
      <c r="D1242" s="35">
        <v>1.6299999999999999E-2</v>
      </c>
      <c r="E1242" s="35">
        <v>0.14269999999999999</v>
      </c>
      <c r="F1242" s="35">
        <v>5.8900000000000001E-2</v>
      </c>
      <c r="G1242" s="35">
        <v>7.6200000000000004E-2</v>
      </c>
      <c r="H1242" s="35">
        <v>3.9600000000000003E-2</v>
      </c>
      <c r="I1242" s="35">
        <v>0.12470000000000001</v>
      </c>
      <c r="J1242" s="35">
        <v>2.0400000000000001E-2</v>
      </c>
      <c r="K1242" s="35">
        <v>3.1199999999999999E-2</v>
      </c>
      <c r="L1242" s="35">
        <v>1.6199999999999999E-2</v>
      </c>
      <c r="M1242" s="35">
        <v>2.53E-2</v>
      </c>
      <c r="N1242" s="35">
        <v>0.14849999999999999</v>
      </c>
      <c r="O1242" s="35">
        <v>2.2599999999999999E-2</v>
      </c>
      <c r="P1242" s="35">
        <v>0</v>
      </c>
      <c r="Q1242" s="35">
        <v>3.78E-2</v>
      </c>
      <c r="R1242" s="35">
        <v>1.8100000000000002E-2</v>
      </c>
      <c r="S1242" s="35">
        <v>4.1000000000000003E-3</v>
      </c>
      <c r="T1242" s="35">
        <v>5.04E-2</v>
      </c>
      <c r="U1242" s="35">
        <v>1.7500000000000002E-2</v>
      </c>
      <c r="V1242" s="35">
        <v>3.6200000000000003E-2</v>
      </c>
      <c r="W1242" s="35">
        <v>4.8500000000000001E-2</v>
      </c>
      <c r="X1242" s="35">
        <v>6.1600000000000002E-2</v>
      </c>
      <c r="Y1242" s="35">
        <v>2.5000000000000001E-3</v>
      </c>
      <c r="Z1242" s="4">
        <v>0</v>
      </c>
      <c r="AA1242" s="4">
        <v>6.9999999999999999E-4</v>
      </c>
      <c r="AB1242" s="4">
        <v>0</v>
      </c>
      <c r="AC1242" s="56"/>
      <c r="AD1242" s="23"/>
    </row>
    <row r="1243" spans="1:30" s="14" customFormat="1">
      <c r="A1243" s="79"/>
      <c r="B1243" s="54"/>
      <c r="C1243" s="130"/>
      <c r="D1243" s="5">
        <f>$C1242*D1242</f>
        <v>0</v>
      </c>
      <c r="E1243" s="5">
        <f t="shared" ref="E1243" si="1973">$C1242*E1242</f>
        <v>0</v>
      </c>
      <c r="F1243" s="5">
        <f t="shared" ref="F1243" si="1974">$C1242*F1242</f>
        <v>0</v>
      </c>
      <c r="G1243" s="5">
        <f t="shared" ref="G1243:AB1243" si="1975">$C1242*G1242</f>
        <v>0</v>
      </c>
      <c r="H1243" s="5">
        <f t="shared" si="1975"/>
        <v>0</v>
      </c>
      <c r="I1243" s="5">
        <f t="shared" si="1975"/>
        <v>0</v>
      </c>
      <c r="J1243" s="5">
        <f t="shared" si="1975"/>
        <v>0</v>
      </c>
      <c r="K1243" s="5">
        <f t="shared" si="1975"/>
        <v>0</v>
      </c>
      <c r="L1243" s="5">
        <f t="shared" si="1975"/>
        <v>0</v>
      </c>
      <c r="M1243" s="5">
        <f t="shared" si="1975"/>
        <v>0</v>
      </c>
      <c r="N1243" s="5">
        <f t="shared" si="1975"/>
        <v>0</v>
      </c>
      <c r="O1243" s="5">
        <f t="shared" si="1975"/>
        <v>0</v>
      </c>
      <c r="P1243" s="5">
        <f t="shared" si="1975"/>
        <v>0</v>
      </c>
      <c r="Q1243" s="5">
        <f t="shared" si="1975"/>
        <v>0</v>
      </c>
      <c r="R1243" s="5">
        <f t="shared" si="1975"/>
        <v>0</v>
      </c>
      <c r="S1243" s="5">
        <f t="shared" si="1975"/>
        <v>0</v>
      </c>
      <c r="T1243" s="5">
        <f t="shared" si="1975"/>
        <v>0</v>
      </c>
      <c r="U1243" s="5">
        <f t="shared" si="1975"/>
        <v>0</v>
      </c>
      <c r="V1243" s="5">
        <f t="shared" si="1975"/>
        <v>0</v>
      </c>
      <c r="W1243" s="5">
        <f t="shared" si="1975"/>
        <v>0</v>
      </c>
      <c r="X1243" s="5">
        <f t="shared" si="1975"/>
        <v>0</v>
      </c>
      <c r="Y1243" s="5">
        <f t="shared" si="1975"/>
        <v>0</v>
      </c>
      <c r="Z1243" s="5">
        <f t="shared" si="1975"/>
        <v>0</v>
      </c>
      <c r="AA1243" s="5">
        <f t="shared" si="1975"/>
        <v>0</v>
      </c>
      <c r="AB1243" s="5">
        <f t="shared" si="1975"/>
        <v>0</v>
      </c>
      <c r="AC1243" s="56"/>
      <c r="AD1243" s="23"/>
    </row>
    <row r="1244" spans="1:30" s="14" customFormat="1">
      <c r="A1244" s="78" t="s">
        <v>553</v>
      </c>
      <c r="B1244" s="26">
        <v>0</v>
      </c>
      <c r="C1244" s="130">
        <f t="shared" si="1900"/>
        <v>0</v>
      </c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  <c r="P1244" s="35"/>
      <c r="Q1244" s="35"/>
      <c r="R1244" s="35"/>
      <c r="S1244" s="35"/>
      <c r="T1244" s="35"/>
      <c r="U1244" s="35">
        <v>1</v>
      </c>
      <c r="V1244" s="35"/>
      <c r="W1244" s="35"/>
      <c r="X1244" s="35"/>
      <c r="Y1244" s="35"/>
      <c r="Z1244" s="4"/>
      <c r="AA1244" s="4"/>
      <c r="AB1244" s="4"/>
      <c r="AC1244" s="56"/>
      <c r="AD1244" s="23"/>
    </row>
    <row r="1245" spans="1:30" s="14" customFormat="1">
      <c r="A1245" s="79"/>
      <c r="B1245" s="54"/>
      <c r="C1245" s="130"/>
      <c r="D1245" s="5">
        <f>$C1244*D1244</f>
        <v>0</v>
      </c>
      <c r="E1245" s="5">
        <f t="shared" ref="E1245" si="1976">$C1244*E1244</f>
        <v>0</v>
      </c>
      <c r="F1245" s="5">
        <f t="shared" ref="F1245" si="1977">$C1244*F1244</f>
        <v>0</v>
      </c>
      <c r="G1245" s="5">
        <f t="shared" ref="G1245:AB1245" si="1978">$C1244*G1244</f>
        <v>0</v>
      </c>
      <c r="H1245" s="5">
        <f t="shared" si="1978"/>
        <v>0</v>
      </c>
      <c r="I1245" s="5">
        <f t="shared" si="1978"/>
        <v>0</v>
      </c>
      <c r="J1245" s="5">
        <f t="shared" si="1978"/>
        <v>0</v>
      </c>
      <c r="K1245" s="5">
        <f t="shared" si="1978"/>
        <v>0</v>
      </c>
      <c r="L1245" s="5">
        <f t="shared" si="1978"/>
        <v>0</v>
      </c>
      <c r="M1245" s="5">
        <f t="shared" si="1978"/>
        <v>0</v>
      </c>
      <c r="N1245" s="5">
        <f t="shared" si="1978"/>
        <v>0</v>
      </c>
      <c r="O1245" s="5">
        <f t="shared" si="1978"/>
        <v>0</v>
      </c>
      <c r="P1245" s="5">
        <f t="shared" si="1978"/>
        <v>0</v>
      </c>
      <c r="Q1245" s="5">
        <f t="shared" si="1978"/>
        <v>0</v>
      </c>
      <c r="R1245" s="5">
        <f t="shared" si="1978"/>
        <v>0</v>
      </c>
      <c r="S1245" s="5">
        <f t="shared" si="1978"/>
        <v>0</v>
      </c>
      <c r="T1245" s="5">
        <f t="shared" si="1978"/>
        <v>0</v>
      </c>
      <c r="U1245" s="5">
        <f t="shared" si="1978"/>
        <v>0</v>
      </c>
      <c r="V1245" s="5">
        <f t="shared" si="1978"/>
        <v>0</v>
      </c>
      <c r="W1245" s="5">
        <f t="shared" si="1978"/>
        <v>0</v>
      </c>
      <c r="X1245" s="5">
        <f t="shared" si="1978"/>
        <v>0</v>
      </c>
      <c r="Y1245" s="5">
        <f t="shared" si="1978"/>
        <v>0</v>
      </c>
      <c r="Z1245" s="5">
        <f t="shared" si="1978"/>
        <v>0</v>
      </c>
      <c r="AA1245" s="5">
        <f t="shared" si="1978"/>
        <v>0</v>
      </c>
      <c r="AB1245" s="5">
        <f t="shared" si="1978"/>
        <v>0</v>
      </c>
      <c r="AC1245" s="56"/>
      <c r="AD1245" s="23"/>
    </row>
    <row r="1246" spans="1:30" s="14" customFormat="1">
      <c r="A1246" s="78" t="s">
        <v>585</v>
      </c>
      <c r="B1246" s="26">
        <v>-18528684.109341443</v>
      </c>
      <c r="C1246" s="130">
        <f t="shared" si="1900"/>
        <v>-1544057.01</v>
      </c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  <c r="P1246" s="35"/>
      <c r="Q1246" s="35"/>
      <c r="R1246" s="35"/>
      <c r="S1246" s="35"/>
      <c r="T1246" s="35"/>
      <c r="U1246" s="35">
        <v>1</v>
      </c>
      <c r="V1246" s="35"/>
      <c r="W1246" s="35">
        <v>0</v>
      </c>
      <c r="X1246" s="35"/>
      <c r="Y1246" s="35"/>
      <c r="Z1246" s="4"/>
      <c r="AA1246" s="4"/>
      <c r="AB1246" s="4"/>
      <c r="AC1246" s="56"/>
      <c r="AD1246" s="23"/>
    </row>
    <row r="1247" spans="1:30" s="14" customFormat="1">
      <c r="A1247" s="79"/>
      <c r="B1247" s="54"/>
      <c r="C1247" s="130"/>
      <c r="D1247" s="5">
        <f>$C1246*D1246</f>
        <v>0</v>
      </c>
      <c r="E1247" s="5">
        <f t="shared" ref="E1247" si="1979">$C1246*E1246</f>
        <v>0</v>
      </c>
      <c r="F1247" s="5">
        <f t="shared" ref="F1247:AB1247" si="1980">$C1246*F1246</f>
        <v>0</v>
      </c>
      <c r="G1247" s="5">
        <f t="shared" si="1980"/>
        <v>0</v>
      </c>
      <c r="H1247" s="5">
        <f t="shared" si="1980"/>
        <v>0</v>
      </c>
      <c r="I1247" s="5">
        <f t="shared" si="1980"/>
        <v>0</v>
      </c>
      <c r="J1247" s="5">
        <f t="shared" si="1980"/>
        <v>0</v>
      </c>
      <c r="K1247" s="5">
        <f t="shared" si="1980"/>
        <v>0</v>
      </c>
      <c r="L1247" s="5">
        <f t="shared" si="1980"/>
        <v>0</v>
      </c>
      <c r="M1247" s="5">
        <f t="shared" si="1980"/>
        <v>0</v>
      </c>
      <c r="N1247" s="5">
        <f t="shared" si="1980"/>
        <v>0</v>
      </c>
      <c r="O1247" s="5">
        <f t="shared" si="1980"/>
        <v>0</v>
      </c>
      <c r="P1247" s="5">
        <f t="shared" si="1980"/>
        <v>0</v>
      </c>
      <c r="Q1247" s="5">
        <f t="shared" si="1980"/>
        <v>0</v>
      </c>
      <c r="R1247" s="5">
        <f t="shared" si="1980"/>
        <v>0</v>
      </c>
      <c r="S1247" s="5">
        <f t="shared" si="1980"/>
        <v>0</v>
      </c>
      <c r="T1247" s="5">
        <f t="shared" si="1980"/>
        <v>0</v>
      </c>
      <c r="U1247" s="5">
        <f t="shared" si="1980"/>
        <v>-1544057.01</v>
      </c>
      <c r="V1247" s="5">
        <f t="shared" si="1980"/>
        <v>0</v>
      </c>
      <c r="W1247" s="5">
        <f t="shared" si="1980"/>
        <v>0</v>
      </c>
      <c r="X1247" s="5">
        <f t="shared" si="1980"/>
        <v>0</v>
      </c>
      <c r="Y1247" s="5">
        <f t="shared" si="1980"/>
        <v>0</v>
      </c>
      <c r="Z1247" s="5">
        <f t="shared" si="1980"/>
        <v>0</v>
      </c>
      <c r="AA1247" s="5">
        <f t="shared" si="1980"/>
        <v>0</v>
      </c>
      <c r="AB1247" s="5">
        <f t="shared" si="1980"/>
        <v>0</v>
      </c>
      <c r="AC1247" s="56"/>
      <c r="AD1247" s="23"/>
    </row>
    <row r="1248" spans="1:30" s="14" customFormat="1">
      <c r="A1248" s="78" t="s">
        <v>586</v>
      </c>
      <c r="B1248" s="26">
        <v>34304.184352918826</v>
      </c>
      <c r="C1248" s="130">
        <f t="shared" si="1900"/>
        <v>2858.68</v>
      </c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35"/>
      <c r="R1248" s="35">
        <v>1</v>
      </c>
      <c r="S1248" s="35"/>
      <c r="T1248" s="35"/>
      <c r="U1248" s="35"/>
      <c r="V1248" s="35"/>
      <c r="W1248" s="35"/>
      <c r="X1248" s="35"/>
      <c r="Y1248" s="35"/>
      <c r="Z1248" s="4"/>
      <c r="AA1248" s="4"/>
      <c r="AB1248" s="4"/>
      <c r="AC1248" s="56"/>
      <c r="AD1248" s="23"/>
    </row>
    <row r="1249" spans="1:30" s="14" customFormat="1">
      <c r="A1249" s="79"/>
      <c r="B1249" s="54"/>
      <c r="C1249" s="130"/>
      <c r="D1249" s="5">
        <f>$C1248*D1248</f>
        <v>0</v>
      </c>
      <c r="E1249" s="5">
        <f t="shared" ref="E1249:T1255" si="1981">$C1248*E1248</f>
        <v>0</v>
      </c>
      <c r="F1249" s="5">
        <f t="shared" ref="F1249:AB1249" si="1982">$C1248*F1248</f>
        <v>0</v>
      </c>
      <c r="G1249" s="5">
        <f t="shared" si="1982"/>
        <v>0</v>
      </c>
      <c r="H1249" s="5">
        <f t="shared" si="1982"/>
        <v>0</v>
      </c>
      <c r="I1249" s="5">
        <f t="shared" si="1982"/>
        <v>0</v>
      </c>
      <c r="J1249" s="5">
        <f t="shared" si="1982"/>
        <v>0</v>
      </c>
      <c r="K1249" s="5">
        <f t="shared" si="1982"/>
        <v>0</v>
      </c>
      <c r="L1249" s="5">
        <f t="shared" si="1982"/>
        <v>0</v>
      </c>
      <c r="M1249" s="5">
        <f t="shared" si="1982"/>
        <v>0</v>
      </c>
      <c r="N1249" s="5">
        <f t="shared" si="1982"/>
        <v>0</v>
      </c>
      <c r="O1249" s="5">
        <f t="shared" si="1982"/>
        <v>0</v>
      </c>
      <c r="P1249" s="5">
        <f t="shared" si="1982"/>
        <v>0</v>
      </c>
      <c r="Q1249" s="5">
        <f t="shared" si="1982"/>
        <v>0</v>
      </c>
      <c r="R1249" s="5">
        <f t="shared" si="1982"/>
        <v>2858.68</v>
      </c>
      <c r="S1249" s="5">
        <f t="shared" si="1982"/>
        <v>0</v>
      </c>
      <c r="T1249" s="5">
        <f t="shared" si="1982"/>
        <v>0</v>
      </c>
      <c r="U1249" s="5">
        <f t="shared" si="1982"/>
        <v>0</v>
      </c>
      <c r="V1249" s="5">
        <f t="shared" si="1982"/>
        <v>0</v>
      </c>
      <c r="W1249" s="5">
        <f t="shared" si="1982"/>
        <v>0</v>
      </c>
      <c r="X1249" s="5">
        <f t="shared" si="1982"/>
        <v>0</v>
      </c>
      <c r="Y1249" s="5">
        <f t="shared" si="1982"/>
        <v>0</v>
      </c>
      <c r="Z1249" s="5">
        <f t="shared" si="1982"/>
        <v>0</v>
      </c>
      <c r="AA1249" s="5">
        <f t="shared" si="1982"/>
        <v>0</v>
      </c>
      <c r="AB1249" s="5">
        <f t="shared" si="1982"/>
        <v>0</v>
      </c>
      <c r="AC1249" s="56"/>
      <c r="AD1249" s="23"/>
    </row>
    <row r="1250" spans="1:30" s="14" customFormat="1">
      <c r="A1250" s="78" t="s">
        <v>599</v>
      </c>
      <c r="B1250" s="26">
        <v>23705352.266572636</v>
      </c>
      <c r="C1250" s="130">
        <f t="shared" si="1900"/>
        <v>1975446.02</v>
      </c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  <c r="P1250" s="35"/>
      <c r="Q1250" s="35"/>
      <c r="R1250" s="35">
        <v>1</v>
      </c>
      <c r="S1250" s="35"/>
      <c r="T1250" s="35"/>
      <c r="U1250" s="35"/>
      <c r="V1250" s="35"/>
      <c r="W1250" s="35"/>
      <c r="X1250" s="35"/>
      <c r="Y1250" s="35"/>
      <c r="Z1250" s="4"/>
      <c r="AA1250" s="4"/>
      <c r="AB1250" s="4"/>
      <c r="AC1250" s="56"/>
      <c r="AD1250" s="23"/>
    </row>
    <row r="1251" spans="1:30" s="14" customFormat="1">
      <c r="A1251" s="79"/>
      <c r="B1251" s="54"/>
      <c r="C1251" s="130"/>
      <c r="D1251" s="5">
        <f>$C1250*D1250</f>
        <v>0</v>
      </c>
      <c r="E1251" s="5">
        <f t="shared" ref="E1251:AB1251" si="1983">$C1250*E1250</f>
        <v>0</v>
      </c>
      <c r="F1251" s="5">
        <f t="shared" si="1983"/>
        <v>0</v>
      </c>
      <c r="G1251" s="5">
        <f t="shared" si="1983"/>
        <v>0</v>
      </c>
      <c r="H1251" s="5">
        <f t="shared" si="1983"/>
        <v>0</v>
      </c>
      <c r="I1251" s="5">
        <f t="shared" si="1983"/>
        <v>0</v>
      </c>
      <c r="J1251" s="5">
        <f t="shared" si="1983"/>
        <v>0</v>
      </c>
      <c r="K1251" s="5">
        <f t="shared" si="1983"/>
        <v>0</v>
      </c>
      <c r="L1251" s="5">
        <f t="shared" si="1983"/>
        <v>0</v>
      </c>
      <c r="M1251" s="5">
        <f t="shared" si="1983"/>
        <v>0</v>
      </c>
      <c r="N1251" s="5">
        <f t="shared" si="1983"/>
        <v>0</v>
      </c>
      <c r="O1251" s="5">
        <f t="shared" si="1983"/>
        <v>0</v>
      </c>
      <c r="P1251" s="5">
        <f t="shared" si="1983"/>
        <v>0</v>
      </c>
      <c r="Q1251" s="5">
        <f t="shared" si="1983"/>
        <v>0</v>
      </c>
      <c r="R1251" s="5">
        <f t="shared" si="1983"/>
        <v>1975446.02</v>
      </c>
      <c r="S1251" s="5">
        <f t="shared" si="1983"/>
        <v>0</v>
      </c>
      <c r="T1251" s="5">
        <f t="shared" si="1983"/>
        <v>0</v>
      </c>
      <c r="U1251" s="5">
        <f t="shared" si="1983"/>
        <v>0</v>
      </c>
      <c r="V1251" s="5">
        <f t="shared" si="1983"/>
        <v>0</v>
      </c>
      <c r="W1251" s="5">
        <f t="shared" si="1983"/>
        <v>0</v>
      </c>
      <c r="X1251" s="5">
        <f t="shared" si="1983"/>
        <v>0</v>
      </c>
      <c r="Y1251" s="5">
        <f t="shared" si="1983"/>
        <v>0</v>
      </c>
      <c r="Z1251" s="5">
        <f t="shared" si="1983"/>
        <v>0</v>
      </c>
      <c r="AA1251" s="5">
        <f t="shared" si="1983"/>
        <v>0</v>
      </c>
      <c r="AB1251" s="5">
        <f t="shared" si="1983"/>
        <v>0</v>
      </c>
      <c r="AC1251" s="56"/>
      <c r="AD1251" s="23"/>
    </row>
    <row r="1252" spans="1:30" s="14" customFormat="1">
      <c r="A1252" s="78" t="s">
        <v>597</v>
      </c>
      <c r="B1252" s="26">
        <v>1790562.2767259381</v>
      </c>
      <c r="C1252" s="130">
        <f t="shared" si="1900"/>
        <v>149213.51999999999</v>
      </c>
      <c r="D1252" s="35"/>
      <c r="E1252" s="35">
        <v>0.16600000000000001</v>
      </c>
      <c r="F1252" s="35">
        <v>8.09E-2</v>
      </c>
      <c r="G1252" s="35"/>
      <c r="H1252" s="35">
        <v>2.7400000000000001E-2</v>
      </c>
      <c r="I1252" s="35"/>
      <c r="J1252" s="35">
        <v>0.02</v>
      </c>
      <c r="K1252" s="35">
        <v>3.5000000000000001E-3</v>
      </c>
      <c r="L1252" s="35">
        <v>1.3100000000000001E-2</v>
      </c>
      <c r="M1252" s="35"/>
      <c r="N1252" s="35">
        <v>0.52769999999999995</v>
      </c>
      <c r="O1252" s="35">
        <v>1.54E-2</v>
      </c>
      <c r="P1252" s="35"/>
      <c r="Q1252" s="35"/>
      <c r="R1252" s="35"/>
      <c r="S1252" s="35"/>
      <c r="T1252" s="35"/>
      <c r="U1252" s="35"/>
      <c r="V1252" s="35">
        <v>0.1454</v>
      </c>
      <c r="W1252" s="35"/>
      <c r="X1252" s="35"/>
      <c r="Y1252" s="35"/>
      <c r="Z1252" s="4"/>
      <c r="AA1252" s="4">
        <v>5.9999999999999995E-4</v>
      </c>
      <c r="AB1252" s="4"/>
      <c r="AC1252" s="56"/>
      <c r="AD1252" s="23"/>
    </row>
    <row r="1253" spans="1:30" s="14" customFormat="1">
      <c r="A1253" s="79"/>
      <c r="B1253" s="54"/>
      <c r="C1253" s="130"/>
      <c r="D1253" s="5">
        <f>$C1252*D1252</f>
        <v>0</v>
      </c>
      <c r="E1253" s="5">
        <f t="shared" ref="E1253:AB1253" si="1984">$C1252*E1252</f>
        <v>24769.444319999999</v>
      </c>
      <c r="F1253" s="5">
        <f t="shared" si="1984"/>
        <v>12071.373767999999</v>
      </c>
      <c r="G1253" s="5">
        <f t="shared" si="1984"/>
        <v>0</v>
      </c>
      <c r="H1253" s="5">
        <f t="shared" si="1984"/>
        <v>4088.4504479999996</v>
      </c>
      <c r="I1253" s="5">
        <f t="shared" si="1984"/>
        <v>0</v>
      </c>
      <c r="J1253" s="5">
        <f t="shared" si="1984"/>
        <v>2984.2703999999999</v>
      </c>
      <c r="K1253" s="5">
        <f t="shared" si="1984"/>
        <v>522.24731999999995</v>
      </c>
      <c r="L1253" s="5">
        <f t="shared" si="1984"/>
        <v>1954.6971119999998</v>
      </c>
      <c r="M1253" s="5">
        <f t="shared" si="1984"/>
        <v>0</v>
      </c>
      <c r="N1253" s="5">
        <f t="shared" si="1984"/>
        <v>78739.974503999983</v>
      </c>
      <c r="O1253" s="5">
        <f t="shared" si="1984"/>
        <v>2297.8882079999998</v>
      </c>
      <c r="P1253" s="5">
        <f t="shared" si="1984"/>
        <v>0</v>
      </c>
      <c r="Q1253" s="5">
        <f t="shared" si="1984"/>
        <v>0</v>
      </c>
      <c r="R1253" s="5">
        <f t="shared" si="1984"/>
        <v>0</v>
      </c>
      <c r="S1253" s="5">
        <f t="shared" si="1984"/>
        <v>0</v>
      </c>
      <c r="T1253" s="5">
        <f t="shared" si="1984"/>
        <v>0</v>
      </c>
      <c r="U1253" s="5">
        <f t="shared" si="1984"/>
        <v>0</v>
      </c>
      <c r="V1253" s="5">
        <f t="shared" si="1984"/>
        <v>21695.645807999997</v>
      </c>
      <c r="W1253" s="5">
        <f t="shared" si="1984"/>
        <v>0</v>
      </c>
      <c r="X1253" s="5">
        <f t="shared" si="1984"/>
        <v>0</v>
      </c>
      <c r="Y1253" s="5">
        <f t="shared" si="1984"/>
        <v>0</v>
      </c>
      <c r="Z1253" s="5">
        <f t="shared" si="1984"/>
        <v>0</v>
      </c>
      <c r="AA1253" s="5">
        <f t="shared" si="1984"/>
        <v>89.528111999999979</v>
      </c>
      <c r="AB1253" s="5">
        <f t="shared" si="1984"/>
        <v>0</v>
      </c>
      <c r="AC1253" s="56"/>
      <c r="AD1253" s="23"/>
    </row>
    <row r="1254" spans="1:30" s="14" customFormat="1">
      <c r="A1254" s="78" t="s">
        <v>598</v>
      </c>
      <c r="B1254" s="26">
        <v>0</v>
      </c>
      <c r="C1254" s="130">
        <f t="shared" si="1900"/>
        <v>0</v>
      </c>
      <c r="D1254" s="35"/>
      <c r="E1254" s="35">
        <v>6.4600000000000005E-2</v>
      </c>
      <c r="F1254" s="35">
        <v>8.7400000000000005E-2</v>
      </c>
      <c r="G1254" s="35"/>
      <c r="H1254" s="35">
        <v>0.19739999999999999</v>
      </c>
      <c r="I1254" s="35">
        <v>2.1600000000000001E-2</v>
      </c>
      <c r="J1254" s="35">
        <v>5.8999999999999999E-3</v>
      </c>
      <c r="K1254" s="35">
        <v>1.0200000000000001E-2</v>
      </c>
      <c r="L1254" s="35">
        <v>1E-4</v>
      </c>
      <c r="M1254" s="35"/>
      <c r="N1254" s="35">
        <v>0.39950000000000002</v>
      </c>
      <c r="O1254" s="35">
        <v>4.4999999999999997E-3</v>
      </c>
      <c r="P1254" s="35"/>
      <c r="Q1254" s="35"/>
      <c r="R1254" s="35"/>
      <c r="S1254" s="35"/>
      <c r="T1254" s="35"/>
      <c r="U1254" s="35"/>
      <c r="V1254" s="35">
        <v>0.20880000000000001</v>
      </c>
      <c r="W1254" s="35"/>
      <c r="X1254" s="35"/>
      <c r="Y1254" s="35"/>
      <c r="Z1254" s="4"/>
      <c r="AA1254" s="4"/>
      <c r="AB1254" s="4"/>
      <c r="AC1254" s="56"/>
      <c r="AD1254" s="23"/>
    </row>
    <row r="1255" spans="1:30" s="14" customFormat="1">
      <c r="A1255" s="79"/>
      <c r="B1255" s="54"/>
      <c r="C1255" s="128"/>
      <c r="D1255" s="5">
        <f>$C1254*D1254</f>
        <v>0</v>
      </c>
      <c r="E1255" s="5">
        <f t="shared" si="1981"/>
        <v>0</v>
      </c>
      <c r="F1255" s="5">
        <f t="shared" si="1981"/>
        <v>0</v>
      </c>
      <c r="G1255" s="5">
        <f t="shared" si="1981"/>
        <v>0</v>
      </c>
      <c r="H1255" s="5">
        <f t="shared" si="1981"/>
        <v>0</v>
      </c>
      <c r="I1255" s="5">
        <f t="shared" si="1981"/>
        <v>0</v>
      </c>
      <c r="J1255" s="5">
        <f t="shared" si="1981"/>
        <v>0</v>
      </c>
      <c r="K1255" s="5">
        <f t="shared" si="1981"/>
        <v>0</v>
      </c>
      <c r="L1255" s="5">
        <f t="shared" si="1981"/>
        <v>0</v>
      </c>
      <c r="M1255" s="5">
        <f t="shared" si="1981"/>
        <v>0</v>
      </c>
      <c r="N1255" s="5">
        <f t="shared" si="1981"/>
        <v>0</v>
      </c>
      <c r="O1255" s="5">
        <f t="shared" si="1981"/>
        <v>0</v>
      </c>
      <c r="P1255" s="5">
        <f t="shared" si="1981"/>
        <v>0</v>
      </c>
      <c r="Q1255" s="5">
        <f t="shared" si="1981"/>
        <v>0</v>
      </c>
      <c r="R1255" s="5">
        <f t="shared" si="1981"/>
        <v>0</v>
      </c>
      <c r="S1255" s="5">
        <f t="shared" si="1981"/>
        <v>0</v>
      </c>
      <c r="T1255" s="5">
        <f t="shared" si="1981"/>
        <v>0</v>
      </c>
      <c r="U1255" s="5">
        <f t="shared" ref="U1255:AB1255" si="1985">$C1254*U1254</f>
        <v>0</v>
      </c>
      <c r="V1255" s="5">
        <f t="shared" si="1985"/>
        <v>0</v>
      </c>
      <c r="W1255" s="5">
        <f t="shared" si="1985"/>
        <v>0</v>
      </c>
      <c r="X1255" s="5">
        <f t="shared" si="1985"/>
        <v>0</v>
      </c>
      <c r="Y1255" s="5">
        <f t="shared" si="1985"/>
        <v>0</v>
      </c>
      <c r="Z1255" s="5">
        <f t="shared" si="1985"/>
        <v>0</v>
      </c>
      <c r="AA1255" s="5">
        <f t="shared" si="1985"/>
        <v>0</v>
      </c>
      <c r="AB1255" s="5">
        <f t="shared" si="1985"/>
        <v>0</v>
      </c>
      <c r="AC1255" s="56"/>
      <c r="AD1255" s="23"/>
    </row>
    <row r="1256" spans="1:30" s="14" customFormat="1">
      <c r="A1256" s="45" t="s">
        <v>50</v>
      </c>
      <c r="B1256" s="30">
        <f>SUM(B1196:B1254)</f>
        <v>38610663.962049432</v>
      </c>
      <c r="C1256" s="46">
        <f>SUM(C1196:C1254)</f>
        <v>3217555.3399999994</v>
      </c>
      <c r="D1256" s="46">
        <f>D1197+D1199+D1201+D1203+D1205+D1207+D1209+D1211+D1213+D1215+D1217+D1219+D1221+D1223+D1225+D1227+D1229+D1231+D1233+D1235+D1237+D1239+D1241+D1243+D1245+D1247+D1249+D1251+D1253+D1255</f>
        <v>20333.609815000003</v>
      </c>
      <c r="E1256" s="46">
        <f>E1197+E1199+E1201+E1203+E1205+E1207+E1209+E1211+E1213+E1215+E1217+E1219+E1221+E1223+E1225+E1227+E1229+E1231+E1233+E1235+E1237+E1239+E1241+E1243+E1245+E1247+E1249+E1251+E1253+E1255</f>
        <v>42690.466941999999</v>
      </c>
      <c r="F1256" s="46">
        <f t="shared" ref="F1256:AB1256" si="1986">F1197+F1199+F1201+F1203+F1205+F1207+F1209+F1211+F1213+F1215+F1217+F1219+F1221+F1223+F1225+F1227+F1229+F1231+F1233+F1235+F1237+F1239+F1241+F1243+F1245+F1247+F1249+F1251+F1253+F1255</f>
        <v>694412.84521900024</v>
      </c>
      <c r="G1256" s="46">
        <f t="shared" si="1986"/>
        <v>4291.6174879999999</v>
      </c>
      <c r="H1256" s="46">
        <f t="shared" si="1986"/>
        <v>33837.880514000004</v>
      </c>
      <c r="I1256" s="46">
        <f t="shared" si="1986"/>
        <v>6086.3021239999998</v>
      </c>
      <c r="J1256" s="46">
        <f t="shared" si="1986"/>
        <v>5158.6738089999999</v>
      </c>
      <c r="K1256" s="46">
        <f t="shared" si="1986"/>
        <v>4052.759818</v>
      </c>
      <c r="L1256" s="46">
        <f t="shared" si="1986"/>
        <v>3556.9057389999998</v>
      </c>
      <c r="M1256" s="46">
        <f t="shared" si="1986"/>
        <v>27080.316263999997</v>
      </c>
      <c r="N1256" s="46">
        <f t="shared" si="1986"/>
        <v>138325.69009299998</v>
      </c>
      <c r="O1256" s="46">
        <f t="shared" si="1986"/>
        <v>3994.8747949999997</v>
      </c>
      <c r="P1256" s="46">
        <f t="shared" si="1986"/>
        <v>9197.998896000001</v>
      </c>
      <c r="Q1256" s="46">
        <f t="shared" si="1986"/>
        <v>232478.50967</v>
      </c>
      <c r="R1256" s="46">
        <f t="shared" si="1986"/>
        <v>2118350.5217929999</v>
      </c>
      <c r="S1256" s="46">
        <f t="shared" si="1986"/>
        <v>22171.024222</v>
      </c>
      <c r="T1256" s="46">
        <f t="shared" si="1986"/>
        <v>56517.801771999992</v>
      </c>
      <c r="U1256" s="46">
        <f t="shared" si="1986"/>
        <v>-723144.00408099999</v>
      </c>
      <c r="V1256" s="46">
        <f t="shared" si="1986"/>
        <v>45314.186883000002</v>
      </c>
      <c r="W1256" s="46">
        <f t="shared" si="1986"/>
        <v>102567.62920600001</v>
      </c>
      <c r="X1256" s="46">
        <f t="shared" si="1986"/>
        <v>346473.10912000004</v>
      </c>
      <c r="Y1256" s="46">
        <f t="shared" si="1986"/>
        <v>12835.049644000001</v>
      </c>
      <c r="Z1256" s="46">
        <f t="shared" si="1986"/>
        <v>10851.875167000002</v>
      </c>
      <c r="AA1256" s="46">
        <f t="shared" si="1986"/>
        <v>119.69508799999997</v>
      </c>
      <c r="AB1256" s="46">
        <f t="shared" si="1986"/>
        <v>0</v>
      </c>
      <c r="AC1256" s="56"/>
      <c r="AD1256" s="23"/>
    </row>
    <row r="1257" spans="1:30" s="14" customFormat="1">
      <c r="A1257" s="13"/>
      <c r="B1257" s="6"/>
      <c r="C1257" s="138"/>
      <c r="D1257" s="27"/>
      <c r="E1257" s="27"/>
      <c r="F1257" s="27"/>
      <c r="G1257" s="27"/>
      <c r="H1257" s="27"/>
      <c r="I1257" s="27"/>
      <c r="J1257" s="27"/>
      <c r="K1257" s="27"/>
      <c r="L1257" s="27"/>
      <c r="M1257" s="27"/>
      <c r="N1257" s="27"/>
      <c r="O1257" s="27"/>
      <c r="P1257" s="27"/>
      <c r="Q1257" s="27"/>
      <c r="R1257" s="27"/>
      <c r="S1257" s="27"/>
      <c r="T1257" s="27"/>
      <c r="U1257" s="27"/>
      <c r="V1257" s="27"/>
      <c r="W1257" s="27"/>
      <c r="X1257" s="27"/>
      <c r="Y1257" s="27"/>
      <c r="Z1257" s="27"/>
      <c r="AA1257" s="27"/>
      <c r="AB1257" s="27"/>
      <c r="AC1257" s="56"/>
      <c r="AD1257" s="23"/>
    </row>
    <row r="1258" spans="1:30" s="14" customFormat="1">
      <c r="A1258" s="13"/>
      <c r="B1258" s="6"/>
      <c r="C1258" s="138"/>
      <c r="D1258" s="27"/>
      <c r="E1258" s="27"/>
      <c r="F1258" s="27"/>
      <c r="G1258" s="27"/>
      <c r="H1258" s="27"/>
      <c r="I1258" s="27"/>
      <c r="J1258" s="27"/>
      <c r="K1258" s="27"/>
      <c r="L1258" s="27"/>
      <c r="M1258" s="27"/>
      <c r="N1258" s="27"/>
      <c r="O1258" s="27"/>
      <c r="P1258" s="27"/>
      <c r="Q1258" s="27"/>
      <c r="R1258" s="27"/>
      <c r="S1258" s="27"/>
      <c r="T1258" s="27"/>
      <c r="U1258" s="27"/>
      <c r="V1258" s="27"/>
      <c r="W1258" s="27"/>
      <c r="X1258" s="27"/>
      <c r="Y1258" s="27"/>
      <c r="Z1258" s="27"/>
      <c r="AA1258" s="27"/>
      <c r="AB1258" s="27"/>
      <c r="AC1258" s="56"/>
      <c r="AD1258" s="23"/>
    </row>
    <row r="1259" spans="1:30" s="14" customFormat="1" ht="13.8" thickBot="1">
      <c r="A1259" s="66" t="s">
        <v>337</v>
      </c>
      <c r="B1259" s="65"/>
      <c r="C1259" s="152"/>
      <c r="D1259" s="65"/>
      <c r="E1259" s="65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56"/>
      <c r="AD1259" s="23"/>
    </row>
    <row r="1260" spans="1:30" s="14" customFormat="1" ht="13.8" thickBot="1">
      <c r="A1260" s="93" t="s">
        <v>1</v>
      </c>
      <c r="B1260" s="94" t="s">
        <v>2</v>
      </c>
      <c r="C1260" s="125" t="s">
        <v>3</v>
      </c>
      <c r="D1260" s="211" t="s">
        <v>4</v>
      </c>
      <c r="E1260" s="212"/>
      <c r="F1260" s="212"/>
      <c r="G1260" s="212"/>
      <c r="H1260" s="212"/>
      <c r="I1260" s="212"/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103"/>
      <c r="AA1260" s="103"/>
      <c r="AB1260" s="103"/>
      <c r="AC1260" s="56"/>
      <c r="AD1260" s="23"/>
    </row>
    <row r="1261" spans="1:30" s="14" customFormat="1">
      <c r="A1261" s="95" t="s">
        <v>5</v>
      </c>
      <c r="B1261" s="96" t="s">
        <v>6</v>
      </c>
      <c r="C1261" s="126" t="s">
        <v>6</v>
      </c>
      <c r="D1261" s="97"/>
      <c r="E1261" s="98"/>
      <c r="F1261" s="98"/>
      <c r="G1261" s="98"/>
      <c r="H1261" s="98"/>
      <c r="I1261" s="98"/>
      <c r="J1261" s="98"/>
      <c r="K1261" s="98"/>
      <c r="L1261" s="98"/>
      <c r="M1261" s="98"/>
      <c r="N1261" s="98"/>
      <c r="O1261" s="98"/>
      <c r="P1261" s="98"/>
      <c r="Q1261" s="98"/>
      <c r="R1261" s="98"/>
      <c r="S1261" s="98"/>
      <c r="T1261" s="98"/>
      <c r="U1261" s="98"/>
      <c r="V1261" s="98"/>
      <c r="W1261" s="98"/>
      <c r="X1261" s="98"/>
      <c r="Y1261" s="99"/>
      <c r="Z1261" s="96" t="s">
        <v>7</v>
      </c>
      <c r="AA1261" s="96"/>
      <c r="AB1261" s="96"/>
      <c r="AC1261" s="56"/>
      <c r="AD1261" s="23"/>
    </row>
    <row r="1262" spans="1:30" s="14" customFormat="1">
      <c r="A1262" s="95" t="s">
        <v>8</v>
      </c>
      <c r="B1262" s="96" t="s">
        <v>9</v>
      </c>
      <c r="C1262" s="126" t="s">
        <v>9</v>
      </c>
      <c r="D1262" s="100" t="s">
        <v>10</v>
      </c>
      <c r="E1262" s="96" t="s">
        <v>11</v>
      </c>
      <c r="F1262" s="96" t="s">
        <v>12</v>
      </c>
      <c r="G1262" s="96" t="s">
        <v>13</v>
      </c>
      <c r="H1262" s="96" t="s">
        <v>14</v>
      </c>
      <c r="I1262" s="96" t="s">
        <v>15</v>
      </c>
      <c r="J1262" s="96" t="s">
        <v>16</v>
      </c>
      <c r="K1262" s="96" t="s">
        <v>17</v>
      </c>
      <c r="L1262" s="96" t="s">
        <v>18</v>
      </c>
      <c r="M1262" s="96" t="s">
        <v>19</v>
      </c>
      <c r="N1262" s="96" t="s">
        <v>20</v>
      </c>
      <c r="O1262" s="96" t="s">
        <v>169</v>
      </c>
      <c r="P1262" s="96" t="s">
        <v>21</v>
      </c>
      <c r="Q1262" s="96" t="s">
        <v>22</v>
      </c>
      <c r="R1262" s="96" t="s">
        <v>23</v>
      </c>
      <c r="S1262" s="96" t="s">
        <v>24</v>
      </c>
      <c r="T1262" s="96" t="s">
        <v>25</v>
      </c>
      <c r="U1262" s="96" t="s">
        <v>26</v>
      </c>
      <c r="V1262" s="96" t="s">
        <v>27</v>
      </c>
      <c r="W1262" s="96" t="s">
        <v>28</v>
      </c>
      <c r="X1262" s="96" t="s">
        <v>29</v>
      </c>
      <c r="Y1262" s="96" t="s">
        <v>30</v>
      </c>
      <c r="Z1262" s="96" t="s">
        <v>31</v>
      </c>
      <c r="AA1262" s="96" t="s">
        <v>484</v>
      </c>
      <c r="AB1262" s="96" t="s">
        <v>467</v>
      </c>
      <c r="AC1262" s="56"/>
      <c r="AD1262" s="23"/>
    </row>
    <row r="1263" spans="1:30" s="14" customFormat="1">
      <c r="A1263" s="95"/>
      <c r="B1263" s="96"/>
      <c r="C1263" s="126" t="s">
        <v>746</v>
      </c>
      <c r="D1263" s="97"/>
      <c r="E1263" s="98"/>
      <c r="F1263" s="98"/>
      <c r="G1263" s="98"/>
      <c r="H1263" s="98"/>
      <c r="I1263" s="98"/>
      <c r="J1263" s="98"/>
      <c r="K1263" s="98"/>
      <c r="L1263" s="98"/>
      <c r="M1263" s="98"/>
      <c r="N1263" s="98"/>
      <c r="O1263" s="98"/>
      <c r="P1263" s="98"/>
      <c r="Q1263" s="98"/>
      <c r="R1263" s="98"/>
      <c r="S1263" s="98"/>
      <c r="T1263" s="98"/>
      <c r="U1263" s="98"/>
      <c r="V1263" s="98"/>
      <c r="W1263" s="98"/>
      <c r="X1263" s="98"/>
      <c r="Y1263" s="98"/>
      <c r="Z1263" s="98"/>
      <c r="AA1263" s="98"/>
      <c r="AB1263" s="98"/>
      <c r="AC1263" s="56"/>
      <c r="AD1263" s="23"/>
    </row>
    <row r="1264" spans="1:30" s="14" customFormat="1">
      <c r="A1264" s="78" t="s">
        <v>338</v>
      </c>
      <c r="B1264" s="26">
        <f xml:space="preserve"> 4240122/2</f>
        <v>2120061</v>
      </c>
      <c r="C1264" s="130">
        <f>ROUND(B1264/12,2)</f>
        <v>176671.75</v>
      </c>
      <c r="D1264" s="35">
        <v>1.6299999999999999E-2</v>
      </c>
      <c r="E1264" s="35">
        <v>0.14269999999999999</v>
      </c>
      <c r="F1264" s="35">
        <v>5.8900000000000001E-2</v>
      </c>
      <c r="G1264" s="35">
        <v>7.6200000000000004E-2</v>
      </c>
      <c r="H1264" s="35">
        <v>3.9600000000000003E-2</v>
      </c>
      <c r="I1264" s="35">
        <v>0.12470000000000001</v>
      </c>
      <c r="J1264" s="35">
        <v>2.0400000000000001E-2</v>
      </c>
      <c r="K1264" s="35">
        <v>3.1199999999999999E-2</v>
      </c>
      <c r="L1264" s="35">
        <v>1.6199999999999999E-2</v>
      </c>
      <c r="M1264" s="35">
        <v>2.53E-2</v>
      </c>
      <c r="N1264" s="35">
        <v>0.14849999999999999</v>
      </c>
      <c r="O1264" s="35">
        <v>2.2599999999999999E-2</v>
      </c>
      <c r="P1264" s="35">
        <v>0</v>
      </c>
      <c r="Q1264" s="35">
        <v>3.78E-2</v>
      </c>
      <c r="R1264" s="35">
        <v>1.8100000000000002E-2</v>
      </c>
      <c r="S1264" s="35">
        <v>4.1000000000000003E-3</v>
      </c>
      <c r="T1264" s="35">
        <v>5.04E-2</v>
      </c>
      <c r="U1264" s="35">
        <v>1.7500000000000002E-2</v>
      </c>
      <c r="V1264" s="35">
        <v>3.6200000000000003E-2</v>
      </c>
      <c r="W1264" s="35">
        <v>4.8500000000000001E-2</v>
      </c>
      <c r="X1264" s="35">
        <v>6.1600000000000002E-2</v>
      </c>
      <c r="Y1264" s="35">
        <v>2.5000000000000001E-3</v>
      </c>
      <c r="Z1264" s="4">
        <v>0</v>
      </c>
      <c r="AA1264" s="4">
        <v>6.9999999999999999E-4</v>
      </c>
      <c r="AB1264" s="4">
        <v>0</v>
      </c>
      <c r="AC1264" s="56"/>
      <c r="AD1264" s="23"/>
    </row>
    <row r="1265" spans="1:30" s="14" customFormat="1">
      <c r="A1265" s="79"/>
      <c r="B1265" s="27"/>
      <c r="C1265" s="130"/>
      <c r="D1265" s="5">
        <f>$C1264*D1264</f>
        <v>2879.7495249999997</v>
      </c>
      <c r="E1265" s="5">
        <f t="shared" ref="E1265" si="1987">$C1264*E1264</f>
        <v>25211.058724999999</v>
      </c>
      <c r="F1265" s="5">
        <f t="shared" ref="F1265" si="1988">$C1264*F1264</f>
        <v>10405.966075</v>
      </c>
      <c r="G1265" s="5">
        <f t="shared" ref="G1265:AB1265" si="1989">$C1264*G1264</f>
        <v>13462.387350000001</v>
      </c>
      <c r="H1265" s="5">
        <f t="shared" si="1989"/>
        <v>6996.2013000000006</v>
      </c>
      <c r="I1265" s="5">
        <f t="shared" si="1989"/>
        <v>22030.967225</v>
      </c>
      <c r="J1265" s="5">
        <f t="shared" si="1989"/>
        <v>3604.1037000000001</v>
      </c>
      <c r="K1265" s="5">
        <f t="shared" si="1989"/>
        <v>5512.1585999999998</v>
      </c>
      <c r="L1265" s="5">
        <f t="shared" si="1989"/>
        <v>2862.0823499999997</v>
      </c>
      <c r="M1265" s="5">
        <f t="shared" si="1989"/>
        <v>4469.7952749999995</v>
      </c>
      <c r="N1265" s="5">
        <f t="shared" si="1989"/>
        <v>26235.754874999999</v>
      </c>
      <c r="O1265" s="5">
        <f t="shared" si="1989"/>
        <v>3992.7815499999997</v>
      </c>
      <c r="P1265" s="5">
        <f t="shared" si="1989"/>
        <v>0</v>
      </c>
      <c r="Q1265" s="5">
        <f t="shared" si="1989"/>
        <v>6678.1921499999999</v>
      </c>
      <c r="R1265" s="5">
        <f t="shared" si="1989"/>
        <v>3197.758675</v>
      </c>
      <c r="S1265" s="5">
        <f t="shared" si="1989"/>
        <v>724.35417500000005</v>
      </c>
      <c r="T1265" s="5">
        <f t="shared" si="1989"/>
        <v>8904.2561999999998</v>
      </c>
      <c r="U1265" s="5">
        <f t="shared" si="1989"/>
        <v>3091.7556250000002</v>
      </c>
      <c r="V1265" s="5">
        <f t="shared" si="1989"/>
        <v>6395.5173500000001</v>
      </c>
      <c r="W1265" s="5">
        <f t="shared" si="1989"/>
        <v>8568.5798749999994</v>
      </c>
      <c r="X1265" s="5">
        <f t="shared" si="1989"/>
        <v>10882.979800000001</v>
      </c>
      <c r="Y1265" s="5">
        <f t="shared" si="1989"/>
        <v>441.67937499999999</v>
      </c>
      <c r="Z1265" s="5">
        <f t="shared" si="1989"/>
        <v>0</v>
      </c>
      <c r="AA1265" s="5">
        <f t="shared" si="1989"/>
        <v>123.670225</v>
      </c>
      <c r="AB1265" s="5">
        <f t="shared" si="1989"/>
        <v>0</v>
      </c>
      <c r="AC1265" s="56"/>
      <c r="AD1265" s="23"/>
    </row>
    <row r="1266" spans="1:30" s="14" customFormat="1">
      <c r="A1266" s="78" t="s">
        <v>455</v>
      </c>
      <c r="B1266" s="26">
        <f xml:space="preserve"> 4240122/2</f>
        <v>2120061</v>
      </c>
      <c r="C1266" s="130">
        <f t="shared" ref="C1266:C1324" si="1990">ROUND(B1266/12,2)</f>
        <v>176671.75</v>
      </c>
      <c r="D1266" s="4">
        <v>9.0899999999999995E-2</v>
      </c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>
        <v>0.90910000000000002</v>
      </c>
      <c r="U1266" s="4"/>
      <c r="V1266" s="4"/>
      <c r="W1266" s="4"/>
      <c r="X1266" s="4"/>
      <c r="Y1266" s="4"/>
      <c r="Z1266" s="4"/>
      <c r="AA1266" s="4"/>
      <c r="AB1266" s="4"/>
      <c r="AC1266" s="56"/>
      <c r="AD1266" s="23"/>
    </row>
    <row r="1267" spans="1:30" s="14" customFormat="1">
      <c r="A1267" s="79"/>
      <c r="B1267" s="170"/>
      <c r="C1267" s="130"/>
      <c r="D1267" s="5">
        <f t="shared" ref="D1267" si="1991">$C1266*D1266</f>
        <v>16059.462074999999</v>
      </c>
      <c r="E1267" s="5">
        <f t="shared" ref="E1267" si="1992">$C1266*E1266</f>
        <v>0</v>
      </c>
      <c r="F1267" s="5">
        <f t="shared" ref="F1267:O1267" si="1993">$C1266*F1266</f>
        <v>0</v>
      </c>
      <c r="G1267" s="5">
        <f t="shared" si="1993"/>
        <v>0</v>
      </c>
      <c r="H1267" s="5">
        <f t="shared" si="1993"/>
        <v>0</v>
      </c>
      <c r="I1267" s="5">
        <f t="shared" si="1993"/>
        <v>0</v>
      </c>
      <c r="J1267" s="5">
        <f t="shared" si="1993"/>
        <v>0</v>
      </c>
      <c r="K1267" s="5">
        <f t="shared" si="1993"/>
        <v>0</v>
      </c>
      <c r="L1267" s="5">
        <f t="shared" si="1993"/>
        <v>0</v>
      </c>
      <c r="M1267" s="5">
        <f t="shared" si="1993"/>
        <v>0</v>
      </c>
      <c r="N1267" s="5">
        <f t="shared" si="1993"/>
        <v>0</v>
      </c>
      <c r="O1267" s="5">
        <f t="shared" si="1993"/>
        <v>0</v>
      </c>
      <c r="P1267" s="5">
        <f t="shared" ref="P1267" si="1994">$C1266*P1266</f>
        <v>0</v>
      </c>
      <c r="Q1267" s="5">
        <f t="shared" ref="Q1267" si="1995">$C1266*Q1266</f>
        <v>0</v>
      </c>
      <c r="R1267" s="5">
        <f t="shared" ref="R1267:AB1267" si="1996">$C1266*R1266</f>
        <v>0</v>
      </c>
      <c r="S1267" s="5">
        <f t="shared" si="1996"/>
        <v>0</v>
      </c>
      <c r="T1267" s="5">
        <f t="shared" si="1996"/>
        <v>160612.28792500001</v>
      </c>
      <c r="U1267" s="5">
        <f t="shared" si="1996"/>
        <v>0</v>
      </c>
      <c r="V1267" s="5">
        <f t="shared" si="1996"/>
        <v>0</v>
      </c>
      <c r="W1267" s="5">
        <f t="shared" si="1996"/>
        <v>0</v>
      </c>
      <c r="X1267" s="5">
        <f t="shared" si="1996"/>
        <v>0</v>
      </c>
      <c r="Y1267" s="5">
        <f t="shared" si="1996"/>
        <v>0</v>
      </c>
      <c r="Z1267" s="5">
        <f t="shared" si="1996"/>
        <v>0</v>
      </c>
      <c r="AA1267" s="5">
        <f t="shared" si="1996"/>
        <v>0</v>
      </c>
      <c r="AB1267" s="5">
        <f t="shared" si="1996"/>
        <v>0</v>
      </c>
      <c r="AC1267" s="56"/>
      <c r="AD1267" s="23"/>
    </row>
    <row r="1268" spans="1:30" s="14" customFormat="1">
      <c r="A1268" s="136" t="s">
        <v>339</v>
      </c>
      <c r="B1268" s="26">
        <v>1941973</v>
      </c>
      <c r="C1268" s="130">
        <f t="shared" si="1990"/>
        <v>161831.07999999999</v>
      </c>
      <c r="D1268" s="7">
        <v>8.2500000000000004E-2</v>
      </c>
      <c r="E1268" s="34"/>
      <c r="F1268" s="4"/>
      <c r="G1268" s="4"/>
      <c r="H1268" s="7"/>
      <c r="I1268" s="7"/>
      <c r="J1268" s="7"/>
      <c r="K1268" s="7"/>
      <c r="L1268" s="4"/>
      <c r="M1268" s="7">
        <v>9.5600000000000004E-2</v>
      </c>
      <c r="N1268" s="7"/>
      <c r="O1268" s="7"/>
      <c r="P1268" s="7"/>
      <c r="Q1268" s="7"/>
      <c r="R1268" s="7"/>
      <c r="S1268" s="7"/>
      <c r="T1268" s="7">
        <v>0.82189999999999996</v>
      </c>
      <c r="U1268" s="7"/>
      <c r="V1268" s="7"/>
      <c r="W1268" s="7"/>
      <c r="X1268" s="7"/>
      <c r="Y1268" s="7"/>
      <c r="Z1268" s="7"/>
      <c r="AA1268" s="7"/>
      <c r="AB1268" s="7"/>
      <c r="AC1268" s="56"/>
      <c r="AD1268" s="23"/>
    </row>
    <row r="1269" spans="1:30" s="14" customFormat="1">
      <c r="A1269" s="47"/>
      <c r="B1269" s="21"/>
      <c r="C1269" s="130"/>
      <c r="D1269" s="27">
        <f>$C1268*D1268</f>
        <v>13351.0641</v>
      </c>
      <c r="E1269" s="27">
        <f t="shared" ref="E1269" si="1997">$C1268*E1268</f>
        <v>0</v>
      </c>
      <c r="F1269" s="27">
        <f t="shared" ref="F1269" si="1998">$C1268*F1268</f>
        <v>0</v>
      </c>
      <c r="G1269" s="27">
        <f t="shared" ref="G1269:AB1269" si="1999">$C1268*G1268</f>
        <v>0</v>
      </c>
      <c r="H1269" s="27">
        <f t="shared" si="1999"/>
        <v>0</v>
      </c>
      <c r="I1269" s="27">
        <f t="shared" si="1999"/>
        <v>0</v>
      </c>
      <c r="J1269" s="27">
        <f t="shared" si="1999"/>
        <v>0</v>
      </c>
      <c r="K1269" s="27">
        <f t="shared" si="1999"/>
        <v>0</v>
      </c>
      <c r="L1269" s="27">
        <f t="shared" si="1999"/>
        <v>0</v>
      </c>
      <c r="M1269" s="27">
        <f t="shared" si="1999"/>
        <v>15471.051248</v>
      </c>
      <c r="N1269" s="27">
        <f t="shared" si="1999"/>
        <v>0</v>
      </c>
      <c r="O1269" s="27">
        <f t="shared" si="1999"/>
        <v>0</v>
      </c>
      <c r="P1269" s="27">
        <f t="shared" si="1999"/>
        <v>0</v>
      </c>
      <c r="Q1269" s="27">
        <f t="shared" si="1999"/>
        <v>0</v>
      </c>
      <c r="R1269" s="27">
        <f t="shared" si="1999"/>
        <v>0</v>
      </c>
      <c r="S1269" s="27">
        <f t="shared" si="1999"/>
        <v>0</v>
      </c>
      <c r="T1269" s="27">
        <f t="shared" si="1999"/>
        <v>133008.964652</v>
      </c>
      <c r="U1269" s="27">
        <f t="shared" si="1999"/>
        <v>0</v>
      </c>
      <c r="V1269" s="27">
        <f t="shared" si="1999"/>
        <v>0</v>
      </c>
      <c r="W1269" s="27">
        <f t="shared" si="1999"/>
        <v>0</v>
      </c>
      <c r="X1269" s="27">
        <f t="shared" si="1999"/>
        <v>0</v>
      </c>
      <c r="Y1269" s="27">
        <f t="shared" si="1999"/>
        <v>0</v>
      </c>
      <c r="Z1269" s="27">
        <f t="shared" si="1999"/>
        <v>0</v>
      </c>
      <c r="AA1269" s="27">
        <f t="shared" si="1999"/>
        <v>0</v>
      </c>
      <c r="AB1269" s="27">
        <f t="shared" si="1999"/>
        <v>0</v>
      </c>
      <c r="AC1269" s="56"/>
      <c r="AD1269" s="23"/>
    </row>
    <row r="1270" spans="1:30" s="14" customFormat="1">
      <c r="A1270" s="136" t="s">
        <v>340</v>
      </c>
      <c r="B1270" s="26">
        <v>521950</v>
      </c>
      <c r="C1270" s="130">
        <f>ROUND(B1270/12,2)</f>
        <v>43495.83</v>
      </c>
      <c r="D1270" s="120"/>
      <c r="E1270" s="34"/>
      <c r="F1270" s="37"/>
      <c r="G1270" s="37"/>
      <c r="H1270" s="120">
        <v>4.5400000000000003E-2</v>
      </c>
      <c r="I1270" s="120"/>
      <c r="J1270" s="120"/>
      <c r="K1270" s="120"/>
      <c r="L1270" s="37">
        <v>2.7000000000000001E-3</v>
      </c>
      <c r="M1270" s="120"/>
      <c r="N1270" s="120"/>
      <c r="O1270" s="120"/>
      <c r="P1270" s="120">
        <v>2.9999999999999997E-4</v>
      </c>
      <c r="Q1270" s="120"/>
      <c r="R1270" s="120">
        <v>1.04E-2</v>
      </c>
      <c r="S1270" s="120"/>
      <c r="T1270" s="120">
        <v>0.88080000000000003</v>
      </c>
      <c r="U1270" s="120"/>
      <c r="V1270" s="120">
        <v>2.7900000000000001E-2</v>
      </c>
      <c r="W1270" s="120">
        <v>3.2500000000000001E-2</v>
      </c>
      <c r="X1270" s="120"/>
      <c r="Y1270" s="120"/>
      <c r="Z1270" s="120"/>
      <c r="AA1270" s="120"/>
      <c r="AB1270" s="120"/>
      <c r="AC1270" s="56"/>
      <c r="AD1270" s="23"/>
    </row>
    <row r="1271" spans="1:30" s="14" customFormat="1">
      <c r="A1271" s="47"/>
      <c r="B1271" s="21"/>
      <c r="C1271" s="130"/>
      <c r="D1271" s="27">
        <f>$C1270*D1270</f>
        <v>0</v>
      </c>
      <c r="E1271" s="27">
        <f t="shared" ref="E1271" si="2000">$C1270*E1270</f>
        <v>0</v>
      </c>
      <c r="F1271" s="27">
        <f t="shared" ref="F1271" si="2001">$C1270*F1270</f>
        <v>0</v>
      </c>
      <c r="G1271" s="27">
        <f t="shared" ref="G1271:AB1271" si="2002">$C1270*G1270</f>
        <v>0</v>
      </c>
      <c r="H1271" s="27">
        <f t="shared" si="2002"/>
        <v>1974.7106820000001</v>
      </c>
      <c r="I1271" s="27">
        <f t="shared" si="2002"/>
        <v>0</v>
      </c>
      <c r="J1271" s="27">
        <f t="shared" si="2002"/>
        <v>0</v>
      </c>
      <c r="K1271" s="27">
        <f t="shared" si="2002"/>
        <v>0</v>
      </c>
      <c r="L1271" s="27">
        <f t="shared" si="2002"/>
        <v>117.43874100000001</v>
      </c>
      <c r="M1271" s="27">
        <f t="shared" si="2002"/>
        <v>0</v>
      </c>
      <c r="N1271" s="27">
        <f t="shared" si="2002"/>
        <v>0</v>
      </c>
      <c r="O1271" s="27">
        <f t="shared" si="2002"/>
        <v>0</v>
      </c>
      <c r="P1271" s="27">
        <f t="shared" si="2002"/>
        <v>13.048748999999999</v>
      </c>
      <c r="Q1271" s="27">
        <f t="shared" si="2002"/>
        <v>0</v>
      </c>
      <c r="R1271" s="27">
        <f t="shared" si="2002"/>
        <v>452.35663199999999</v>
      </c>
      <c r="S1271" s="27">
        <f t="shared" si="2002"/>
        <v>0</v>
      </c>
      <c r="T1271" s="27">
        <f t="shared" si="2002"/>
        <v>38311.127064</v>
      </c>
      <c r="U1271" s="27">
        <f t="shared" si="2002"/>
        <v>0</v>
      </c>
      <c r="V1271" s="27">
        <f t="shared" si="2002"/>
        <v>1213.5336570000002</v>
      </c>
      <c r="W1271" s="27">
        <f t="shared" si="2002"/>
        <v>1413.6144750000001</v>
      </c>
      <c r="X1271" s="27">
        <f t="shared" si="2002"/>
        <v>0</v>
      </c>
      <c r="Y1271" s="27">
        <f t="shared" si="2002"/>
        <v>0</v>
      </c>
      <c r="Z1271" s="27">
        <f t="shared" si="2002"/>
        <v>0</v>
      </c>
      <c r="AA1271" s="27">
        <f t="shared" si="2002"/>
        <v>0</v>
      </c>
      <c r="AB1271" s="27">
        <f t="shared" si="2002"/>
        <v>0</v>
      </c>
      <c r="AC1271" s="56"/>
      <c r="AD1271" s="23"/>
    </row>
    <row r="1272" spans="1:30" s="14" customFormat="1">
      <c r="A1272" s="78" t="s">
        <v>341</v>
      </c>
      <c r="B1272" s="26">
        <f>392953/2</f>
        <v>196476.5</v>
      </c>
      <c r="C1272" s="130">
        <f t="shared" si="1990"/>
        <v>16373.04</v>
      </c>
      <c r="D1272" s="35">
        <v>1.6299999999999999E-2</v>
      </c>
      <c r="E1272" s="35">
        <v>0.14269999999999999</v>
      </c>
      <c r="F1272" s="35">
        <v>5.8900000000000001E-2</v>
      </c>
      <c r="G1272" s="35">
        <v>7.6200000000000004E-2</v>
      </c>
      <c r="H1272" s="35">
        <v>3.9600000000000003E-2</v>
      </c>
      <c r="I1272" s="35">
        <v>0.12470000000000001</v>
      </c>
      <c r="J1272" s="35">
        <v>2.0400000000000001E-2</v>
      </c>
      <c r="K1272" s="35">
        <v>3.1199999999999999E-2</v>
      </c>
      <c r="L1272" s="35">
        <v>1.6199999999999999E-2</v>
      </c>
      <c r="M1272" s="35">
        <v>2.53E-2</v>
      </c>
      <c r="N1272" s="35">
        <v>0.14849999999999999</v>
      </c>
      <c r="O1272" s="35">
        <v>2.2599999999999999E-2</v>
      </c>
      <c r="P1272" s="35">
        <v>0</v>
      </c>
      <c r="Q1272" s="35">
        <v>3.78E-2</v>
      </c>
      <c r="R1272" s="35">
        <v>1.8100000000000002E-2</v>
      </c>
      <c r="S1272" s="35">
        <v>4.1000000000000003E-3</v>
      </c>
      <c r="T1272" s="35">
        <v>5.04E-2</v>
      </c>
      <c r="U1272" s="35">
        <v>1.7500000000000002E-2</v>
      </c>
      <c r="V1272" s="35">
        <v>3.6200000000000003E-2</v>
      </c>
      <c r="W1272" s="35">
        <v>4.8500000000000001E-2</v>
      </c>
      <c r="X1272" s="35">
        <v>6.1600000000000002E-2</v>
      </c>
      <c r="Y1272" s="35">
        <v>2.5000000000000001E-3</v>
      </c>
      <c r="Z1272" s="4">
        <v>0</v>
      </c>
      <c r="AA1272" s="4">
        <v>6.9999999999999999E-4</v>
      </c>
      <c r="AB1272" s="4">
        <v>0</v>
      </c>
      <c r="AC1272" s="56"/>
      <c r="AD1272" s="23"/>
    </row>
    <row r="1273" spans="1:30" s="14" customFormat="1">
      <c r="A1273" s="79"/>
      <c r="B1273" s="27"/>
      <c r="C1273" s="130"/>
      <c r="D1273" s="5">
        <f>$C1272*D1272</f>
        <v>266.88055199999997</v>
      </c>
      <c r="E1273" s="5">
        <f t="shared" ref="E1273" si="2003">$C1272*E1272</f>
        <v>2336.432808</v>
      </c>
      <c r="F1273" s="5">
        <f t="shared" ref="F1273" si="2004">$C1272*F1272</f>
        <v>964.37205600000004</v>
      </c>
      <c r="G1273" s="5">
        <f t="shared" ref="G1273:AB1273" si="2005">$C1272*G1272</f>
        <v>1247.6256480000002</v>
      </c>
      <c r="H1273" s="5">
        <f t="shared" si="2005"/>
        <v>648.37238400000012</v>
      </c>
      <c r="I1273" s="5">
        <f t="shared" si="2005"/>
        <v>2041.7180880000003</v>
      </c>
      <c r="J1273" s="5">
        <f t="shared" si="2005"/>
        <v>334.01001600000006</v>
      </c>
      <c r="K1273" s="5">
        <f t="shared" si="2005"/>
        <v>510.83884799999998</v>
      </c>
      <c r="L1273" s="5">
        <f t="shared" si="2005"/>
        <v>265.24324799999999</v>
      </c>
      <c r="M1273" s="5">
        <f t="shared" si="2005"/>
        <v>414.23791199999999</v>
      </c>
      <c r="N1273" s="5">
        <f t="shared" si="2005"/>
        <v>2431.39644</v>
      </c>
      <c r="O1273" s="5">
        <f t="shared" si="2005"/>
        <v>370.03070400000001</v>
      </c>
      <c r="P1273" s="5">
        <f t="shared" si="2005"/>
        <v>0</v>
      </c>
      <c r="Q1273" s="5">
        <f t="shared" si="2005"/>
        <v>618.90091200000006</v>
      </c>
      <c r="R1273" s="5">
        <f t="shared" si="2005"/>
        <v>296.35202400000003</v>
      </c>
      <c r="S1273" s="5">
        <f t="shared" si="2005"/>
        <v>67.129464000000013</v>
      </c>
      <c r="T1273" s="5">
        <f t="shared" si="2005"/>
        <v>825.20121600000004</v>
      </c>
      <c r="U1273" s="5">
        <f t="shared" si="2005"/>
        <v>286.52820000000003</v>
      </c>
      <c r="V1273" s="5">
        <f t="shared" si="2005"/>
        <v>592.70404800000006</v>
      </c>
      <c r="W1273" s="5">
        <f t="shared" si="2005"/>
        <v>794.09244000000001</v>
      </c>
      <c r="X1273" s="5">
        <f t="shared" si="2005"/>
        <v>1008.5792640000001</v>
      </c>
      <c r="Y1273" s="5">
        <f t="shared" si="2005"/>
        <v>40.932600000000001</v>
      </c>
      <c r="Z1273" s="5">
        <f t="shared" si="2005"/>
        <v>0</v>
      </c>
      <c r="AA1273" s="5">
        <f t="shared" si="2005"/>
        <v>11.461128</v>
      </c>
      <c r="AB1273" s="5">
        <f t="shared" si="2005"/>
        <v>0</v>
      </c>
      <c r="AC1273" s="56"/>
      <c r="AD1273" s="23"/>
    </row>
    <row r="1274" spans="1:30" s="14" customFormat="1">
      <c r="A1274" s="78" t="s">
        <v>456</v>
      </c>
      <c r="B1274" s="26">
        <f>392953/2</f>
        <v>196476.5</v>
      </c>
      <c r="C1274" s="130">
        <f t="shared" si="1990"/>
        <v>16373.04</v>
      </c>
      <c r="D1274" s="4">
        <v>9.0899999999999995E-2</v>
      </c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>
        <v>0.90910000000000002</v>
      </c>
      <c r="U1274" s="4"/>
      <c r="V1274" s="4"/>
      <c r="W1274" s="4"/>
      <c r="X1274" s="4"/>
      <c r="Y1274" s="4"/>
      <c r="Z1274" s="4"/>
      <c r="AA1274" s="4"/>
      <c r="AB1274" s="4"/>
      <c r="AC1274" s="56"/>
      <c r="AD1274" s="23"/>
    </row>
    <row r="1275" spans="1:30" s="14" customFormat="1">
      <c r="A1275" s="79"/>
      <c r="B1275" s="9"/>
      <c r="C1275" s="130"/>
      <c r="D1275" s="5">
        <f t="shared" ref="D1275" si="2006">$C1274*D1274</f>
        <v>1488.309336</v>
      </c>
      <c r="E1275" s="5">
        <f t="shared" ref="E1275" si="2007">$C1274*E1274</f>
        <v>0</v>
      </c>
      <c r="F1275" s="5">
        <f t="shared" ref="F1275:O1275" si="2008">$C1274*F1274</f>
        <v>0</v>
      </c>
      <c r="G1275" s="5">
        <f t="shared" si="2008"/>
        <v>0</v>
      </c>
      <c r="H1275" s="5">
        <f t="shared" si="2008"/>
        <v>0</v>
      </c>
      <c r="I1275" s="5">
        <f t="shared" si="2008"/>
        <v>0</v>
      </c>
      <c r="J1275" s="5">
        <f t="shared" si="2008"/>
        <v>0</v>
      </c>
      <c r="K1275" s="5">
        <f t="shared" si="2008"/>
        <v>0</v>
      </c>
      <c r="L1275" s="5">
        <f t="shared" si="2008"/>
        <v>0</v>
      </c>
      <c r="M1275" s="5">
        <f t="shared" si="2008"/>
        <v>0</v>
      </c>
      <c r="N1275" s="5">
        <f t="shared" si="2008"/>
        <v>0</v>
      </c>
      <c r="O1275" s="5">
        <f t="shared" si="2008"/>
        <v>0</v>
      </c>
      <c r="P1275" s="5">
        <f t="shared" ref="P1275" si="2009">$C1274*P1274</f>
        <v>0</v>
      </c>
      <c r="Q1275" s="5">
        <f t="shared" ref="Q1275" si="2010">$C1274*Q1274</f>
        <v>0</v>
      </c>
      <c r="R1275" s="5">
        <f t="shared" ref="R1275:AB1275" si="2011">$C1274*R1274</f>
        <v>0</v>
      </c>
      <c r="S1275" s="5">
        <f t="shared" si="2011"/>
        <v>0</v>
      </c>
      <c r="T1275" s="5">
        <f t="shared" si="2011"/>
        <v>14884.730664000001</v>
      </c>
      <c r="U1275" s="5">
        <f t="shared" si="2011"/>
        <v>0</v>
      </c>
      <c r="V1275" s="5">
        <f t="shared" si="2011"/>
        <v>0</v>
      </c>
      <c r="W1275" s="5">
        <f t="shared" si="2011"/>
        <v>0</v>
      </c>
      <c r="X1275" s="5">
        <f t="shared" si="2011"/>
        <v>0</v>
      </c>
      <c r="Y1275" s="5">
        <f t="shared" si="2011"/>
        <v>0</v>
      </c>
      <c r="Z1275" s="5">
        <f t="shared" si="2011"/>
        <v>0</v>
      </c>
      <c r="AA1275" s="5">
        <f t="shared" si="2011"/>
        <v>0</v>
      </c>
      <c r="AB1275" s="5">
        <f t="shared" si="2011"/>
        <v>0</v>
      </c>
      <c r="AC1275" s="56"/>
      <c r="AD1275" s="23"/>
    </row>
    <row r="1276" spans="1:30" s="14" customFormat="1">
      <c r="A1276" s="78" t="s">
        <v>342</v>
      </c>
      <c r="B1276" s="26">
        <f>529376/2</f>
        <v>264688</v>
      </c>
      <c r="C1276" s="130">
        <f t="shared" si="1990"/>
        <v>22057.33</v>
      </c>
      <c r="D1276" s="35">
        <v>1.6299999999999999E-2</v>
      </c>
      <c r="E1276" s="35">
        <v>0.14269999999999999</v>
      </c>
      <c r="F1276" s="35">
        <v>5.8900000000000001E-2</v>
      </c>
      <c r="G1276" s="35">
        <v>7.6200000000000004E-2</v>
      </c>
      <c r="H1276" s="35">
        <v>3.9600000000000003E-2</v>
      </c>
      <c r="I1276" s="35">
        <v>0.12470000000000001</v>
      </c>
      <c r="J1276" s="35">
        <v>2.0400000000000001E-2</v>
      </c>
      <c r="K1276" s="35">
        <v>3.1199999999999999E-2</v>
      </c>
      <c r="L1276" s="35">
        <v>1.6199999999999999E-2</v>
      </c>
      <c r="M1276" s="35">
        <v>2.53E-2</v>
      </c>
      <c r="N1276" s="35">
        <v>0.14849999999999999</v>
      </c>
      <c r="O1276" s="35">
        <v>2.2599999999999999E-2</v>
      </c>
      <c r="P1276" s="35">
        <v>0</v>
      </c>
      <c r="Q1276" s="35">
        <v>3.78E-2</v>
      </c>
      <c r="R1276" s="35">
        <v>1.8100000000000002E-2</v>
      </c>
      <c r="S1276" s="35">
        <v>4.1000000000000003E-3</v>
      </c>
      <c r="T1276" s="35">
        <v>5.04E-2</v>
      </c>
      <c r="U1276" s="35">
        <v>1.7500000000000002E-2</v>
      </c>
      <c r="V1276" s="35">
        <v>3.6200000000000003E-2</v>
      </c>
      <c r="W1276" s="35">
        <v>4.8500000000000001E-2</v>
      </c>
      <c r="X1276" s="35">
        <v>6.1600000000000002E-2</v>
      </c>
      <c r="Y1276" s="35">
        <v>2.5000000000000001E-3</v>
      </c>
      <c r="Z1276" s="4">
        <v>0</v>
      </c>
      <c r="AA1276" s="4">
        <v>6.9999999999999999E-4</v>
      </c>
      <c r="AB1276" s="4">
        <v>0</v>
      </c>
      <c r="AC1276" s="56"/>
      <c r="AD1276" s="23"/>
    </row>
    <row r="1277" spans="1:30" s="14" customFormat="1">
      <c r="A1277" s="79"/>
      <c r="B1277" s="52"/>
      <c r="C1277" s="130"/>
      <c r="D1277" s="5">
        <f>$C1276*D1276</f>
        <v>359.53447899999998</v>
      </c>
      <c r="E1277" s="5">
        <f t="shared" ref="E1277" si="2012">$C1276*E1276</f>
        <v>3147.5809910000003</v>
      </c>
      <c r="F1277" s="5">
        <f t="shared" ref="F1277" si="2013">$C1276*F1276</f>
        <v>1299.1767370000002</v>
      </c>
      <c r="G1277" s="5">
        <f t="shared" ref="G1277:AB1277" si="2014">$C1276*G1276</f>
        <v>1680.7685460000002</v>
      </c>
      <c r="H1277" s="5">
        <f t="shared" si="2014"/>
        <v>873.47026800000015</v>
      </c>
      <c r="I1277" s="5">
        <f t="shared" si="2014"/>
        <v>2750.5490510000004</v>
      </c>
      <c r="J1277" s="5">
        <f t="shared" si="2014"/>
        <v>449.96953200000007</v>
      </c>
      <c r="K1277" s="5">
        <f t="shared" si="2014"/>
        <v>688.18869600000005</v>
      </c>
      <c r="L1277" s="5">
        <f t="shared" si="2014"/>
        <v>357.32874600000002</v>
      </c>
      <c r="M1277" s="5">
        <f t="shared" si="2014"/>
        <v>558.05044900000007</v>
      </c>
      <c r="N1277" s="5">
        <f t="shared" si="2014"/>
        <v>3275.5135049999999</v>
      </c>
      <c r="O1277" s="5">
        <f t="shared" si="2014"/>
        <v>498.49565799999999</v>
      </c>
      <c r="P1277" s="5">
        <f t="shared" si="2014"/>
        <v>0</v>
      </c>
      <c r="Q1277" s="5">
        <f t="shared" si="2014"/>
        <v>833.76707400000009</v>
      </c>
      <c r="R1277" s="5">
        <f t="shared" si="2014"/>
        <v>399.23767300000009</v>
      </c>
      <c r="S1277" s="5">
        <f t="shared" si="2014"/>
        <v>90.435053000000011</v>
      </c>
      <c r="T1277" s="5">
        <f t="shared" si="2014"/>
        <v>1111.6894320000001</v>
      </c>
      <c r="U1277" s="5">
        <f t="shared" si="2014"/>
        <v>386.00327500000009</v>
      </c>
      <c r="V1277" s="5">
        <f t="shared" si="2014"/>
        <v>798.47534600000017</v>
      </c>
      <c r="W1277" s="5">
        <f t="shared" si="2014"/>
        <v>1069.7805050000002</v>
      </c>
      <c r="X1277" s="5">
        <f t="shared" si="2014"/>
        <v>1358.7315280000003</v>
      </c>
      <c r="Y1277" s="5">
        <f t="shared" si="2014"/>
        <v>55.143325000000004</v>
      </c>
      <c r="Z1277" s="5">
        <f t="shared" si="2014"/>
        <v>0</v>
      </c>
      <c r="AA1277" s="5">
        <f t="shared" si="2014"/>
        <v>15.440131000000001</v>
      </c>
      <c r="AB1277" s="5">
        <f t="shared" si="2014"/>
        <v>0</v>
      </c>
      <c r="AC1277" s="56"/>
      <c r="AD1277" s="23"/>
    </row>
    <row r="1278" spans="1:30" s="14" customFormat="1">
      <c r="A1278" s="78" t="s">
        <v>457</v>
      </c>
      <c r="B1278" s="26">
        <f>529376/2</f>
        <v>264688</v>
      </c>
      <c r="C1278" s="130">
        <f t="shared" si="1990"/>
        <v>22057.33</v>
      </c>
      <c r="D1278" s="4">
        <v>8.8800000000000004E-2</v>
      </c>
      <c r="E1278" s="4"/>
      <c r="F1278" s="4"/>
      <c r="G1278" s="4"/>
      <c r="H1278" s="4"/>
      <c r="I1278" s="4"/>
      <c r="J1278" s="4"/>
      <c r="K1278" s="4"/>
      <c r="L1278" s="4"/>
      <c r="M1278" s="4">
        <v>0.1061</v>
      </c>
      <c r="N1278" s="4"/>
      <c r="O1278" s="4"/>
      <c r="P1278" s="4"/>
      <c r="Q1278" s="4">
        <v>0.1469</v>
      </c>
      <c r="R1278" s="4"/>
      <c r="S1278" s="4"/>
      <c r="T1278" s="4">
        <v>0.65749999999999997</v>
      </c>
      <c r="U1278" s="4"/>
      <c r="V1278" s="4"/>
      <c r="W1278" s="4">
        <v>2.9999999999999997E-4</v>
      </c>
      <c r="X1278" s="4">
        <v>4.0000000000000002E-4</v>
      </c>
      <c r="Y1278" s="4"/>
      <c r="Z1278" s="4"/>
      <c r="AA1278" s="4"/>
      <c r="AB1278" s="4"/>
      <c r="AC1278" s="56"/>
      <c r="AD1278" s="23"/>
    </row>
    <row r="1279" spans="1:30" s="14" customFormat="1">
      <c r="A1279" s="79"/>
      <c r="B1279" s="9"/>
      <c r="C1279" s="130"/>
      <c r="D1279" s="5">
        <f t="shared" ref="D1279" si="2015">$C1278*D1278</f>
        <v>1958.6909040000003</v>
      </c>
      <c r="E1279" s="5">
        <f t="shared" ref="E1279" si="2016">$C1278*E1278</f>
        <v>0</v>
      </c>
      <c r="F1279" s="5">
        <f t="shared" ref="F1279:O1279" si="2017">$C1278*F1278</f>
        <v>0</v>
      </c>
      <c r="G1279" s="5">
        <f t="shared" si="2017"/>
        <v>0</v>
      </c>
      <c r="H1279" s="5">
        <f t="shared" si="2017"/>
        <v>0</v>
      </c>
      <c r="I1279" s="5">
        <f t="shared" si="2017"/>
        <v>0</v>
      </c>
      <c r="J1279" s="5">
        <f t="shared" si="2017"/>
        <v>0</v>
      </c>
      <c r="K1279" s="5">
        <f t="shared" si="2017"/>
        <v>0</v>
      </c>
      <c r="L1279" s="5">
        <f t="shared" si="2017"/>
        <v>0</v>
      </c>
      <c r="M1279" s="5">
        <f t="shared" si="2017"/>
        <v>2340.2827130000001</v>
      </c>
      <c r="N1279" s="5">
        <f t="shared" si="2017"/>
        <v>0</v>
      </c>
      <c r="O1279" s="5">
        <f t="shared" si="2017"/>
        <v>0</v>
      </c>
      <c r="P1279" s="5">
        <f t="shared" ref="P1279" si="2018">$C1278*P1278</f>
        <v>0</v>
      </c>
      <c r="Q1279" s="5">
        <f t="shared" ref="Q1279" si="2019">$C1278*Q1278</f>
        <v>3240.2217770000002</v>
      </c>
      <c r="R1279" s="5">
        <f t="shared" ref="R1279:AB1279" si="2020">$C1278*R1278</f>
        <v>0</v>
      </c>
      <c r="S1279" s="5">
        <f t="shared" si="2020"/>
        <v>0</v>
      </c>
      <c r="T1279" s="5">
        <f t="shared" si="2020"/>
        <v>14502.694475</v>
      </c>
      <c r="U1279" s="5">
        <f t="shared" si="2020"/>
        <v>0</v>
      </c>
      <c r="V1279" s="5">
        <f t="shared" si="2020"/>
        <v>0</v>
      </c>
      <c r="W1279" s="5">
        <f t="shared" si="2020"/>
        <v>6.6171990000000003</v>
      </c>
      <c r="X1279" s="5">
        <f t="shared" si="2020"/>
        <v>8.8229320000000016</v>
      </c>
      <c r="Y1279" s="5">
        <f t="shared" si="2020"/>
        <v>0</v>
      </c>
      <c r="Z1279" s="5">
        <f t="shared" si="2020"/>
        <v>0</v>
      </c>
      <c r="AA1279" s="5">
        <f t="shared" si="2020"/>
        <v>0</v>
      </c>
      <c r="AB1279" s="5">
        <f t="shared" si="2020"/>
        <v>0</v>
      </c>
      <c r="AC1279" s="56"/>
      <c r="AD1279" s="23"/>
    </row>
    <row r="1280" spans="1:30" s="14" customFormat="1">
      <c r="A1280" s="136" t="s">
        <v>358</v>
      </c>
      <c r="B1280" s="26">
        <v>1800044</v>
      </c>
      <c r="C1280" s="130">
        <f t="shared" si="1990"/>
        <v>150003.67000000001</v>
      </c>
      <c r="D1280" s="120"/>
      <c r="E1280" s="34"/>
      <c r="F1280" s="37"/>
      <c r="G1280" s="37"/>
      <c r="H1280" s="120">
        <v>3.0499999999999999E-2</v>
      </c>
      <c r="I1280" s="120"/>
      <c r="J1280" s="120"/>
      <c r="K1280" s="120"/>
      <c r="L1280" s="37"/>
      <c r="M1280" s="120"/>
      <c r="N1280" s="120"/>
      <c r="O1280" s="120"/>
      <c r="P1280" s="120">
        <v>2.0999999999999999E-3</v>
      </c>
      <c r="Q1280" s="120"/>
      <c r="R1280" s="120">
        <v>8.3000000000000001E-3</v>
      </c>
      <c r="S1280" s="120"/>
      <c r="T1280" s="120">
        <v>0.91359999999999997</v>
      </c>
      <c r="U1280" s="120"/>
      <c r="V1280" s="120">
        <v>1.9300000000000001E-2</v>
      </c>
      <c r="W1280" s="120">
        <v>2.46E-2</v>
      </c>
      <c r="X1280" s="120"/>
      <c r="Y1280" s="120"/>
      <c r="Z1280" s="120">
        <v>1.6000000000000001E-3</v>
      </c>
      <c r="AA1280" s="120">
        <v>0</v>
      </c>
      <c r="AB1280" s="120">
        <v>0</v>
      </c>
      <c r="AC1280" s="56"/>
      <c r="AD1280" s="23"/>
    </row>
    <row r="1281" spans="1:30" s="14" customFormat="1">
      <c r="A1281" s="47"/>
      <c r="B1281" s="21"/>
      <c r="C1281" s="130"/>
      <c r="D1281" s="27">
        <f>$C1280*D1280</f>
        <v>0</v>
      </c>
      <c r="E1281" s="27">
        <f t="shared" ref="E1281" si="2021">$C1280*E1280</f>
        <v>0</v>
      </c>
      <c r="F1281" s="27">
        <f t="shared" ref="F1281" si="2022">$C1280*F1280</f>
        <v>0</v>
      </c>
      <c r="G1281" s="27">
        <f t="shared" ref="G1281:AB1281" si="2023">$C1280*G1280</f>
        <v>0</v>
      </c>
      <c r="H1281" s="27">
        <f t="shared" si="2023"/>
        <v>4575.1119349999999</v>
      </c>
      <c r="I1281" s="27">
        <f t="shared" si="2023"/>
        <v>0</v>
      </c>
      <c r="J1281" s="27">
        <f t="shared" si="2023"/>
        <v>0</v>
      </c>
      <c r="K1281" s="27">
        <f t="shared" si="2023"/>
        <v>0</v>
      </c>
      <c r="L1281" s="27">
        <f t="shared" si="2023"/>
        <v>0</v>
      </c>
      <c r="M1281" s="27">
        <f t="shared" si="2023"/>
        <v>0</v>
      </c>
      <c r="N1281" s="27">
        <f t="shared" si="2023"/>
        <v>0</v>
      </c>
      <c r="O1281" s="27">
        <f t="shared" si="2023"/>
        <v>0</v>
      </c>
      <c r="P1281" s="27">
        <f t="shared" si="2023"/>
        <v>315.00770699999998</v>
      </c>
      <c r="Q1281" s="27">
        <f t="shared" si="2023"/>
        <v>0</v>
      </c>
      <c r="R1281" s="27">
        <f t="shared" si="2023"/>
        <v>1245.0304610000001</v>
      </c>
      <c r="S1281" s="27">
        <f t="shared" si="2023"/>
        <v>0</v>
      </c>
      <c r="T1281" s="27">
        <f t="shared" si="2023"/>
        <v>137043.352912</v>
      </c>
      <c r="U1281" s="27">
        <f t="shared" si="2023"/>
        <v>0</v>
      </c>
      <c r="V1281" s="27">
        <f t="shared" si="2023"/>
        <v>2895.0708310000005</v>
      </c>
      <c r="W1281" s="27">
        <f t="shared" si="2023"/>
        <v>3690.0902820000006</v>
      </c>
      <c r="X1281" s="27">
        <f t="shared" si="2023"/>
        <v>0</v>
      </c>
      <c r="Y1281" s="27">
        <f t="shared" si="2023"/>
        <v>0</v>
      </c>
      <c r="Z1281" s="27">
        <f t="shared" si="2023"/>
        <v>240.00587200000004</v>
      </c>
      <c r="AA1281" s="27">
        <f t="shared" si="2023"/>
        <v>0</v>
      </c>
      <c r="AB1281" s="27">
        <f t="shared" si="2023"/>
        <v>0</v>
      </c>
      <c r="AC1281" s="56"/>
      <c r="AD1281" s="23"/>
    </row>
    <row r="1282" spans="1:30" s="14" customFormat="1">
      <c r="A1282" s="136" t="s">
        <v>343</v>
      </c>
      <c r="B1282" s="26">
        <v>4194596</v>
      </c>
      <c r="C1282" s="130">
        <f>ROUND(B1282/12,2)</f>
        <v>349549.67</v>
      </c>
      <c r="D1282" s="120"/>
      <c r="E1282" s="34"/>
      <c r="F1282" s="37"/>
      <c r="G1282" s="37">
        <v>1.23E-2</v>
      </c>
      <c r="H1282" s="120"/>
      <c r="I1282" s="120"/>
      <c r="J1282" s="120"/>
      <c r="K1282" s="120"/>
      <c r="L1282" s="37"/>
      <c r="M1282" s="120"/>
      <c r="N1282" s="120"/>
      <c r="O1282" s="120"/>
      <c r="P1282" s="120">
        <v>4.3E-3</v>
      </c>
      <c r="Q1282" s="120">
        <v>6.0199999999999997E-2</v>
      </c>
      <c r="R1282" s="120"/>
      <c r="S1282" s="120">
        <v>5.8999999999999999E-3</v>
      </c>
      <c r="T1282" s="120">
        <v>0.69620000000000004</v>
      </c>
      <c r="U1282" s="120"/>
      <c r="V1282" s="120"/>
      <c r="W1282" s="120"/>
      <c r="X1282" s="120">
        <v>0.20830000000000001</v>
      </c>
      <c r="Y1282" s="120">
        <v>8.3000000000000001E-3</v>
      </c>
      <c r="Z1282" s="120">
        <v>4.4999999999999997E-3</v>
      </c>
      <c r="AA1282" s="120">
        <v>0</v>
      </c>
      <c r="AB1282" s="120">
        <v>0</v>
      </c>
      <c r="AC1282" s="56"/>
      <c r="AD1282" s="23"/>
    </row>
    <row r="1283" spans="1:30" s="14" customFormat="1">
      <c r="A1283" s="47"/>
      <c r="B1283" s="21"/>
      <c r="C1283" s="130"/>
      <c r="D1283" s="27">
        <f>$C1282*D1282</f>
        <v>0</v>
      </c>
      <c r="E1283" s="27">
        <f t="shared" ref="E1283" si="2024">$C1282*E1282</f>
        <v>0</v>
      </c>
      <c r="F1283" s="27">
        <f t="shared" ref="F1283" si="2025">$C1282*F1282</f>
        <v>0</v>
      </c>
      <c r="G1283" s="27">
        <f t="shared" ref="G1283:AB1283" si="2026">$C1282*G1282</f>
        <v>4299.4609410000003</v>
      </c>
      <c r="H1283" s="27">
        <f t="shared" si="2026"/>
        <v>0</v>
      </c>
      <c r="I1283" s="27">
        <f t="shared" si="2026"/>
        <v>0</v>
      </c>
      <c r="J1283" s="27">
        <f t="shared" si="2026"/>
        <v>0</v>
      </c>
      <c r="K1283" s="27">
        <f t="shared" si="2026"/>
        <v>0</v>
      </c>
      <c r="L1283" s="27">
        <f t="shared" si="2026"/>
        <v>0</v>
      </c>
      <c r="M1283" s="27">
        <f t="shared" si="2026"/>
        <v>0</v>
      </c>
      <c r="N1283" s="27">
        <f t="shared" si="2026"/>
        <v>0</v>
      </c>
      <c r="O1283" s="27">
        <f t="shared" si="2026"/>
        <v>0</v>
      </c>
      <c r="P1283" s="27">
        <f t="shared" si="2026"/>
        <v>1503.0635809999999</v>
      </c>
      <c r="Q1283" s="27">
        <f t="shared" si="2026"/>
        <v>21042.890133999997</v>
      </c>
      <c r="R1283" s="27">
        <f t="shared" si="2026"/>
        <v>0</v>
      </c>
      <c r="S1283" s="27">
        <f t="shared" si="2026"/>
        <v>2062.3430530000001</v>
      </c>
      <c r="T1283" s="27">
        <f t="shared" si="2026"/>
        <v>243356.48025399999</v>
      </c>
      <c r="U1283" s="27">
        <f t="shared" si="2026"/>
        <v>0</v>
      </c>
      <c r="V1283" s="27">
        <f t="shared" si="2026"/>
        <v>0</v>
      </c>
      <c r="W1283" s="27">
        <f t="shared" si="2026"/>
        <v>0</v>
      </c>
      <c r="X1283" s="27">
        <f t="shared" si="2026"/>
        <v>72811.196261000005</v>
      </c>
      <c r="Y1283" s="27">
        <f t="shared" si="2026"/>
        <v>2901.2622609999999</v>
      </c>
      <c r="Z1283" s="27">
        <f t="shared" si="2026"/>
        <v>1572.9735149999999</v>
      </c>
      <c r="AA1283" s="27">
        <f t="shared" si="2026"/>
        <v>0</v>
      </c>
      <c r="AB1283" s="27">
        <f t="shared" si="2026"/>
        <v>0</v>
      </c>
      <c r="AC1283" s="56"/>
      <c r="AD1283" s="23"/>
    </row>
    <row r="1284" spans="1:30" s="14" customFormat="1">
      <c r="A1284" s="136" t="s">
        <v>344</v>
      </c>
      <c r="B1284" s="26">
        <v>2267060</v>
      </c>
      <c r="C1284" s="130">
        <f t="shared" si="1990"/>
        <v>188921.67</v>
      </c>
      <c r="D1284" s="7">
        <v>1.2500000000000001E-2</v>
      </c>
      <c r="E1284" s="34"/>
      <c r="F1284" s="4"/>
      <c r="G1284" s="4"/>
      <c r="H1284" s="7"/>
      <c r="I1284" s="7"/>
      <c r="J1284" s="7"/>
      <c r="K1284" s="7"/>
      <c r="L1284" s="4"/>
      <c r="M1284" s="7">
        <v>3.1099999999999999E-2</v>
      </c>
      <c r="N1284" s="7"/>
      <c r="O1284" s="7"/>
      <c r="P1284" s="7"/>
      <c r="Q1284" s="7"/>
      <c r="R1284" s="7"/>
      <c r="S1284" s="7"/>
      <c r="T1284" s="7">
        <v>0.95640000000000003</v>
      </c>
      <c r="U1284" s="7"/>
      <c r="V1284" s="7"/>
      <c r="W1284" s="7"/>
      <c r="X1284" s="7"/>
      <c r="Y1284" s="7"/>
      <c r="Z1284" s="7"/>
      <c r="AA1284" s="7"/>
      <c r="AB1284" s="7"/>
      <c r="AC1284" s="56"/>
      <c r="AD1284" s="23"/>
    </row>
    <row r="1285" spans="1:30" s="14" customFormat="1">
      <c r="A1285" s="47"/>
      <c r="B1285" s="21"/>
      <c r="C1285" s="130"/>
      <c r="D1285" s="27">
        <f>$C1284*D1284</f>
        <v>2361.5208750000002</v>
      </c>
      <c r="E1285" s="27">
        <f t="shared" ref="E1285" si="2027">$C1284*E1284</f>
        <v>0</v>
      </c>
      <c r="F1285" s="27">
        <f t="shared" ref="F1285" si="2028">$C1284*F1284</f>
        <v>0</v>
      </c>
      <c r="G1285" s="27">
        <f t="shared" ref="G1285:AB1285" si="2029">$C1284*G1284</f>
        <v>0</v>
      </c>
      <c r="H1285" s="27">
        <f t="shared" si="2029"/>
        <v>0</v>
      </c>
      <c r="I1285" s="27">
        <f t="shared" si="2029"/>
        <v>0</v>
      </c>
      <c r="J1285" s="27">
        <f t="shared" si="2029"/>
        <v>0</v>
      </c>
      <c r="K1285" s="27">
        <f t="shared" si="2029"/>
        <v>0</v>
      </c>
      <c r="L1285" s="27">
        <f t="shared" si="2029"/>
        <v>0</v>
      </c>
      <c r="M1285" s="27">
        <f t="shared" si="2029"/>
        <v>5875.4639370000004</v>
      </c>
      <c r="N1285" s="27">
        <f t="shared" si="2029"/>
        <v>0</v>
      </c>
      <c r="O1285" s="27">
        <f t="shared" si="2029"/>
        <v>0</v>
      </c>
      <c r="P1285" s="27">
        <f t="shared" si="2029"/>
        <v>0</v>
      </c>
      <c r="Q1285" s="27">
        <f t="shared" si="2029"/>
        <v>0</v>
      </c>
      <c r="R1285" s="27">
        <f t="shared" si="2029"/>
        <v>0</v>
      </c>
      <c r="S1285" s="27">
        <f t="shared" si="2029"/>
        <v>0</v>
      </c>
      <c r="T1285" s="27">
        <f t="shared" si="2029"/>
        <v>180684.685188</v>
      </c>
      <c r="U1285" s="27">
        <f t="shared" si="2029"/>
        <v>0</v>
      </c>
      <c r="V1285" s="27">
        <f t="shared" si="2029"/>
        <v>0</v>
      </c>
      <c r="W1285" s="27">
        <f t="shared" si="2029"/>
        <v>0</v>
      </c>
      <c r="X1285" s="27">
        <f t="shared" si="2029"/>
        <v>0</v>
      </c>
      <c r="Y1285" s="27">
        <f t="shared" si="2029"/>
        <v>0</v>
      </c>
      <c r="Z1285" s="27">
        <f t="shared" si="2029"/>
        <v>0</v>
      </c>
      <c r="AA1285" s="27">
        <f t="shared" si="2029"/>
        <v>0</v>
      </c>
      <c r="AB1285" s="27">
        <f t="shared" si="2029"/>
        <v>0</v>
      </c>
      <c r="AC1285" s="56"/>
      <c r="AD1285" s="23"/>
    </row>
    <row r="1286" spans="1:30" s="14" customFormat="1">
      <c r="A1286" s="136" t="s">
        <v>345</v>
      </c>
      <c r="B1286" s="26">
        <v>2162310</v>
      </c>
      <c r="C1286" s="130">
        <f t="shared" si="1990"/>
        <v>180192.5</v>
      </c>
      <c r="D1286" s="120"/>
      <c r="E1286" s="34"/>
      <c r="F1286" s="37"/>
      <c r="G1286" s="37"/>
      <c r="H1286" s="120"/>
      <c r="I1286" s="120"/>
      <c r="J1286" s="120"/>
      <c r="K1286" s="120"/>
      <c r="L1286" s="37"/>
      <c r="M1286" s="120"/>
      <c r="N1286" s="120"/>
      <c r="O1286" s="120"/>
      <c r="P1286" s="120">
        <v>1.34E-2</v>
      </c>
      <c r="Q1286" s="120"/>
      <c r="R1286" s="120"/>
      <c r="S1286" s="120"/>
      <c r="T1286" s="120">
        <v>0.97040000000000004</v>
      </c>
      <c r="U1286" s="120"/>
      <c r="V1286" s="120"/>
      <c r="W1286" s="120"/>
      <c r="X1286" s="120"/>
      <c r="Y1286" s="120"/>
      <c r="Z1286" s="120">
        <v>1.6199999999999999E-2</v>
      </c>
      <c r="AA1286" s="120">
        <v>0</v>
      </c>
      <c r="AB1286" s="120">
        <v>0</v>
      </c>
      <c r="AC1286" s="56"/>
      <c r="AD1286" s="23"/>
    </row>
    <row r="1287" spans="1:30" s="14" customFormat="1">
      <c r="A1287" s="47"/>
      <c r="B1287" s="21"/>
      <c r="C1287" s="130"/>
      <c r="D1287" s="27">
        <f>$C1286*D1286</f>
        <v>0</v>
      </c>
      <c r="E1287" s="27">
        <f t="shared" ref="E1287" si="2030">$C1286*E1286</f>
        <v>0</v>
      </c>
      <c r="F1287" s="27">
        <f t="shared" ref="F1287" si="2031">$C1286*F1286</f>
        <v>0</v>
      </c>
      <c r="G1287" s="27">
        <f t="shared" ref="G1287:AB1287" si="2032">$C1286*G1286</f>
        <v>0</v>
      </c>
      <c r="H1287" s="27">
        <f t="shared" si="2032"/>
        <v>0</v>
      </c>
      <c r="I1287" s="27">
        <f t="shared" si="2032"/>
        <v>0</v>
      </c>
      <c r="J1287" s="27">
        <f t="shared" si="2032"/>
        <v>0</v>
      </c>
      <c r="K1287" s="27">
        <f t="shared" si="2032"/>
        <v>0</v>
      </c>
      <c r="L1287" s="27">
        <f t="shared" si="2032"/>
        <v>0</v>
      </c>
      <c r="M1287" s="27">
        <f t="shared" si="2032"/>
        <v>0</v>
      </c>
      <c r="N1287" s="27">
        <f t="shared" si="2032"/>
        <v>0</v>
      </c>
      <c r="O1287" s="27">
        <f t="shared" si="2032"/>
        <v>0</v>
      </c>
      <c r="P1287" s="27">
        <f t="shared" si="2032"/>
        <v>2414.5795000000003</v>
      </c>
      <c r="Q1287" s="27">
        <f t="shared" si="2032"/>
        <v>0</v>
      </c>
      <c r="R1287" s="27">
        <f t="shared" si="2032"/>
        <v>0</v>
      </c>
      <c r="S1287" s="27">
        <f t="shared" si="2032"/>
        <v>0</v>
      </c>
      <c r="T1287" s="27">
        <f t="shared" si="2032"/>
        <v>174858.802</v>
      </c>
      <c r="U1287" s="27">
        <f t="shared" si="2032"/>
        <v>0</v>
      </c>
      <c r="V1287" s="27">
        <f t="shared" si="2032"/>
        <v>0</v>
      </c>
      <c r="W1287" s="27">
        <f t="shared" si="2032"/>
        <v>0</v>
      </c>
      <c r="X1287" s="27">
        <f t="shared" si="2032"/>
        <v>0</v>
      </c>
      <c r="Y1287" s="27">
        <f t="shared" si="2032"/>
        <v>0</v>
      </c>
      <c r="Z1287" s="27">
        <f t="shared" si="2032"/>
        <v>2919.1185</v>
      </c>
      <c r="AA1287" s="27">
        <f t="shared" si="2032"/>
        <v>0</v>
      </c>
      <c r="AB1287" s="27">
        <f t="shared" si="2032"/>
        <v>0</v>
      </c>
      <c r="AC1287" s="56"/>
      <c r="AD1287" s="23"/>
    </row>
    <row r="1288" spans="1:30" s="14" customFormat="1">
      <c r="A1288" s="136" t="s">
        <v>346</v>
      </c>
      <c r="B1288" s="26">
        <v>2213740</v>
      </c>
      <c r="C1288" s="130">
        <f t="shared" si="1990"/>
        <v>184478.33</v>
      </c>
      <c r="D1288" s="120"/>
      <c r="E1288" s="34"/>
      <c r="F1288" s="37"/>
      <c r="G1288" s="37"/>
      <c r="H1288" s="120"/>
      <c r="I1288" s="120"/>
      <c r="J1288" s="120"/>
      <c r="K1288" s="120"/>
      <c r="L1288" s="37"/>
      <c r="M1288" s="120"/>
      <c r="N1288" s="120"/>
      <c r="O1288" s="120"/>
      <c r="P1288" s="120">
        <v>3.8E-3</v>
      </c>
      <c r="Q1288" s="120">
        <v>5.0799999999999998E-2</v>
      </c>
      <c r="R1288" s="120"/>
      <c r="S1288" s="120">
        <v>5.4000000000000003E-3</v>
      </c>
      <c r="T1288" s="120">
        <v>0.78849999999999998</v>
      </c>
      <c r="U1288" s="120"/>
      <c r="V1288" s="120"/>
      <c r="W1288" s="120"/>
      <c r="X1288" s="120">
        <v>0.14199999999999999</v>
      </c>
      <c r="Y1288" s="120">
        <v>5.5999999999999999E-3</v>
      </c>
      <c r="Z1288" s="120">
        <v>3.8999999999999998E-3</v>
      </c>
      <c r="AA1288" s="120">
        <v>0</v>
      </c>
      <c r="AB1288" s="120">
        <v>0</v>
      </c>
      <c r="AC1288" s="56"/>
      <c r="AD1288" s="23"/>
    </row>
    <row r="1289" spans="1:30" s="14" customFormat="1">
      <c r="A1289" s="47"/>
      <c r="B1289" s="21"/>
      <c r="C1289" s="130"/>
      <c r="D1289" s="27">
        <f>$C1288*D1288</f>
        <v>0</v>
      </c>
      <c r="E1289" s="27">
        <f t="shared" ref="E1289" si="2033">$C1288*E1288</f>
        <v>0</v>
      </c>
      <c r="F1289" s="27">
        <f t="shared" ref="F1289" si="2034">$C1288*F1288</f>
        <v>0</v>
      </c>
      <c r="G1289" s="27">
        <f t="shared" ref="G1289:AB1289" si="2035">$C1288*G1288</f>
        <v>0</v>
      </c>
      <c r="H1289" s="27">
        <f t="shared" si="2035"/>
        <v>0</v>
      </c>
      <c r="I1289" s="27">
        <f t="shared" si="2035"/>
        <v>0</v>
      </c>
      <c r="J1289" s="27">
        <f t="shared" si="2035"/>
        <v>0</v>
      </c>
      <c r="K1289" s="27">
        <f t="shared" si="2035"/>
        <v>0</v>
      </c>
      <c r="L1289" s="27">
        <f t="shared" si="2035"/>
        <v>0</v>
      </c>
      <c r="M1289" s="27">
        <f t="shared" si="2035"/>
        <v>0</v>
      </c>
      <c r="N1289" s="27">
        <f t="shared" si="2035"/>
        <v>0</v>
      </c>
      <c r="O1289" s="27">
        <f t="shared" si="2035"/>
        <v>0</v>
      </c>
      <c r="P1289" s="27">
        <f t="shared" si="2035"/>
        <v>701.01765399999999</v>
      </c>
      <c r="Q1289" s="27">
        <f t="shared" si="2035"/>
        <v>9371.4991639999989</v>
      </c>
      <c r="R1289" s="27">
        <f t="shared" si="2035"/>
        <v>0</v>
      </c>
      <c r="S1289" s="27">
        <f t="shared" si="2035"/>
        <v>996.18298200000004</v>
      </c>
      <c r="T1289" s="27">
        <f t="shared" si="2035"/>
        <v>145461.16320499999</v>
      </c>
      <c r="U1289" s="27">
        <f t="shared" si="2035"/>
        <v>0</v>
      </c>
      <c r="V1289" s="27">
        <f t="shared" si="2035"/>
        <v>0</v>
      </c>
      <c r="W1289" s="27">
        <f t="shared" si="2035"/>
        <v>0</v>
      </c>
      <c r="X1289" s="27">
        <f t="shared" si="2035"/>
        <v>26195.922859999995</v>
      </c>
      <c r="Y1289" s="27">
        <f t="shared" si="2035"/>
        <v>1033.0786479999999</v>
      </c>
      <c r="Z1289" s="27">
        <f t="shared" si="2035"/>
        <v>719.46548699999994</v>
      </c>
      <c r="AA1289" s="27">
        <f t="shared" si="2035"/>
        <v>0</v>
      </c>
      <c r="AB1289" s="27">
        <f t="shared" si="2035"/>
        <v>0</v>
      </c>
      <c r="AC1289" s="56"/>
      <c r="AD1289" s="23"/>
    </row>
    <row r="1290" spans="1:30" s="14" customFormat="1">
      <c r="A1290" s="136" t="s">
        <v>347</v>
      </c>
      <c r="B1290" s="26">
        <v>1441482</v>
      </c>
      <c r="C1290" s="130">
        <f>ROUND(B1290/12,2)</f>
        <v>120123.5</v>
      </c>
      <c r="D1290" s="120"/>
      <c r="E1290" s="34"/>
      <c r="F1290" s="37"/>
      <c r="G1290" s="37"/>
      <c r="H1290" s="120"/>
      <c r="I1290" s="120"/>
      <c r="J1290" s="120"/>
      <c r="K1290" s="120"/>
      <c r="L1290" s="37"/>
      <c r="M1290" s="120"/>
      <c r="N1290" s="120"/>
      <c r="O1290" s="120"/>
      <c r="P1290" s="120">
        <v>4.0000000000000002E-4</v>
      </c>
      <c r="Q1290" s="120"/>
      <c r="R1290" s="120"/>
      <c r="S1290" s="120"/>
      <c r="T1290" s="120">
        <v>0.99960000000000004</v>
      </c>
      <c r="U1290" s="120"/>
      <c r="V1290" s="120"/>
      <c r="W1290" s="120"/>
      <c r="X1290" s="120"/>
      <c r="Y1290" s="120"/>
      <c r="Z1290" s="120"/>
      <c r="AA1290" s="120"/>
      <c r="AB1290" s="120"/>
      <c r="AC1290" s="56"/>
      <c r="AD1290" s="23"/>
    </row>
    <row r="1291" spans="1:30" s="14" customFormat="1">
      <c r="A1291" s="47"/>
      <c r="B1291" s="21"/>
      <c r="C1291" s="130"/>
      <c r="D1291" s="27">
        <f>$C1290*D1290</f>
        <v>0</v>
      </c>
      <c r="E1291" s="27">
        <f t="shared" ref="E1291" si="2036">$C1290*E1290</f>
        <v>0</v>
      </c>
      <c r="F1291" s="27">
        <f t="shared" ref="F1291" si="2037">$C1290*F1290</f>
        <v>0</v>
      </c>
      <c r="G1291" s="27">
        <f t="shared" ref="G1291:AB1291" si="2038">$C1290*G1290</f>
        <v>0</v>
      </c>
      <c r="H1291" s="27">
        <f t="shared" si="2038"/>
        <v>0</v>
      </c>
      <c r="I1291" s="27">
        <f t="shared" si="2038"/>
        <v>0</v>
      </c>
      <c r="J1291" s="27">
        <f t="shared" si="2038"/>
        <v>0</v>
      </c>
      <c r="K1291" s="27">
        <f t="shared" si="2038"/>
        <v>0</v>
      </c>
      <c r="L1291" s="27">
        <f t="shared" si="2038"/>
        <v>0</v>
      </c>
      <c r="M1291" s="27">
        <f t="shared" si="2038"/>
        <v>0</v>
      </c>
      <c r="N1291" s="27">
        <f t="shared" si="2038"/>
        <v>0</v>
      </c>
      <c r="O1291" s="27">
        <f t="shared" si="2038"/>
        <v>0</v>
      </c>
      <c r="P1291" s="27">
        <f t="shared" si="2038"/>
        <v>48.049400000000006</v>
      </c>
      <c r="Q1291" s="27">
        <f t="shared" si="2038"/>
        <v>0</v>
      </c>
      <c r="R1291" s="27">
        <f t="shared" si="2038"/>
        <v>0</v>
      </c>
      <c r="S1291" s="27">
        <f t="shared" si="2038"/>
        <v>0</v>
      </c>
      <c r="T1291" s="27">
        <f t="shared" si="2038"/>
        <v>120075.45060000001</v>
      </c>
      <c r="U1291" s="27">
        <f t="shared" si="2038"/>
        <v>0</v>
      </c>
      <c r="V1291" s="27">
        <f t="shared" si="2038"/>
        <v>0</v>
      </c>
      <c r="W1291" s="27">
        <f t="shared" si="2038"/>
        <v>0</v>
      </c>
      <c r="X1291" s="27">
        <f t="shared" si="2038"/>
        <v>0</v>
      </c>
      <c r="Y1291" s="27">
        <f t="shared" si="2038"/>
        <v>0</v>
      </c>
      <c r="Z1291" s="27">
        <f t="shared" si="2038"/>
        <v>0</v>
      </c>
      <c r="AA1291" s="27">
        <f t="shared" si="2038"/>
        <v>0</v>
      </c>
      <c r="AB1291" s="27">
        <f t="shared" si="2038"/>
        <v>0</v>
      </c>
      <c r="AC1291" s="56"/>
      <c r="AD1291" s="23"/>
    </row>
    <row r="1292" spans="1:30" s="14" customFormat="1">
      <c r="A1292" s="136" t="s">
        <v>348</v>
      </c>
      <c r="B1292" s="26">
        <v>1029395</v>
      </c>
      <c r="C1292" s="130">
        <f t="shared" si="1990"/>
        <v>85782.92</v>
      </c>
      <c r="D1292" s="120"/>
      <c r="E1292" s="34"/>
      <c r="F1292" s="37"/>
      <c r="G1292" s="37"/>
      <c r="H1292" s="120"/>
      <c r="I1292" s="120"/>
      <c r="J1292" s="120"/>
      <c r="K1292" s="120"/>
      <c r="L1292" s="37"/>
      <c r="M1292" s="120"/>
      <c r="N1292" s="120"/>
      <c r="O1292" s="120"/>
      <c r="P1292" s="120">
        <v>3.2000000000000002E-3</v>
      </c>
      <c r="Q1292" s="120">
        <v>4.1399999999999999E-2</v>
      </c>
      <c r="R1292" s="120"/>
      <c r="S1292" s="120">
        <v>4.4000000000000003E-3</v>
      </c>
      <c r="T1292" s="120">
        <v>0.82189999999999996</v>
      </c>
      <c r="U1292" s="120"/>
      <c r="V1292" s="120"/>
      <c r="W1292" s="120"/>
      <c r="X1292" s="120">
        <v>0.121</v>
      </c>
      <c r="Y1292" s="120">
        <v>4.7999999999999996E-3</v>
      </c>
      <c r="Z1292" s="120">
        <v>3.3E-3</v>
      </c>
      <c r="AA1292" s="120">
        <v>0</v>
      </c>
      <c r="AB1292" s="120">
        <v>0</v>
      </c>
      <c r="AC1292" s="56"/>
      <c r="AD1292" s="23"/>
    </row>
    <row r="1293" spans="1:30" s="14" customFormat="1">
      <c r="A1293" s="47"/>
      <c r="B1293" s="21"/>
      <c r="C1293" s="130"/>
      <c r="D1293" s="27">
        <f>$C1292*D1292</f>
        <v>0</v>
      </c>
      <c r="E1293" s="27">
        <f t="shared" ref="E1293" si="2039">$C1292*E1292</f>
        <v>0</v>
      </c>
      <c r="F1293" s="27">
        <f t="shared" ref="F1293" si="2040">$C1292*F1292</f>
        <v>0</v>
      </c>
      <c r="G1293" s="27">
        <f t="shared" ref="G1293:AB1293" si="2041">$C1292*G1292</f>
        <v>0</v>
      </c>
      <c r="H1293" s="27">
        <f t="shared" si="2041"/>
        <v>0</v>
      </c>
      <c r="I1293" s="27">
        <f t="shared" si="2041"/>
        <v>0</v>
      </c>
      <c r="J1293" s="27">
        <f t="shared" si="2041"/>
        <v>0</v>
      </c>
      <c r="K1293" s="27">
        <f t="shared" si="2041"/>
        <v>0</v>
      </c>
      <c r="L1293" s="27">
        <f t="shared" si="2041"/>
        <v>0</v>
      </c>
      <c r="M1293" s="27">
        <f t="shared" si="2041"/>
        <v>0</v>
      </c>
      <c r="N1293" s="27">
        <f t="shared" si="2041"/>
        <v>0</v>
      </c>
      <c r="O1293" s="27">
        <f t="shared" si="2041"/>
        <v>0</v>
      </c>
      <c r="P1293" s="27">
        <f t="shared" si="2041"/>
        <v>274.50534399999998</v>
      </c>
      <c r="Q1293" s="27">
        <f t="shared" si="2041"/>
        <v>3551.4128879999998</v>
      </c>
      <c r="R1293" s="27">
        <f t="shared" si="2041"/>
        <v>0</v>
      </c>
      <c r="S1293" s="27">
        <f t="shared" si="2041"/>
        <v>377.44484800000004</v>
      </c>
      <c r="T1293" s="27">
        <f t="shared" si="2041"/>
        <v>70504.981948000001</v>
      </c>
      <c r="U1293" s="27">
        <f t="shared" si="2041"/>
        <v>0</v>
      </c>
      <c r="V1293" s="27">
        <f t="shared" si="2041"/>
        <v>0</v>
      </c>
      <c r="W1293" s="27">
        <f t="shared" si="2041"/>
        <v>0</v>
      </c>
      <c r="X1293" s="27">
        <f t="shared" si="2041"/>
        <v>10379.733319999999</v>
      </c>
      <c r="Y1293" s="27">
        <f t="shared" si="2041"/>
        <v>411.75801599999994</v>
      </c>
      <c r="Z1293" s="27">
        <f t="shared" si="2041"/>
        <v>283.08363600000001</v>
      </c>
      <c r="AA1293" s="27">
        <f t="shared" si="2041"/>
        <v>0</v>
      </c>
      <c r="AB1293" s="27">
        <f t="shared" si="2041"/>
        <v>0</v>
      </c>
      <c r="AC1293" s="56"/>
      <c r="AD1293" s="23"/>
    </row>
    <row r="1294" spans="1:30" s="14" customFormat="1">
      <c r="A1294" s="136" t="s">
        <v>349</v>
      </c>
      <c r="B1294" s="26">
        <v>218946</v>
      </c>
      <c r="C1294" s="130">
        <f t="shared" si="1990"/>
        <v>18245.5</v>
      </c>
      <c r="D1294" s="120"/>
      <c r="E1294" s="34"/>
      <c r="F1294" s="37"/>
      <c r="G1294" s="37"/>
      <c r="H1294" s="120"/>
      <c r="I1294" s="120"/>
      <c r="J1294" s="120"/>
      <c r="K1294" s="120"/>
      <c r="L1294" s="37"/>
      <c r="M1294" s="120"/>
      <c r="N1294" s="120"/>
      <c r="O1294" s="120"/>
      <c r="P1294" s="120"/>
      <c r="Q1294" s="120">
        <v>0.17299999999999999</v>
      </c>
      <c r="R1294" s="120"/>
      <c r="S1294" s="120">
        <v>1.6899999999999998E-2</v>
      </c>
      <c r="T1294" s="120">
        <v>0.45090000000000002</v>
      </c>
      <c r="U1294" s="120"/>
      <c r="V1294" s="120"/>
      <c r="W1294" s="120"/>
      <c r="X1294" s="120">
        <v>0.33679999999999999</v>
      </c>
      <c r="Y1294" s="120">
        <v>1.3100000000000001E-2</v>
      </c>
      <c r="Z1294" s="120">
        <v>9.2999999999999992E-3</v>
      </c>
      <c r="AA1294" s="120">
        <v>0</v>
      </c>
      <c r="AB1294" s="120">
        <v>0</v>
      </c>
      <c r="AC1294" s="56"/>
      <c r="AD1294" s="23"/>
    </row>
    <row r="1295" spans="1:30" s="14" customFormat="1">
      <c r="A1295" s="47"/>
      <c r="B1295" s="21"/>
      <c r="C1295" s="130"/>
      <c r="D1295" s="27">
        <f>$C1294*D1294</f>
        <v>0</v>
      </c>
      <c r="E1295" s="27">
        <f t="shared" ref="E1295" si="2042">$C1294*E1294</f>
        <v>0</v>
      </c>
      <c r="F1295" s="27">
        <f t="shared" ref="F1295" si="2043">$C1294*F1294</f>
        <v>0</v>
      </c>
      <c r="G1295" s="27">
        <f t="shared" ref="G1295:AB1295" si="2044">$C1294*G1294</f>
        <v>0</v>
      </c>
      <c r="H1295" s="27">
        <f t="shared" si="2044"/>
        <v>0</v>
      </c>
      <c r="I1295" s="27">
        <f t="shared" si="2044"/>
        <v>0</v>
      </c>
      <c r="J1295" s="27">
        <f t="shared" si="2044"/>
        <v>0</v>
      </c>
      <c r="K1295" s="27">
        <f t="shared" si="2044"/>
        <v>0</v>
      </c>
      <c r="L1295" s="27">
        <f t="shared" si="2044"/>
        <v>0</v>
      </c>
      <c r="M1295" s="27">
        <f t="shared" si="2044"/>
        <v>0</v>
      </c>
      <c r="N1295" s="27">
        <f t="shared" si="2044"/>
        <v>0</v>
      </c>
      <c r="O1295" s="27">
        <f t="shared" si="2044"/>
        <v>0</v>
      </c>
      <c r="P1295" s="27">
        <f t="shared" si="2044"/>
        <v>0</v>
      </c>
      <c r="Q1295" s="27">
        <f t="shared" si="2044"/>
        <v>3156.4714999999997</v>
      </c>
      <c r="R1295" s="27">
        <f t="shared" si="2044"/>
        <v>0</v>
      </c>
      <c r="S1295" s="27">
        <f t="shared" si="2044"/>
        <v>308.34894999999995</v>
      </c>
      <c r="T1295" s="27">
        <f t="shared" si="2044"/>
        <v>8226.8959500000001</v>
      </c>
      <c r="U1295" s="27">
        <f t="shared" si="2044"/>
        <v>0</v>
      </c>
      <c r="V1295" s="27">
        <f t="shared" si="2044"/>
        <v>0</v>
      </c>
      <c r="W1295" s="27">
        <f t="shared" si="2044"/>
        <v>0</v>
      </c>
      <c r="X1295" s="27">
        <f t="shared" si="2044"/>
        <v>6145.0843999999997</v>
      </c>
      <c r="Y1295" s="27">
        <f t="shared" si="2044"/>
        <v>239.01605000000001</v>
      </c>
      <c r="Z1295" s="27">
        <f t="shared" si="2044"/>
        <v>169.68314999999998</v>
      </c>
      <c r="AA1295" s="27">
        <f t="shared" si="2044"/>
        <v>0</v>
      </c>
      <c r="AB1295" s="27">
        <f t="shared" si="2044"/>
        <v>0</v>
      </c>
      <c r="AC1295" s="56"/>
      <c r="AD1295" s="23"/>
    </row>
    <row r="1296" spans="1:30" s="14" customFormat="1">
      <c r="A1296" s="136" t="s">
        <v>350</v>
      </c>
      <c r="B1296" s="26">
        <v>267543</v>
      </c>
      <c r="C1296" s="130">
        <f t="shared" si="1990"/>
        <v>22295.25</v>
      </c>
      <c r="D1296" s="7">
        <v>8.5800000000000001E-2</v>
      </c>
      <c r="E1296" s="34"/>
      <c r="F1296" s="4"/>
      <c r="G1296" s="4"/>
      <c r="H1296" s="7"/>
      <c r="I1296" s="7"/>
      <c r="J1296" s="7"/>
      <c r="K1296" s="7"/>
      <c r="L1296" s="4"/>
      <c r="M1296" s="7">
        <v>7.7600000000000002E-2</v>
      </c>
      <c r="N1296" s="7"/>
      <c r="O1296" s="7"/>
      <c r="P1296" s="7"/>
      <c r="Q1296" s="7"/>
      <c r="R1296" s="7"/>
      <c r="S1296" s="7"/>
      <c r="T1296" s="7">
        <v>0.83660000000000001</v>
      </c>
      <c r="U1296" s="7"/>
      <c r="V1296" s="7"/>
      <c r="W1296" s="7"/>
      <c r="X1296" s="7"/>
      <c r="Y1296" s="7"/>
      <c r="Z1296" s="7"/>
      <c r="AA1296" s="7"/>
      <c r="AB1296" s="7"/>
      <c r="AC1296" s="56"/>
      <c r="AD1296" s="23"/>
    </row>
    <row r="1297" spans="1:30" s="14" customFormat="1">
      <c r="A1297" s="47"/>
      <c r="B1297" s="21"/>
      <c r="C1297" s="130"/>
      <c r="D1297" s="27">
        <f>$C1296*D1296</f>
        <v>1912.93245</v>
      </c>
      <c r="E1297" s="27">
        <f t="shared" ref="E1297" si="2045">$C1296*E1296</f>
        <v>0</v>
      </c>
      <c r="F1297" s="27">
        <f t="shared" ref="F1297" si="2046">$C1296*F1296</f>
        <v>0</v>
      </c>
      <c r="G1297" s="27">
        <f t="shared" ref="G1297:AB1297" si="2047">$C1296*G1296</f>
        <v>0</v>
      </c>
      <c r="H1297" s="27">
        <f t="shared" si="2047"/>
        <v>0</v>
      </c>
      <c r="I1297" s="27">
        <f t="shared" si="2047"/>
        <v>0</v>
      </c>
      <c r="J1297" s="27">
        <f t="shared" si="2047"/>
        <v>0</v>
      </c>
      <c r="K1297" s="27">
        <f t="shared" si="2047"/>
        <v>0</v>
      </c>
      <c r="L1297" s="27">
        <f t="shared" si="2047"/>
        <v>0</v>
      </c>
      <c r="M1297" s="27">
        <f t="shared" si="2047"/>
        <v>1730.1114</v>
      </c>
      <c r="N1297" s="27">
        <f t="shared" si="2047"/>
        <v>0</v>
      </c>
      <c r="O1297" s="27">
        <f t="shared" si="2047"/>
        <v>0</v>
      </c>
      <c r="P1297" s="27">
        <f t="shared" si="2047"/>
        <v>0</v>
      </c>
      <c r="Q1297" s="27">
        <f t="shared" si="2047"/>
        <v>0</v>
      </c>
      <c r="R1297" s="27">
        <f t="shared" si="2047"/>
        <v>0</v>
      </c>
      <c r="S1297" s="27">
        <f t="shared" si="2047"/>
        <v>0</v>
      </c>
      <c r="T1297" s="27">
        <f t="shared" si="2047"/>
        <v>18652.206150000002</v>
      </c>
      <c r="U1297" s="27">
        <f t="shared" si="2047"/>
        <v>0</v>
      </c>
      <c r="V1297" s="27">
        <f t="shared" si="2047"/>
        <v>0</v>
      </c>
      <c r="W1297" s="27">
        <f t="shared" si="2047"/>
        <v>0</v>
      </c>
      <c r="X1297" s="27">
        <f t="shared" si="2047"/>
        <v>0</v>
      </c>
      <c r="Y1297" s="27">
        <f t="shared" si="2047"/>
        <v>0</v>
      </c>
      <c r="Z1297" s="27">
        <f t="shared" si="2047"/>
        <v>0</v>
      </c>
      <c r="AA1297" s="27">
        <f t="shared" si="2047"/>
        <v>0</v>
      </c>
      <c r="AB1297" s="27">
        <f t="shared" si="2047"/>
        <v>0</v>
      </c>
      <c r="AC1297" s="56"/>
      <c r="AD1297" s="23"/>
    </row>
    <row r="1298" spans="1:30" s="14" customFormat="1">
      <c r="A1298" s="136" t="s">
        <v>351</v>
      </c>
      <c r="B1298" s="26">
        <v>299989</v>
      </c>
      <c r="C1298" s="130">
        <f t="shared" si="1990"/>
        <v>24999.08</v>
      </c>
      <c r="D1298" s="7">
        <v>8.5800000000000001E-2</v>
      </c>
      <c r="E1298" s="34"/>
      <c r="F1298" s="4"/>
      <c r="G1298" s="4"/>
      <c r="H1298" s="7"/>
      <c r="I1298" s="7"/>
      <c r="J1298" s="7"/>
      <c r="K1298" s="7"/>
      <c r="L1298" s="4"/>
      <c r="M1298" s="7">
        <v>7.7600000000000002E-2</v>
      </c>
      <c r="N1298" s="7"/>
      <c r="O1298" s="7"/>
      <c r="P1298" s="7"/>
      <c r="Q1298" s="7"/>
      <c r="R1298" s="7"/>
      <c r="S1298" s="7"/>
      <c r="T1298" s="7">
        <v>0.83660000000000001</v>
      </c>
      <c r="U1298" s="7"/>
      <c r="V1298" s="7"/>
      <c r="W1298" s="7"/>
      <c r="X1298" s="7"/>
      <c r="Y1298" s="7"/>
      <c r="Z1298" s="7"/>
      <c r="AA1298" s="7"/>
      <c r="AB1298" s="7"/>
      <c r="AC1298" s="56"/>
      <c r="AD1298" s="23"/>
    </row>
    <row r="1299" spans="1:30" s="14" customFormat="1">
      <c r="A1299" s="47"/>
      <c r="B1299" s="21"/>
      <c r="C1299" s="130"/>
      <c r="D1299" s="27">
        <f>$C1298*D1298</f>
        <v>2144.9210640000001</v>
      </c>
      <c r="E1299" s="27">
        <f t="shared" ref="E1299" si="2048">$C1298*E1298</f>
        <v>0</v>
      </c>
      <c r="F1299" s="27">
        <f t="shared" ref="F1299" si="2049">$C1298*F1298</f>
        <v>0</v>
      </c>
      <c r="G1299" s="27">
        <f t="shared" ref="G1299:AB1299" si="2050">$C1298*G1298</f>
        <v>0</v>
      </c>
      <c r="H1299" s="27">
        <f t="shared" si="2050"/>
        <v>0</v>
      </c>
      <c r="I1299" s="27">
        <f t="shared" si="2050"/>
        <v>0</v>
      </c>
      <c r="J1299" s="27">
        <f t="shared" si="2050"/>
        <v>0</v>
      </c>
      <c r="K1299" s="27">
        <f t="shared" si="2050"/>
        <v>0</v>
      </c>
      <c r="L1299" s="27">
        <f t="shared" si="2050"/>
        <v>0</v>
      </c>
      <c r="M1299" s="27">
        <f t="shared" si="2050"/>
        <v>1939.9286080000002</v>
      </c>
      <c r="N1299" s="27">
        <f t="shared" si="2050"/>
        <v>0</v>
      </c>
      <c r="O1299" s="27">
        <f t="shared" si="2050"/>
        <v>0</v>
      </c>
      <c r="P1299" s="27">
        <f t="shared" si="2050"/>
        <v>0</v>
      </c>
      <c r="Q1299" s="27">
        <f t="shared" si="2050"/>
        <v>0</v>
      </c>
      <c r="R1299" s="27">
        <f t="shared" si="2050"/>
        <v>0</v>
      </c>
      <c r="S1299" s="27">
        <f t="shared" si="2050"/>
        <v>0</v>
      </c>
      <c r="T1299" s="27">
        <f t="shared" si="2050"/>
        <v>20914.230328000001</v>
      </c>
      <c r="U1299" s="27">
        <f t="shared" si="2050"/>
        <v>0</v>
      </c>
      <c r="V1299" s="27">
        <f t="shared" si="2050"/>
        <v>0</v>
      </c>
      <c r="W1299" s="27">
        <f t="shared" si="2050"/>
        <v>0</v>
      </c>
      <c r="X1299" s="27">
        <f t="shared" si="2050"/>
        <v>0</v>
      </c>
      <c r="Y1299" s="27">
        <f t="shared" si="2050"/>
        <v>0</v>
      </c>
      <c r="Z1299" s="27">
        <f t="shared" si="2050"/>
        <v>0</v>
      </c>
      <c r="AA1299" s="27">
        <f t="shared" si="2050"/>
        <v>0</v>
      </c>
      <c r="AB1299" s="27">
        <f t="shared" si="2050"/>
        <v>0</v>
      </c>
      <c r="AC1299" s="56"/>
      <c r="AD1299" s="23"/>
    </row>
    <row r="1300" spans="1:30" s="14" customFormat="1">
      <c r="A1300" s="136" t="s">
        <v>352</v>
      </c>
      <c r="B1300" s="26">
        <v>299756</v>
      </c>
      <c r="C1300" s="130">
        <f t="shared" si="1990"/>
        <v>24979.67</v>
      </c>
      <c r="D1300" s="120">
        <v>7.1999999999999998E-3</v>
      </c>
      <c r="E1300" s="34"/>
      <c r="F1300" s="37"/>
      <c r="G1300" s="37"/>
      <c r="H1300" s="120"/>
      <c r="I1300" s="120"/>
      <c r="J1300" s="120"/>
      <c r="K1300" s="120"/>
      <c r="L1300" s="37"/>
      <c r="M1300" s="120"/>
      <c r="N1300" s="120"/>
      <c r="O1300" s="120"/>
      <c r="P1300" s="120"/>
      <c r="Q1300" s="120">
        <v>0.1736</v>
      </c>
      <c r="R1300" s="120"/>
      <c r="S1300" s="120">
        <v>1.7000000000000001E-2</v>
      </c>
      <c r="T1300" s="120">
        <v>0.44469999999999998</v>
      </c>
      <c r="U1300" s="120"/>
      <c r="V1300" s="120"/>
      <c r="W1300" s="120"/>
      <c r="X1300" s="120">
        <v>0.3352</v>
      </c>
      <c r="Y1300" s="120">
        <v>1.3100000000000001E-2</v>
      </c>
      <c r="Z1300" s="120">
        <v>9.1999999999999998E-3</v>
      </c>
      <c r="AA1300" s="120">
        <v>0</v>
      </c>
      <c r="AB1300" s="120">
        <v>0</v>
      </c>
      <c r="AC1300" s="56"/>
      <c r="AD1300" s="23"/>
    </row>
    <row r="1301" spans="1:30" s="14" customFormat="1">
      <c r="A1301" s="47"/>
      <c r="B1301" s="21"/>
      <c r="C1301" s="130"/>
      <c r="D1301" s="27">
        <f>$C1300*D1300</f>
        <v>179.853624</v>
      </c>
      <c r="E1301" s="27">
        <f t="shared" ref="E1301" si="2051">$C1300*E1300</f>
        <v>0</v>
      </c>
      <c r="F1301" s="27">
        <f t="shared" ref="F1301" si="2052">$C1300*F1300</f>
        <v>0</v>
      </c>
      <c r="G1301" s="27">
        <f t="shared" ref="G1301:AB1301" si="2053">$C1300*G1300</f>
        <v>0</v>
      </c>
      <c r="H1301" s="27">
        <f t="shared" si="2053"/>
        <v>0</v>
      </c>
      <c r="I1301" s="27">
        <f t="shared" si="2053"/>
        <v>0</v>
      </c>
      <c r="J1301" s="27">
        <f t="shared" si="2053"/>
        <v>0</v>
      </c>
      <c r="K1301" s="27">
        <f t="shared" si="2053"/>
        <v>0</v>
      </c>
      <c r="L1301" s="27">
        <f t="shared" si="2053"/>
        <v>0</v>
      </c>
      <c r="M1301" s="27">
        <f t="shared" si="2053"/>
        <v>0</v>
      </c>
      <c r="N1301" s="27">
        <f t="shared" si="2053"/>
        <v>0</v>
      </c>
      <c r="O1301" s="27">
        <f t="shared" si="2053"/>
        <v>0</v>
      </c>
      <c r="P1301" s="27">
        <f t="shared" si="2053"/>
        <v>0</v>
      </c>
      <c r="Q1301" s="27">
        <f t="shared" si="2053"/>
        <v>4336.4707119999994</v>
      </c>
      <c r="R1301" s="27">
        <f t="shared" si="2053"/>
        <v>0</v>
      </c>
      <c r="S1301" s="27">
        <f t="shared" si="2053"/>
        <v>424.65438999999998</v>
      </c>
      <c r="T1301" s="27">
        <f t="shared" si="2053"/>
        <v>11108.459249</v>
      </c>
      <c r="U1301" s="27">
        <f t="shared" si="2053"/>
        <v>0</v>
      </c>
      <c r="V1301" s="27">
        <f t="shared" si="2053"/>
        <v>0</v>
      </c>
      <c r="W1301" s="27">
        <f t="shared" si="2053"/>
        <v>0</v>
      </c>
      <c r="X1301" s="27">
        <f t="shared" si="2053"/>
        <v>8373.1853839999985</v>
      </c>
      <c r="Y1301" s="27">
        <f t="shared" si="2053"/>
        <v>327.233677</v>
      </c>
      <c r="Z1301" s="27">
        <f t="shared" si="2053"/>
        <v>229.81296399999999</v>
      </c>
      <c r="AA1301" s="27">
        <f t="shared" si="2053"/>
        <v>0</v>
      </c>
      <c r="AB1301" s="27">
        <f t="shared" si="2053"/>
        <v>0</v>
      </c>
      <c r="AC1301" s="56"/>
      <c r="AD1301" s="23"/>
    </row>
    <row r="1302" spans="1:30" s="14" customFormat="1">
      <c r="A1302" s="136" t="s">
        <v>353</v>
      </c>
      <c r="B1302" s="26">
        <v>411041</v>
      </c>
      <c r="C1302" s="130">
        <f>ROUND(B1302/12,2)</f>
        <v>34253.42</v>
      </c>
      <c r="D1302" s="7">
        <v>0.14199999999999999</v>
      </c>
      <c r="E1302" s="34"/>
      <c r="F1302" s="4"/>
      <c r="G1302" s="4"/>
      <c r="H1302" s="7"/>
      <c r="I1302" s="7"/>
      <c r="J1302" s="7"/>
      <c r="K1302" s="7"/>
      <c r="L1302" s="4"/>
      <c r="M1302" s="7">
        <v>0.24390000000000001</v>
      </c>
      <c r="N1302" s="7"/>
      <c r="O1302" s="7"/>
      <c r="P1302" s="7"/>
      <c r="Q1302" s="7"/>
      <c r="R1302" s="7"/>
      <c r="S1302" s="7"/>
      <c r="T1302" s="7">
        <v>0.57940000000000003</v>
      </c>
      <c r="U1302" s="7"/>
      <c r="V1302" s="7"/>
      <c r="W1302" s="7"/>
      <c r="X1302" s="7">
        <v>3.4700000000000002E-2</v>
      </c>
      <c r="Y1302" s="7"/>
      <c r="Z1302" s="7"/>
      <c r="AA1302" s="7"/>
      <c r="AB1302" s="7"/>
      <c r="AC1302" s="56"/>
      <c r="AD1302" s="23"/>
    </row>
    <row r="1303" spans="1:30" s="14" customFormat="1">
      <c r="A1303" s="47"/>
      <c r="B1303" s="21"/>
      <c r="C1303" s="130"/>
      <c r="D1303" s="27">
        <f>$C1302*D1302</f>
        <v>4863.985639999999</v>
      </c>
      <c r="E1303" s="27">
        <f t="shared" ref="E1303" si="2054">$C1302*E1302</f>
        <v>0</v>
      </c>
      <c r="F1303" s="27">
        <f t="shared" ref="F1303" si="2055">$C1302*F1302</f>
        <v>0</v>
      </c>
      <c r="G1303" s="27">
        <f t="shared" ref="G1303:AB1303" si="2056">$C1302*G1302</f>
        <v>0</v>
      </c>
      <c r="H1303" s="27">
        <f t="shared" si="2056"/>
        <v>0</v>
      </c>
      <c r="I1303" s="27">
        <f t="shared" si="2056"/>
        <v>0</v>
      </c>
      <c r="J1303" s="27">
        <f t="shared" si="2056"/>
        <v>0</v>
      </c>
      <c r="K1303" s="27">
        <f t="shared" si="2056"/>
        <v>0</v>
      </c>
      <c r="L1303" s="27">
        <f t="shared" si="2056"/>
        <v>0</v>
      </c>
      <c r="M1303" s="27">
        <f t="shared" si="2056"/>
        <v>8354.4091379999991</v>
      </c>
      <c r="N1303" s="27">
        <f t="shared" si="2056"/>
        <v>0</v>
      </c>
      <c r="O1303" s="27">
        <f t="shared" si="2056"/>
        <v>0</v>
      </c>
      <c r="P1303" s="27">
        <f t="shared" si="2056"/>
        <v>0</v>
      </c>
      <c r="Q1303" s="27">
        <f t="shared" si="2056"/>
        <v>0</v>
      </c>
      <c r="R1303" s="27">
        <f t="shared" si="2056"/>
        <v>0</v>
      </c>
      <c r="S1303" s="27">
        <f t="shared" si="2056"/>
        <v>0</v>
      </c>
      <c r="T1303" s="27">
        <f t="shared" si="2056"/>
        <v>19846.431548</v>
      </c>
      <c r="U1303" s="27">
        <f t="shared" si="2056"/>
        <v>0</v>
      </c>
      <c r="V1303" s="27">
        <f t="shared" si="2056"/>
        <v>0</v>
      </c>
      <c r="W1303" s="27">
        <f t="shared" si="2056"/>
        <v>0</v>
      </c>
      <c r="X1303" s="27">
        <f t="shared" si="2056"/>
        <v>1188.593674</v>
      </c>
      <c r="Y1303" s="27">
        <f t="shared" si="2056"/>
        <v>0</v>
      </c>
      <c r="Z1303" s="27">
        <f t="shared" si="2056"/>
        <v>0</v>
      </c>
      <c r="AA1303" s="27">
        <f t="shared" si="2056"/>
        <v>0</v>
      </c>
      <c r="AB1303" s="27">
        <f t="shared" si="2056"/>
        <v>0</v>
      </c>
      <c r="AC1303" s="56"/>
      <c r="AD1303" s="23"/>
    </row>
    <row r="1304" spans="1:30" s="14" customFormat="1">
      <c r="A1304" s="136" t="s">
        <v>354</v>
      </c>
      <c r="B1304" s="26">
        <v>553413</v>
      </c>
      <c r="C1304" s="130">
        <f t="shared" si="1990"/>
        <v>46117.75</v>
      </c>
      <c r="D1304" s="7">
        <v>0.14199999999999999</v>
      </c>
      <c r="E1304" s="34"/>
      <c r="F1304" s="4"/>
      <c r="G1304" s="4"/>
      <c r="H1304" s="7"/>
      <c r="I1304" s="7"/>
      <c r="J1304" s="7"/>
      <c r="K1304" s="7"/>
      <c r="L1304" s="4"/>
      <c r="M1304" s="7">
        <v>0.24390000000000001</v>
      </c>
      <c r="N1304" s="7"/>
      <c r="O1304" s="7"/>
      <c r="P1304" s="7"/>
      <c r="Q1304" s="7"/>
      <c r="R1304" s="7"/>
      <c r="S1304" s="7"/>
      <c r="T1304" s="7">
        <v>0.57940000000000003</v>
      </c>
      <c r="U1304" s="7"/>
      <c r="V1304" s="7"/>
      <c r="W1304" s="7"/>
      <c r="X1304" s="7">
        <v>3.4700000000000002E-2</v>
      </c>
      <c r="Y1304" s="7"/>
      <c r="Z1304" s="7"/>
      <c r="AA1304" s="7"/>
      <c r="AB1304" s="7"/>
      <c r="AC1304" s="56"/>
      <c r="AD1304" s="23"/>
    </row>
    <row r="1305" spans="1:30" s="14" customFormat="1">
      <c r="A1305" s="47"/>
      <c r="B1305" s="21"/>
      <c r="C1305" s="130"/>
      <c r="D1305" s="27">
        <f>$C1304*D1304</f>
        <v>6548.7204999999994</v>
      </c>
      <c r="E1305" s="27">
        <f t="shared" ref="E1305" si="2057">$C1304*E1304</f>
        <v>0</v>
      </c>
      <c r="F1305" s="27">
        <f t="shared" ref="F1305" si="2058">$C1304*F1304</f>
        <v>0</v>
      </c>
      <c r="G1305" s="27">
        <f t="shared" ref="G1305:AB1305" si="2059">$C1304*G1304</f>
        <v>0</v>
      </c>
      <c r="H1305" s="27">
        <f t="shared" si="2059"/>
        <v>0</v>
      </c>
      <c r="I1305" s="27">
        <f t="shared" si="2059"/>
        <v>0</v>
      </c>
      <c r="J1305" s="27">
        <f t="shared" si="2059"/>
        <v>0</v>
      </c>
      <c r="K1305" s="27">
        <f t="shared" si="2059"/>
        <v>0</v>
      </c>
      <c r="L1305" s="27">
        <f t="shared" si="2059"/>
        <v>0</v>
      </c>
      <c r="M1305" s="27">
        <f t="shared" si="2059"/>
        <v>11248.119225</v>
      </c>
      <c r="N1305" s="27">
        <f t="shared" si="2059"/>
        <v>0</v>
      </c>
      <c r="O1305" s="27">
        <f t="shared" si="2059"/>
        <v>0</v>
      </c>
      <c r="P1305" s="27">
        <f t="shared" si="2059"/>
        <v>0</v>
      </c>
      <c r="Q1305" s="27">
        <f t="shared" si="2059"/>
        <v>0</v>
      </c>
      <c r="R1305" s="27">
        <f t="shared" si="2059"/>
        <v>0</v>
      </c>
      <c r="S1305" s="27">
        <f t="shared" si="2059"/>
        <v>0</v>
      </c>
      <c r="T1305" s="27">
        <f t="shared" si="2059"/>
        <v>26720.624350000002</v>
      </c>
      <c r="U1305" s="27">
        <f t="shared" si="2059"/>
        <v>0</v>
      </c>
      <c r="V1305" s="27">
        <f t="shared" si="2059"/>
        <v>0</v>
      </c>
      <c r="W1305" s="27">
        <f t="shared" si="2059"/>
        <v>0</v>
      </c>
      <c r="X1305" s="27">
        <f t="shared" si="2059"/>
        <v>1600.2859250000001</v>
      </c>
      <c r="Y1305" s="27">
        <f t="shared" si="2059"/>
        <v>0</v>
      </c>
      <c r="Z1305" s="27">
        <f t="shared" si="2059"/>
        <v>0</v>
      </c>
      <c r="AA1305" s="27">
        <f t="shared" si="2059"/>
        <v>0</v>
      </c>
      <c r="AB1305" s="27">
        <f t="shared" si="2059"/>
        <v>0</v>
      </c>
      <c r="AC1305" s="56"/>
      <c r="AD1305" s="23"/>
    </row>
    <row r="1306" spans="1:30" s="14" customFormat="1">
      <c r="A1306" s="136" t="s">
        <v>355</v>
      </c>
      <c r="B1306" s="26">
        <v>313404</v>
      </c>
      <c r="C1306" s="130">
        <f t="shared" si="1990"/>
        <v>26117</v>
      </c>
      <c r="D1306" s="7">
        <v>0.65229999999999999</v>
      </c>
      <c r="E1306" s="34"/>
      <c r="F1306" s="4"/>
      <c r="G1306" s="4"/>
      <c r="H1306" s="7"/>
      <c r="I1306" s="7"/>
      <c r="J1306" s="7"/>
      <c r="K1306" s="7"/>
      <c r="L1306" s="4"/>
      <c r="M1306" s="7"/>
      <c r="N1306" s="7"/>
      <c r="O1306" s="7"/>
      <c r="P1306" s="7"/>
      <c r="Q1306" s="7">
        <v>0.25869999999999999</v>
      </c>
      <c r="R1306" s="7"/>
      <c r="S1306" s="7">
        <v>2.5499999999999998E-2</v>
      </c>
      <c r="T1306" s="7"/>
      <c r="U1306" s="7"/>
      <c r="V1306" s="7"/>
      <c r="W1306" s="7"/>
      <c r="X1306" s="7">
        <v>6.3500000000000001E-2</v>
      </c>
      <c r="Y1306" s="7"/>
      <c r="Z1306" s="7"/>
      <c r="AA1306" s="7"/>
      <c r="AB1306" s="7"/>
      <c r="AC1306" s="56"/>
      <c r="AD1306" s="23"/>
    </row>
    <row r="1307" spans="1:30" s="14" customFormat="1">
      <c r="A1307" s="47"/>
      <c r="B1307" s="21"/>
      <c r="C1307" s="130"/>
      <c r="D1307" s="27">
        <f t="shared" ref="D1307" si="2060">$C1306*D1306</f>
        <v>17036.1191</v>
      </c>
      <c r="E1307" s="27">
        <f t="shared" ref="E1307" si="2061">$C1306*E1306</f>
        <v>0</v>
      </c>
      <c r="F1307" s="27">
        <f t="shared" ref="F1307:AB1307" si="2062">$C1306*F1306</f>
        <v>0</v>
      </c>
      <c r="G1307" s="27">
        <f t="shared" si="2062"/>
        <v>0</v>
      </c>
      <c r="H1307" s="27">
        <f t="shared" si="2062"/>
        <v>0</v>
      </c>
      <c r="I1307" s="27">
        <f t="shared" si="2062"/>
        <v>0</v>
      </c>
      <c r="J1307" s="27">
        <f t="shared" si="2062"/>
        <v>0</v>
      </c>
      <c r="K1307" s="27">
        <f t="shared" si="2062"/>
        <v>0</v>
      </c>
      <c r="L1307" s="27">
        <f t="shared" si="2062"/>
        <v>0</v>
      </c>
      <c r="M1307" s="27">
        <f t="shared" si="2062"/>
        <v>0</v>
      </c>
      <c r="N1307" s="27">
        <f t="shared" si="2062"/>
        <v>0</v>
      </c>
      <c r="O1307" s="27">
        <f t="shared" si="2062"/>
        <v>0</v>
      </c>
      <c r="P1307" s="27">
        <f t="shared" si="2062"/>
        <v>0</v>
      </c>
      <c r="Q1307" s="27">
        <f t="shared" si="2062"/>
        <v>6756.4678999999996</v>
      </c>
      <c r="R1307" s="27">
        <f t="shared" si="2062"/>
        <v>0</v>
      </c>
      <c r="S1307" s="27">
        <f t="shared" si="2062"/>
        <v>665.98349999999994</v>
      </c>
      <c r="T1307" s="27">
        <f t="shared" si="2062"/>
        <v>0</v>
      </c>
      <c r="U1307" s="27">
        <f t="shared" si="2062"/>
        <v>0</v>
      </c>
      <c r="V1307" s="27">
        <f t="shared" si="2062"/>
        <v>0</v>
      </c>
      <c r="W1307" s="27">
        <f t="shared" si="2062"/>
        <v>0</v>
      </c>
      <c r="X1307" s="27">
        <f t="shared" si="2062"/>
        <v>1658.4295</v>
      </c>
      <c r="Y1307" s="27">
        <f t="shared" si="2062"/>
        <v>0</v>
      </c>
      <c r="Z1307" s="27">
        <f t="shared" si="2062"/>
        <v>0</v>
      </c>
      <c r="AA1307" s="27">
        <f t="shared" si="2062"/>
        <v>0</v>
      </c>
      <c r="AB1307" s="27">
        <f t="shared" si="2062"/>
        <v>0</v>
      </c>
      <c r="AC1307" s="56"/>
      <c r="AD1307" s="23"/>
    </row>
    <row r="1308" spans="1:30" s="14" customFormat="1">
      <c r="A1308" s="136" t="s">
        <v>356</v>
      </c>
      <c r="B1308" s="26">
        <v>255610</v>
      </c>
      <c r="C1308" s="130">
        <f t="shared" si="1990"/>
        <v>21300.83</v>
      </c>
      <c r="D1308" s="7">
        <v>0.89870000000000005</v>
      </c>
      <c r="E1308" s="34"/>
      <c r="F1308" s="4"/>
      <c r="G1308" s="4"/>
      <c r="H1308" s="7"/>
      <c r="I1308" s="7"/>
      <c r="J1308" s="7"/>
      <c r="K1308" s="7"/>
      <c r="L1308" s="4"/>
      <c r="M1308" s="7"/>
      <c r="N1308" s="7"/>
      <c r="O1308" s="7"/>
      <c r="P1308" s="7"/>
      <c r="Q1308" s="7">
        <v>9.4799999999999995E-2</v>
      </c>
      <c r="R1308" s="7"/>
      <c r="S1308" s="7">
        <v>6.4999999999999997E-3</v>
      </c>
      <c r="T1308" s="7"/>
      <c r="U1308" s="7"/>
      <c r="V1308" s="7"/>
      <c r="W1308" s="7"/>
      <c r="X1308" s="7"/>
      <c r="Y1308" s="7"/>
      <c r="Z1308" s="7"/>
      <c r="AA1308" s="7"/>
      <c r="AB1308" s="7"/>
      <c r="AC1308" s="56"/>
      <c r="AD1308" s="23"/>
    </row>
    <row r="1309" spans="1:30" s="14" customFormat="1">
      <c r="A1309" s="47"/>
      <c r="B1309" s="21"/>
      <c r="C1309" s="130"/>
      <c r="D1309" s="27">
        <f t="shared" ref="D1309" si="2063">$C1308*D1308</f>
        <v>19143.055921000003</v>
      </c>
      <c r="E1309" s="27">
        <f t="shared" ref="E1309" si="2064">$C1308*E1308</f>
        <v>0</v>
      </c>
      <c r="F1309" s="27">
        <f t="shared" ref="F1309:AB1309" si="2065">$C1308*F1308</f>
        <v>0</v>
      </c>
      <c r="G1309" s="27">
        <f t="shared" si="2065"/>
        <v>0</v>
      </c>
      <c r="H1309" s="27">
        <f t="shared" si="2065"/>
        <v>0</v>
      </c>
      <c r="I1309" s="27">
        <f t="shared" si="2065"/>
        <v>0</v>
      </c>
      <c r="J1309" s="27">
        <f t="shared" si="2065"/>
        <v>0</v>
      </c>
      <c r="K1309" s="27">
        <f t="shared" si="2065"/>
        <v>0</v>
      </c>
      <c r="L1309" s="27">
        <f t="shared" si="2065"/>
        <v>0</v>
      </c>
      <c r="M1309" s="27">
        <f t="shared" si="2065"/>
        <v>0</v>
      </c>
      <c r="N1309" s="27">
        <f t="shared" si="2065"/>
        <v>0</v>
      </c>
      <c r="O1309" s="27">
        <f t="shared" si="2065"/>
        <v>0</v>
      </c>
      <c r="P1309" s="27">
        <f t="shared" si="2065"/>
        <v>0</v>
      </c>
      <c r="Q1309" s="27">
        <f t="shared" si="2065"/>
        <v>2019.3186840000001</v>
      </c>
      <c r="R1309" s="27">
        <f t="shared" si="2065"/>
        <v>0</v>
      </c>
      <c r="S1309" s="27">
        <f t="shared" si="2065"/>
        <v>138.45539500000001</v>
      </c>
      <c r="T1309" s="27">
        <f t="shared" si="2065"/>
        <v>0</v>
      </c>
      <c r="U1309" s="27">
        <f t="shared" si="2065"/>
        <v>0</v>
      </c>
      <c r="V1309" s="27">
        <f t="shared" si="2065"/>
        <v>0</v>
      </c>
      <c r="W1309" s="27">
        <f t="shared" si="2065"/>
        <v>0</v>
      </c>
      <c r="X1309" s="27">
        <f t="shared" si="2065"/>
        <v>0</v>
      </c>
      <c r="Y1309" s="27">
        <f t="shared" si="2065"/>
        <v>0</v>
      </c>
      <c r="Z1309" s="27">
        <f t="shared" si="2065"/>
        <v>0</v>
      </c>
      <c r="AA1309" s="27">
        <f t="shared" si="2065"/>
        <v>0</v>
      </c>
      <c r="AB1309" s="27">
        <f t="shared" si="2065"/>
        <v>0</v>
      </c>
      <c r="AC1309" s="56"/>
      <c r="AD1309" s="23"/>
    </row>
    <row r="1310" spans="1:30" s="14" customFormat="1">
      <c r="A1310" s="136" t="s">
        <v>357</v>
      </c>
      <c r="B1310" s="26">
        <v>249129</v>
      </c>
      <c r="C1310" s="130">
        <f t="shared" si="1990"/>
        <v>20760.75</v>
      </c>
      <c r="D1310" s="120"/>
      <c r="E1310" s="34"/>
      <c r="F1310" s="37"/>
      <c r="G1310" s="37"/>
      <c r="H1310" s="120"/>
      <c r="I1310" s="120"/>
      <c r="J1310" s="120"/>
      <c r="K1310" s="120"/>
      <c r="L1310" s="37"/>
      <c r="M1310" s="120"/>
      <c r="N1310" s="120"/>
      <c r="O1310" s="120"/>
      <c r="P1310" s="120"/>
      <c r="Q1310" s="120">
        <v>0.37169999999999997</v>
      </c>
      <c r="R1310" s="120"/>
      <c r="S1310" s="120">
        <v>4.4600000000000001E-2</v>
      </c>
      <c r="T1310" s="120"/>
      <c r="U1310" s="120"/>
      <c r="V1310" s="120"/>
      <c r="W1310" s="120"/>
      <c r="X1310" s="120">
        <v>0.54139999999999999</v>
      </c>
      <c r="Y1310" s="120">
        <v>2.3199999999999998E-2</v>
      </c>
      <c r="Z1310" s="120">
        <v>1.9099999999999999E-2</v>
      </c>
      <c r="AA1310" s="120">
        <v>0</v>
      </c>
      <c r="AB1310" s="120">
        <v>0</v>
      </c>
      <c r="AC1310" s="56"/>
      <c r="AD1310" s="23"/>
    </row>
    <row r="1311" spans="1:30" s="14" customFormat="1">
      <c r="A1311" s="47"/>
      <c r="B1311" s="21"/>
      <c r="C1311" s="130"/>
      <c r="D1311" s="27">
        <f t="shared" ref="D1311" si="2066">$C1310*D1310</f>
        <v>0</v>
      </c>
      <c r="E1311" s="27">
        <f t="shared" ref="E1311" si="2067">$C1310*E1310</f>
        <v>0</v>
      </c>
      <c r="F1311" s="27">
        <f t="shared" ref="F1311:AB1311" si="2068">$C1310*F1310</f>
        <v>0</v>
      </c>
      <c r="G1311" s="27">
        <f t="shared" si="2068"/>
        <v>0</v>
      </c>
      <c r="H1311" s="27">
        <f t="shared" si="2068"/>
        <v>0</v>
      </c>
      <c r="I1311" s="27">
        <f t="shared" si="2068"/>
        <v>0</v>
      </c>
      <c r="J1311" s="27">
        <f t="shared" si="2068"/>
        <v>0</v>
      </c>
      <c r="K1311" s="27">
        <f t="shared" si="2068"/>
        <v>0</v>
      </c>
      <c r="L1311" s="27">
        <f t="shared" si="2068"/>
        <v>0</v>
      </c>
      <c r="M1311" s="27">
        <f t="shared" si="2068"/>
        <v>0</v>
      </c>
      <c r="N1311" s="27">
        <f t="shared" si="2068"/>
        <v>0</v>
      </c>
      <c r="O1311" s="27">
        <f t="shared" si="2068"/>
        <v>0</v>
      </c>
      <c r="P1311" s="27">
        <f t="shared" si="2068"/>
        <v>0</v>
      </c>
      <c r="Q1311" s="27">
        <f t="shared" si="2068"/>
        <v>7716.770774999999</v>
      </c>
      <c r="R1311" s="27">
        <f t="shared" si="2068"/>
        <v>0</v>
      </c>
      <c r="S1311" s="27">
        <f t="shared" si="2068"/>
        <v>925.92944999999997</v>
      </c>
      <c r="T1311" s="27">
        <f t="shared" si="2068"/>
        <v>0</v>
      </c>
      <c r="U1311" s="27">
        <f t="shared" si="2068"/>
        <v>0</v>
      </c>
      <c r="V1311" s="27">
        <f t="shared" si="2068"/>
        <v>0</v>
      </c>
      <c r="W1311" s="27">
        <f t="shared" si="2068"/>
        <v>0</v>
      </c>
      <c r="X1311" s="27">
        <f t="shared" si="2068"/>
        <v>11239.87005</v>
      </c>
      <c r="Y1311" s="27">
        <f t="shared" si="2068"/>
        <v>481.64939999999996</v>
      </c>
      <c r="Z1311" s="27">
        <f t="shared" si="2068"/>
        <v>396.530325</v>
      </c>
      <c r="AA1311" s="27">
        <f t="shared" si="2068"/>
        <v>0</v>
      </c>
      <c r="AB1311" s="27">
        <f t="shared" si="2068"/>
        <v>0</v>
      </c>
      <c r="AC1311" s="56"/>
      <c r="AD1311" s="23"/>
    </row>
    <row r="1312" spans="1:30" s="14" customFormat="1">
      <c r="A1312" s="136" t="s">
        <v>387</v>
      </c>
      <c r="B1312" s="26">
        <v>210089</v>
      </c>
      <c r="C1312" s="130">
        <f t="shared" si="1990"/>
        <v>17507.419999999998</v>
      </c>
      <c r="D1312" s="120"/>
      <c r="E1312" s="34"/>
      <c r="F1312" s="37"/>
      <c r="G1312" s="37"/>
      <c r="H1312" s="120"/>
      <c r="I1312" s="120"/>
      <c r="J1312" s="120"/>
      <c r="K1312" s="120"/>
      <c r="L1312" s="37"/>
      <c r="M1312" s="120"/>
      <c r="N1312" s="120"/>
      <c r="O1312" s="120"/>
      <c r="P1312" s="120">
        <v>7.9000000000000008E-3</v>
      </c>
      <c r="Q1312" s="120">
        <v>0.12820000000000001</v>
      </c>
      <c r="R1312" s="120"/>
      <c r="S1312" s="120">
        <v>1.18E-2</v>
      </c>
      <c r="T1312" s="120">
        <v>0.51080000000000003</v>
      </c>
      <c r="U1312" s="120"/>
      <c r="V1312" s="120">
        <v>5.7000000000000002E-3</v>
      </c>
      <c r="W1312" s="120"/>
      <c r="X1312" s="120">
        <v>0.31459999999999999</v>
      </c>
      <c r="Y1312" s="120">
        <v>1.2500000000000001E-2</v>
      </c>
      <c r="Z1312" s="120">
        <v>8.5000000000000006E-3</v>
      </c>
      <c r="AA1312" s="120"/>
      <c r="AB1312" s="120"/>
      <c r="AC1312" s="56"/>
      <c r="AD1312" s="23"/>
    </row>
    <row r="1313" spans="1:30" s="14" customFormat="1">
      <c r="A1313" s="47"/>
      <c r="B1313" s="21"/>
      <c r="C1313" s="130"/>
      <c r="D1313" s="27">
        <f t="shared" ref="D1313" si="2069">$C1312*D1312</f>
        <v>0</v>
      </c>
      <c r="E1313" s="27">
        <f t="shared" ref="E1313" si="2070">$C1312*E1312</f>
        <v>0</v>
      </c>
      <c r="F1313" s="27">
        <f t="shared" ref="F1313:AB1313" si="2071">$C1312*F1312</f>
        <v>0</v>
      </c>
      <c r="G1313" s="27">
        <f t="shared" si="2071"/>
        <v>0</v>
      </c>
      <c r="H1313" s="27">
        <f t="shared" si="2071"/>
        <v>0</v>
      </c>
      <c r="I1313" s="27">
        <f t="shared" si="2071"/>
        <v>0</v>
      </c>
      <c r="J1313" s="27">
        <f t="shared" si="2071"/>
        <v>0</v>
      </c>
      <c r="K1313" s="27">
        <f t="shared" si="2071"/>
        <v>0</v>
      </c>
      <c r="L1313" s="27">
        <f t="shared" si="2071"/>
        <v>0</v>
      </c>
      <c r="M1313" s="27">
        <f t="shared" si="2071"/>
        <v>0</v>
      </c>
      <c r="N1313" s="27">
        <f t="shared" si="2071"/>
        <v>0</v>
      </c>
      <c r="O1313" s="27">
        <f t="shared" si="2071"/>
        <v>0</v>
      </c>
      <c r="P1313" s="27">
        <f t="shared" si="2071"/>
        <v>138.308618</v>
      </c>
      <c r="Q1313" s="27">
        <f t="shared" si="2071"/>
        <v>2244.4512439999999</v>
      </c>
      <c r="R1313" s="27">
        <f t="shared" si="2071"/>
        <v>0</v>
      </c>
      <c r="S1313" s="27">
        <f t="shared" si="2071"/>
        <v>206.58755599999998</v>
      </c>
      <c r="T1313" s="27">
        <f t="shared" si="2071"/>
        <v>8942.7901359999996</v>
      </c>
      <c r="U1313" s="27">
        <f t="shared" si="2071"/>
        <v>0</v>
      </c>
      <c r="V1313" s="27">
        <f t="shared" si="2071"/>
        <v>99.792293999999998</v>
      </c>
      <c r="W1313" s="27">
        <f t="shared" si="2071"/>
        <v>0</v>
      </c>
      <c r="X1313" s="27">
        <f t="shared" si="2071"/>
        <v>5507.8343319999994</v>
      </c>
      <c r="Y1313" s="27">
        <f t="shared" si="2071"/>
        <v>218.84275</v>
      </c>
      <c r="Z1313" s="27">
        <f t="shared" si="2071"/>
        <v>148.81306999999998</v>
      </c>
      <c r="AA1313" s="27">
        <f t="shared" si="2071"/>
        <v>0</v>
      </c>
      <c r="AB1313" s="27">
        <f t="shared" si="2071"/>
        <v>0</v>
      </c>
      <c r="AC1313" s="56"/>
      <c r="AD1313" s="23"/>
    </row>
    <row r="1314" spans="1:30" s="14" customFormat="1">
      <c r="A1314" s="78" t="s">
        <v>388</v>
      </c>
      <c r="B1314" s="26">
        <f>697053/2</f>
        <v>348526.5</v>
      </c>
      <c r="C1314" s="130">
        <f t="shared" si="1990"/>
        <v>29043.88</v>
      </c>
      <c r="D1314" s="35">
        <v>1.6299999999999999E-2</v>
      </c>
      <c r="E1314" s="35">
        <v>0.14269999999999999</v>
      </c>
      <c r="F1314" s="35">
        <v>5.8900000000000001E-2</v>
      </c>
      <c r="G1314" s="35">
        <v>7.6200000000000004E-2</v>
      </c>
      <c r="H1314" s="35">
        <v>3.9600000000000003E-2</v>
      </c>
      <c r="I1314" s="35">
        <v>0.12470000000000001</v>
      </c>
      <c r="J1314" s="35">
        <v>2.0400000000000001E-2</v>
      </c>
      <c r="K1314" s="35">
        <v>3.1199999999999999E-2</v>
      </c>
      <c r="L1314" s="35">
        <v>1.6199999999999999E-2</v>
      </c>
      <c r="M1314" s="35">
        <v>2.53E-2</v>
      </c>
      <c r="N1314" s="35">
        <v>0.14849999999999999</v>
      </c>
      <c r="O1314" s="35">
        <v>2.2599999999999999E-2</v>
      </c>
      <c r="P1314" s="35">
        <v>0</v>
      </c>
      <c r="Q1314" s="35">
        <v>3.78E-2</v>
      </c>
      <c r="R1314" s="35">
        <v>1.8100000000000002E-2</v>
      </c>
      <c r="S1314" s="35">
        <v>4.1000000000000003E-3</v>
      </c>
      <c r="T1314" s="35">
        <v>5.04E-2</v>
      </c>
      <c r="U1314" s="35">
        <v>1.7500000000000002E-2</v>
      </c>
      <c r="V1314" s="35">
        <v>3.6200000000000003E-2</v>
      </c>
      <c r="W1314" s="35">
        <v>4.8500000000000001E-2</v>
      </c>
      <c r="X1314" s="35">
        <v>6.1600000000000002E-2</v>
      </c>
      <c r="Y1314" s="35">
        <v>2.5000000000000001E-3</v>
      </c>
      <c r="Z1314" s="4">
        <v>0</v>
      </c>
      <c r="AA1314" s="4">
        <v>6.9999999999999999E-4</v>
      </c>
      <c r="AB1314" s="4">
        <v>0</v>
      </c>
      <c r="AC1314" s="56"/>
      <c r="AD1314" s="23"/>
    </row>
    <row r="1315" spans="1:30" s="14" customFormat="1">
      <c r="A1315" s="79"/>
      <c r="B1315" s="27"/>
      <c r="C1315" s="130"/>
      <c r="D1315" s="5">
        <f t="shared" ref="D1315" si="2072">$C1314*D1314</f>
        <v>473.41524399999997</v>
      </c>
      <c r="E1315" s="5">
        <f t="shared" ref="E1315" si="2073">$C1314*E1314</f>
        <v>4144.5616760000003</v>
      </c>
      <c r="F1315" s="5">
        <f t="shared" ref="F1315:AB1315" si="2074">$C1314*F1314</f>
        <v>1710.684532</v>
      </c>
      <c r="G1315" s="5">
        <f t="shared" si="2074"/>
        <v>2213.1436560000002</v>
      </c>
      <c r="H1315" s="5">
        <f t="shared" si="2074"/>
        <v>1150.1376480000001</v>
      </c>
      <c r="I1315" s="5">
        <f t="shared" si="2074"/>
        <v>3621.7718360000003</v>
      </c>
      <c r="J1315" s="5">
        <f t="shared" si="2074"/>
        <v>592.49515200000008</v>
      </c>
      <c r="K1315" s="5">
        <f t="shared" si="2074"/>
        <v>906.16905599999996</v>
      </c>
      <c r="L1315" s="5">
        <f t="shared" si="2074"/>
        <v>470.51085599999999</v>
      </c>
      <c r="M1315" s="5">
        <f t="shared" si="2074"/>
        <v>734.81016399999999</v>
      </c>
      <c r="N1315" s="5">
        <f t="shared" si="2074"/>
        <v>4313.0161799999996</v>
      </c>
      <c r="O1315" s="5">
        <f t="shared" si="2074"/>
        <v>656.39168799999993</v>
      </c>
      <c r="P1315" s="5">
        <f t="shared" si="2074"/>
        <v>0</v>
      </c>
      <c r="Q1315" s="5">
        <f t="shared" si="2074"/>
        <v>1097.8586640000001</v>
      </c>
      <c r="R1315" s="5">
        <f t="shared" si="2074"/>
        <v>525.69422800000007</v>
      </c>
      <c r="S1315" s="5">
        <f t="shared" si="2074"/>
        <v>119.07990800000002</v>
      </c>
      <c r="T1315" s="5">
        <f t="shared" si="2074"/>
        <v>1463.8115520000001</v>
      </c>
      <c r="U1315" s="5">
        <f t="shared" si="2074"/>
        <v>508.26790000000005</v>
      </c>
      <c r="V1315" s="5">
        <f t="shared" si="2074"/>
        <v>1051.3884560000001</v>
      </c>
      <c r="W1315" s="5">
        <f t="shared" si="2074"/>
        <v>1408.6281800000002</v>
      </c>
      <c r="X1315" s="5">
        <f t="shared" si="2074"/>
        <v>1789.103008</v>
      </c>
      <c r="Y1315" s="5">
        <f t="shared" si="2074"/>
        <v>72.609700000000004</v>
      </c>
      <c r="Z1315" s="5">
        <f t="shared" si="2074"/>
        <v>0</v>
      </c>
      <c r="AA1315" s="5">
        <f t="shared" si="2074"/>
        <v>20.330715999999999</v>
      </c>
      <c r="AB1315" s="5">
        <f t="shared" si="2074"/>
        <v>0</v>
      </c>
      <c r="AC1315" s="56"/>
      <c r="AD1315" s="23"/>
    </row>
    <row r="1316" spans="1:30" s="14" customFormat="1">
      <c r="A1316" s="78" t="s">
        <v>458</v>
      </c>
      <c r="B1316" s="26">
        <f>697053/2</f>
        <v>348526.5</v>
      </c>
      <c r="C1316" s="130">
        <f t="shared" si="1990"/>
        <v>29043.88</v>
      </c>
      <c r="D1316" s="4">
        <v>8.8800000000000004E-2</v>
      </c>
      <c r="E1316" s="4"/>
      <c r="F1316" s="4"/>
      <c r="G1316" s="4"/>
      <c r="H1316" s="4"/>
      <c r="I1316" s="4"/>
      <c r="J1316" s="4"/>
      <c r="K1316" s="4"/>
      <c r="L1316" s="4"/>
      <c r="M1316" s="4">
        <v>0.1061</v>
      </c>
      <c r="N1316" s="4"/>
      <c r="O1316" s="4"/>
      <c r="P1316" s="4"/>
      <c r="Q1316" s="4">
        <v>0.1469</v>
      </c>
      <c r="R1316" s="4"/>
      <c r="S1316" s="4"/>
      <c r="T1316" s="4">
        <v>0.65749999999999997</v>
      </c>
      <c r="U1316" s="4"/>
      <c r="V1316" s="4"/>
      <c r="W1316" s="4">
        <v>2.9999999999999997E-4</v>
      </c>
      <c r="X1316" s="4">
        <v>4.0000000000000002E-4</v>
      </c>
      <c r="Y1316" s="4"/>
      <c r="Z1316" s="4"/>
      <c r="AA1316" s="4"/>
      <c r="AB1316" s="4"/>
      <c r="AC1316" s="56"/>
      <c r="AD1316" s="23"/>
    </row>
    <row r="1317" spans="1:30" s="14" customFormat="1">
      <c r="A1317" s="79"/>
      <c r="B1317" s="9"/>
      <c r="C1317" s="130"/>
      <c r="D1317" s="5">
        <f t="shared" ref="D1317" si="2075">$C1316*D1316</f>
        <v>2579.096544</v>
      </c>
      <c r="E1317" s="5">
        <f t="shared" ref="E1317" si="2076">$C1316*E1316</f>
        <v>0</v>
      </c>
      <c r="F1317" s="5">
        <f t="shared" ref="F1317:O1317" si="2077">$C1316*F1316</f>
        <v>0</v>
      </c>
      <c r="G1317" s="5">
        <f t="shared" si="2077"/>
        <v>0</v>
      </c>
      <c r="H1317" s="5">
        <f t="shared" si="2077"/>
        <v>0</v>
      </c>
      <c r="I1317" s="5">
        <f t="shared" si="2077"/>
        <v>0</v>
      </c>
      <c r="J1317" s="5">
        <f t="shared" si="2077"/>
        <v>0</v>
      </c>
      <c r="K1317" s="5">
        <f t="shared" si="2077"/>
        <v>0</v>
      </c>
      <c r="L1317" s="5">
        <f t="shared" si="2077"/>
        <v>0</v>
      </c>
      <c r="M1317" s="5">
        <f t="shared" si="2077"/>
        <v>3081.555668</v>
      </c>
      <c r="N1317" s="5">
        <f t="shared" si="2077"/>
        <v>0</v>
      </c>
      <c r="O1317" s="5">
        <f t="shared" si="2077"/>
        <v>0</v>
      </c>
      <c r="P1317" s="5">
        <f t="shared" ref="P1317" si="2078">$C1316*P1316</f>
        <v>0</v>
      </c>
      <c r="Q1317" s="5">
        <f t="shared" ref="Q1317" si="2079">$C1316*Q1316</f>
        <v>4266.5459719999999</v>
      </c>
      <c r="R1317" s="5">
        <f t="shared" ref="R1317:AB1317" si="2080">$C1316*R1316</f>
        <v>0</v>
      </c>
      <c r="S1317" s="5">
        <f t="shared" si="2080"/>
        <v>0</v>
      </c>
      <c r="T1317" s="5">
        <f t="shared" si="2080"/>
        <v>19096.3511</v>
      </c>
      <c r="U1317" s="5">
        <f t="shared" si="2080"/>
        <v>0</v>
      </c>
      <c r="V1317" s="5">
        <f t="shared" si="2080"/>
        <v>0</v>
      </c>
      <c r="W1317" s="5">
        <f t="shared" si="2080"/>
        <v>8.713163999999999</v>
      </c>
      <c r="X1317" s="5">
        <f t="shared" si="2080"/>
        <v>11.617552000000002</v>
      </c>
      <c r="Y1317" s="5">
        <f t="shared" si="2080"/>
        <v>0</v>
      </c>
      <c r="Z1317" s="5">
        <f t="shared" si="2080"/>
        <v>0</v>
      </c>
      <c r="AA1317" s="5">
        <f t="shared" si="2080"/>
        <v>0</v>
      </c>
      <c r="AB1317" s="5">
        <f t="shared" si="2080"/>
        <v>0</v>
      </c>
      <c r="AC1317" s="56"/>
      <c r="AD1317" s="23"/>
    </row>
    <row r="1318" spans="1:30" s="14" customFormat="1">
      <c r="A1318" s="78" t="s">
        <v>389</v>
      </c>
      <c r="B1318" s="26">
        <v>522144</v>
      </c>
      <c r="C1318" s="130">
        <f t="shared" si="1990"/>
        <v>43512</v>
      </c>
      <c r="D1318" s="7">
        <v>0.14199999999999999</v>
      </c>
      <c r="E1318" s="34"/>
      <c r="F1318" s="4"/>
      <c r="G1318" s="4"/>
      <c r="H1318" s="7"/>
      <c r="I1318" s="7"/>
      <c r="J1318" s="7"/>
      <c r="K1318" s="7"/>
      <c r="L1318" s="4"/>
      <c r="M1318" s="7">
        <v>0.24390000000000001</v>
      </c>
      <c r="N1318" s="7"/>
      <c r="O1318" s="7"/>
      <c r="P1318" s="7"/>
      <c r="Q1318" s="7"/>
      <c r="R1318" s="7"/>
      <c r="S1318" s="7"/>
      <c r="T1318" s="7">
        <v>0.57940000000000003</v>
      </c>
      <c r="U1318" s="7"/>
      <c r="V1318" s="7"/>
      <c r="W1318" s="7"/>
      <c r="X1318" s="7">
        <v>3.4700000000000002E-2</v>
      </c>
      <c r="Y1318" s="7"/>
      <c r="Z1318" s="7"/>
      <c r="AA1318" s="7"/>
      <c r="AB1318" s="7"/>
      <c r="AC1318" s="56"/>
      <c r="AD1318" s="23"/>
    </row>
    <row r="1319" spans="1:30" s="14" customFormat="1">
      <c r="A1319" s="47"/>
      <c r="B1319" s="21"/>
      <c r="C1319" s="130"/>
      <c r="D1319" s="27">
        <f t="shared" ref="D1319" si="2081">$C1318*D1318</f>
        <v>6178.7039999999997</v>
      </c>
      <c r="E1319" s="27">
        <f t="shared" ref="E1319" si="2082">$C1318*E1318</f>
        <v>0</v>
      </c>
      <c r="F1319" s="27">
        <f t="shared" ref="F1319:AB1319" si="2083">$C1318*F1318</f>
        <v>0</v>
      </c>
      <c r="G1319" s="27">
        <f t="shared" si="2083"/>
        <v>0</v>
      </c>
      <c r="H1319" s="27">
        <f t="shared" si="2083"/>
        <v>0</v>
      </c>
      <c r="I1319" s="27">
        <f t="shared" si="2083"/>
        <v>0</v>
      </c>
      <c r="J1319" s="27">
        <f t="shared" si="2083"/>
        <v>0</v>
      </c>
      <c r="K1319" s="27">
        <f t="shared" si="2083"/>
        <v>0</v>
      </c>
      <c r="L1319" s="27">
        <f t="shared" si="2083"/>
        <v>0</v>
      </c>
      <c r="M1319" s="27">
        <f t="shared" si="2083"/>
        <v>10612.576800000001</v>
      </c>
      <c r="N1319" s="27">
        <f t="shared" si="2083"/>
        <v>0</v>
      </c>
      <c r="O1319" s="27">
        <f t="shared" si="2083"/>
        <v>0</v>
      </c>
      <c r="P1319" s="27">
        <f t="shared" si="2083"/>
        <v>0</v>
      </c>
      <c r="Q1319" s="27">
        <f t="shared" si="2083"/>
        <v>0</v>
      </c>
      <c r="R1319" s="27">
        <f t="shared" si="2083"/>
        <v>0</v>
      </c>
      <c r="S1319" s="27">
        <f t="shared" si="2083"/>
        <v>0</v>
      </c>
      <c r="T1319" s="27">
        <f t="shared" si="2083"/>
        <v>25210.852800000001</v>
      </c>
      <c r="U1319" s="27">
        <f t="shared" si="2083"/>
        <v>0</v>
      </c>
      <c r="V1319" s="27">
        <f t="shared" si="2083"/>
        <v>0</v>
      </c>
      <c r="W1319" s="27">
        <f t="shared" si="2083"/>
        <v>0</v>
      </c>
      <c r="X1319" s="27">
        <f t="shared" si="2083"/>
        <v>1509.8664000000001</v>
      </c>
      <c r="Y1319" s="27">
        <f t="shared" si="2083"/>
        <v>0</v>
      </c>
      <c r="Z1319" s="27">
        <f t="shared" si="2083"/>
        <v>0</v>
      </c>
      <c r="AA1319" s="27">
        <f t="shared" si="2083"/>
        <v>0</v>
      </c>
      <c r="AB1319" s="27">
        <f t="shared" si="2083"/>
        <v>0</v>
      </c>
      <c r="AC1319" s="56"/>
      <c r="AD1319" s="23"/>
    </row>
    <row r="1320" spans="1:30" s="14" customFormat="1">
      <c r="A1320" s="78" t="s">
        <v>480</v>
      </c>
      <c r="B1320" s="26">
        <v>2011552</v>
      </c>
      <c r="C1320" s="130">
        <f>ROUND(B1320/12,2)</f>
        <v>167629.32999999999</v>
      </c>
      <c r="D1320" s="120">
        <v>3.9699999999999999E-2</v>
      </c>
      <c r="E1320" s="34">
        <v>5.7700000000000001E-2</v>
      </c>
      <c r="F1320" s="37">
        <v>4.2700000000000002E-2</v>
      </c>
      <c r="G1320" s="37">
        <v>6.1499999999999999E-2</v>
      </c>
      <c r="H1320" s="120">
        <v>1.6299999999999999E-2</v>
      </c>
      <c r="I1320" s="120">
        <v>7.1999999999999998E-3</v>
      </c>
      <c r="J1320" s="120">
        <v>1.06E-2</v>
      </c>
      <c r="K1320" s="120">
        <v>1.9800000000000002E-2</v>
      </c>
      <c r="L1320" s="37">
        <v>2.2499999999999999E-2</v>
      </c>
      <c r="M1320" s="120">
        <v>0.1429</v>
      </c>
      <c r="N1320" s="120">
        <v>3.5000000000000001E-3</v>
      </c>
      <c r="O1320" s="120">
        <v>3.8999999999999998E-3</v>
      </c>
      <c r="P1320" s="120">
        <v>9.5999999999999992E-3</v>
      </c>
      <c r="Q1320" s="120">
        <v>6.8400000000000002E-2</v>
      </c>
      <c r="R1320" s="120">
        <v>3.2899999999999999E-2</v>
      </c>
      <c r="S1320" s="120">
        <v>2.1399999999999999E-2</v>
      </c>
      <c r="T1320" s="120">
        <v>0.16420000000000001</v>
      </c>
      <c r="U1320" s="120">
        <v>3.9399999999999998E-2</v>
      </c>
      <c r="V1320" s="120"/>
      <c r="W1320" s="120">
        <v>8.3199999999999996E-2</v>
      </c>
      <c r="X1320" s="120">
        <v>0.14130000000000001</v>
      </c>
      <c r="Y1320" s="120">
        <v>4.4000000000000003E-3</v>
      </c>
      <c r="Z1320" s="120">
        <v>6.8999999999999999E-3</v>
      </c>
      <c r="AA1320" s="120"/>
      <c r="AB1320" s="120"/>
      <c r="AC1320" s="56"/>
      <c r="AD1320" s="23"/>
    </row>
    <row r="1321" spans="1:30" s="14" customFormat="1">
      <c r="A1321" s="47"/>
      <c r="B1321" s="21"/>
      <c r="C1321" s="130"/>
      <c r="D1321" s="27">
        <f>$C1320*D1320</f>
        <v>6654.8844009999993</v>
      </c>
      <c r="E1321" s="27">
        <f t="shared" ref="E1321" si="2084">$C1320*E1320</f>
        <v>9672.2123410000004</v>
      </c>
      <c r="F1321" s="27">
        <f t="shared" ref="F1321" si="2085">$C1320*F1320</f>
        <v>7157.7723909999995</v>
      </c>
      <c r="G1321" s="27">
        <f t="shared" ref="G1321:AB1321" si="2086">$C1320*G1320</f>
        <v>10309.203794999999</v>
      </c>
      <c r="H1321" s="27">
        <f t="shared" si="2086"/>
        <v>2732.3580789999996</v>
      </c>
      <c r="I1321" s="27">
        <f t="shared" si="2086"/>
        <v>1206.9311759999998</v>
      </c>
      <c r="J1321" s="27">
        <f t="shared" si="2086"/>
        <v>1776.8708979999999</v>
      </c>
      <c r="K1321" s="27">
        <f t="shared" si="2086"/>
        <v>3319.0607340000001</v>
      </c>
      <c r="L1321" s="27">
        <f t="shared" si="2086"/>
        <v>3771.6599249999995</v>
      </c>
      <c r="M1321" s="27">
        <f t="shared" si="2086"/>
        <v>23954.231256999999</v>
      </c>
      <c r="N1321" s="27">
        <f t="shared" si="2086"/>
        <v>586.70265499999994</v>
      </c>
      <c r="O1321" s="27">
        <f t="shared" si="2086"/>
        <v>653.75438699999995</v>
      </c>
      <c r="P1321" s="27">
        <f t="shared" si="2086"/>
        <v>1609.2415679999997</v>
      </c>
      <c r="Q1321" s="27">
        <f t="shared" si="2086"/>
        <v>11465.846172</v>
      </c>
      <c r="R1321" s="27">
        <f t="shared" si="2086"/>
        <v>5515.0049569999992</v>
      </c>
      <c r="S1321" s="27">
        <f t="shared" si="2086"/>
        <v>3587.2676619999997</v>
      </c>
      <c r="T1321" s="27">
        <f t="shared" si="2086"/>
        <v>27524.735986</v>
      </c>
      <c r="U1321" s="27">
        <f t="shared" si="2086"/>
        <v>6604.5956019999994</v>
      </c>
      <c r="V1321" s="27">
        <f t="shared" si="2086"/>
        <v>0</v>
      </c>
      <c r="W1321" s="27">
        <f t="shared" si="2086"/>
        <v>13946.760255999998</v>
      </c>
      <c r="X1321" s="27">
        <f t="shared" si="2086"/>
        <v>23686.024329</v>
      </c>
      <c r="Y1321" s="27">
        <f t="shared" si="2086"/>
        <v>737.56905199999994</v>
      </c>
      <c r="Z1321" s="27">
        <f t="shared" si="2086"/>
        <v>1156.6423769999999</v>
      </c>
      <c r="AA1321" s="27">
        <f t="shared" si="2086"/>
        <v>0</v>
      </c>
      <c r="AB1321" s="27">
        <f t="shared" si="2086"/>
        <v>0</v>
      </c>
      <c r="AC1321" s="56"/>
      <c r="AD1321" s="23"/>
    </row>
    <row r="1322" spans="1:30" s="14" customFormat="1">
      <c r="A1322" s="78" t="s">
        <v>521</v>
      </c>
      <c r="B1322" s="26">
        <f>149448/2</f>
        <v>74724</v>
      </c>
      <c r="C1322" s="130">
        <f t="shared" si="1990"/>
        <v>6227</v>
      </c>
      <c r="D1322" s="35">
        <v>1.6299999999999999E-2</v>
      </c>
      <c r="E1322" s="35">
        <v>0.14269999999999999</v>
      </c>
      <c r="F1322" s="35">
        <v>5.8900000000000001E-2</v>
      </c>
      <c r="G1322" s="35">
        <v>7.6200000000000004E-2</v>
      </c>
      <c r="H1322" s="35">
        <v>3.9600000000000003E-2</v>
      </c>
      <c r="I1322" s="35">
        <v>0.12470000000000001</v>
      </c>
      <c r="J1322" s="35">
        <v>2.0400000000000001E-2</v>
      </c>
      <c r="K1322" s="35">
        <v>3.1199999999999999E-2</v>
      </c>
      <c r="L1322" s="35">
        <v>1.6199999999999999E-2</v>
      </c>
      <c r="M1322" s="35">
        <v>2.53E-2</v>
      </c>
      <c r="N1322" s="35">
        <v>0.14849999999999999</v>
      </c>
      <c r="O1322" s="35">
        <v>2.2599999999999999E-2</v>
      </c>
      <c r="P1322" s="35">
        <v>0</v>
      </c>
      <c r="Q1322" s="35">
        <v>3.78E-2</v>
      </c>
      <c r="R1322" s="35">
        <v>1.8100000000000002E-2</v>
      </c>
      <c r="S1322" s="35">
        <v>4.1000000000000003E-3</v>
      </c>
      <c r="T1322" s="35">
        <v>5.04E-2</v>
      </c>
      <c r="U1322" s="35">
        <v>1.7500000000000002E-2</v>
      </c>
      <c r="V1322" s="35">
        <v>3.6200000000000003E-2</v>
      </c>
      <c r="W1322" s="35">
        <v>4.8500000000000001E-2</v>
      </c>
      <c r="X1322" s="35">
        <v>6.1600000000000002E-2</v>
      </c>
      <c r="Y1322" s="35">
        <v>2.5000000000000001E-3</v>
      </c>
      <c r="Z1322" s="4">
        <v>0</v>
      </c>
      <c r="AA1322" s="4">
        <v>6.9999999999999999E-4</v>
      </c>
      <c r="AB1322" s="4">
        <v>0</v>
      </c>
      <c r="AC1322" s="56"/>
      <c r="AD1322" s="23"/>
    </row>
    <row r="1323" spans="1:30" s="14" customFormat="1">
      <c r="A1323" s="47"/>
      <c r="B1323" s="21"/>
      <c r="C1323" s="130"/>
      <c r="D1323" s="27">
        <f t="shared" ref="D1323" si="2087">$C1322*D1322</f>
        <v>101.50009999999999</v>
      </c>
      <c r="E1323" s="27">
        <f t="shared" ref="E1323" si="2088">$C1322*E1322</f>
        <v>888.59289999999999</v>
      </c>
      <c r="F1323" s="27">
        <f t="shared" ref="F1323:AB1323" si="2089">$C1322*F1322</f>
        <v>366.77030000000002</v>
      </c>
      <c r="G1323" s="27">
        <f t="shared" si="2089"/>
        <v>474.49740000000003</v>
      </c>
      <c r="H1323" s="27">
        <f t="shared" si="2089"/>
        <v>246.58920000000003</v>
      </c>
      <c r="I1323" s="27">
        <f t="shared" si="2089"/>
        <v>776.50690000000009</v>
      </c>
      <c r="J1323" s="27">
        <f t="shared" si="2089"/>
        <v>127.03080000000001</v>
      </c>
      <c r="K1323" s="27">
        <f t="shared" si="2089"/>
        <v>194.2824</v>
      </c>
      <c r="L1323" s="27">
        <f t="shared" si="2089"/>
        <v>100.87739999999999</v>
      </c>
      <c r="M1323" s="27">
        <f t="shared" si="2089"/>
        <v>157.54310000000001</v>
      </c>
      <c r="N1323" s="27">
        <f t="shared" si="2089"/>
        <v>924.70949999999993</v>
      </c>
      <c r="O1323" s="27">
        <f t="shared" si="2089"/>
        <v>140.7302</v>
      </c>
      <c r="P1323" s="27">
        <f t="shared" si="2089"/>
        <v>0</v>
      </c>
      <c r="Q1323" s="27">
        <f t="shared" si="2089"/>
        <v>235.38060000000002</v>
      </c>
      <c r="R1323" s="27">
        <f t="shared" si="2089"/>
        <v>112.70870000000001</v>
      </c>
      <c r="S1323" s="27">
        <f t="shared" si="2089"/>
        <v>25.530700000000003</v>
      </c>
      <c r="T1323" s="27">
        <f t="shared" si="2089"/>
        <v>313.8408</v>
      </c>
      <c r="U1323" s="27">
        <f t="shared" si="2089"/>
        <v>108.97250000000001</v>
      </c>
      <c r="V1323" s="27">
        <f t="shared" si="2089"/>
        <v>225.41740000000001</v>
      </c>
      <c r="W1323" s="27">
        <f t="shared" si="2089"/>
        <v>302.0095</v>
      </c>
      <c r="X1323" s="27">
        <f t="shared" si="2089"/>
        <v>383.58320000000003</v>
      </c>
      <c r="Y1323" s="27">
        <f t="shared" si="2089"/>
        <v>15.567500000000001</v>
      </c>
      <c r="Z1323" s="27">
        <f t="shared" si="2089"/>
        <v>0</v>
      </c>
      <c r="AA1323" s="27">
        <f t="shared" si="2089"/>
        <v>4.3589000000000002</v>
      </c>
      <c r="AB1323" s="27">
        <f t="shared" si="2089"/>
        <v>0</v>
      </c>
      <c r="AC1323" s="56"/>
      <c r="AD1323" s="23"/>
    </row>
    <row r="1324" spans="1:30" s="14" customFormat="1">
      <c r="A1324" s="78" t="s">
        <v>522</v>
      </c>
      <c r="B1324" s="26">
        <f>149448/2</f>
        <v>74724</v>
      </c>
      <c r="C1324" s="130">
        <f t="shared" si="1990"/>
        <v>6227</v>
      </c>
      <c r="D1324" s="35"/>
      <c r="E1324" s="35"/>
      <c r="F1324" s="35"/>
      <c r="G1324" s="35"/>
      <c r="H1324" s="35">
        <v>0.48070000000000002</v>
      </c>
      <c r="I1324" s="35"/>
      <c r="J1324" s="35"/>
      <c r="K1324" s="35"/>
      <c r="L1324" s="35"/>
      <c r="M1324" s="35">
        <v>0.192</v>
      </c>
      <c r="N1324" s="35"/>
      <c r="O1324" s="35"/>
      <c r="P1324" s="35"/>
      <c r="Q1324" s="35"/>
      <c r="R1324" s="35"/>
      <c r="S1324" s="35"/>
      <c r="T1324" s="35">
        <v>4.07E-2</v>
      </c>
      <c r="U1324" s="35"/>
      <c r="V1324" s="35">
        <v>0.28660000000000002</v>
      </c>
      <c r="W1324" s="35"/>
      <c r="X1324" s="35"/>
      <c r="Y1324" s="35"/>
      <c r="Z1324" s="4"/>
      <c r="AA1324" s="4"/>
      <c r="AB1324" s="4"/>
      <c r="AC1324" s="56"/>
      <c r="AD1324" s="23"/>
    </row>
    <row r="1325" spans="1:30" s="14" customFormat="1">
      <c r="A1325" s="47"/>
      <c r="B1325" s="21"/>
      <c r="C1325" s="67"/>
      <c r="D1325" s="27">
        <f>$C1324*D1324</f>
        <v>0</v>
      </c>
      <c r="E1325" s="27">
        <f t="shared" ref="E1325" si="2090">$C1324*E1324</f>
        <v>0</v>
      </c>
      <c r="F1325" s="27">
        <f t="shared" ref="F1325" si="2091">$C1324*F1324</f>
        <v>0</v>
      </c>
      <c r="G1325" s="27">
        <f t="shared" ref="G1325:AB1325" si="2092">$C1324*G1324</f>
        <v>0</v>
      </c>
      <c r="H1325" s="27">
        <f t="shared" si="2092"/>
        <v>2993.3189000000002</v>
      </c>
      <c r="I1325" s="27">
        <f t="shared" si="2092"/>
        <v>0</v>
      </c>
      <c r="J1325" s="27">
        <f t="shared" si="2092"/>
        <v>0</v>
      </c>
      <c r="K1325" s="27">
        <f t="shared" si="2092"/>
        <v>0</v>
      </c>
      <c r="L1325" s="27">
        <f t="shared" si="2092"/>
        <v>0</v>
      </c>
      <c r="M1325" s="27">
        <f t="shared" si="2092"/>
        <v>1195.5840000000001</v>
      </c>
      <c r="N1325" s="27">
        <f t="shared" si="2092"/>
        <v>0</v>
      </c>
      <c r="O1325" s="27">
        <f t="shared" si="2092"/>
        <v>0</v>
      </c>
      <c r="P1325" s="27">
        <f t="shared" si="2092"/>
        <v>0</v>
      </c>
      <c r="Q1325" s="27">
        <f t="shared" si="2092"/>
        <v>0</v>
      </c>
      <c r="R1325" s="27">
        <f t="shared" si="2092"/>
        <v>0</v>
      </c>
      <c r="S1325" s="27">
        <f t="shared" si="2092"/>
        <v>0</v>
      </c>
      <c r="T1325" s="27">
        <f t="shared" si="2092"/>
        <v>253.43889999999999</v>
      </c>
      <c r="U1325" s="27">
        <f t="shared" si="2092"/>
        <v>0</v>
      </c>
      <c r="V1325" s="27">
        <f t="shared" si="2092"/>
        <v>1784.6582000000001</v>
      </c>
      <c r="W1325" s="27">
        <f t="shared" si="2092"/>
        <v>0</v>
      </c>
      <c r="X1325" s="27">
        <f t="shared" si="2092"/>
        <v>0</v>
      </c>
      <c r="Y1325" s="27">
        <f t="shared" si="2092"/>
        <v>0</v>
      </c>
      <c r="Z1325" s="27">
        <f t="shared" si="2092"/>
        <v>0</v>
      </c>
      <c r="AA1325" s="27">
        <f t="shared" si="2092"/>
        <v>0</v>
      </c>
      <c r="AB1325" s="27">
        <f t="shared" si="2092"/>
        <v>0</v>
      </c>
      <c r="AC1325" s="56"/>
      <c r="AD1325" s="23"/>
    </row>
    <row r="1326" spans="1:30" s="14" customFormat="1">
      <c r="A1326" s="45" t="s">
        <v>50</v>
      </c>
      <c r="B1326" s="30">
        <f>SUM(B1264:B1324)</f>
        <v>29194118</v>
      </c>
      <c r="C1326" s="46">
        <f>SUM(C1264:C1324)</f>
        <v>2432843.1699999995</v>
      </c>
      <c r="D1326" s="46">
        <f>D1265+D1267+D1269+D1271+D1273+D1275+D1277+D1279+D1281+D1283+D1285+D1287+D1289+D1291+D1293+D1295+D1297+D1299+D1301+D1303+D1305+D1307+D1309+D1311+D1313+D1315+D1317+D1319+D1321+D1323+D1325</f>
        <v>106542.40043400002</v>
      </c>
      <c r="E1326" s="46">
        <f>E1265+E1267+E1269+E1271+E1273+E1275+E1277+E1279+E1281+E1283+E1285+E1287+E1289+E1291+E1293+E1295+E1297+E1299+E1301+E1303+E1305+E1307+E1309+E1311+E1313+E1315+E1317+E1319+E1321+E1323+E1325</f>
        <v>45400.439441000002</v>
      </c>
      <c r="F1326" s="46">
        <f t="shared" ref="F1326" si="2093">F1265+F1267+F1269+F1271+F1273+F1275+F1277+F1279+F1281+F1283+F1285+F1287+F1289+F1291+F1293+F1295+F1297+F1299+F1301+F1303+F1305+F1307+F1309+F1311+F1313+F1315+F1317+F1319+F1321+F1323+F1325</f>
        <v>21904.742091</v>
      </c>
      <c r="G1326" s="46">
        <f t="shared" ref="G1326" si="2094">G1265+G1267+G1269+G1271+G1273+G1275+G1277+G1279+G1281+G1283+G1285+G1287+G1289+G1291+G1293+G1295+G1297+G1299+G1301+G1303+G1305+G1307+G1309+G1311+G1313+G1315+G1317+G1319+G1321+G1323+G1325</f>
        <v>33687.087336000004</v>
      </c>
      <c r="H1326" s="46">
        <f t="shared" ref="H1326:AB1326" si="2095">H1265+H1267+H1269+H1271+H1273+H1275+H1277+H1279+H1281+H1283+H1285+H1287+H1289+H1291+H1293+H1295+H1297+H1299+H1301+H1303+H1305+H1307+H1309+H1311+H1313+H1315+H1317+H1319+H1321+H1323+H1325</f>
        <v>22190.270396</v>
      </c>
      <c r="I1326" s="46">
        <f t="shared" si="2095"/>
        <v>32428.444276000002</v>
      </c>
      <c r="J1326" s="46">
        <f t="shared" si="2095"/>
        <v>6884.4800980000018</v>
      </c>
      <c r="K1326" s="46">
        <f t="shared" si="2095"/>
        <v>11130.698334000001</v>
      </c>
      <c r="L1326" s="46">
        <f t="shared" si="2095"/>
        <v>7945.1412659999996</v>
      </c>
      <c r="M1326" s="46">
        <f t="shared" si="2095"/>
        <v>92137.750894000012</v>
      </c>
      <c r="N1326" s="46">
        <f t="shared" si="2095"/>
        <v>37767.093154999995</v>
      </c>
      <c r="O1326" s="46">
        <f t="shared" si="2095"/>
        <v>6312.1841869999989</v>
      </c>
      <c r="P1326" s="46">
        <f t="shared" si="2095"/>
        <v>7016.8221210000002</v>
      </c>
      <c r="Q1326" s="46">
        <f t="shared" si="2095"/>
        <v>88632.466322000007</v>
      </c>
      <c r="R1326" s="46">
        <f t="shared" si="2095"/>
        <v>11744.143349999998</v>
      </c>
      <c r="S1326" s="46">
        <f t="shared" si="2095"/>
        <v>10719.727085999999</v>
      </c>
      <c r="T1326" s="46">
        <f t="shared" si="2095"/>
        <v>1632420.5365839996</v>
      </c>
      <c r="U1326" s="46">
        <f t="shared" si="2095"/>
        <v>10986.123102</v>
      </c>
      <c r="V1326" s="46">
        <f t="shared" si="2095"/>
        <v>15056.557582000003</v>
      </c>
      <c r="W1326" s="46">
        <f t="shared" si="2095"/>
        <v>31208.885876</v>
      </c>
      <c r="X1326" s="46">
        <f t="shared" si="2095"/>
        <v>185739.44371900003</v>
      </c>
      <c r="Y1326" s="46">
        <f t="shared" si="2095"/>
        <v>6976.3423539999994</v>
      </c>
      <c r="Z1326" s="46">
        <f t="shared" si="2095"/>
        <v>7836.1288959999993</v>
      </c>
      <c r="AA1326" s="46">
        <f t="shared" si="2095"/>
        <v>175.2611</v>
      </c>
      <c r="AB1326" s="46">
        <f t="shared" si="2095"/>
        <v>0</v>
      </c>
      <c r="AC1326" s="56"/>
      <c r="AD1326" s="23"/>
    </row>
    <row r="1327" spans="1:30" s="14" customFormat="1">
      <c r="A1327" s="13"/>
      <c r="B1327" s="6"/>
      <c r="C1327" s="138"/>
      <c r="D1327" s="27"/>
      <c r="E1327" s="27"/>
      <c r="F1327" s="27"/>
      <c r="G1327" s="27"/>
      <c r="H1327" s="27"/>
      <c r="I1327" s="27"/>
      <c r="J1327" s="27"/>
      <c r="K1327" s="27"/>
      <c r="L1327" s="27"/>
      <c r="M1327" s="27"/>
      <c r="N1327" s="27"/>
      <c r="O1327" s="27"/>
      <c r="P1327" s="27"/>
      <c r="Q1327" s="27"/>
      <c r="R1327" s="27"/>
      <c r="S1327" s="27"/>
      <c r="T1327" s="27"/>
      <c r="U1327" s="27"/>
      <c r="V1327" s="27"/>
      <c r="W1327" s="27"/>
      <c r="X1327" s="27"/>
      <c r="Y1327" s="27"/>
      <c r="Z1327" s="27"/>
      <c r="AA1327" s="27"/>
      <c r="AB1327" s="27"/>
      <c r="AC1327" s="56"/>
      <c r="AD1327" s="23"/>
    </row>
    <row r="1328" spans="1:30" s="14" customFormat="1">
      <c r="A1328" s="13"/>
      <c r="B1328" s="6"/>
      <c r="C1328" s="138"/>
      <c r="D1328" s="27"/>
      <c r="E1328" s="27"/>
      <c r="F1328" s="27"/>
      <c r="G1328" s="27"/>
      <c r="H1328" s="27"/>
      <c r="I1328" s="27"/>
      <c r="J1328" s="27"/>
      <c r="K1328" s="27"/>
      <c r="L1328" s="27"/>
      <c r="M1328" s="27"/>
      <c r="N1328" s="27"/>
      <c r="O1328" s="27"/>
      <c r="P1328" s="27"/>
      <c r="Q1328" s="27"/>
      <c r="R1328" s="27"/>
      <c r="S1328" s="27"/>
      <c r="T1328" s="27"/>
      <c r="U1328" s="27"/>
      <c r="V1328" s="27"/>
      <c r="W1328" s="27"/>
      <c r="X1328" s="27"/>
      <c r="Y1328" s="27"/>
      <c r="Z1328" s="27"/>
      <c r="AA1328" s="27"/>
      <c r="AB1328" s="27"/>
      <c r="AC1328" s="56"/>
      <c r="AD1328" s="23"/>
    </row>
    <row r="1329" spans="1:30" s="14" customFormat="1" ht="13.8" thickBot="1">
      <c r="A1329" s="66" t="s">
        <v>359</v>
      </c>
      <c r="B1329" s="65"/>
      <c r="C1329" s="152"/>
      <c r="D1329" s="65"/>
      <c r="E1329" s="65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56"/>
      <c r="AD1329" s="23"/>
    </row>
    <row r="1330" spans="1:30" s="14" customFormat="1" ht="13.8" thickBot="1">
      <c r="A1330" s="93" t="s">
        <v>1</v>
      </c>
      <c r="B1330" s="110" t="s">
        <v>2</v>
      </c>
      <c r="C1330" s="135" t="s">
        <v>3</v>
      </c>
      <c r="D1330" s="211" t="s">
        <v>4</v>
      </c>
      <c r="E1330" s="212"/>
      <c r="F1330" s="212"/>
      <c r="G1330" s="212"/>
      <c r="H1330" s="212"/>
      <c r="I1330" s="212"/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103"/>
      <c r="AA1330" s="103"/>
      <c r="AB1330" s="103"/>
      <c r="AC1330" s="56"/>
      <c r="AD1330" s="23"/>
    </row>
    <row r="1331" spans="1:30" s="14" customFormat="1">
      <c r="A1331" s="95" t="s">
        <v>5</v>
      </c>
      <c r="B1331" s="96" t="s">
        <v>6</v>
      </c>
      <c r="C1331" s="126" t="s">
        <v>6</v>
      </c>
      <c r="D1331" s="213"/>
      <c r="E1331" s="213"/>
      <c r="F1331" s="213"/>
      <c r="G1331" s="213"/>
      <c r="H1331" s="213"/>
      <c r="I1331" s="213"/>
      <c r="J1331" s="213"/>
      <c r="K1331" s="213"/>
      <c r="L1331" s="213"/>
      <c r="M1331" s="213"/>
      <c r="N1331" s="213"/>
      <c r="O1331" s="213"/>
      <c r="P1331" s="213"/>
      <c r="Q1331" s="213"/>
      <c r="R1331" s="213"/>
      <c r="S1331" s="213"/>
      <c r="T1331" s="213"/>
      <c r="U1331" s="213"/>
      <c r="V1331" s="213"/>
      <c r="W1331" s="213"/>
      <c r="X1331" s="213"/>
      <c r="Y1331" s="213"/>
      <c r="Z1331" s="96" t="s">
        <v>7</v>
      </c>
      <c r="AA1331" s="96"/>
      <c r="AB1331" s="96"/>
      <c r="AC1331" s="56"/>
      <c r="AD1331" s="23"/>
    </row>
    <row r="1332" spans="1:30" s="14" customFormat="1">
      <c r="A1332" s="95" t="s">
        <v>8</v>
      </c>
      <c r="B1332" s="96" t="s">
        <v>9</v>
      </c>
      <c r="C1332" s="126" t="s">
        <v>9</v>
      </c>
      <c r="D1332" s="100" t="s">
        <v>10</v>
      </c>
      <c r="E1332" s="96" t="s">
        <v>11</v>
      </c>
      <c r="F1332" s="96" t="s">
        <v>12</v>
      </c>
      <c r="G1332" s="96" t="s">
        <v>13</v>
      </c>
      <c r="H1332" s="96" t="s">
        <v>14</v>
      </c>
      <c r="I1332" s="96" t="s">
        <v>15</v>
      </c>
      <c r="J1332" s="96" t="s">
        <v>16</v>
      </c>
      <c r="K1332" s="96" t="s">
        <v>17</v>
      </c>
      <c r="L1332" s="96" t="s">
        <v>18</v>
      </c>
      <c r="M1332" s="96" t="s">
        <v>19</v>
      </c>
      <c r="N1332" s="96" t="s">
        <v>20</v>
      </c>
      <c r="O1332" s="96" t="s">
        <v>169</v>
      </c>
      <c r="P1332" s="96" t="s">
        <v>21</v>
      </c>
      <c r="Q1332" s="96" t="s">
        <v>22</v>
      </c>
      <c r="R1332" s="96" t="s">
        <v>23</v>
      </c>
      <c r="S1332" s="96" t="s">
        <v>24</v>
      </c>
      <c r="T1332" s="96" t="s">
        <v>25</v>
      </c>
      <c r="U1332" s="96" t="s">
        <v>26</v>
      </c>
      <c r="V1332" s="96" t="s">
        <v>27</v>
      </c>
      <c r="W1332" s="96" t="s">
        <v>28</v>
      </c>
      <c r="X1332" s="96" t="s">
        <v>29</v>
      </c>
      <c r="Y1332" s="96" t="s">
        <v>30</v>
      </c>
      <c r="Z1332" s="96" t="s">
        <v>31</v>
      </c>
      <c r="AA1332" s="96" t="s">
        <v>484</v>
      </c>
      <c r="AB1332" s="96" t="s">
        <v>467</v>
      </c>
      <c r="AC1332" s="56"/>
      <c r="AD1332" s="23"/>
    </row>
    <row r="1333" spans="1:30" s="14" customFormat="1">
      <c r="A1333" s="95"/>
      <c r="B1333" s="96"/>
      <c r="C1333" s="126" t="s">
        <v>696</v>
      </c>
      <c r="D1333" s="97"/>
      <c r="E1333" s="98"/>
      <c r="F1333" s="98"/>
      <c r="G1333" s="98"/>
      <c r="H1333" s="98"/>
      <c r="I1333" s="98"/>
      <c r="J1333" s="98"/>
      <c r="K1333" s="98"/>
      <c r="L1333" s="98"/>
      <c r="M1333" s="98"/>
      <c r="N1333" s="98"/>
      <c r="O1333" s="98"/>
      <c r="P1333" s="98"/>
      <c r="Q1333" s="98"/>
      <c r="R1333" s="98"/>
      <c r="S1333" s="98"/>
      <c r="T1333" s="98"/>
      <c r="U1333" s="98"/>
      <c r="V1333" s="98"/>
      <c r="W1333" s="98"/>
      <c r="X1333" s="98"/>
      <c r="Y1333" s="98"/>
      <c r="Z1333" s="98"/>
      <c r="AA1333" s="98"/>
      <c r="AB1333" s="98"/>
      <c r="AC1333" s="56"/>
      <c r="AD1333" s="23"/>
    </row>
    <row r="1334" spans="1:30" s="14" customFormat="1">
      <c r="A1334" s="136" t="s">
        <v>360</v>
      </c>
      <c r="B1334" s="26">
        <v>1790751.18</v>
      </c>
      <c r="C1334" s="130">
        <f>ROUND(B1334/12,2)</f>
        <v>149229.26999999999</v>
      </c>
      <c r="D1334" s="7"/>
      <c r="E1334" s="34"/>
      <c r="F1334" s="4">
        <v>5.5999999999999999E-3</v>
      </c>
      <c r="G1334" s="4">
        <v>0.97560000000000002</v>
      </c>
      <c r="H1334" s="7"/>
      <c r="I1334" s="7"/>
      <c r="J1334" s="7"/>
      <c r="K1334" s="7"/>
      <c r="L1334" s="4">
        <v>7.4999999999999997E-3</v>
      </c>
      <c r="M1334" s="7"/>
      <c r="N1334" s="7"/>
      <c r="O1334" s="7"/>
      <c r="P1334" s="7"/>
      <c r="Q1334" s="7"/>
      <c r="R1334" s="7"/>
      <c r="S1334" s="7"/>
      <c r="T1334" s="7"/>
      <c r="U1334" s="7">
        <v>1.1299999999999999E-2</v>
      </c>
      <c r="V1334" s="7"/>
      <c r="W1334" s="7"/>
      <c r="X1334" s="7"/>
      <c r="Y1334" s="7"/>
      <c r="Z1334" s="7"/>
      <c r="AA1334" s="7"/>
      <c r="AB1334" s="7"/>
      <c r="AC1334" s="56"/>
      <c r="AD1334" s="23"/>
    </row>
    <row r="1335" spans="1:30" s="14" customFormat="1">
      <c r="A1335" s="47"/>
      <c r="B1335" s="21"/>
      <c r="C1335" s="130"/>
      <c r="D1335" s="27">
        <f>$C1334*D1334</f>
        <v>0</v>
      </c>
      <c r="E1335" s="27">
        <f t="shared" ref="E1335" si="2096">$C1334*E1334</f>
        <v>0</v>
      </c>
      <c r="F1335" s="27">
        <f t="shared" ref="F1335" si="2097">$C1334*F1334</f>
        <v>835.68391199999996</v>
      </c>
      <c r="G1335" s="27">
        <f t="shared" ref="G1335:AB1335" si="2098">$C1334*G1334</f>
        <v>145588.075812</v>
      </c>
      <c r="H1335" s="27">
        <f t="shared" si="2098"/>
        <v>0</v>
      </c>
      <c r="I1335" s="27">
        <f t="shared" si="2098"/>
        <v>0</v>
      </c>
      <c r="J1335" s="27">
        <f t="shared" si="2098"/>
        <v>0</v>
      </c>
      <c r="K1335" s="27">
        <f t="shared" si="2098"/>
        <v>0</v>
      </c>
      <c r="L1335" s="27">
        <f t="shared" si="2098"/>
        <v>1119.219525</v>
      </c>
      <c r="M1335" s="27">
        <f t="shared" si="2098"/>
        <v>0</v>
      </c>
      <c r="N1335" s="27">
        <f t="shared" si="2098"/>
        <v>0</v>
      </c>
      <c r="O1335" s="27">
        <f t="shared" si="2098"/>
        <v>0</v>
      </c>
      <c r="P1335" s="27">
        <f t="shared" si="2098"/>
        <v>0</v>
      </c>
      <c r="Q1335" s="27">
        <f t="shared" si="2098"/>
        <v>0</v>
      </c>
      <c r="R1335" s="27">
        <f t="shared" si="2098"/>
        <v>0</v>
      </c>
      <c r="S1335" s="27">
        <f t="shared" si="2098"/>
        <v>0</v>
      </c>
      <c r="T1335" s="27">
        <f t="shared" si="2098"/>
        <v>0</v>
      </c>
      <c r="U1335" s="27">
        <f t="shared" si="2098"/>
        <v>1686.2907509999998</v>
      </c>
      <c r="V1335" s="27">
        <f t="shared" si="2098"/>
        <v>0</v>
      </c>
      <c r="W1335" s="27">
        <f t="shared" si="2098"/>
        <v>0</v>
      </c>
      <c r="X1335" s="27">
        <f t="shared" si="2098"/>
        <v>0</v>
      </c>
      <c r="Y1335" s="27">
        <f t="shared" si="2098"/>
        <v>0</v>
      </c>
      <c r="Z1335" s="27">
        <f t="shared" si="2098"/>
        <v>0</v>
      </c>
      <c r="AA1335" s="27">
        <f t="shared" si="2098"/>
        <v>0</v>
      </c>
      <c r="AB1335" s="27">
        <f t="shared" si="2098"/>
        <v>0</v>
      </c>
      <c r="AC1335" s="56"/>
      <c r="AD1335" s="23"/>
    </row>
    <row r="1336" spans="1:30" s="14" customFormat="1">
      <c r="A1336" s="136" t="s">
        <v>361</v>
      </c>
      <c r="B1336" s="26">
        <v>2842260.09</v>
      </c>
      <c r="C1336" s="130">
        <f t="shared" ref="C1336:C1348" si="2099">ROUND(B1336/12,2)</f>
        <v>236855.01</v>
      </c>
      <c r="D1336" s="7"/>
      <c r="E1336" s="34"/>
      <c r="F1336" s="4"/>
      <c r="G1336" s="4">
        <v>0.94469999999999998</v>
      </c>
      <c r="H1336" s="7"/>
      <c r="I1336" s="7"/>
      <c r="J1336" s="7"/>
      <c r="K1336" s="7"/>
      <c r="L1336" s="4">
        <v>2.9000000000000001E-2</v>
      </c>
      <c r="M1336" s="7"/>
      <c r="N1336" s="7"/>
      <c r="O1336" s="7"/>
      <c r="P1336" s="7"/>
      <c r="Q1336" s="7"/>
      <c r="R1336" s="7"/>
      <c r="S1336" s="7"/>
      <c r="T1336" s="7"/>
      <c r="U1336" s="7">
        <v>2.63E-2</v>
      </c>
      <c r="V1336" s="7"/>
      <c r="W1336" s="7"/>
      <c r="X1336" s="7"/>
      <c r="Y1336" s="7"/>
      <c r="Z1336" s="7"/>
      <c r="AA1336" s="7"/>
      <c r="AB1336" s="7"/>
      <c r="AC1336" s="56"/>
      <c r="AD1336" s="23"/>
    </row>
    <row r="1337" spans="1:30" s="14" customFormat="1">
      <c r="A1337" s="47"/>
      <c r="B1337" s="21"/>
      <c r="C1337" s="130"/>
      <c r="D1337" s="27">
        <f>$C1336*D1336</f>
        <v>0</v>
      </c>
      <c r="E1337" s="27">
        <f t="shared" ref="E1337" si="2100">$C1336*E1336</f>
        <v>0</v>
      </c>
      <c r="F1337" s="27">
        <f t="shared" ref="F1337" si="2101">$C1336*F1336</f>
        <v>0</v>
      </c>
      <c r="G1337" s="27">
        <f t="shared" ref="G1337:AB1337" si="2102">$C1336*G1336</f>
        <v>223756.92794700002</v>
      </c>
      <c r="H1337" s="27">
        <f t="shared" si="2102"/>
        <v>0</v>
      </c>
      <c r="I1337" s="27">
        <f t="shared" si="2102"/>
        <v>0</v>
      </c>
      <c r="J1337" s="27">
        <f t="shared" si="2102"/>
        <v>0</v>
      </c>
      <c r="K1337" s="27">
        <f t="shared" si="2102"/>
        <v>0</v>
      </c>
      <c r="L1337" s="27">
        <f t="shared" si="2102"/>
        <v>6868.7952900000009</v>
      </c>
      <c r="M1337" s="27">
        <f t="shared" si="2102"/>
        <v>0</v>
      </c>
      <c r="N1337" s="27">
        <f t="shared" si="2102"/>
        <v>0</v>
      </c>
      <c r="O1337" s="27">
        <f t="shared" si="2102"/>
        <v>0</v>
      </c>
      <c r="P1337" s="27">
        <f t="shared" si="2102"/>
        <v>0</v>
      </c>
      <c r="Q1337" s="27">
        <f t="shared" si="2102"/>
        <v>0</v>
      </c>
      <c r="R1337" s="27">
        <f t="shared" si="2102"/>
        <v>0</v>
      </c>
      <c r="S1337" s="27">
        <f t="shared" si="2102"/>
        <v>0</v>
      </c>
      <c r="T1337" s="27">
        <f t="shared" si="2102"/>
        <v>0</v>
      </c>
      <c r="U1337" s="27">
        <f t="shared" si="2102"/>
        <v>6229.2867630000001</v>
      </c>
      <c r="V1337" s="27">
        <f t="shared" si="2102"/>
        <v>0</v>
      </c>
      <c r="W1337" s="27">
        <f t="shared" si="2102"/>
        <v>0</v>
      </c>
      <c r="X1337" s="27">
        <f t="shared" si="2102"/>
        <v>0</v>
      </c>
      <c r="Y1337" s="27">
        <f t="shared" si="2102"/>
        <v>0</v>
      </c>
      <c r="Z1337" s="27">
        <f t="shared" si="2102"/>
        <v>0</v>
      </c>
      <c r="AA1337" s="27">
        <f t="shared" si="2102"/>
        <v>0</v>
      </c>
      <c r="AB1337" s="27">
        <f t="shared" si="2102"/>
        <v>0</v>
      </c>
      <c r="AC1337" s="56"/>
      <c r="AD1337" s="23"/>
    </row>
    <row r="1338" spans="1:30" s="14" customFormat="1">
      <c r="A1338" s="136" t="s">
        <v>362</v>
      </c>
      <c r="B1338" s="26">
        <v>5787688.6200000001</v>
      </c>
      <c r="C1338" s="130">
        <f>ROUND(B1338/12,2)</f>
        <v>482307.39</v>
      </c>
      <c r="D1338" s="7"/>
      <c r="E1338" s="34"/>
      <c r="F1338" s="4">
        <v>7.0300000000000001E-2</v>
      </c>
      <c r="G1338" s="4">
        <v>0.88080000000000003</v>
      </c>
      <c r="H1338" s="7"/>
      <c r="I1338" s="7"/>
      <c r="J1338" s="7"/>
      <c r="K1338" s="7"/>
      <c r="L1338" s="4">
        <v>8.0999999999999996E-3</v>
      </c>
      <c r="M1338" s="7"/>
      <c r="N1338" s="7"/>
      <c r="O1338" s="7"/>
      <c r="P1338" s="7"/>
      <c r="Q1338" s="7"/>
      <c r="R1338" s="7"/>
      <c r="S1338" s="7"/>
      <c r="T1338" s="7"/>
      <c r="U1338" s="7">
        <v>4.0800000000000003E-2</v>
      </c>
      <c r="V1338" s="7"/>
      <c r="W1338" s="7"/>
      <c r="X1338" s="7"/>
      <c r="Y1338" s="7"/>
      <c r="Z1338" s="7"/>
      <c r="AA1338" s="7"/>
      <c r="AB1338" s="7"/>
      <c r="AC1338" s="56"/>
      <c r="AD1338" s="23"/>
    </row>
    <row r="1339" spans="1:30" s="14" customFormat="1">
      <c r="A1339" s="47"/>
      <c r="B1339" s="21"/>
      <c r="C1339" s="130"/>
      <c r="D1339" s="27">
        <f>$C1338*D1338</f>
        <v>0</v>
      </c>
      <c r="E1339" s="27">
        <f t="shared" ref="E1339" si="2103">$C1338*E1338</f>
        <v>0</v>
      </c>
      <c r="F1339" s="27">
        <f t="shared" ref="F1339" si="2104">$C1338*F1338</f>
        <v>33906.209517000003</v>
      </c>
      <c r="G1339" s="27">
        <f t="shared" ref="G1339:AB1339" si="2105">$C1338*G1338</f>
        <v>424816.34911200003</v>
      </c>
      <c r="H1339" s="27">
        <f t="shared" si="2105"/>
        <v>0</v>
      </c>
      <c r="I1339" s="27">
        <f t="shared" si="2105"/>
        <v>0</v>
      </c>
      <c r="J1339" s="27">
        <f t="shared" si="2105"/>
        <v>0</v>
      </c>
      <c r="K1339" s="27">
        <f t="shared" si="2105"/>
        <v>0</v>
      </c>
      <c r="L1339" s="27">
        <f t="shared" si="2105"/>
        <v>3906.6898590000001</v>
      </c>
      <c r="M1339" s="27">
        <f t="shared" si="2105"/>
        <v>0</v>
      </c>
      <c r="N1339" s="27">
        <f t="shared" si="2105"/>
        <v>0</v>
      </c>
      <c r="O1339" s="27">
        <f t="shared" si="2105"/>
        <v>0</v>
      </c>
      <c r="P1339" s="27">
        <f t="shared" si="2105"/>
        <v>0</v>
      </c>
      <c r="Q1339" s="27">
        <f t="shared" si="2105"/>
        <v>0</v>
      </c>
      <c r="R1339" s="27">
        <f t="shared" si="2105"/>
        <v>0</v>
      </c>
      <c r="S1339" s="27">
        <f t="shared" si="2105"/>
        <v>0</v>
      </c>
      <c r="T1339" s="27">
        <f t="shared" si="2105"/>
        <v>0</v>
      </c>
      <c r="U1339" s="27">
        <f t="shared" si="2105"/>
        <v>19678.141512000002</v>
      </c>
      <c r="V1339" s="27">
        <f t="shared" si="2105"/>
        <v>0</v>
      </c>
      <c r="W1339" s="27">
        <f t="shared" si="2105"/>
        <v>0</v>
      </c>
      <c r="X1339" s="27">
        <f t="shared" si="2105"/>
        <v>0</v>
      </c>
      <c r="Y1339" s="27">
        <f t="shared" si="2105"/>
        <v>0</v>
      </c>
      <c r="Z1339" s="27">
        <f t="shared" si="2105"/>
        <v>0</v>
      </c>
      <c r="AA1339" s="27">
        <f t="shared" si="2105"/>
        <v>0</v>
      </c>
      <c r="AB1339" s="27">
        <f t="shared" si="2105"/>
        <v>0</v>
      </c>
      <c r="AC1339" s="56"/>
      <c r="AD1339" s="23"/>
    </row>
    <row r="1340" spans="1:30" s="14" customFormat="1">
      <c r="A1340" s="136" t="s">
        <v>363</v>
      </c>
      <c r="B1340" s="26">
        <v>13501542.029999999</v>
      </c>
      <c r="C1340" s="130">
        <f>ROUND(B1340/12,2)</f>
        <v>1125128.5</v>
      </c>
      <c r="D1340" s="7"/>
      <c r="E1340" s="34"/>
      <c r="F1340" s="4">
        <v>4.24E-2</v>
      </c>
      <c r="G1340" s="4">
        <v>0.87760000000000005</v>
      </c>
      <c r="H1340" s="7"/>
      <c r="I1340" s="7"/>
      <c r="J1340" s="7"/>
      <c r="K1340" s="7"/>
      <c r="L1340" s="4">
        <v>4.2700000000000002E-2</v>
      </c>
      <c r="M1340" s="7"/>
      <c r="N1340" s="7"/>
      <c r="O1340" s="7"/>
      <c r="P1340" s="7"/>
      <c r="Q1340" s="7"/>
      <c r="R1340" s="7"/>
      <c r="S1340" s="7"/>
      <c r="T1340" s="7"/>
      <c r="U1340" s="7">
        <v>3.73E-2</v>
      </c>
      <c r="V1340" s="7"/>
      <c r="W1340" s="7"/>
      <c r="X1340" s="7"/>
      <c r="Y1340" s="7"/>
      <c r="Z1340" s="7"/>
      <c r="AA1340" s="7"/>
      <c r="AB1340" s="7"/>
      <c r="AC1340" s="56"/>
      <c r="AD1340" s="23"/>
    </row>
    <row r="1341" spans="1:30" s="14" customFormat="1" ht="13.65" customHeight="1">
      <c r="A1341" s="47"/>
      <c r="B1341" s="21"/>
      <c r="C1341" s="130"/>
      <c r="D1341" s="27">
        <f t="shared" ref="D1341:AB1341" si="2106">$C1340*D1340</f>
        <v>0</v>
      </c>
      <c r="E1341" s="27">
        <f t="shared" si="2106"/>
        <v>0</v>
      </c>
      <c r="F1341" s="27">
        <f t="shared" si="2106"/>
        <v>47705.448400000001</v>
      </c>
      <c r="G1341" s="27">
        <f t="shared" si="2106"/>
        <v>987412.77160000009</v>
      </c>
      <c r="H1341" s="27">
        <f t="shared" si="2106"/>
        <v>0</v>
      </c>
      <c r="I1341" s="27">
        <f t="shared" si="2106"/>
        <v>0</v>
      </c>
      <c r="J1341" s="27">
        <f t="shared" si="2106"/>
        <v>0</v>
      </c>
      <c r="K1341" s="27">
        <f t="shared" si="2106"/>
        <v>0</v>
      </c>
      <c r="L1341" s="27">
        <f t="shared" si="2106"/>
        <v>48042.986949999999</v>
      </c>
      <c r="M1341" s="27">
        <f t="shared" si="2106"/>
        <v>0</v>
      </c>
      <c r="N1341" s="27">
        <f t="shared" si="2106"/>
        <v>0</v>
      </c>
      <c r="O1341" s="27">
        <f t="shared" si="2106"/>
        <v>0</v>
      </c>
      <c r="P1341" s="27">
        <f t="shared" si="2106"/>
        <v>0</v>
      </c>
      <c r="Q1341" s="27">
        <f t="shared" si="2106"/>
        <v>0</v>
      </c>
      <c r="R1341" s="27">
        <f t="shared" si="2106"/>
        <v>0</v>
      </c>
      <c r="S1341" s="27">
        <f t="shared" si="2106"/>
        <v>0</v>
      </c>
      <c r="T1341" s="27">
        <f t="shared" si="2106"/>
        <v>0</v>
      </c>
      <c r="U1341" s="27">
        <f t="shared" si="2106"/>
        <v>41967.29305</v>
      </c>
      <c r="V1341" s="27">
        <f t="shared" si="2106"/>
        <v>0</v>
      </c>
      <c r="W1341" s="27">
        <f t="shared" si="2106"/>
        <v>0</v>
      </c>
      <c r="X1341" s="27">
        <f t="shared" si="2106"/>
        <v>0</v>
      </c>
      <c r="Y1341" s="27">
        <f t="shared" si="2106"/>
        <v>0</v>
      </c>
      <c r="Z1341" s="27">
        <f t="shared" si="2106"/>
        <v>0</v>
      </c>
      <c r="AA1341" s="27">
        <f t="shared" si="2106"/>
        <v>0</v>
      </c>
      <c r="AB1341" s="27">
        <f t="shared" si="2106"/>
        <v>0</v>
      </c>
      <c r="AC1341" s="56"/>
      <c r="AD1341" s="23"/>
    </row>
    <row r="1342" spans="1:30" s="14" customFormat="1">
      <c r="A1342" s="136" t="s">
        <v>466</v>
      </c>
      <c r="B1342" s="26">
        <v>524982.94999999995</v>
      </c>
      <c r="C1342" s="130">
        <f t="shared" si="2099"/>
        <v>43748.58</v>
      </c>
      <c r="D1342" s="7"/>
      <c r="E1342" s="34">
        <v>5.3800000000000001E-2</v>
      </c>
      <c r="F1342" s="4">
        <v>4.2700000000000002E-2</v>
      </c>
      <c r="G1342" s="4">
        <v>0.66479999999999995</v>
      </c>
      <c r="H1342" s="7"/>
      <c r="I1342" s="7"/>
      <c r="J1342" s="7">
        <v>2.7099999999999999E-2</v>
      </c>
      <c r="K1342" s="7"/>
      <c r="L1342" s="4">
        <v>4.8500000000000001E-2</v>
      </c>
      <c r="M1342" s="7"/>
      <c r="N1342" s="7">
        <v>5.3100000000000001E-2</v>
      </c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>
        <v>0.11</v>
      </c>
      <c r="AC1342" s="56"/>
      <c r="AD1342" s="23"/>
    </row>
    <row r="1343" spans="1:30" s="14" customFormat="1">
      <c r="A1343" s="47"/>
      <c r="B1343" s="21"/>
      <c r="C1343" s="130"/>
      <c r="D1343" s="27">
        <f>$C1342*D1342</f>
        <v>0</v>
      </c>
      <c r="E1343" s="27">
        <f t="shared" ref="E1343" si="2107">$C1342*E1342</f>
        <v>2353.6736040000001</v>
      </c>
      <c r="F1343" s="27">
        <f t="shared" ref="F1343" si="2108">$C1342*F1342</f>
        <v>1868.0643660000001</v>
      </c>
      <c r="G1343" s="27">
        <f t="shared" ref="G1343:AB1343" si="2109">$C1342*G1342</f>
        <v>29084.055983999999</v>
      </c>
      <c r="H1343" s="27">
        <f t="shared" si="2109"/>
        <v>0</v>
      </c>
      <c r="I1343" s="27">
        <f t="shared" si="2109"/>
        <v>0</v>
      </c>
      <c r="J1343" s="27">
        <f t="shared" si="2109"/>
        <v>1185.5865180000001</v>
      </c>
      <c r="K1343" s="27">
        <f t="shared" si="2109"/>
        <v>0</v>
      </c>
      <c r="L1343" s="27">
        <f t="shared" si="2109"/>
        <v>2121.8061299999999</v>
      </c>
      <c r="M1343" s="27">
        <f t="shared" si="2109"/>
        <v>0</v>
      </c>
      <c r="N1343" s="27">
        <f t="shared" si="2109"/>
        <v>2323.0495980000001</v>
      </c>
      <c r="O1343" s="27">
        <f t="shared" si="2109"/>
        <v>0</v>
      </c>
      <c r="P1343" s="27">
        <f t="shared" si="2109"/>
        <v>0</v>
      </c>
      <c r="Q1343" s="27">
        <f t="shared" si="2109"/>
        <v>0</v>
      </c>
      <c r="R1343" s="27">
        <f t="shared" si="2109"/>
        <v>0</v>
      </c>
      <c r="S1343" s="27">
        <f t="shared" si="2109"/>
        <v>0</v>
      </c>
      <c r="T1343" s="27">
        <f t="shared" si="2109"/>
        <v>0</v>
      </c>
      <c r="U1343" s="27">
        <f t="shared" si="2109"/>
        <v>0</v>
      </c>
      <c r="V1343" s="27">
        <f t="shared" si="2109"/>
        <v>0</v>
      </c>
      <c r="W1343" s="27">
        <f t="shared" si="2109"/>
        <v>0</v>
      </c>
      <c r="X1343" s="27">
        <f t="shared" si="2109"/>
        <v>0</v>
      </c>
      <c r="Y1343" s="27">
        <f t="shared" si="2109"/>
        <v>0</v>
      </c>
      <c r="Z1343" s="27">
        <f t="shared" si="2109"/>
        <v>0</v>
      </c>
      <c r="AA1343" s="27">
        <f t="shared" si="2109"/>
        <v>0</v>
      </c>
      <c r="AB1343" s="27">
        <f t="shared" si="2109"/>
        <v>4812.3438000000006</v>
      </c>
      <c r="AC1343" s="56"/>
      <c r="AD1343" s="23"/>
    </row>
    <row r="1344" spans="1:30" s="14" customFormat="1">
      <c r="A1344" s="136" t="s">
        <v>493</v>
      </c>
      <c r="B1344" s="26">
        <v>1629025.36</v>
      </c>
      <c r="C1344" s="130">
        <f t="shared" si="2099"/>
        <v>135752.10999999999</v>
      </c>
      <c r="D1344" s="7"/>
      <c r="E1344" s="34"/>
      <c r="F1344" s="4">
        <v>1</v>
      </c>
      <c r="G1344" s="4"/>
      <c r="H1344" s="7"/>
      <c r="I1344" s="7"/>
      <c r="J1344" s="7"/>
      <c r="K1344" s="7"/>
      <c r="L1344" s="4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56"/>
      <c r="AD1344" s="23"/>
    </row>
    <row r="1345" spans="1:30" s="14" customFormat="1">
      <c r="A1345" s="47"/>
      <c r="B1345" s="21"/>
      <c r="C1345" s="130"/>
      <c r="D1345" s="27">
        <f>$C1344*D1344</f>
        <v>0</v>
      </c>
      <c r="E1345" s="27">
        <f t="shared" ref="E1345" si="2110">$C1344*E1344</f>
        <v>0</v>
      </c>
      <c r="F1345" s="27">
        <f t="shared" ref="F1345" si="2111">$C1344*F1344</f>
        <v>135752.10999999999</v>
      </c>
      <c r="G1345" s="27">
        <f t="shared" ref="G1345:AB1345" si="2112">$C1344*G1344</f>
        <v>0</v>
      </c>
      <c r="H1345" s="27">
        <f t="shared" si="2112"/>
        <v>0</v>
      </c>
      <c r="I1345" s="27">
        <f t="shared" si="2112"/>
        <v>0</v>
      </c>
      <c r="J1345" s="27">
        <f t="shared" si="2112"/>
        <v>0</v>
      </c>
      <c r="K1345" s="27">
        <f t="shared" si="2112"/>
        <v>0</v>
      </c>
      <c r="L1345" s="27">
        <f t="shared" si="2112"/>
        <v>0</v>
      </c>
      <c r="M1345" s="27">
        <f t="shared" si="2112"/>
        <v>0</v>
      </c>
      <c r="N1345" s="27">
        <f t="shared" si="2112"/>
        <v>0</v>
      </c>
      <c r="O1345" s="27">
        <f t="shared" si="2112"/>
        <v>0</v>
      </c>
      <c r="P1345" s="27">
        <f t="shared" si="2112"/>
        <v>0</v>
      </c>
      <c r="Q1345" s="27">
        <f t="shared" si="2112"/>
        <v>0</v>
      </c>
      <c r="R1345" s="27">
        <f t="shared" si="2112"/>
        <v>0</v>
      </c>
      <c r="S1345" s="27">
        <f t="shared" si="2112"/>
        <v>0</v>
      </c>
      <c r="T1345" s="27">
        <f t="shared" si="2112"/>
        <v>0</v>
      </c>
      <c r="U1345" s="27">
        <f t="shared" si="2112"/>
        <v>0</v>
      </c>
      <c r="V1345" s="27">
        <f t="shared" si="2112"/>
        <v>0</v>
      </c>
      <c r="W1345" s="27">
        <f t="shared" si="2112"/>
        <v>0</v>
      </c>
      <c r="X1345" s="27">
        <f t="shared" si="2112"/>
        <v>0</v>
      </c>
      <c r="Y1345" s="27">
        <f t="shared" si="2112"/>
        <v>0</v>
      </c>
      <c r="Z1345" s="27">
        <f t="shared" si="2112"/>
        <v>0</v>
      </c>
      <c r="AA1345" s="27">
        <f t="shared" si="2112"/>
        <v>0</v>
      </c>
      <c r="AB1345" s="27">
        <f t="shared" si="2112"/>
        <v>0</v>
      </c>
      <c r="AC1345" s="56"/>
      <c r="AD1345" s="23"/>
    </row>
    <row r="1346" spans="1:30" s="14" customFormat="1">
      <c r="A1346" s="136" t="s">
        <v>494</v>
      </c>
      <c r="B1346" s="26">
        <v>424764.45</v>
      </c>
      <c r="C1346" s="130">
        <f t="shared" si="2099"/>
        <v>35397.040000000001</v>
      </c>
      <c r="D1346" s="7"/>
      <c r="E1346" s="34"/>
      <c r="F1346" s="4">
        <v>1</v>
      </c>
      <c r="G1346" s="4"/>
      <c r="H1346" s="7"/>
      <c r="I1346" s="7"/>
      <c r="J1346" s="7"/>
      <c r="K1346" s="7"/>
      <c r="L1346" s="4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56"/>
      <c r="AD1346" s="23"/>
    </row>
    <row r="1347" spans="1:30" s="14" customFormat="1">
      <c r="A1347" s="47"/>
      <c r="B1347" s="21"/>
      <c r="C1347" s="130"/>
      <c r="D1347" s="27">
        <f>$C1346*D1346</f>
        <v>0</v>
      </c>
      <c r="E1347" s="27">
        <f t="shared" ref="E1347" si="2113">$C1346*E1346</f>
        <v>0</v>
      </c>
      <c r="F1347" s="27">
        <f t="shared" ref="F1347" si="2114">$C1346*F1346</f>
        <v>35397.040000000001</v>
      </c>
      <c r="G1347" s="27">
        <f t="shared" ref="G1347:AB1347" si="2115">$C1346*G1346</f>
        <v>0</v>
      </c>
      <c r="H1347" s="27">
        <f t="shared" si="2115"/>
        <v>0</v>
      </c>
      <c r="I1347" s="27">
        <f t="shared" si="2115"/>
        <v>0</v>
      </c>
      <c r="J1347" s="27">
        <f t="shared" si="2115"/>
        <v>0</v>
      </c>
      <c r="K1347" s="27">
        <f t="shared" si="2115"/>
        <v>0</v>
      </c>
      <c r="L1347" s="27">
        <f t="shared" si="2115"/>
        <v>0</v>
      </c>
      <c r="M1347" s="27">
        <f t="shared" si="2115"/>
        <v>0</v>
      </c>
      <c r="N1347" s="27">
        <f t="shared" si="2115"/>
        <v>0</v>
      </c>
      <c r="O1347" s="27">
        <f t="shared" si="2115"/>
        <v>0</v>
      </c>
      <c r="P1347" s="27">
        <f t="shared" si="2115"/>
        <v>0</v>
      </c>
      <c r="Q1347" s="27">
        <f t="shared" si="2115"/>
        <v>0</v>
      </c>
      <c r="R1347" s="27">
        <f t="shared" si="2115"/>
        <v>0</v>
      </c>
      <c r="S1347" s="27">
        <f t="shared" si="2115"/>
        <v>0</v>
      </c>
      <c r="T1347" s="27">
        <f t="shared" si="2115"/>
        <v>0</v>
      </c>
      <c r="U1347" s="27">
        <f t="shared" si="2115"/>
        <v>0</v>
      </c>
      <c r="V1347" s="27">
        <f t="shared" si="2115"/>
        <v>0</v>
      </c>
      <c r="W1347" s="27">
        <f t="shared" si="2115"/>
        <v>0</v>
      </c>
      <c r="X1347" s="27">
        <f t="shared" si="2115"/>
        <v>0</v>
      </c>
      <c r="Y1347" s="27">
        <f t="shared" si="2115"/>
        <v>0</v>
      </c>
      <c r="Z1347" s="27">
        <f t="shared" si="2115"/>
        <v>0</v>
      </c>
      <c r="AA1347" s="27">
        <f t="shared" si="2115"/>
        <v>0</v>
      </c>
      <c r="AB1347" s="27">
        <f t="shared" si="2115"/>
        <v>0</v>
      </c>
      <c r="AC1347" s="56"/>
      <c r="AD1347" s="23"/>
    </row>
    <row r="1348" spans="1:30" s="14" customFormat="1">
      <c r="A1348" s="136" t="s">
        <v>495</v>
      </c>
      <c r="B1348" s="26">
        <v>963775.67</v>
      </c>
      <c r="C1348" s="130">
        <f t="shared" si="2099"/>
        <v>80314.64</v>
      </c>
      <c r="D1348" s="7"/>
      <c r="E1348" s="34"/>
      <c r="F1348" s="4">
        <v>1</v>
      </c>
      <c r="G1348" s="4"/>
      <c r="H1348" s="7"/>
      <c r="I1348" s="7"/>
      <c r="J1348" s="7"/>
      <c r="K1348" s="7"/>
      <c r="L1348" s="4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56"/>
      <c r="AD1348" s="23"/>
    </row>
    <row r="1349" spans="1:30" s="14" customFormat="1">
      <c r="A1349" s="47"/>
      <c r="B1349" s="21"/>
      <c r="C1349" s="133"/>
      <c r="D1349" s="27">
        <f>$C1348*D1348</f>
        <v>0</v>
      </c>
      <c r="E1349" s="27">
        <f t="shared" ref="E1349" si="2116">$C1348*E1348</f>
        <v>0</v>
      </c>
      <c r="F1349" s="27">
        <f t="shared" ref="F1349:U1351" si="2117">$C1348*F1348</f>
        <v>80314.64</v>
      </c>
      <c r="G1349" s="27">
        <f t="shared" ref="G1349:AB1349" si="2118">$C1348*G1348</f>
        <v>0</v>
      </c>
      <c r="H1349" s="27">
        <f t="shared" si="2118"/>
        <v>0</v>
      </c>
      <c r="I1349" s="27">
        <f t="shared" si="2118"/>
        <v>0</v>
      </c>
      <c r="J1349" s="27">
        <f t="shared" si="2118"/>
        <v>0</v>
      </c>
      <c r="K1349" s="27">
        <f t="shared" si="2118"/>
        <v>0</v>
      </c>
      <c r="L1349" s="27">
        <f t="shared" si="2118"/>
        <v>0</v>
      </c>
      <c r="M1349" s="27">
        <f t="shared" si="2118"/>
        <v>0</v>
      </c>
      <c r="N1349" s="27">
        <f t="shared" si="2118"/>
        <v>0</v>
      </c>
      <c r="O1349" s="27">
        <f t="shared" si="2118"/>
        <v>0</v>
      </c>
      <c r="P1349" s="27">
        <f t="shared" si="2118"/>
        <v>0</v>
      </c>
      <c r="Q1349" s="27">
        <f t="shared" si="2118"/>
        <v>0</v>
      </c>
      <c r="R1349" s="27">
        <f t="shared" si="2118"/>
        <v>0</v>
      </c>
      <c r="S1349" s="27">
        <f t="shared" si="2118"/>
        <v>0</v>
      </c>
      <c r="T1349" s="27">
        <f t="shared" si="2118"/>
        <v>0</v>
      </c>
      <c r="U1349" s="27">
        <f t="shared" si="2118"/>
        <v>0</v>
      </c>
      <c r="V1349" s="27">
        <f t="shared" si="2118"/>
        <v>0</v>
      </c>
      <c r="W1349" s="27">
        <f t="shared" si="2118"/>
        <v>0</v>
      </c>
      <c r="X1349" s="27">
        <f t="shared" si="2118"/>
        <v>0</v>
      </c>
      <c r="Y1349" s="27">
        <f t="shared" si="2118"/>
        <v>0</v>
      </c>
      <c r="Z1349" s="27">
        <f t="shared" si="2118"/>
        <v>0</v>
      </c>
      <c r="AA1349" s="27">
        <f t="shared" si="2118"/>
        <v>0</v>
      </c>
      <c r="AB1349" s="27">
        <f t="shared" si="2118"/>
        <v>0</v>
      </c>
      <c r="AC1349" s="56"/>
      <c r="AD1349" s="23"/>
    </row>
    <row r="1350" spans="1:30" s="14" customFormat="1">
      <c r="A1350" s="136" t="s">
        <v>610</v>
      </c>
      <c r="B1350" s="26">
        <v>-10189090.609999999</v>
      </c>
      <c r="C1350" s="130">
        <f>ROUND(B1350/12,2)</f>
        <v>-849090.88</v>
      </c>
      <c r="D1350" s="7"/>
      <c r="E1350" s="34"/>
      <c r="F1350" s="4"/>
      <c r="G1350" s="4">
        <v>1</v>
      </c>
      <c r="H1350" s="7"/>
      <c r="I1350" s="7"/>
      <c r="J1350" s="7">
        <v>0</v>
      </c>
      <c r="K1350" s="7"/>
      <c r="L1350" s="4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56"/>
      <c r="AD1350" s="23"/>
    </row>
    <row r="1351" spans="1:30" s="14" customFormat="1">
      <c r="A1351" s="47"/>
      <c r="B1351" s="21"/>
      <c r="C1351" s="133"/>
      <c r="D1351" s="27">
        <f>$C1350*D1350</f>
        <v>0</v>
      </c>
      <c r="E1351" s="27">
        <f>$C1350*E1350</f>
        <v>0</v>
      </c>
      <c r="F1351" s="27">
        <f t="shared" si="2117"/>
        <v>0</v>
      </c>
      <c r="G1351" s="27">
        <f t="shared" si="2117"/>
        <v>-849090.88</v>
      </c>
      <c r="H1351" s="27">
        <f t="shared" si="2117"/>
        <v>0</v>
      </c>
      <c r="I1351" s="27">
        <f t="shared" si="2117"/>
        <v>0</v>
      </c>
      <c r="J1351" s="27">
        <f t="shared" si="2117"/>
        <v>0</v>
      </c>
      <c r="K1351" s="27">
        <f t="shared" si="2117"/>
        <v>0</v>
      </c>
      <c r="L1351" s="27">
        <f t="shared" si="2117"/>
        <v>0</v>
      </c>
      <c r="M1351" s="27">
        <f t="shared" si="2117"/>
        <v>0</v>
      </c>
      <c r="N1351" s="27">
        <f t="shared" si="2117"/>
        <v>0</v>
      </c>
      <c r="O1351" s="27">
        <f t="shared" si="2117"/>
        <v>0</v>
      </c>
      <c r="P1351" s="27">
        <f t="shared" si="2117"/>
        <v>0</v>
      </c>
      <c r="Q1351" s="27">
        <f t="shared" si="2117"/>
        <v>0</v>
      </c>
      <c r="R1351" s="27">
        <f t="shared" si="2117"/>
        <v>0</v>
      </c>
      <c r="S1351" s="27">
        <f t="shared" si="2117"/>
        <v>0</v>
      </c>
      <c r="T1351" s="27">
        <f t="shared" si="2117"/>
        <v>0</v>
      </c>
      <c r="U1351" s="27">
        <f t="shared" si="2117"/>
        <v>0</v>
      </c>
      <c r="V1351" s="27">
        <f t="shared" ref="V1351:AB1351" si="2119">$C1350*V1350</f>
        <v>0</v>
      </c>
      <c r="W1351" s="27">
        <f t="shared" si="2119"/>
        <v>0</v>
      </c>
      <c r="X1351" s="27">
        <f t="shared" si="2119"/>
        <v>0</v>
      </c>
      <c r="Y1351" s="27">
        <f t="shared" si="2119"/>
        <v>0</v>
      </c>
      <c r="Z1351" s="27">
        <f t="shared" si="2119"/>
        <v>0</v>
      </c>
      <c r="AA1351" s="27">
        <f t="shared" si="2119"/>
        <v>0</v>
      </c>
      <c r="AB1351" s="27">
        <f t="shared" si="2119"/>
        <v>0</v>
      </c>
      <c r="AC1351" s="56"/>
      <c r="AD1351" s="23"/>
    </row>
    <row r="1352" spans="1:30" s="14" customFormat="1">
      <c r="A1352" s="45" t="s">
        <v>50</v>
      </c>
      <c r="B1352" s="30">
        <f>SUM(B1334:B1351)</f>
        <v>17275699.740000002</v>
      </c>
      <c r="C1352" s="46">
        <f>SUM(C1334:C1351)</f>
        <v>1439641.6600000001</v>
      </c>
      <c r="D1352" s="46">
        <f>D1335+D1337+D1339+D1341+D1343+D1345+D1347+D1349+D1351</f>
        <v>0</v>
      </c>
      <c r="E1352" s="46">
        <f t="shared" ref="E1352:AB1352" si="2120">E1335+E1337+E1339+E1341+E1343+E1345+E1347+E1349+E1351</f>
        <v>2353.6736040000001</v>
      </c>
      <c r="F1352" s="46">
        <f t="shared" si="2120"/>
        <v>335779.19619500003</v>
      </c>
      <c r="G1352" s="46">
        <f t="shared" si="2120"/>
        <v>961567.30045500014</v>
      </c>
      <c r="H1352" s="46">
        <f t="shared" si="2120"/>
        <v>0</v>
      </c>
      <c r="I1352" s="46">
        <f t="shared" si="2120"/>
        <v>0</v>
      </c>
      <c r="J1352" s="46">
        <f t="shared" si="2120"/>
        <v>1185.5865180000001</v>
      </c>
      <c r="K1352" s="46">
        <f t="shared" si="2120"/>
        <v>0</v>
      </c>
      <c r="L1352" s="46">
        <f t="shared" si="2120"/>
        <v>62059.497753999996</v>
      </c>
      <c r="M1352" s="46">
        <f t="shared" si="2120"/>
        <v>0</v>
      </c>
      <c r="N1352" s="46">
        <f t="shared" si="2120"/>
        <v>2323.0495980000001</v>
      </c>
      <c r="O1352" s="46">
        <f t="shared" si="2120"/>
        <v>0</v>
      </c>
      <c r="P1352" s="46">
        <f t="shared" si="2120"/>
        <v>0</v>
      </c>
      <c r="Q1352" s="46">
        <f t="shared" si="2120"/>
        <v>0</v>
      </c>
      <c r="R1352" s="46">
        <f t="shared" si="2120"/>
        <v>0</v>
      </c>
      <c r="S1352" s="46">
        <f t="shared" si="2120"/>
        <v>0</v>
      </c>
      <c r="T1352" s="46">
        <f t="shared" si="2120"/>
        <v>0</v>
      </c>
      <c r="U1352" s="46">
        <f t="shared" si="2120"/>
        <v>69561.012075999999</v>
      </c>
      <c r="V1352" s="46">
        <f t="shared" si="2120"/>
        <v>0</v>
      </c>
      <c r="W1352" s="46">
        <f t="shared" si="2120"/>
        <v>0</v>
      </c>
      <c r="X1352" s="46">
        <f t="shared" si="2120"/>
        <v>0</v>
      </c>
      <c r="Y1352" s="46">
        <f t="shared" si="2120"/>
        <v>0</v>
      </c>
      <c r="Z1352" s="46">
        <f t="shared" si="2120"/>
        <v>0</v>
      </c>
      <c r="AA1352" s="46">
        <f t="shared" si="2120"/>
        <v>0</v>
      </c>
      <c r="AB1352" s="46">
        <f t="shared" si="2120"/>
        <v>4812.3438000000006</v>
      </c>
      <c r="AC1352" s="56"/>
      <c r="AD1352" s="23"/>
    </row>
    <row r="1353" spans="1:30" s="14" customFormat="1">
      <c r="A1353" s="13"/>
      <c r="B1353" s="6"/>
      <c r="D1353" s="27"/>
      <c r="E1353" s="27"/>
      <c r="F1353" s="27"/>
      <c r="G1353" s="27"/>
      <c r="H1353" s="27"/>
      <c r="I1353" s="27"/>
      <c r="J1353" s="27"/>
      <c r="K1353" s="27"/>
      <c r="L1353" s="27"/>
      <c r="M1353" s="27"/>
      <c r="N1353" s="27"/>
      <c r="O1353" s="27"/>
      <c r="P1353" s="27"/>
      <c r="Q1353" s="27"/>
      <c r="R1353" s="27"/>
      <c r="S1353" s="27"/>
      <c r="T1353" s="27"/>
      <c r="U1353" s="27"/>
      <c r="V1353" s="27"/>
      <c r="W1353" s="27"/>
      <c r="X1353" s="27"/>
      <c r="Y1353" s="27"/>
      <c r="Z1353" s="27"/>
      <c r="AA1353" s="27"/>
      <c r="AB1353" s="27"/>
      <c r="AC1353" s="56"/>
      <c r="AD1353" s="23"/>
    </row>
    <row r="1354" spans="1:30" s="14" customFormat="1" ht="15.6">
      <c r="A1354" s="73"/>
      <c r="B1354" s="55"/>
      <c r="C1354" s="138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AC1354" s="56"/>
      <c r="AD1354" s="23"/>
    </row>
    <row r="1355" spans="1:30" s="14" customFormat="1" ht="13.8" thickBot="1">
      <c r="A1355" s="66" t="s">
        <v>498</v>
      </c>
      <c r="B1355" s="65"/>
      <c r="C1355" s="152"/>
      <c r="D1355" s="65"/>
      <c r="E1355" s="65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56"/>
      <c r="AD1355" s="23"/>
    </row>
    <row r="1356" spans="1:30" s="14" customFormat="1" ht="13.8" thickBot="1">
      <c r="A1356" s="93" t="s">
        <v>1</v>
      </c>
      <c r="B1356" s="94" t="s">
        <v>2</v>
      </c>
      <c r="C1356" s="125" t="s">
        <v>3</v>
      </c>
      <c r="D1356" s="211" t="s">
        <v>4</v>
      </c>
      <c r="E1356" s="212"/>
      <c r="F1356" s="212"/>
      <c r="G1356" s="212"/>
      <c r="H1356" s="212"/>
      <c r="I1356" s="212"/>
      <c r="J1356" s="212"/>
      <c r="K1356" s="212"/>
      <c r="L1356" s="212"/>
      <c r="M1356" s="212"/>
      <c r="N1356" s="212"/>
      <c r="O1356" s="212"/>
      <c r="P1356" s="212"/>
      <c r="Q1356" s="212"/>
      <c r="R1356" s="212"/>
      <c r="S1356" s="212"/>
      <c r="T1356" s="212"/>
      <c r="U1356" s="212"/>
      <c r="V1356" s="212"/>
      <c r="W1356" s="212"/>
      <c r="X1356" s="212"/>
      <c r="Y1356" s="212"/>
      <c r="Z1356" s="103"/>
      <c r="AA1356" s="103"/>
      <c r="AB1356" s="103"/>
      <c r="AC1356" s="56"/>
      <c r="AD1356" s="23"/>
    </row>
    <row r="1357" spans="1:30" s="14" customFormat="1">
      <c r="A1357" s="95" t="s">
        <v>5</v>
      </c>
      <c r="B1357" s="96" t="s">
        <v>6</v>
      </c>
      <c r="C1357" s="126" t="s">
        <v>6</v>
      </c>
      <c r="D1357" s="97"/>
      <c r="E1357" s="98"/>
      <c r="F1357" s="98"/>
      <c r="G1357" s="98"/>
      <c r="H1357" s="98"/>
      <c r="I1357" s="98"/>
      <c r="J1357" s="98"/>
      <c r="K1357" s="98"/>
      <c r="L1357" s="98"/>
      <c r="M1357" s="98"/>
      <c r="N1357" s="98"/>
      <c r="O1357" s="98"/>
      <c r="P1357" s="98"/>
      <c r="Q1357" s="98"/>
      <c r="R1357" s="98"/>
      <c r="S1357" s="98"/>
      <c r="T1357" s="98"/>
      <c r="U1357" s="98"/>
      <c r="V1357" s="98"/>
      <c r="W1357" s="98"/>
      <c r="X1357" s="98"/>
      <c r="Y1357" s="99"/>
      <c r="Z1357" s="96" t="s">
        <v>7</v>
      </c>
      <c r="AA1357" s="96"/>
      <c r="AB1357" s="96"/>
      <c r="AC1357" s="56"/>
      <c r="AD1357" s="23"/>
    </row>
    <row r="1358" spans="1:30" s="14" customFormat="1">
      <c r="A1358" s="95" t="s">
        <v>8</v>
      </c>
      <c r="B1358" s="96" t="s">
        <v>9</v>
      </c>
      <c r="C1358" s="126" t="s">
        <v>9</v>
      </c>
      <c r="D1358" s="100" t="s">
        <v>10</v>
      </c>
      <c r="E1358" s="96" t="s">
        <v>11</v>
      </c>
      <c r="F1358" s="96" t="s">
        <v>12</v>
      </c>
      <c r="G1358" s="96" t="s">
        <v>13</v>
      </c>
      <c r="H1358" s="96" t="s">
        <v>14</v>
      </c>
      <c r="I1358" s="96" t="s">
        <v>15</v>
      </c>
      <c r="J1358" s="96" t="s">
        <v>16</v>
      </c>
      <c r="K1358" s="96" t="s">
        <v>17</v>
      </c>
      <c r="L1358" s="96" t="s">
        <v>18</v>
      </c>
      <c r="M1358" s="96" t="s">
        <v>19</v>
      </c>
      <c r="N1358" s="96" t="s">
        <v>20</v>
      </c>
      <c r="O1358" s="96" t="s">
        <v>169</v>
      </c>
      <c r="P1358" s="96" t="s">
        <v>21</v>
      </c>
      <c r="Q1358" s="96" t="s">
        <v>22</v>
      </c>
      <c r="R1358" s="96" t="s">
        <v>23</v>
      </c>
      <c r="S1358" s="96" t="s">
        <v>24</v>
      </c>
      <c r="T1358" s="96" t="s">
        <v>25</v>
      </c>
      <c r="U1358" s="96" t="s">
        <v>26</v>
      </c>
      <c r="V1358" s="96" t="s">
        <v>27</v>
      </c>
      <c r="W1358" s="96" t="s">
        <v>28</v>
      </c>
      <c r="X1358" s="96" t="s">
        <v>29</v>
      </c>
      <c r="Y1358" s="96" t="s">
        <v>30</v>
      </c>
      <c r="Z1358" s="96" t="s">
        <v>31</v>
      </c>
      <c r="AA1358" s="96" t="s">
        <v>484</v>
      </c>
      <c r="AB1358" s="96" t="s">
        <v>467</v>
      </c>
      <c r="AC1358" s="56"/>
      <c r="AD1358" s="23"/>
    </row>
    <row r="1359" spans="1:30" s="14" customFormat="1">
      <c r="A1359" s="95"/>
      <c r="B1359" s="96"/>
      <c r="C1359" s="126" t="s">
        <v>696</v>
      </c>
      <c r="D1359" s="101"/>
      <c r="E1359" s="102"/>
      <c r="F1359" s="102"/>
      <c r="G1359" s="102"/>
      <c r="H1359" s="102"/>
      <c r="I1359" s="102"/>
      <c r="J1359" s="102"/>
      <c r="K1359" s="102"/>
      <c r="L1359" s="102"/>
      <c r="M1359" s="102"/>
      <c r="N1359" s="102"/>
      <c r="O1359" s="102"/>
      <c r="P1359" s="102"/>
      <c r="Q1359" s="102"/>
      <c r="R1359" s="102"/>
      <c r="S1359" s="102"/>
      <c r="T1359" s="102"/>
      <c r="U1359" s="102"/>
      <c r="V1359" s="102"/>
      <c r="W1359" s="102"/>
      <c r="X1359" s="102"/>
      <c r="Y1359" s="102"/>
      <c r="Z1359" s="102"/>
      <c r="AA1359" s="102"/>
      <c r="AB1359" s="102"/>
      <c r="AC1359" s="56"/>
      <c r="AD1359" s="23"/>
    </row>
    <row r="1360" spans="1:30" s="14" customFormat="1">
      <c r="A1360" s="111" t="s">
        <v>274</v>
      </c>
      <c r="B1360" s="26">
        <v>8732598</v>
      </c>
      <c r="C1360" s="130">
        <f>ROUND(B1360/12,2)</f>
        <v>727716.5</v>
      </c>
      <c r="D1360" s="17"/>
      <c r="E1360" s="39">
        <v>1</v>
      </c>
      <c r="F1360" s="4"/>
      <c r="G1360" s="16"/>
      <c r="H1360" s="17"/>
      <c r="I1360" s="17"/>
      <c r="J1360" s="17"/>
      <c r="K1360" s="17"/>
      <c r="L1360" s="4"/>
      <c r="M1360" s="17"/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56"/>
      <c r="AD1360" s="23"/>
    </row>
    <row r="1361" spans="1:30" s="14" customFormat="1">
      <c r="A1361" s="72"/>
      <c r="B1361" s="21"/>
      <c r="C1361" s="133"/>
      <c r="D1361" s="27">
        <f>$C1360*D1360</f>
        <v>0</v>
      </c>
      <c r="E1361" s="27">
        <f t="shared" ref="E1361" si="2121">$C1360*E1360</f>
        <v>727716.5</v>
      </c>
      <c r="F1361" s="27">
        <f t="shared" ref="F1361" si="2122">$C1360*F1360</f>
        <v>0</v>
      </c>
      <c r="G1361" s="27">
        <f t="shared" ref="G1361:AB1361" si="2123">$C1360*G1360</f>
        <v>0</v>
      </c>
      <c r="H1361" s="27">
        <f t="shared" si="2123"/>
        <v>0</v>
      </c>
      <c r="I1361" s="27">
        <f t="shared" si="2123"/>
        <v>0</v>
      </c>
      <c r="J1361" s="27">
        <f t="shared" si="2123"/>
        <v>0</v>
      </c>
      <c r="K1361" s="27">
        <f t="shared" si="2123"/>
        <v>0</v>
      </c>
      <c r="L1361" s="27">
        <f t="shared" si="2123"/>
        <v>0</v>
      </c>
      <c r="M1361" s="27">
        <f t="shared" si="2123"/>
        <v>0</v>
      </c>
      <c r="N1361" s="27">
        <f t="shared" si="2123"/>
        <v>0</v>
      </c>
      <c r="O1361" s="27">
        <f t="shared" si="2123"/>
        <v>0</v>
      </c>
      <c r="P1361" s="27">
        <f t="shared" si="2123"/>
        <v>0</v>
      </c>
      <c r="Q1361" s="27">
        <f t="shared" si="2123"/>
        <v>0</v>
      </c>
      <c r="R1361" s="27">
        <f t="shared" si="2123"/>
        <v>0</v>
      </c>
      <c r="S1361" s="27">
        <f t="shared" si="2123"/>
        <v>0</v>
      </c>
      <c r="T1361" s="27">
        <f t="shared" si="2123"/>
        <v>0</v>
      </c>
      <c r="U1361" s="27">
        <f t="shared" si="2123"/>
        <v>0</v>
      </c>
      <c r="V1361" s="27">
        <f t="shared" si="2123"/>
        <v>0</v>
      </c>
      <c r="W1361" s="27">
        <f t="shared" si="2123"/>
        <v>0</v>
      </c>
      <c r="X1361" s="27">
        <f t="shared" si="2123"/>
        <v>0</v>
      </c>
      <c r="Y1361" s="27">
        <f t="shared" si="2123"/>
        <v>0</v>
      </c>
      <c r="Z1361" s="27">
        <f t="shared" si="2123"/>
        <v>0</v>
      </c>
      <c r="AA1361" s="27">
        <f t="shared" si="2123"/>
        <v>0</v>
      </c>
      <c r="AB1361" s="27">
        <f t="shared" si="2123"/>
        <v>0</v>
      </c>
      <c r="AC1361" s="56"/>
      <c r="AD1361" s="23"/>
    </row>
    <row r="1362" spans="1:30" s="14" customFormat="1" ht="13.2" customHeight="1">
      <c r="A1362" s="45" t="s">
        <v>50</v>
      </c>
      <c r="B1362" s="30">
        <f>SUM(B1360:B1360)</f>
        <v>8732598</v>
      </c>
      <c r="C1362" s="46">
        <f>SUM(C1360:C1360)</f>
        <v>727716.5</v>
      </c>
      <c r="D1362" s="30">
        <f>D1361</f>
        <v>0</v>
      </c>
      <c r="E1362" s="30">
        <f t="shared" ref="E1362" si="2124">E1361</f>
        <v>727716.5</v>
      </c>
      <c r="F1362" s="30">
        <f t="shared" ref="F1362" si="2125">F1361</f>
        <v>0</v>
      </c>
      <c r="G1362" s="30">
        <f t="shared" ref="G1362:AB1362" si="2126">G1361</f>
        <v>0</v>
      </c>
      <c r="H1362" s="30">
        <f t="shared" si="2126"/>
        <v>0</v>
      </c>
      <c r="I1362" s="30">
        <f t="shared" si="2126"/>
        <v>0</v>
      </c>
      <c r="J1362" s="30">
        <f t="shared" si="2126"/>
        <v>0</v>
      </c>
      <c r="K1362" s="30">
        <f t="shared" si="2126"/>
        <v>0</v>
      </c>
      <c r="L1362" s="30">
        <f t="shared" si="2126"/>
        <v>0</v>
      </c>
      <c r="M1362" s="30">
        <f t="shared" si="2126"/>
        <v>0</v>
      </c>
      <c r="N1362" s="30">
        <f t="shared" si="2126"/>
        <v>0</v>
      </c>
      <c r="O1362" s="30">
        <f t="shared" si="2126"/>
        <v>0</v>
      </c>
      <c r="P1362" s="30">
        <f t="shared" si="2126"/>
        <v>0</v>
      </c>
      <c r="Q1362" s="30">
        <f t="shared" si="2126"/>
        <v>0</v>
      </c>
      <c r="R1362" s="30">
        <f t="shared" si="2126"/>
        <v>0</v>
      </c>
      <c r="S1362" s="30">
        <f t="shared" si="2126"/>
        <v>0</v>
      </c>
      <c r="T1362" s="30">
        <f t="shared" si="2126"/>
        <v>0</v>
      </c>
      <c r="U1362" s="30">
        <f t="shared" si="2126"/>
        <v>0</v>
      </c>
      <c r="V1362" s="30">
        <f t="shared" si="2126"/>
        <v>0</v>
      </c>
      <c r="W1362" s="30">
        <f t="shared" si="2126"/>
        <v>0</v>
      </c>
      <c r="X1362" s="30">
        <f t="shared" si="2126"/>
        <v>0</v>
      </c>
      <c r="Y1362" s="30">
        <f t="shared" si="2126"/>
        <v>0</v>
      </c>
      <c r="Z1362" s="30">
        <f t="shared" si="2126"/>
        <v>0</v>
      </c>
      <c r="AA1362" s="30">
        <f t="shared" si="2126"/>
        <v>0</v>
      </c>
      <c r="AB1362" s="30">
        <f t="shared" si="2126"/>
        <v>0</v>
      </c>
      <c r="AC1362" s="56"/>
      <c r="AD1362" s="23"/>
    </row>
    <row r="1363" spans="1:30" s="14" customFormat="1" ht="18" customHeight="1">
      <c r="A1363" s="13"/>
      <c r="B1363" s="6"/>
      <c r="C1363" s="138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56"/>
      <c r="AD1363" s="23"/>
    </row>
    <row r="1364" spans="1:30" s="14" customFormat="1" ht="13.35" customHeight="1">
      <c r="A1364" s="13"/>
      <c r="B1364" s="6"/>
      <c r="C1364" s="138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56"/>
      <c r="AD1364" s="23"/>
    </row>
    <row r="1365" spans="1:30" s="14" customFormat="1" ht="13.8" thickBot="1">
      <c r="A1365" s="66" t="s">
        <v>499</v>
      </c>
      <c r="B1365" s="65"/>
      <c r="C1365" s="152"/>
      <c r="D1365" s="65"/>
      <c r="E1365" s="65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56"/>
      <c r="AD1365" s="23"/>
    </row>
    <row r="1366" spans="1:30" s="14" customFormat="1" ht="13.8" thickBot="1">
      <c r="A1366" s="93" t="s">
        <v>1</v>
      </c>
      <c r="B1366" s="94" t="s">
        <v>2</v>
      </c>
      <c r="C1366" s="125" t="s">
        <v>3</v>
      </c>
      <c r="D1366" s="211" t="s">
        <v>4</v>
      </c>
      <c r="E1366" s="212"/>
      <c r="F1366" s="212"/>
      <c r="G1366" s="212"/>
      <c r="H1366" s="212"/>
      <c r="I1366" s="212"/>
      <c r="J1366" s="212"/>
      <c r="K1366" s="212"/>
      <c r="L1366" s="212"/>
      <c r="M1366" s="212"/>
      <c r="N1366" s="212"/>
      <c r="O1366" s="212"/>
      <c r="P1366" s="212"/>
      <c r="Q1366" s="212"/>
      <c r="R1366" s="212"/>
      <c r="S1366" s="212"/>
      <c r="T1366" s="212"/>
      <c r="U1366" s="212"/>
      <c r="V1366" s="212"/>
      <c r="W1366" s="212"/>
      <c r="X1366" s="212"/>
      <c r="Y1366" s="212"/>
      <c r="Z1366" s="103"/>
      <c r="AA1366" s="103"/>
      <c r="AB1366" s="103"/>
      <c r="AC1366" s="56"/>
      <c r="AD1366" s="23"/>
    </row>
    <row r="1367" spans="1:30" s="14" customFormat="1">
      <c r="A1367" s="95" t="s">
        <v>5</v>
      </c>
      <c r="B1367" s="96" t="s">
        <v>6</v>
      </c>
      <c r="C1367" s="126" t="s">
        <v>6</v>
      </c>
      <c r="D1367" s="97"/>
      <c r="E1367" s="98"/>
      <c r="F1367" s="98"/>
      <c r="G1367" s="98"/>
      <c r="H1367" s="98"/>
      <c r="I1367" s="98"/>
      <c r="J1367" s="98"/>
      <c r="K1367" s="98"/>
      <c r="L1367" s="98"/>
      <c r="M1367" s="98"/>
      <c r="N1367" s="98"/>
      <c r="O1367" s="98"/>
      <c r="P1367" s="98"/>
      <c r="Q1367" s="98"/>
      <c r="R1367" s="98"/>
      <c r="S1367" s="98"/>
      <c r="T1367" s="98"/>
      <c r="U1367" s="98"/>
      <c r="V1367" s="98"/>
      <c r="W1367" s="98"/>
      <c r="X1367" s="98"/>
      <c r="Y1367" s="99"/>
      <c r="Z1367" s="96" t="s">
        <v>7</v>
      </c>
      <c r="AA1367" s="96"/>
      <c r="AB1367" s="96"/>
      <c r="AC1367" s="56"/>
      <c r="AD1367" s="23"/>
    </row>
    <row r="1368" spans="1:30" s="14" customFormat="1">
      <c r="A1368" s="95" t="s">
        <v>8</v>
      </c>
      <c r="B1368" s="96" t="s">
        <v>9</v>
      </c>
      <c r="C1368" s="126" t="s">
        <v>9</v>
      </c>
      <c r="D1368" s="100" t="s">
        <v>10</v>
      </c>
      <c r="E1368" s="96" t="s">
        <v>11</v>
      </c>
      <c r="F1368" s="96" t="s">
        <v>12</v>
      </c>
      <c r="G1368" s="96" t="s">
        <v>13</v>
      </c>
      <c r="H1368" s="96" t="s">
        <v>14</v>
      </c>
      <c r="I1368" s="96" t="s">
        <v>15</v>
      </c>
      <c r="J1368" s="96" t="s">
        <v>16</v>
      </c>
      <c r="K1368" s="96" t="s">
        <v>17</v>
      </c>
      <c r="L1368" s="96" t="s">
        <v>18</v>
      </c>
      <c r="M1368" s="96" t="s">
        <v>19</v>
      </c>
      <c r="N1368" s="96" t="s">
        <v>20</v>
      </c>
      <c r="O1368" s="96" t="s">
        <v>169</v>
      </c>
      <c r="P1368" s="96" t="s">
        <v>21</v>
      </c>
      <c r="Q1368" s="96" t="s">
        <v>22</v>
      </c>
      <c r="R1368" s="96" t="s">
        <v>23</v>
      </c>
      <c r="S1368" s="96" t="s">
        <v>24</v>
      </c>
      <c r="T1368" s="96" t="s">
        <v>25</v>
      </c>
      <c r="U1368" s="96" t="s">
        <v>26</v>
      </c>
      <c r="V1368" s="96" t="s">
        <v>27</v>
      </c>
      <c r="W1368" s="96" t="s">
        <v>28</v>
      </c>
      <c r="X1368" s="96" t="s">
        <v>29</v>
      </c>
      <c r="Y1368" s="96" t="s">
        <v>30</v>
      </c>
      <c r="Z1368" s="96" t="s">
        <v>31</v>
      </c>
      <c r="AA1368" s="96" t="s">
        <v>484</v>
      </c>
      <c r="AB1368" s="96" t="s">
        <v>467</v>
      </c>
      <c r="AC1368" s="56"/>
      <c r="AD1368" s="23"/>
    </row>
    <row r="1369" spans="1:30" s="14" customFormat="1">
      <c r="A1369" s="95"/>
      <c r="B1369" s="96"/>
      <c r="C1369" s="126" t="s">
        <v>696</v>
      </c>
      <c r="D1369" s="101"/>
      <c r="E1369" s="102"/>
      <c r="F1369" s="102"/>
      <c r="G1369" s="102"/>
      <c r="H1369" s="102"/>
      <c r="I1369" s="102"/>
      <c r="J1369" s="102"/>
      <c r="K1369" s="102"/>
      <c r="L1369" s="102"/>
      <c r="M1369" s="102"/>
      <c r="N1369" s="102"/>
      <c r="O1369" s="102"/>
      <c r="P1369" s="102"/>
      <c r="Q1369" s="102"/>
      <c r="R1369" s="102"/>
      <c r="S1369" s="102"/>
      <c r="T1369" s="102"/>
      <c r="U1369" s="102"/>
      <c r="V1369" s="102"/>
      <c r="W1369" s="102"/>
      <c r="X1369" s="102"/>
      <c r="Y1369" s="102"/>
      <c r="Z1369" s="102"/>
      <c r="AA1369" s="102"/>
      <c r="AB1369" s="102"/>
      <c r="AC1369" s="56"/>
      <c r="AD1369" s="23"/>
    </row>
    <row r="1370" spans="1:30" s="14" customFormat="1">
      <c r="A1370" s="111" t="s">
        <v>367</v>
      </c>
      <c r="B1370" s="26">
        <v>1874430</v>
      </c>
      <c r="C1370" s="130">
        <f>ROUND(B1370/12,2)</f>
        <v>156202.5</v>
      </c>
      <c r="D1370" s="17"/>
      <c r="E1370" s="39">
        <v>6.4600000000000005E-2</v>
      </c>
      <c r="F1370" s="4">
        <v>8.7400000000000005E-2</v>
      </c>
      <c r="G1370" s="16"/>
      <c r="H1370" s="17">
        <v>0.19739999999999999</v>
      </c>
      <c r="I1370" s="17">
        <v>2.1600000000000001E-2</v>
      </c>
      <c r="J1370" s="17">
        <v>5.8999999999999999E-3</v>
      </c>
      <c r="K1370" s="17">
        <v>1.0200000000000001E-2</v>
      </c>
      <c r="L1370" s="4">
        <v>1E-4</v>
      </c>
      <c r="M1370" s="17"/>
      <c r="N1370" s="17">
        <v>0.39950000000000002</v>
      </c>
      <c r="O1370" s="17">
        <v>4.4999999999999997E-3</v>
      </c>
      <c r="P1370" s="17"/>
      <c r="Q1370" s="17"/>
      <c r="R1370" s="17"/>
      <c r="S1370" s="17"/>
      <c r="T1370" s="17"/>
      <c r="U1370" s="17"/>
      <c r="V1370" s="17">
        <v>0.20880000000000001</v>
      </c>
      <c r="W1370" s="17"/>
      <c r="X1370" s="17"/>
      <c r="Y1370" s="17"/>
      <c r="Z1370" s="17"/>
      <c r="AA1370" s="17"/>
      <c r="AB1370" s="17"/>
      <c r="AC1370" s="56"/>
      <c r="AD1370" s="23"/>
    </row>
    <row r="1371" spans="1:30" s="14" customFormat="1">
      <c r="A1371" s="137" t="s">
        <v>369</v>
      </c>
      <c r="B1371" s="114"/>
      <c r="C1371" s="130"/>
      <c r="D1371" s="27">
        <f t="shared" ref="D1371" si="2127">$C1370*D1370</f>
        <v>0</v>
      </c>
      <c r="E1371" s="27">
        <f t="shared" ref="E1371" si="2128">$C1370*E1370</f>
        <v>10090.681500000001</v>
      </c>
      <c r="F1371" s="27">
        <f t="shared" ref="F1371:AB1371" si="2129">$C1370*F1370</f>
        <v>13652.0985</v>
      </c>
      <c r="G1371" s="27">
        <f t="shared" si="2129"/>
        <v>0</v>
      </c>
      <c r="H1371" s="27">
        <f t="shared" si="2129"/>
        <v>30834.373499999998</v>
      </c>
      <c r="I1371" s="27">
        <f t="shared" si="2129"/>
        <v>3373.9740000000002</v>
      </c>
      <c r="J1371" s="27">
        <f t="shared" si="2129"/>
        <v>921.59474999999998</v>
      </c>
      <c r="K1371" s="27">
        <f t="shared" si="2129"/>
        <v>1593.2655000000002</v>
      </c>
      <c r="L1371" s="27">
        <f t="shared" si="2129"/>
        <v>15.62025</v>
      </c>
      <c r="M1371" s="27">
        <f t="shared" si="2129"/>
        <v>0</v>
      </c>
      <c r="N1371" s="27">
        <f t="shared" si="2129"/>
        <v>62402.89875</v>
      </c>
      <c r="O1371" s="27">
        <f t="shared" si="2129"/>
        <v>702.91125</v>
      </c>
      <c r="P1371" s="27">
        <f t="shared" si="2129"/>
        <v>0</v>
      </c>
      <c r="Q1371" s="27">
        <f t="shared" si="2129"/>
        <v>0</v>
      </c>
      <c r="R1371" s="27">
        <f t="shared" si="2129"/>
        <v>0</v>
      </c>
      <c r="S1371" s="27">
        <f t="shared" si="2129"/>
        <v>0</v>
      </c>
      <c r="T1371" s="27">
        <f t="shared" si="2129"/>
        <v>0</v>
      </c>
      <c r="U1371" s="27">
        <f t="shared" si="2129"/>
        <v>0</v>
      </c>
      <c r="V1371" s="27">
        <f t="shared" si="2129"/>
        <v>32615.082000000002</v>
      </c>
      <c r="W1371" s="27">
        <f t="shared" si="2129"/>
        <v>0</v>
      </c>
      <c r="X1371" s="27">
        <f t="shared" si="2129"/>
        <v>0</v>
      </c>
      <c r="Y1371" s="27">
        <f t="shared" si="2129"/>
        <v>0</v>
      </c>
      <c r="Z1371" s="27">
        <f t="shared" si="2129"/>
        <v>0</v>
      </c>
      <c r="AA1371" s="27">
        <f t="shared" si="2129"/>
        <v>0</v>
      </c>
      <c r="AB1371" s="27">
        <f t="shared" si="2129"/>
        <v>0</v>
      </c>
      <c r="AC1371" s="56"/>
      <c r="AD1371" s="23"/>
    </row>
    <row r="1372" spans="1:30" s="14" customFormat="1">
      <c r="A1372" s="45" t="s">
        <v>50</v>
      </c>
      <c r="B1372" s="30">
        <f>SUM(B1370:B1370)</f>
        <v>1874430</v>
      </c>
      <c r="C1372" s="46">
        <f>SUM(C1370:C1370)</f>
        <v>156202.5</v>
      </c>
      <c r="D1372" s="30">
        <f t="shared" ref="D1372" si="2130">D1371</f>
        <v>0</v>
      </c>
      <c r="E1372" s="30">
        <f t="shared" ref="E1372" si="2131">E1371</f>
        <v>10090.681500000001</v>
      </c>
      <c r="F1372" s="30">
        <f t="shared" ref="F1372:AB1372" si="2132">F1371</f>
        <v>13652.0985</v>
      </c>
      <c r="G1372" s="30">
        <f t="shared" si="2132"/>
        <v>0</v>
      </c>
      <c r="H1372" s="30">
        <f t="shared" si="2132"/>
        <v>30834.373499999998</v>
      </c>
      <c r="I1372" s="30">
        <f t="shared" si="2132"/>
        <v>3373.9740000000002</v>
      </c>
      <c r="J1372" s="30">
        <f t="shared" si="2132"/>
        <v>921.59474999999998</v>
      </c>
      <c r="K1372" s="30">
        <f t="shared" si="2132"/>
        <v>1593.2655000000002</v>
      </c>
      <c r="L1372" s="30">
        <f t="shared" si="2132"/>
        <v>15.62025</v>
      </c>
      <c r="M1372" s="30">
        <f t="shared" si="2132"/>
        <v>0</v>
      </c>
      <c r="N1372" s="30">
        <f t="shared" si="2132"/>
        <v>62402.89875</v>
      </c>
      <c r="O1372" s="30">
        <f t="shared" si="2132"/>
        <v>702.91125</v>
      </c>
      <c r="P1372" s="30">
        <f t="shared" si="2132"/>
        <v>0</v>
      </c>
      <c r="Q1372" s="30">
        <f t="shared" si="2132"/>
        <v>0</v>
      </c>
      <c r="R1372" s="30">
        <f t="shared" si="2132"/>
        <v>0</v>
      </c>
      <c r="S1372" s="30">
        <f t="shared" si="2132"/>
        <v>0</v>
      </c>
      <c r="T1372" s="30">
        <f t="shared" si="2132"/>
        <v>0</v>
      </c>
      <c r="U1372" s="30">
        <f t="shared" si="2132"/>
        <v>0</v>
      </c>
      <c r="V1372" s="30">
        <f t="shared" si="2132"/>
        <v>32615.082000000002</v>
      </c>
      <c r="W1372" s="30">
        <f t="shared" si="2132"/>
        <v>0</v>
      </c>
      <c r="X1372" s="30">
        <f t="shared" si="2132"/>
        <v>0</v>
      </c>
      <c r="Y1372" s="30">
        <f t="shared" si="2132"/>
        <v>0</v>
      </c>
      <c r="Z1372" s="30">
        <f t="shared" si="2132"/>
        <v>0</v>
      </c>
      <c r="AA1372" s="30">
        <f t="shared" si="2132"/>
        <v>0</v>
      </c>
      <c r="AB1372" s="30">
        <f t="shared" si="2132"/>
        <v>0</v>
      </c>
      <c r="AC1372" s="56"/>
      <c r="AD1372" s="23"/>
    </row>
    <row r="1373" spans="1:30" s="14" customFormat="1">
      <c r="A1373" s="13"/>
      <c r="B1373" s="6"/>
      <c r="C1373" s="138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56"/>
      <c r="AD1373" s="23"/>
    </row>
    <row r="1374" spans="1:30" s="14" customFormat="1">
      <c r="A1374" s="13"/>
      <c r="B1374" s="6"/>
      <c r="C1374" s="138"/>
      <c r="D1374" s="27"/>
      <c r="E1374" s="27"/>
      <c r="F1374" s="27"/>
      <c r="G1374" s="27"/>
      <c r="H1374" s="27"/>
      <c r="I1374" s="27"/>
      <c r="J1374" s="27"/>
      <c r="K1374" s="27"/>
      <c r="L1374" s="27"/>
      <c r="M1374" s="27"/>
      <c r="N1374" s="27"/>
      <c r="O1374" s="27"/>
      <c r="P1374" s="27"/>
      <c r="Q1374" s="27"/>
      <c r="R1374" s="27"/>
      <c r="S1374" s="27"/>
      <c r="T1374" s="27"/>
      <c r="U1374" s="27"/>
      <c r="V1374" s="27"/>
      <c r="W1374" s="27"/>
      <c r="X1374" s="27"/>
      <c r="Y1374" s="27"/>
      <c r="Z1374" s="27"/>
      <c r="AA1374" s="27"/>
      <c r="AB1374" s="27"/>
      <c r="AC1374" s="56"/>
      <c r="AD1374" s="23"/>
    </row>
    <row r="1375" spans="1:30" s="14" customFormat="1" ht="13.8" thickBot="1">
      <c r="A1375" s="66" t="s">
        <v>500</v>
      </c>
      <c r="B1375" s="65"/>
      <c r="C1375" s="152"/>
      <c r="D1375" s="65"/>
      <c r="E1375" s="65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56"/>
      <c r="AD1375" s="23"/>
    </row>
    <row r="1376" spans="1:30" s="14" customFormat="1" ht="13.8" thickBot="1">
      <c r="A1376" s="93" t="s">
        <v>1</v>
      </c>
      <c r="B1376" s="94" t="s">
        <v>2</v>
      </c>
      <c r="C1376" s="125" t="s">
        <v>3</v>
      </c>
      <c r="D1376" s="211" t="s">
        <v>4</v>
      </c>
      <c r="E1376" s="212"/>
      <c r="F1376" s="212"/>
      <c r="G1376" s="212"/>
      <c r="H1376" s="212"/>
      <c r="I1376" s="212"/>
      <c r="J1376" s="212"/>
      <c r="K1376" s="212"/>
      <c r="L1376" s="212"/>
      <c r="M1376" s="212"/>
      <c r="N1376" s="212"/>
      <c r="O1376" s="212"/>
      <c r="P1376" s="212"/>
      <c r="Q1376" s="212"/>
      <c r="R1376" s="212"/>
      <c r="S1376" s="212"/>
      <c r="T1376" s="212"/>
      <c r="U1376" s="212"/>
      <c r="V1376" s="212"/>
      <c r="W1376" s="212"/>
      <c r="X1376" s="212"/>
      <c r="Y1376" s="212"/>
      <c r="Z1376" s="103"/>
      <c r="AA1376" s="103"/>
      <c r="AB1376" s="103"/>
      <c r="AC1376" s="56"/>
      <c r="AD1376" s="23"/>
    </row>
    <row r="1377" spans="1:30" s="14" customFormat="1">
      <c r="A1377" s="95" t="s">
        <v>5</v>
      </c>
      <c r="B1377" s="96" t="s">
        <v>6</v>
      </c>
      <c r="C1377" s="126" t="s">
        <v>6</v>
      </c>
      <c r="D1377" s="97"/>
      <c r="E1377" s="98"/>
      <c r="F1377" s="98"/>
      <c r="G1377" s="98"/>
      <c r="H1377" s="98"/>
      <c r="I1377" s="98"/>
      <c r="J1377" s="98"/>
      <c r="K1377" s="98"/>
      <c r="L1377" s="98"/>
      <c r="M1377" s="98"/>
      <c r="N1377" s="98"/>
      <c r="O1377" s="98"/>
      <c r="P1377" s="98"/>
      <c r="Q1377" s="98"/>
      <c r="R1377" s="98"/>
      <c r="S1377" s="98"/>
      <c r="T1377" s="98"/>
      <c r="U1377" s="98"/>
      <c r="V1377" s="98"/>
      <c r="W1377" s="98"/>
      <c r="X1377" s="98"/>
      <c r="Y1377" s="99"/>
      <c r="Z1377" s="96" t="s">
        <v>7</v>
      </c>
      <c r="AA1377" s="96"/>
      <c r="AB1377" s="96"/>
      <c r="AC1377" s="56"/>
      <c r="AD1377" s="23"/>
    </row>
    <row r="1378" spans="1:30" s="14" customFormat="1">
      <c r="A1378" s="95" t="s">
        <v>8</v>
      </c>
      <c r="B1378" s="96" t="s">
        <v>9</v>
      </c>
      <c r="C1378" s="126" t="s">
        <v>9</v>
      </c>
      <c r="D1378" s="100" t="s">
        <v>10</v>
      </c>
      <c r="E1378" s="96" t="s">
        <v>11</v>
      </c>
      <c r="F1378" s="96" t="s">
        <v>12</v>
      </c>
      <c r="G1378" s="96" t="s">
        <v>13</v>
      </c>
      <c r="H1378" s="96" t="s">
        <v>14</v>
      </c>
      <c r="I1378" s="96" t="s">
        <v>15</v>
      </c>
      <c r="J1378" s="96" t="s">
        <v>16</v>
      </c>
      <c r="K1378" s="96" t="s">
        <v>17</v>
      </c>
      <c r="L1378" s="96" t="s">
        <v>18</v>
      </c>
      <c r="M1378" s="96" t="s">
        <v>19</v>
      </c>
      <c r="N1378" s="96" t="s">
        <v>20</v>
      </c>
      <c r="O1378" s="96" t="s">
        <v>169</v>
      </c>
      <c r="P1378" s="96" t="s">
        <v>21</v>
      </c>
      <c r="Q1378" s="96" t="s">
        <v>22</v>
      </c>
      <c r="R1378" s="96" t="s">
        <v>23</v>
      </c>
      <c r="S1378" s="96" t="s">
        <v>24</v>
      </c>
      <c r="T1378" s="96" t="s">
        <v>25</v>
      </c>
      <c r="U1378" s="96" t="s">
        <v>26</v>
      </c>
      <c r="V1378" s="96" t="s">
        <v>27</v>
      </c>
      <c r="W1378" s="96" t="s">
        <v>28</v>
      </c>
      <c r="X1378" s="96" t="s">
        <v>29</v>
      </c>
      <c r="Y1378" s="96" t="s">
        <v>30</v>
      </c>
      <c r="Z1378" s="96" t="s">
        <v>31</v>
      </c>
      <c r="AA1378" s="96" t="s">
        <v>484</v>
      </c>
      <c r="AB1378" s="96" t="s">
        <v>467</v>
      </c>
      <c r="AC1378" s="56"/>
      <c r="AD1378" s="23"/>
    </row>
    <row r="1379" spans="1:30" s="14" customFormat="1">
      <c r="A1379" s="95"/>
      <c r="B1379" s="96"/>
      <c r="C1379" s="126" t="s">
        <v>696</v>
      </c>
      <c r="D1379" s="101"/>
      <c r="E1379" s="102"/>
      <c r="F1379" s="102"/>
      <c r="G1379" s="102"/>
      <c r="H1379" s="102"/>
      <c r="I1379" s="102"/>
      <c r="J1379" s="102"/>
      <c r="K1379" s="102"/>
      <c r="L1379" s="102"/>
      <c r="M1379" s="102"/>
      <c r="N1379" s="102"/>
      <c r="O1379" s="102"/>
      <c r="P1379" s="102"/>
      <c r="Q1379" s="102"/>
      <c r="R1379" s="102"/>
      <c r="S1379" s="102"/>
      <c r="T1379" s="102"/>
      <c r="U1379" s="102"/>
      <c r="V1379" s="102"/>
      <c r="W1379" s="102"/>
      <c r="X1379" s="102"/>
      <c r="Y1379" s="102"/>
      <c r="Z1379" s="102"/>
      <c r="AA1379" s="102"/>
      <c r="AB1379" s="102"/>
      <c r="AC1379" s="56"/>
      <c r="AD1379" s="23"/>
    </row>
    <row r="1380" spans="1:30" s="14" customFormat="1">
      <c r="A1380" s="111" t="s">
        <v>367</v>
      </c>
      <c r="B1380" s="26">
        <v>11654761</v>
      </c>
      <c r="C1380" s="130">
        <f>ROUND(B1380/12,2)</f>
        <v>971230.08</v>
      </c>
      <c r="D1380" s="17"/>
      <c r="E1380" s="39">
        <v>6.4600000000000005E-2</v>
      </c>
      <c r="F1380" s="4">
        <v>8.7400000000000005E-2</v>
      </c>
      <c r="G1380" s="16"/>
      <c r="H1380" s="17">
        <v>0.19739999999999999</v>
      </c>
      <c r="I1380" s="17">
        <v>2.1600000000000001E-2</v>
      </c>
      <c r="J1380" s="17">
        <v>5.8999999999999999E-3</v>
      </c>
      <c r="K1380" s="17">
        <v>1.0200000000000001E-2</v>
      </c>
      <c r="L1380" s="4">
        <v>1E-4</v>
      </c>
      <c r="M1380" s="17"/>
      <c r="N1380" s="17">
        <v>0.39950000000000002</v>
      </c>
      <c r="O1380" s="17">
        <v>4.4999999999999997E-3</v>
      </c>
      <c r="P1380" s="17"/>
      <c r="Q1380" s="17"/>
      <c r="R1380" s="17"/>
      <c r="S1380" s="17"/>
      <c r="T1380" s="17"/>
      <c r="U1380" s="17"/>
      <c r="V1380" s="17">
        <v>0.20880000000000001</v>
      </c>
      <c r="W1380" s="17"/>
      <c r="X1380" s="17"/>
      <c r="Y1380" s="17"/>
      <c r="Z1380" s="17"/>
      <c r="AA1380" s="17"/>
      <c r="AB1380" s="17"/>
      <c r="AC1380" s="56"/>
      <c r="AD1380" s="23"/>
    </row>
    <row r="1381" spans="1:30" s="14" customFormat="1">
      <c r="A1381" s="47" t="s">
        <v>368</v>
      </c>
      <c r="B1381" s="116"/>
      <c r="C1381" s="128"/>
      <c r="D1381" s="27">
        <f>$C1380*D1380</f>
        <v>0</v>
      </c>
      <c r="E1381" s="27">
        <f>$C1380*E1380</f>
        <v>62741.463168000002</v>
      </c>
      <c r="F1381" s="27">
        <f t="shared" ref="F1381" si="2133">$C1380*F1380</f>
        <v>84885.508992000003</v>
      </c>
      <c r="G1381" s="27">
        <f t="shared" ref="G1381" si="2134">$C1380*G1380</f>
        <v>0</v>
      </c>
      <c r="H1381" s="27">
        <f t="shared" ref="H1381:AB1381" si="2135">$C1380*H1380</f>
        <v>191720.81779199999</v>
      </c>
      <c r="I1381" s="27">
        <f t="shared" si="2135"/>
        <v>20978.569727999999</v>
      </c>
      <c r="J1381" s="27">
        <f t="shared" si="2135"/>
        <v>5730.2574719999993</v>
      </c>
      <c r="K1381" s="27">
        <f t="shared" si="2135"/>
        <v>9906.546816</v>
      </c>
      <c r="L1381" s="27">
        <f t="shared" si="2135"/>
        <v>97.123007999999999</v>
      </c>
      <c r="M1381" s="27">
        <f t="shared" si="2135"/>
        <v>0</v>
      </c>
      <c r="N1381" s="27">
        <f t="shared" si="2135"/>
        <v>388006.41696</v>
      </c>
      <c r="O1381" s="27">
        <f t="shared" si="2135"/>
        <v>4370.5353599999999</v>
      </c>
      <c r="P1381" s="27">
        <f t="shared" si="2135"/>
        <v>0</v>
      </c>
      <c r="Q1381" s="27">
        <f t="shared" si="2135"/>
        <v>0</v>
      </c>
      <c r="R1381" s="27">
        <f t="shared" si="2135"/>
        <v>0</v>
      </c>
      <c r="S1381" s="27">
        <f t="shared" si="2135"/>
        <v>0</v>
      </c>
      <c r="T1381" s="27">
        <f t="shared" si="2135"/>
        <v>0</v>
      </c>
      <c r="U1381" s="27">
        <f t="shared" si="2135"/>
        <v>0</v>
      </c>
      <c r="V1381" s="27">
        <f t="shared" si="2135"/>
        <v>202792.840704</v>
      </c>
      <c r="W1381" s="27">
        <f t="shared" si="2135"/>
        <v>0</v>
      </c>
      <c r="X1381" s="27">
        <f t="shared" si="2135"/>
        <v>0</v>
      </c>
      <c r="Y1381" s="27">
        <f t="shared" si="2135"/>
        <v>0</v>
      </c>
      <c r="Z1381" s="27">
        <f t="shared" si="2135"/>
        <v>0</v>
      </c>
      <c r="AA1381" s="27">
        <f t="shared" si="2135"/>
        <v>0</v>
      </c>
      <c r="AB1381" s="27">
        <f t="shared" si="2135"/>
        <v>0</v>
      </c>
      <c r="AC1381" s="56"/>
      <c r="AD1381" s="23"/>
    </row>
    <row r="1382" spans="1:30" s="14" customFormat="1">
      <c r="A1382" s="47" t="s">
        <v>369</v>
      </c>
      <c r="B1382" s="117"/>
      <c r="C1382" s="128"/>
      <c r="D1382" s="17"/>
      <c r="E1382" s="39"/>
      <c r="F1382" s="16"/>
      <c r="G1382" s="16"/>
      <c r="H1382" s="17"/>
      <c r="I1382" s="17"/>
      <c r="J1382" s="17"/>
      <c r="K1382" s="17"/>
      <c r="L1382" s="16"/>
      <c r="M1382" s="17"/>
      <c r="N1382" s="17"/>
      <c r="O1382" s="17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17"/>
      <c r="AB1382" s="17"/>
      <c r="AC1382" s="56"/>
      <c r="AD1382" s="23"/>
    </row>
    <row r="1383" spans="1:30" s="14" customFormat="1">
      <c r="A1383" s="47" t="s">
        <v>370</v>
      </c>
      <c r="B1383" s="117"/>
      <c r="C1383" s="128"/>
      <c r="D1383" s="27"/>
      <c r="E1383" s="27"/>
      <c r="F1383" s="27"/>
      <c r="G1383" s="27"/>
      <c r="H1383" s="27"/>
      <c r="I1383" s="27"/>
      <c r="J1383" s="27"/>
      <c r="K1383" s="27"/>
      <c r="L1383" s="27"/>
      <c r="M1383" s="27"/>
      <c r="N1383" s="27"/>
      <c r="O1383" s="27"/>
      <c r="P1383" s="27"/>
      <c r="Q1383" s="27"/>
      <c r="R1383" s="27"/>
      <c r="S1383" s="27"/>
      <c r="T1383" s="27"/>
      <c r="U1383" s="27"/>
      <c r="V1383" s="27"/>
      <c r="W1383" s="27"/>
      <c r="X1383" s="27"/>
      <c r="Y1383" s="27"/>
      <c r="Z1383" s="27"/>
      <c r="AA1383" s="27"/>
      <c r="AB1383" s="27"/>
      <c r="AC1383" s="56"/>
      <c r="AD1383" s="23"/>
    </row>
    <row r="1384" spans="1:30" s="14" customFormat="1">
      <c r="A1384" s="115"/>
      <c r="B1384" s="49"/>
      <c r="C1384" s="129"/>
      <c r="D1384" s="27"/>
      <c r="E1384" s="27"/>
      <c r="F1384" s="27"/>
      <c r="G1384" s="27"/>
      <c r="H1384" s="27"/>
      <c r="I1384" s="27"/>
      <c r="J1384" s="27"/>
      <c r="K1384" s="27"/>
      <c r="L1384" s="27"/>
      <c r="M1384" s="27"/>
      <c r="N1384" s="27"/>
      <c r="O1384" s="27"/>
      <c r="P1384" s="27"/>
      <c r="Q1384" s="27"/>
      <c r="R1384" s="27"/>
      <c r="S1384" s="27"/>
      <c r="T1384" s="27"/>
      <c r="U1384" s="27"/>
      <c r="V1384" s="27"/>
      <c r="W1384" s="27"/>
      <c r="X1384" s="27"/>
      <c r="Y1384" s="27"/>
      <c r="Z1384" s="27"/>
      <c r="AA1384" s="27"/>
      <c r="AB1384" s="27"/>
      <c r="AC1384" s="56"/>
      <c r="AD1384" s="23"/>
    </row>
    <row r="1385" spans="1:30" s="14" customFormat="1">
      <c r="A1385" s="111" t="s">
        <v>609</v>
      </c>
      <c r="B1385" s="26">
        <f>SUM(9209606*0*0.5)+(9209606*0.2673*0.5)</f>
        <v>1230863.8418999999</v>
      </c>
      <c r="C1385" s="130">
        <f>ROUND(B1385/12,2)</f>
        <v>102571.99</v>
      </c>
      <c r="D1385" s="35">
        <v>1.6299999999999999E-2</v>
      </c>
      <c r="E1385" s="35">
        <v>0.14269999999999999</v>
      </c>
      <c r="F1385" s="35">
        <v>5.8900000000000001E-2</v>
      </c>
      <c r="G1385" s="35">
        <v>7.6200000000000004E-2</v>
      </c>
      <c r="H1385" s="35">
        <v>3.9600000000000003E-2</v>
      </c>
      <c r="I1385" s="35">
        <v>0.12470000000000001</v>
      </c>
      <c r="J1385" s="35">
        <v>2.0400000000000001E-2</v>
      </c>
      <c r="K1385" s="35">
        <v>3.1199999999999999E-2</v>
      </c>
      <c r="L1385" s="35">
        <v>1.6199999999999999E-2</v>
      </c>
      <c r="M1385" s="35">
        <v>2.53E-2</v>
      </c>
      <c r="N1385" s="35">
        <v>0.14849999999999999</v>
      </c>
      <c r="O1385" s="35">
        <v>2.2599999999999999E-2</v>
      </c>
      <c r="P1385" s="35">
        <v>0</v>
      </c>
      <c r="Q1385" s="35">
        <v>3.78E-2</v>
      </c>
      <c r="R1385" s="35">
        <v>1.8100000000000002E-2</v>
      </c>
      <c r="S1385" s="35">
        <v>4.1000000000000003E-3</v>
      </c>
      <c r="T1385" s="35">
        <v>5.04E-2</v>
      </c>
      <c r="U1385" s="35">
        <v>1.7500000000000002E-2</v>
      </c>
      <c r="V1385" s="35">
        <v>3.6200000000000003E-2</v>
      </c>
      <c r="W1385" s="35">
        <v>4.8500000000000001E-2</v>
      </c>
      <c r="X1385" s="35">
        <v>6.1600000000000002E-2</v>
      </c>
      <c r="Y1385" s="35">
        <v>2.5000000000000001E-3</v>
      </c>
      <c r="Z1385" s="4">
        <v>0</v>
      </c>
      <c r="AA1385" s="4">
        <v>6.9999999999999999E-4</v>
      </c>
      <c r="AB1385" s="4">
        <v>0</v>
      </c>
      <c r="AC1385" s="56"/>
      <c r="AD1385" s="23"/>
    </row>
    <row r="1386" spans="1:30" s="14" customFormat="1">
      <c r="A1386" s="47"/>
      <c r="B1386" s="116"/>
      <c r="C1386" s="128"/>
      <c r="D1386" s="27">
        <f>$C1385*D1385</f>
        <v>1671.9234369999999</v>
      </c>
      <c r="E1386" s="27">
        <f>$C1385*E1385</f>
        <v>14637.022972999999</v>
      </c>
      <c r="F1386" s="27">
        <f t="shared" ref="F1386:AB1386" si="2136">$C1385*F1385</f>
        <v>6041.4902110000003</v>
      </c>
      <c r="G1386" s="27">
        <f t="shared" si="2136"/>
        <v>7815.985638000001</v>
      </c>
      <c r="H1386" s="27">
        <f t="shared" si="2136"/>
        <v>4061.8508040000006</v>
      </c>
      <c r="I1386" s="27">
        <f t="shared" si="2136"/>
        <v>12790.727153000002</v>
      </c>
      <c r="J1386" s="27">
        <f t="shared" si="2136"/>
        <v>2092.4685960000002</v>
      </c>
      <c r="K1386" s="27">
        <f t="shared" si="2136"/>
        <v>3200.2460879999999</v>
      </c>
      <c r="L1386" s="27">
        <f t="shared" si="2136"/>
        <v>1661.666238</v>
      </c>
      <c r="M1386" s="27">
        <f t="shared" si="2136"/>
        <v>2595.0713470000001</v>
      </c>
      <c r="N1386" s="27">
        <f t="shared" si="2136"/>
        <v>15231.940515</v>
      </c>
      <c r="O1386" s="27">
        <f t="shared" si="2136"/>
        <v>2318.1269739999998</v>
      </c>
      <c r="P1386" s="27">
        <f t="shared" si="2136"/>
        <v>0</v>
      </c>
      <c r="Q1386" s="27">
        <f t="shared" si="2136"/>
        <v>3877.2212220000001</v>
      </c>
      <c r="R1386" s="27">
        <f t="shared" si="2136"/>
        <v>1856.5530190000002</v>
      </c>
      <c r="S1386" s="27">
        <f t="shared" si="2136"/>
        <v>420.54515900000007</v>
      </c>
      <c r="T1386" s="27">
        <f t="shared" si="2136"/>
        <v>5169.6282959999999</v>
      </c>
      <c r="U1386" s="27">
        <f t="shared" si="2136"/>
        <v>1795.0098250000003</v>
      </c>
      <c r="V1386" s="27">
        <f t="shared" si="2136"/>
        <v>3713.1060380000004</v>
      </c>
      <c r="W1386" s="27">
        <f t="shared" si="2136"/>
        <v>4974.7415150000006</v>
      </c>
      <c r="X1386" s="27">
        <f t="shared" si="2136"/>
        <v>6318.4345840000005</v>
      </c>
      <c r="Y1386" s="27">
        <f t="shared" si="2136"/>
        <v>256.42997500000001</v>
      </c>
      <c r="Z1386" s="27">
        <f t="shared" si="2136"/>
        <v>0</v>
      </c>
      <c r="AA1386" s="27">
        <f t="shared" si="2136"/>
        <v>71.800393</v>
      </c>
      <c r="AB1386" s="27">
        <f t="shared" si="2136"/>
        <v>0</v>
      </c>
      <c r="AC1386" s="56"/>
      <c r="AD1386" s="23"/>
    </row>
    <row r="1387" spans="1:30" s="14" customFormat="1">
      <c r="A1387" s="111" t="s">
        <v>673</v>
      </c>
      <c r="B1387" s="26">
        <f>SUM(9209606*0.2673*0.5)</f>
        <v>1230863.8418999999</v>
      </c>
      <c r="C1387" s="130">
        <f>ROUND(B1387/12,2)</f>
        <v>102571.99</v>
      </c>
      <c r="D1387" s="24"/>
      <c r="E1387" s="34"/>
      <c r="F1387" s="4"/>
      <c r="G1387" s="4"/>
      <c r="H1387" s="7"/>
      <c r="I1387" s="7"/>
      <c r="J1387" s="7"/>
      <c r="K1387" s="7"/>
      <c r="L1387" s="4"/>
      <c r="M1387" s="7"/>
      <c r="N1387" s="7"/>
      <c r="O1387" s="7"/>
      <c r="P1387" s="7"/>
      <c r="Q1387" s="7"/>
      <c r="R1387" s="7"/>
      <c r="S1387" s="7"/>
      <c r="T1387" s="7">
        <v>1</v>
      </c>
      <c r="U1387" s="7"/>
      <c r="V1387" s="7"/>
      <c r="W1387" s="7"/>
      <c r="X1387" s="7"/>
      <c r="Y1387" s="7"/>
      <c r="Z1387" s="7"/>
      <c r="AA1387" s="7"/>
      <c r="AB1387" s="7"/>
      <c r="AC1387" s="56"/>
      <c r="AD1387" s="23"/>
    </row>
    <row r="1388" spans="1:30" s="14" customFormat="1">
      <c r="A1388" s="47"/>
      <c r="B1388" s="116"/>
      <c r="C1388" s="128"/>
      <c r="D1388" s="27">
        <f>$C1387*D1387</f>
        <v>0</v>
      </c>
      <c r="E1388" s="27">
        <f>$C1387*E1387</f>
        <v>0</v>
      </c>
      <c r="F1388" s="27">
        <f t="shared" ref="F1388:AB1388" si="2137">$C1387*F1387</f>
        <v>0</v>
      </c>
      <c r="G1388" s="27">
        <f t="shared" si="2137"/>
        <v>0</v>
      </c>
      <c r="H1388" s="27">
        <f t="shared" si="2137"/>
        <v>0</v>
      </c>
      <c r="I1388" s="27">
        <f t="shared" si="2137"/>
        <v>0</v>
      </c>
      <c r="J1388" s="27">
        <f t="shared" si="2137"/>
        <v>0</v>
      </c>
      <c r="K1388" s="27">
        <f t="shared" si="2137"/>
        <v>0</v>
      </c>
      <c r="L1388" s="27">
        <f t="shared" si="2137"/>
        <v>0</v>
      </c>
      <c r="M1388" s="27">
        <f t="shared" si="2137"/>
        <v>0</v>
      </c>
      <c r="N1388" s="27">
        <f t="shared" si="2137"/>
        <v>0</v>
      </c>
      <c r="O1388" s="27">
        <f t="shared" si="2137"/>
        <v>0</v>
      </c>
      <c r="P1388" s="27">
        <f t="shared" si="2137"/>
        <v>0</v>
      </c>
      <c r="Q1388" s="27">
        <f t="shared" si="2137"/>
        <v>0</v>
      </c>
      <c r="R1388" s="27">
        <f t="shared" si="2137"/>
        <v>0</v>
      </c>
      <c r="S1388" s="27">
        <f t="shared" si="2137"/>
        <v>0</v>
      </c>
      <c r="T1388" s="27">
        <f t="shared" si="2137"/>
        <v>102571.99</v>
      </c>
      <c r="U1388" s="27">
        <f t="shared" si="2137"/>
        <v>0</v>
      </c>
      <c r="V1388" s="27">
        <f t="shared" si="2137"/>
        <v>0</v>
      </c>
      <c r="W1388" s="27">
        <f t="shared" si="2137"/>
        <v>0</v>
      </c>
      <c r="X1388" s="27">
        <f t="shared" si="2137"/>
        <v>0</v>
      </c>
      <c r="Y1388" s="27">
        <f t="shared" si="2137"/>
        <v>0</v>
      </c>
      <c r="Z1388" s="27">
        <f t="shared" si="2137"/>
        <v>0</v>
      </c>
      <c r="AA1388" s="27">
        <f t="shared" si="2137"/>
        <v>0</v>
      </c>
      <c r="AB1388" s="27">
        <f t="shared" si="2137"/>
        <v>0</v>
      </c>
      <c r="AC1388" s="56"/>
      <c r="AD1388" s="23"/>
    </row>
    <row r="1389" spans="1:30" s="14" customFormat="1">
      <c r="A1389" s="111" t="s">
        <v>674</v>
      </c>
      <c r="B1389" s="26">
        <f>SUM(9209606*0.7327)</f>
        <v>6747878.3162000002</v>
      </c>
      <c r="C1389" s="130">
        <f>ROUND(B1389/12,2)</f>
        <v>562323.18999999994</v>
      </c>
      <c r="D1389" s="24">
        <v>0.13800000000000001</v>
      </c>
      <c r="E1389" s="34"/>
      <c r="F1389" s="4"/>
      <c r="G1389" s="4"/>
      <c r="H1389" s="7"/>
      <c r="I1389" s="7"/>
      <c r="J1389" s="7"/>
      <c r="K1389" s="7"/>
      <c r="L1389" s="4"/>
      <c r="M1389" s="7"/>
      <c r="N1389" s="7"/>
      <c r="O1389" s="7"/>
      <c r="P1389" s="7"/>
      <c r="Q1389" s="7">
        <v>0.31950000000000001</v>
      </c>
      <c r="R1389" s="7"/>
      <c r="S1389" s="7"/>
      <c r="T1389" s="7"/>
      <c r="U1389" s="7"/>
      <c r="V1389" s="7"/>
      <c r="W1389" s="7"/>
      <c r="X1389" s="7">
        <v>0.52100000000000002</v>
      </c>
      <c r="Y1389" s="7">
        <v>2.1499999999999998E-2</v>
      </c>
      <c r="Z1389" s="7"/>
      <c r="AA1389" s="7"/>
      <c r="AB1389" s="7"/>
      <c r="AC1389" s="56"/>
      <c r="AD1389" s="23"/>
    </row>
    <row r="1390" spans="1:30" s="14" customFormat="1">
      <c r="A1390" s="47"/>
      <c r="B1390" s="116"/>
      <c r="C1390" s="128"/>
      <c r="D1390" s="27">
        <f>$C1389*D1389</f>
        <v>77600.600219999993</v>
      </c>
      <c r="E1390" s="27">
        <f>$C1389*E1389</f>
        <v>0</v>
      </c>
      <c r="F1390" s="27">
        <f t="shared" ref="F1390:AB1390" si="2138">$C1389*F1389</f>
        <v>0</v>
      </c>
      <c r="G1390" s="27">
        <f t="shared" si="2138"/>
        <v>0</v>
      </c>
      <c r="H1390" s="27">
        <f t="shared" si="2138"/>
        <v>0</v>
      </c>
      <c r="I1390" s="27">
        <f t="shared" si="2138"/>
        <v>0</v>
      </c>
      <c r="J1390" s="27">
        <f t="shared" si="2138"/>
        <v>0</v>
      </c>
      <c r="K1390" s="27">
        <f t="shared" si="2138"/>
        <v>0</v>
      </c>
      <c r="L1390" s="27">
        <f t="shared" si="2138"/>
        <v>0</v>
      </c>
      <c r="M1390" s="27">
        <f t="shared" si="2138"/>
        <v>0</v>
      </c>
      <c r="N1390" s="27">
        <f t="shared" si="2138"/>
        <v>0</v>
      </c>
      <c r="O1390" s="27">
        <f t="shared" si="2138"/>
        <v>0</v>
      </c>
      <c r="P1390" s="27">
        <f t="shared" si="2138"/>
        <v>0</v>
      </c>
      <c r="Q1390" s="27">
        <f t="shared" si="2138"/>
        <v>179662.25920499998</v>
      </c>
      <c r="R1390" s="27">
        <f t="shared" si="2138"/>
        <v>0</v>
      </c>
      <c r="S1390" s="27">
        <f t="shared" si="2138"/>
        <v>0</v>
      </c>
      <c r="T1390" s="27">
        <f t="shared" si="2138"/>
        <v>0</v>
      </c>
      <c r="U1390" s="27">
        <f t="shared" si="2138"/>
        <v>0</v>
      </c>
      <c r="V1390" s="27">
        <f t="shared" si="2138"/>
        <v>0</v>
      </c>
      <c r="W1390" s="27">
        <f t="shared" si="2138"/>
        <v>0</v>
      </c>
      <c r="X1390" s="27">
        <f t="shared" si="2138"/>
        <v>292970.38198999997</v>
      </c>
      <c r="Y1390" s="27">
        <f t="shared" si="2138"/>
        <v>12089.948584999998</v>
      </c>
      <c r="Z1390" s="27">
        <f t="shared" si="2138"/>
        <v>0</v>
      </c>
      <c r="AA1390" s="27">
        <f t="shared" si="2138"/>
        <v>0</v>
      </c>
      <c r="AB1390" s="27">
        <f t="shared" si="2138"/>
        <v>0</v>
      </c>
      <c r="AC1390" s="56"/>
      <c r="AD1390" s="23"/>
    </row>
    <row r="1391" spans="1:30" s="14" customFormat="1">
      <c r="A1391" s="45" t="s">
        <v>50</v>
      </c>
      <c r="B1391" s="30">
        <f>SUM(B1380:B1389)</f>
        <v>20864367</v>
      </c>
      <c r="C1391" s="46">
        <f>SUM(C1380:C1389)</f>
        <v>1738697.25</v>
      </c>
      <c r="D1391" s="46">
        <f>D1381+D1386+D1388+D1390</f>
        <v>79272.523656999998</v>
      </c>
      <c r="E1391" s="46">
        <f t="shared" ref="E1391:AB1391" si="2139">E1381+E1386+E1388+E1390</f>
        <v>77378.486141000001</v>
      </c>
      <c r="F1391" s="46">
        <f t="shared" si="2139"/>
        <v>90926.999202999999</v>
      </c>
      <c r="G1391" s="46">
        <f t="shared" si="2139"/>
        <v>7815.985638000001</v>
      </c>
      <c r="H1391" s="46">
        <f t="shared" si="2139"/>
        <v>195782.66859599997</v>
      </c>
      <c r="I1391" s="46">
        <f t="shared" si="2139"/>
        <v>33769.296881000002</v>
      </c>
      <c r="J1391" s="46">
        <f t="shared" si="2139"/>
        <v>7822.7260679999999</v>
      </c>
      <c r="K1391" s="46">
        <f t="shared" si="2139"/>
        <v>13106.792904</v>
      </c>
      <c r="L1391" s="46">
        <f t="shared" si="2139"/>
        <v>1758.789246</v>
      </c>
      <c r="M1391" s="46">
        <f t="shared" si="2139"/>
        <v>2595.0713470000001</v>
      </c>
      <c r="N1391" s="46">
        <f t="shared" si="2139"/>
        <v>403238.35747500003</v>
      </c>
      <c r="O1391" s="46">
        <f t="shared" si="2139"/>
        <v>6688.6623339999996</v>
      </c>
      <c r="P1391" s="46">
        <f t="shared" si="2139"/>
        <v>0</v>
      </c>
      <c r="Q1391" s="46">
        <f t="shared" si="2139"/>
        <v>183539.48042699997</v>
      </c>
      <c r="R1391" s="46">
        <f t="shared" si="2139"/>
        <v>1856.5530190000002</v>
      </c>
      <c r="S1391" s="46">
        <f t="shared" si="2139"/>
        <v>420.54515900000007</v>
      </c>
      <c r="T1391" s="46">
        <f t="shared" si="2139"/>
        <v>107741.618296</v>
      </c>
      <c r="U1391" s="46">
        <f t="shared" si="2139"/>
        <v>1795.0098250000003</v>
      </c>
      <c r="V1391" s="46">
        <f t="shared" si="2139"/>
        <v>206505.946742</v>
      </c>
      <c r="W1391" s="46">
        <f t="shared" si="2139"/>
        <v>4974.7415150000006</v>
      </c>
      <c r="X1391" s="46">
        <f t="shared" si="2139"/>
        <v>299288.81657399994</v>
      </c>
      <c r="Y1391" s="46">
        <f t="shared" si="2139"/>
        <v>12346.378559999997</v>
      </c>
      <c r="Z1391" s="46">
        <f t="shared" si="2139"/>
        <v>0</v>
      </c>
      <c r="AA1391" s="46">
        <f t="shared" si="2139"/>
        <v>71.800393</v>
      </c>
      <c r="AB1391" s="46">
        <f t="shared" si="2139"/>
        <v>0</v>
      </c>
      <c r="AC1391" s="56"/>
      <c r="AD1391" s="23"/>
    </row>
    <row r="1392" spans="1:30" s="14" customFormat="1">
      <c r="A1392" s="13"/>
      <c r="B1392" s="6"/>
      <c r="C1392" s="138"/>
      <c r="D1392" s="27"/>
      <c r="E1392" s="27"/>
      <c r="F1392" s="27"/>
      <c r="G1392" s="27"/>
      <c r="H1392" s="27"/>
      <c r="I1392" s="27"/>
      <c r="J1392" s="27"/>
      <c r="K1392" s="27"/>
      <c r="L1392" s="27"/>
      <c r="M1392" s="27"/>
      <c r="N1392" s="27"/>
      <c r="O1392" s="27"/>
      <c r="P1392" s="27"/>
      <c r="Q1392" s="27"/>
      <c r="R1392" s="27"/>
      <c r="S1392" s="27"/>
      <c r="T1392" s="27"/>
      <c r="U1392" s="27"/>
      <c r="V1392" s="27"/>
      <c r="W1392" s="27"/>
      <c r="X1392" s="27"/>
      <c r="Y1392" s="27"/>
      <c r="Z1392" s="27"/>
      <c r="AA1392" s="27"/>
      <c r="AB1392" s="27"/>
      <c r="AC1392" s="56"/>
      <c r="AD1392" s="23"/>
    </row>
    <row r="1393" spans="1:30" s="14" customFormat="1">
      <c r="A1393" s="13"/>
      <c r="B1393" s="6"/>
      <c r="C1393" s="138"/>
      <c r="D1393" s="27"/>
      <c r="E1393" s="27"/>
      <c r="F1393" s="27"/>
      <c r="G1393" s="27"/>
      <c r="H1393" s="27"/>
      <c r="I1393" s="27"/>
      <c r="J1393" s="27"/>
      <c r="K1393" s="27"/>
      <c r="L1393" s="27"/>
      <c r="M1393" s="27"/>
      <c r="N1393" s="27"/>
      <c r="O1393" s="27"/>
      <c r="P1393" s="27"/>
      <c r="Q1393" s="27"/>
      <c r="R1393" s="27"/>
      <c r="S1393" s="27"/>
      <c r="T1393" s="27"/>
      <c r="U1393" s="27"/>
      <c r="V1393" s="27"/>
      <c r="W1393" s="27"/>
      <c r="X1393" s="27"/>
      <c r="Y1393" s="27"/>
      <c r="Z1393" s="27"/>
      <c r="AA1393" s="27"/>
      <c r="AB1393" s="27"/>
      <c r="AC1393" s="56"/>
      <c r="AD1393" s="23"/>
    </row>
    <row r="1394" spans="1:30" s="14" customFormat="1" ht="13.8" thickBot="1">
      <c r="A1394" s="66" t="s">
        <v>502</v>
      </c>
      <c r="B1394" s="65"/>
      <c r="C1394" s="152"/>
      <c r="D1394" s="65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56"/>
      <c r="AD1394" s="23"/>
    </row>
    <row r="1395" spans="1:30" s="14" customFormat="1" ht="13.8" thickBot="1">
      <c r="A1395" s="93" t="s">
        <v>1</v>
      </c>
      <c r="B1395" s="94" t="s">
        <v>2</v>
      </c>
      <c r="C1395" s="125" t="s">
        <v>3</v>
      </c>
      <c r="D1395" s="211" t="s">
        <v>4</v>
      </c>
      <c r="E1395" s="212"/>
      <c r="F1395" s="212"/>
      <c r="G1395" s="212"/>
      <c r="H1395" s="212"/>
      <c r="I1395" s="212"/>
      <c r="J1395" s="212"/>
      <c r="K1395" s="212"/>
      <c r="L1395" s="212"/>
      <c r="M1395" s="212"/>
      <c r="N1395" s="212"/>
      <c r="O1395" s="212"/>
      <c r="P1395" s="212"/>
      <c r="Q1395" s="212"/>
      <c r="R1395" s="212"/>
      <c r="S1395" s="212"/>
      <c r="T1395" s="212"/>
      <c r="U1395" s="212"/>
      <c r="V1395" s="212"/>
      <c r="W1395" s="212"/>
      <c r="X1395" s="212"/>
      <c r="Y1395" s="212"/>
      <c r="Z1395" s="103"/>
      <c r="AA1395" s="103"/>
      <c r="AB1395" s="103"/>
      <c r="AC1395" s="56"/>
      <c r="AD1395" s="23"/>
    </row>
    <row r="1396" spans="1:30" s="14" customFormat="1">
      <c r="A1396" s="95" t="s">
        <v>5</v>
      </c>
      <c r="B1396" s="96" t="s">
        <v>6</v>
      </c>
      <c r="C1396" s="126" t="s">
        <v>6</v>
      </c>
      <c r="D1396" s="97"/>
      <c r="E1396" s="98"/>
      <c r="F1396" s="98"/>
      <c r="G1396" s="98"/>
      <c r="H1396" s="98"/>
      <c r="I1396" s="98"/>
      <c r="J1396" s="98"/>
      <c r="K1396" s="98"/>
      <c r="L1396" s="98"/>
      <c r="M1396" s="98"/>
      <c r="N1396" s="98"/>
      <c r="O1396" s="98"/>
      <c r="P1396" s="98"/>
      <c r="Q1396" s="98"/>
      <c r="R1396" s="98"/>
      <c r="S1396" s="98"/>
      <c r="T1396" s="98"/>
      <c r="U1396" s="98"/>
      <c r="V1396" s="98"/>
      <c r="W1396" s="98"/>
      <c r="X1396" s="98"/>
      <c r="Y1396" s="99"/>
      <c r="Z1396" s="96" t="s">
        <v>7</v>
      </c>
      <c r="AA1396" s="96"/>
      <c r="AB1396" s="96"/>
      <c r="AC1396" s="56"/>
      <c r="AD1396" s="23"/>
    </row>
    <row r="1397" spans="1:30" s="14" customFormat="1">
      <c r="A1397" s="95" t="s">
        <v>8</v>
      </c>
      <c r="B1397" s="96" t="s">
        <v>9</v>
      </c>
      <c r="C1397" s="126" t="s">
        <v>9</v>
      </c>
      <c r="D1397" s="100" t="s">
        <v>10</v>
      </c>
      <c r="E1397" s="96" t="s">
        <v>11</v>
      </c>
      <c r="F1397" s="96" t="s">
        <v>12</v>
      </c>
      <c r="G1397" s="96" t="s">
        <v>13</v>
      </c>
      <c r="H1397" s="96" t="s">
        <v>14</v>
      </c>
      <c r="I1397" s="96" t="s">
        <v>15</v>
      </c>
      <c r="J1397" s="96" t="s">
        <v>16</v>
      </c>
      <c r="K1397" s="96" t="s">
        <v>17</v>
      </c>
      <c r="L1397" s="96" t="s">
        <v>18</v>
      </c>
      <c r="M1397" s="96" t="s">
        <v>19</v>
      </c>
      <c r="N1397" s="96" t="s">
        <v>20</v>
      </c>
      <c r="O1397" s="96" t="s">
        <v>169</v>
      </c>
      <c r="P1397" s="96" t="s">
        <v>21</v>
      </c>
      <c r="Q1397" s="96" t="s">
        <v>22</v>
      </c>
      <c r="R1397" s="96" t="s">
        <v>23</v>
      </c>
      <c r="S1397" s="96" t="s">
        <v>24</v>
      </c>
      <c r="T1397" s="96" t="s">
        <v>25</v>
      </c>
      <c r="U1397" s="96" t="s">
        <v>26</v>
      </c>
      <c r="V1397" s="96" t="s">
        <v>27</v>
      </c>
      <c r="W1397" s="96" t="s">
        <v>28</v>
      </c>
      <c r="X1397" s="96" t="s">
        <v>29</v>
      </c>
      <c r="Y1397" s="96" t="s">
        <v>30</v>
      </c>
      <c r="Z1397" s="96" t="s">
        <v>31</v>
      </c>
      <c r="AA1397" s="96" t="s">
        <v>484</v>
      </c>
      <c r="AB1397" s="96" t="s">
        <v>467</v>
      </c>
      <c r="AC1397" s="56"/>
      <c r="AD1397" s="23"/>
    </row>
    <row r="1398" spans="1:30" s="14" customFormat="1">
      <c r="A1398" s="95"/>
      <c r="B1398" s="96"/>
      <c r="C1398" s="126" t="s">
        <v>696</v>
      </c>
      <c r="D1398" s="101"/>
      <c r="E1398" s="102"/>
      <c r="F1398" s="102"/>
      <c r="G1398" s="102"/>
      <c r="H1398" s="102"/>
      <c r="I1398" s="102"/>
      <c r="J1398" s="102"/>
      <c r="K1398" s="102"/>
      <c r="L1398" s="102"/>
      <c r="M1398" s="102"/>
      <c r="N1398" s="102"/>
      <c r="O1398" s="102"/>
      <c r="P1398" s="102"/>
      <c r="Q1398" s="102"/>
      <c r="R1398" s="102"/>
      <c r="S1398" s="102"/>
      <c r="T1398" s="102"/>
      <c r="U1398" s="102"/>
      <c r="V1398" s="102"/>
      <c r="W1398" s="102"/>
      <c r="X1398" s="102"/>
      <c r="Y1398" s="102"/>
      <c r="Z1398" s="102"/>
      <c r="AA1398" s="102"/>
      <c r="AB1398" s="102"/>
      <c r="AC1398" s="56"/>
      <c r="AD1398" s="23"/>
    </row>
    <row r="1399" spans="1:30" s="14" customFormat="1">
      <c r="A1399" s="111" t="s">
        <v>506</v>
      </c>
      <c r="B1399" s="26">
        <v>21144301</v>
      </c>
      <c r="C1399" s="130">
        <f>ROUND(B1399/12,2)</f>
        <v>1762025.08</v>
      </c>
      <c r="D1399" s="17">
        <v>8.0100000000000005E-2</v>
      </c>
      <c r="E1399" s="39"/>
      <c r="F1399" s="4"/>
      <c r="G1399" s="16"/>
      <c r="H1399" s="17">
        <v>1.9400000000000001E-2</v>
      </c>
      <c r="I1399" s="17"/>
      <c r="J1399" s="17"/>
      <c r="K1399" s="17"/>
      <c r="L1399" s="4"/>
      <c r="M1399" s="17">
        <v>0.12989999999999999</v>
      </c>
      <c r="N1399" s="17"/>
      <c r="O1399" s="17"/>
      <c r="P1399" s="17"/>
      <c r="Q1399" s="17">
        <v>0.13850000000000001</v>
      </c>
      <c r="R1399" s="17">
        <v>5.8799999999999998E-2</v>
      </c>
      <c r="S1399" s="17">
        <v>3.4500000000000003E-2</v>
      </c>
      <c r="T1399" s="17">
        <v>0.1762</v>
      </c>
      <c r="U1399" s="17"/>
      <c r="V1399" s="17"/>
      <c r="W1399" s="17">
        <v>0.14849999999999999</v>
      </c>
      <c r="X1399" s="17">
        <v>0.2079</v>
      </c>
      <c r="Y1399" s="17">
        <v>6.1999999999999998E-3</v>
      </c>
      <c r="Z1399" s="17"/>
      <c r="AA1399" s="17"/>
      <c r="AB1399" s="17"/>
      <c r="AC1399" s="56"/>
      <c r="AD1399" s="23"/>
    </row>
    <row r="1400" spans="1:30" s="14" customFormat="1">
      <c r="A1400" s="72"/>
      <c r="C1400" s="130"/>
      <c r="D1400" s="27">
        <f t="shared" ref="D1400" si="2140">$C1399*D1399</f>
        <v>141138.208908</v>
      </c>
      <c r="E1400" s="27">
        <f t="shared" ref="E1400" si="2141">$C1399*E1399</f>
        <v>0</v>
      </c>
      <c r="F1400" s="27">
        <f t="shared" ref="F1400:AB1400" si="2142">$C1399*F1399</f>
        <v>0</v>
      </c>
      <c r="G1400" s="27">
        <f t="shared" si="2142"/>
        <v>0</v>
      </c>
      <c r="H1400" s="27">
        <f t="shared" si="2142"/>
        <v>34183.286552000005</v>
      </c>
      <c r="I1400" s="27">
        <f t="shared" si="2142"/>
        <v>0</v>
      </c>
      <c r="J1400" s="27">
        <f t="shared" si="2142"/>
        <v>0</v>
      </c>
      <c r="K1400" s="27">
        <f t="shared" si="2142"/>
        <v>0</v>
      </c>
      <c r="L1400" s="27">
        <f t="shared" si="2142"/>
        <v>0</v>
      </c>
      <c r="M1400" s="27">
        <f t="shared" si="2142"/>
        <v>228887.05789199998</v>
      </c>
      <c r="N1400" s="27">
        <f t="shared" si="2142"/>
        <v>0</v>
      </c>
      <c r="O1400" s="27">
        <f t="shared" si="2142"/>
        <v>0</v>
      </c>
      <c r="P1400" s="27">
        <f t="shared" si="2142"/>
        <v>0</v>
      </c>
      <c r="Q1400" s="27">
        <f t="shared" si="2142"/>
        <v>244040.47358000002</v>
      </c>
      <c r="R1400" s="27">
        <f t="shared" si="2142"/>
        <v>103607.074704</v>
      </c>
      <c r="S1400" s="27">
        <f t="shared" si="2142"/>
        <v>60789.865260000006</v>
      </c>
      <c r="T1400" s="27">
        <f t="shared" si="2142"/>
        <v>310468.81909599999</v>
      </c>
      <c r="U1400" s="27">
        <f t="shared" si="2142"/>
        <v>0</v>
      </c>
      <c r="V1400" s="27">
        <f t="shared" si="2142"/>
        <v>0</v>
      </c>
      <c r="W1400" s="27">
        <f t="shared" si="2142"/>
        <v>261660.72438</v>
      </c>
      <c r="X1400" s="27">
        <f t="shared" si="2142"/>
        <v>366325.01413200004</v>
      </c>
      <c r="Y1400" s="27">
        <f t="shared" si="2142"/>
        <v>10924.555496000001</v>
      </c>
      <c r="Z1400" s="27">
        <f t="shared" si="2142"/>
        <v>0</v>
      </c>
      <c r="AA1400" s="27">
        <f t="shared" si="2142"/>
        <v>0</v>
      </c>
      <c r="AB1400" s="27">
        <f t="shared" si="2142"/>
        <v>0</v>
      </c>
      <c r="AC1400" s="56"/>
      <c r="AD1400" s="23"/>
    </row>
    <row r="1401" spans="1:30" s="14" customFormat="1">
      <c r="A1401" s="45" t="s">
        <v>50</v>
      </c>
      <c r="B1401" s="30">
        <f>SUM(B1399:B1399)</f>
        <v>21144301</v>
      </c>
      <c r="C1401" s="46">
        <f>SUM(C1399:C1399)</f>
        <v>1762025.08</v>
      </c>
      <c r="D1401" s="46">
        <f>D1400</f>
        <v>141138.208908</v>
      </c>
      <c r="E1401" s="46">
        <f>E1400</f>
        <v>0</v>
      </c>
      <c r="F1401" s="46">
        <f t="shared" ref="F1401" si="2143">F1400</f>
        <v>0</v>
      </c>
      <c r="G1401" s="46">
        <f t="shared" ref="G1401" si="2144">G1400</f>
        <v>0</v>
      </c>
      <c r="H1401" s="46">
        <f t="shared" ref="H1401:AB1401" si="2145">H1400</f>
        <v>34183.286552000005</v>
      </c>
      <c r="I1401" s="46">
        <f t="shared" si="2145"/>
        <v>0</v>
      </c>
      <c r="J1401" s="46">
        <f t="shared" si="2145"/>
        <v>0</v>
      </c>
      <c r="K1401" s="46">
        <f t="shared" si="2145"/>
        <v>0</v>
      </c>
      <c r="L1401" s="46">
        <f t="shared" si="2145"/>
        <v>0</v>
      </c>
      <c r="M1401" s="46">
        <f t="shared" si="2145"/>
        <v>228887.05789199998</v>
      </c>
      <c r="N1401" s="46">
        <f t="shared" si="2145"/>
        <v>0</v>
      </c>
      <c r="O1401" s="46">
        <f t="shared" si="2145"/>
        <v>0</v>
      </c>
      <c r="P1401" s="46">
        <f t="shared" si="2145"/>
        <v>0</v>
      </c>
      <c r="Q1401" s="46">
        <f t="shared" si="2145"/>
        <v>244040.47358000002</v>
      </c>
      <c r="R1401" s="46">
        <f t="shared" si="2145"/>
        <v>103607.074704</v>
      </c>
      <c r="S1401" s="46">
        <f t="shared" si="2145"/>
        <v>60789.865260000006</v>
      </c>
      <c r="T1401" s="46">
        <f t="shared" si="2145"/>
        <v>310468.81909599999</v>
      </c>
      <c r="U1401" s="46">
        <f t="shared" si="2145"/>
        <v>0</v>
      </c>
      <c r="V1401" s="46">
        <f t="shared" si="2145"/>
        <v>0</v>
      </c>
      <c r="W1401" s="46">
        <f t="shared" si="2145"/>
        <v>261660.72438</v>
      </c>
      <c r="X1401" s="46">
        <f t="shared" si="2145"/>
        <v>366325.01413200004</v>
      </c>
      <c r="Y1401" s="46">
        <f t="shared" si="2145"/>
        <v>10924.555496000001</v>
      </c>
      <c r="Z1401" s="46">
        <f t="shared" si="2145"/>
        <v>0</v>
      </c>
      <c r="AA1401" s="46">
        <f t="shared" si="2145"/>
        <v>0</v>
      </c>
      <c r="AB1401" s="46">
        <f t="shared" si="2145"/>
        <v>0</v>
      </c>
      <c r="AC1401" s="56"/>
      <c r="AD1401" s="23"/>
    </row>
    <row r="1402" spans="1:30" s="14" customFormat="1">
      <c r="A1402" s="13"/>
      <c r="B1402" s="6"/>
      <c r="C1402" s="27"/>
      <c r="D1402" s="27"/>
      <c r="E1402" s="27"/>
      <c r="F1402" s="27"/>
      <c r="G1402" s="27"/>
      <c r="H1402" s="27"/>
      <c r="I1402" s="27"/>
      <c r="J1402" s="27"/>
      <c r="K1402" s="27"/>
      <c r="L1402" s="27"/>
      <c r="M1402" s="27"/>
      <c r="N1402" s="27"/>
      <c r="O1402" s="27"/>
      <c r="P1402" s="27"/>
      <c r="Q1402" s="27"/>
      <c r="R1402" s="27"/>
      <c r="S1402" s="27"/>
      <c r="T1402" s="27"/>
      <c r="U1402" s="27"/>
      <c r="V1402" s="27"/>
      <c r="W1402" s="27"/>
      <c r="X1402" s="27"/>
      <c r="Y1402" s="27"/>
      <c r="Z1402" s="27"/>
      <c r="AA1402" s="27"/>
      <c r="AB1402" s="27"/>
      <c r="AC1402" s="56"/>
      <c r="AD1402" s="23"/>
    </row>
    <row r="1403" spans="1:30" s="14" customFormat="1">
      <c r="A1403" s="13"/>
      <c r="B1403" s="6"/>
      <c r="C1403" s="138"/>
      <c r="D1403" s="27"/>
      <c r="E1403" s="27"/>
      <c r="F1403" s="27"/>
      <c r="G1403" s="27"/>
      <c r="H1403" s="27"/>
      <c r="I1403" s="27"/>
      <c r="J1403" s="27"/>
      <c r="K1403" s="27"/>
      <c r="L1403" s="27"/>
      <c r="M1403" s="27"/>
      <c r="N1403" s="27"/>
      <c r="O1403" s="27"/>
      <c r="P1403" s="27"/>
      <c r="Q1403" s="27"/>
      <c r="R1403" s="27"/>
      <c r="S1403" s="27"/>
      <c r="T1403" s="27"/>
      <c r="U1403" s="27"/>
      <c r="V1403" s="27"/>
      <c r="W1403" s="27"/>
      <c r="X1403" s="27"/>
      <c r="Y1403" s="27"/>
      <c r="Z1403" s="27"/>
      <c r="AA1403" s="27"/>
      <c r="AB1403" s="27"/>
      <c r="AC1403" s="56"/>
      <c r="AD1403" s="23"/>
    </row>
    <row r="1404" spans="1:30" s="14" customFormat="1" ht="13.8" thickBot="1">
      <c r="A1404" s="66" t="s">
        <v>508</v>
      </c>
      <c r="B1404" s="65"/>
      <c r="C1404" s="152"/>
      <c r="D1404" s="65"/>
      <c r="E1404" s="65"/>
      <c r="F1404" s="65"/>
      <c r="G1404" s="65"/>
      <c r="H1404" s="65"/>
      <c r="I1404" s="65"/>
      <c r="J1404" s="140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56"/>
    </row>
    <row r="1405" spans="1:30" s="14" customFormat="1" ht="13.8" thickBot="1">
      <c r="A1405" s="93" t="s">
        <v>1</v>
      </c>
      <c r="B1405" s="94" t="s">
        <v>2</v>
      </c>
      <c r="C1405" s="125" t="s">
        <v>3</v>
      </c>
      <c r="D1405" s="211" t="s">
        <v>4</v>
      </c>
      <c r="E1405" s="212"/>
      <c r="F1405" s="212"/>
      <c r="G1405" s="212"/>
      <c r="H1405" s="212"/>
      <c r="I1405" s="212"/>
      <c r="J1405" s="212"/>
      <c r="K1405" s="212"/>
      <c r="L1405" s="212"/>
      <c r="M1405" s="212"/>
      <c r="N1405" s="212"/>
      <c r="O1405" s="212"/>
      <c r="P1405" s="212"/>
      <c r="Q1405" s="212"/>
      <c r="R1405" s="212"/>
      <c r="S1405" s="212"/>
      <c r="T1405" s="212"/>
      <c r="U1405" s="212"/>
      <c r="V1405" s="212"/>
      <c r="W1405" s="212"/>
      <c r="X1405" s="212"/>
      <c r="Y1405" s="212"/>
      <c r="Z1405" s="103"/>
      <c r="AA1405" s="103"/>
      <c r="AB1405" s="103"/>
      <c r="AC1405" s="56"/>
    </row>
    <row r="1406" spans="1:30">
      <c r="A1406" s="95" t="s">
        <v>5</v>
      </c>
      <c r="B1406" s="96" t="s">
        <v>6</v>
      </c>
      <c r="C1406" s="126" t="s">
        <v>6</v>
      </c>
      <c r="D1406" s="97"/>
      <c r="E1406" s="98"/>
      <c r="F1406" s="98"/>
      <c r="G1406" s="98"/>
      <c r="H1406" s="98"/>
      <c r="I1406" s="98"/>
      <c r="J1406" s="98"/>
      <c r="K1406" s="98"/>
      <c r="L1406" s="98"/>
      <c r="M1406" s="98"/>
      <c r="N1406" s="98"/>
      <c r="O1406" s="98"/>
      <c r="P1406" s="98"/>
      <c r="Q1406" s="98"/>
      <c r="R1406" s="98"/>
      <c r="S1406" s="98"/>
      <c r="T1406" s="98"/>
      <c r="U1406" s="98"/>
      <c r="V1406" s="98"/>
      <c r="W1406" s="98"/>
      <c r="X1406" s="98"/>
      <c r="Y1406" s="99"/>
      <c r="Z1406" s="96" t="s">
        <v>7</v>
      </c>
      <c r="AA1406" s="96"/>
      <c r="AB1406" s="96"/>
      <c r="AC1406" s="56"/>
    </row>
    <row r="1407" spans="1:30">
      <c r="A1407" s="95" t="s">
        <v>8</v>
      </c>
      <c r="B1407" s="96" t="s">
        <v>781</v>
      </c>
      <c r="C1407" s="126" t="s">
        <v>9</v>
      </c>
      <c r="D1407" s="100" t="s">
        <v>10</v>
      </c>
      <c r="E1407" s="96" t="s">
        <v>11</v>
      </c>
      <c r="F1407" s="96" t="s">
        <v>12</v>
      </c>
      <c r="G1407" s="96" t="s">
        <v>13</v>
      </c>
      <c r="H1407" s="96" t="s">
        <v>14</v>
      </c>
      <c r="I1407" s="96" t="s">
        <v>15</v>
      </c>
      <c r="J1407" s="96" t="s">
        <v>16</v>
      </c>
      <c r="K1407" s="96" t="s">
        <v>17</v>
      </c>
      <c r="L1407" s="96" t="s">
        <v>18</v>
      </c>
      <c r="M1407" s="96" t="s">
        <v>19</v>
      </c>
      <c r="N1407" s="96" t="s">
        <v>20</v>
      </c>
      <c r="O1407" s="96" t="s">
        <v>169</v>
      </c>
      <c r="P1407" s="96" t="s">
        <v>21</v>
      </c>
      <c r="Q1407" s="96" t="s">
        <v>22</v>
      </c>
      <c r="R1407" s="96" t="s">
        <v>23</v>
      </c>
      <c r="S1407" s="96" t="s">
        <v>24</v>
      </c>
      <c r="T1407" s="96" t="s">
        <v>25</v>
      </c>
      <c r="U1407" s="96" t="s">
        <v>26</v>
      </c>
      <c r="V1407" s="96" t="s">
        <v>27</v>
      </c>
      <c r="W1407" s="96" t="s">
        <v>28</v>
      </c>
      <c r="X1407" s="96" t="s">
        <v>29</v>
      </c>
      <c r="Y1407" s="96" t="s">
        <v>30</v>
      </c>
      <c r="Z1407" s="96" t="s">
        <v>31</v>
      </c>
      <c r="AA1407" s="96" t="s">
        <v>484</v>
      </c>
      <c r="AB1407" s="96" t="s">
        <v>467</v>
      </c>
      <c r="AC1407" s="56"/>
    </row>
    <row r="1408" spans="1:30">
      <c r="A1408" s="95"/>
      <c r="B1408" s="96"/>
      <c r="C1408" s="208" t="s">
        <v>780</v>
      </c>
      <c r="D1408" s="101"/>
      <c r="E1408" s="102"/>
      <c r="F1408" s="102"/>
      <c r="G1408" s="102"/>
      <c r="H1408" s="102"/>
      <c r="I1408" s="102"/>
      <c r="J1408" s="102"/>
      <c r="K1408" s="102"/>
      <c r="L1408" s="102"/>
      <c r="M1408" s="102"/>
      <c r="N1408" s="102"/>
      <c r="O1408" s="102"/>
      <c r="P1408" s="102"/>
      <c r="Q1408" s="102"/>
      <c r="R1408" s="102"/>
      <c r="S1408" s="102"/>
      <c r="T1408" s="102"/>
      <c r="U1408" s="102"/>
      <c r="V1408" s="102"/>
      <c r="W1408" s="102"/>
      <c r="X1408" s="102"/>
      <c r="Y1408" s="102"/>
      <c r="Z1408" s="102"/>
      <c r="AA1408" s="102"/>
      <c r="AB1408" s="102"/>
      <c r="AC1408" s="56"/>
    </row>
    <row r="1409" spans="1:29" s="14" customFormat="1">
      <c r="A1409" s="105" t="s">
        <v>774</v>
      </c>
      <c r="B1409" s="50">
        <v>840188</v>
      </c>
      <c r="C1409" s="203">
        <f>ROUND(B1409/12,2)</f>
        <v>70015.67</v>
      </c>
      <c r="D1409" s="106">
        <v>9.7000000000000003E-3</v>
      </c>
      <c r="E1409" s="106">
        <v>0.16650000000000001</v>
      </c>
      <c r="F1409" s="106">
        <v>4.9399999999999999E-2</v>
      </c>
      <c r="G1409" s="106">
        <v>7.7700000000000005E-2</v>
      </c>
      <c r="H1409" s="106">
        <v>5.1999999999999998E-2</v>
      </c>
      <c r="I1409" s="106"/>
      <c r="J1409" s="106">
        <v>1.8499999999999999E-2</v>
      </c>
      <c r="K1409" s="106">
        <v>2.29E-2</v>
      </c>
      <c r="L1409" s="106">
        <v>1.43E-2</v>
      </c>
      <c r="M1409" s="106">
        <v>1.7500000000000002E-2</v>
      </c>
      <c r="N1409" s="106">
        <v>0.152</v>
      </c>
      <c r="O1409" s="106">
        <v>6.0000000000000001E-3</v>
      </c>
      <c r="P1409" s="106">
        <v>2.0000000000000001E-4</v>
      </c>
      <c r="Q1409" s="106">
        <v>2.1600000000000001E-2</v>
      </c>
      <c r="R1409" s="106">
        <v>1.72E-2</v>
      </c>
      <c r="S1409" s="106">
        <v>3.3E-3</v>
      </c>
      <c r="T1409" s="106">
        <v>4.3200000000000002E-2</v>
      </c>
      <c r="U1409" s="106">
        <v>4.9799999999999997E-2</v>
      </c>
      <c r="V1409" s="106">
        <v>5.8000000000000003E-2</v>
      </c>
      <c r="W1409" s="106">
        <v>4.7399999999999998E-2</v>
      </c>
      <c r="X1409" s="106">
        <v>5.0799999999999998E-2</v>
      </c>
      <c r="Y1409" s="106">
        <v>1.5E-3</v>
      </c>
      <c r="Z1409" s="107">
        <v>5.0000000000000001E-4</v>
      </c>
      <c r="AA1409" s="107"/>
      <c r="AB1409" s="107">
        <v>0.12</v>
      </c>
      <c r="AC1409" s="56"/>
    </row>
    <row r="1410" spans="1:29" s="14" customFormat="1">
      <c r="A1410" s="72"/>
      <c r="C1410" s="203"/>
      <c r="D1410" s="27">
        <f t="shared" ref="D1410" si="2146">$C1409*D1409</f>
        <v>679.15199900000005</v>
      </c>
      <c r="E1410" s="27">
        <f t="shared" ref="E1410" si="2147">$C1409*E1409</f>
        <v>11657.609055000001</v>
      </c>
      <c r="F1410" s="27">
        <f t="shared" ref="F1410:AB1410" si="2148">$C1409*F1409</f>
        <v>3458.7740979999999</v>
      </c>
      <c r="G1410" s="27">
        <f t="shared" si="2148"/>
        <v>5440.2175590000006</v>
      </c>
      <c r="H1410" s="27">
        <f t="shared" si="2148"/>
        <v>3640.8148399999995</v>
      </c>
      <c r="I1410" s="27">
        <f t="shared" si="2148"/>
        <v>0</v>
      </c>
      <c r="J1410" s="27">
        <f t="shared" si="2148"/>
        <v>1295.2898949999999</v>
      </c>
      <c r="K1410" s="27">
        <f t="shared" si="2148"/>
        <v>1603.358843</v>
      </c>
      <c r="L1410" s="27">
        <f t="shared" si="2148"/>
        <v>1001.224081</v>
      </c>
      <c r="M1410" s="27">
        <f t="shared" si="2148"/>
        <v>1225.2742250000001</v>
      </c>
      <c r="N1410" s="27">
        <f t="shared" si="2148"/>
        <v>10642.38184</v>
      </c>
      <c r="O1410" s="27">
        <f t="shared" si="2148"/>
        <v>420.09402</v>
      </c>
      <c r="P1410" s="27">
        <f t="shared" si="2148"/>
        <v>14.003134000000001</v>
      </c>
      <c r="Q1410" s="27">
        <f t="shared" si="2148"/>
        <v>1512.3384720000001</v>
      </c>
      <c r="R1410" s="27">
        <f t="shared" si="2148"/>
        <v>1204.269524</v>
      </c>
      <c r="S1410" s="27">
        <f t="shared" si="2148"/>
        <v>231.05171099999998</v>
      </c>
      <c r="T1410" s="27">
        <f t="shared" si="2148"/>
        <v>3024.6769440000003</v>
      </c>
      <c r="U1410" s="27">
        <f t="shared" si="2148"/>
        <v>3486.7803659999995</v>
      </c>
      <c r="V1410" s="27">
        <f t="shared" si="2148"/>
        <v>4060.90886</v>
      </c>
      <c r="W1410" s="27">
        <f t="shared" si="2148"/>
        <v>3318.7427579999999</v>
      </c>
      <c r="X1410" s="27">
        <f t="shared" si="2148"/>
        <v>3556.7960359999997</v>
      </c>
      <c r="Y1410" s="27">
        <f t="shared" si="2148"/>
        <v>105.023505</v>
      </c>
      <c r="Z1410" s="27">
        <f t="shared" si="2148"/>
        <v>35.007835</v>
      </c>
      <c r="AA1410" s="27">
        <f t="shared" si="2148"/>
        <v>0</v>
      </c>
      <c r="AB1410" s="27">
        <f t="shared" si="2148"/>
        <v>8401.8804</v>
      </c>
      <c r="AC1410" s="56"/>
    </row>
    <row r="1411" spans="1:29" s="14" customFormat="1">
      <c r="A1411" s="105" t="s">
        <v>775</v>
      </c>
      <c r="B1411" s="50">
        <v>798810</v>
      </c>
      <c r="C1411" s="203">
        <f>ROUND(B1411/12,2)</f>
        <v>66567.5</v>
      </c>
      <c r="D1411" s="106">
        <v>9.2999999999999992E-3</v>
      </c>
      <c r="E1411" s="106">
        <v>0.26019999999999999</v>
      </c>
      <c r="F1411" s="106">
        <v>4.19E-2</v>
      </c>
      <c r="G1411" s="106">
        <v>5.9499999999999997E-2</v>
      </c>
      <c r="H1411" s="106">
        <v>4.3799999999999999E-2</v>
      </c>
      <c r="I1411" s="106"/>
      <c r="J1411" s="106">
        <v>1.5800000000000002E-2</v>
      </c>
      <c r="K1411" s="106">
        <v>2.3E-2</v>
      </c>
      <c r="L1411" s="106">
        <v>1.26E-2</v>
      </c>
      <c r="M1411" s="106">
        <v>1.5299999999999999E-2</v>
      </c>
      <c r="N1411" s="106">
        <v>0.14699999999999999</v>
      </c>
      <c r="O1411" s="106">
        <v>9.7999999999999997E-3</v>
      </c>
      <c r="P1411" s="106">
        <v>2.0000000000000001E-4</v>
      </c>
      <c r="Q1411" s="106">
        <v>1.9199999999999998E-2</v>
      </c>
      <c r="R1411" s="106">
        <v>1.3899999999999999E-2</v>
      </c>
      <c r="S1411" s="106">
        <v>5.5999999999999999E-3</v>
      </c>
      <c r="T1411" s="106">
        <v>4.19E-2</v>
      </c>
      <c r="U1411" s="106">
        <v>4.3400000000000001E-2</v>
      </c>
      <c r="V1411" s="106">
        <v>5.0500000000000003E-2</v>
      </c>
      <c r="W1411" s="106">
        <v>4.0300000000000002E-2</v>
      </c>
      <c r="X1411" s="106">
        <v>4.48E-2</v>
      </c>
      <c r="Y1411" s="106">
        <v>1.1999999999999999E-3</v>
      </c>
      <c r="Z1411" s="107">
        <v>8.0000000000000004E-4</v>
      </c>
      <c r="AA1411" s="107"/>
      <c r="AB1411" s="107">
        <v>0.1</v>
      </c>
      <c r="AC1411" s="56"/>
    </row>
    <row r="1412" spans="1:29" s="14" customFormat="1">
      <c r="A1412" s="72"/>
      <c r="C1412" s="203"/>
      <c r="D1412" s="27">
        <f t="shared" ref="D1412" si="2149">$C1411*D1411</f>
        <v>619.07774999999992</v>
      </c>
      <c r="E1412" s="27">
        <f t="shared" ref="E1412" si="2150">$C1411*E1411</f>
        <v>17320.863499999999</v>
      </c>
      <c r="F1412" s="27">
        <f t="shared" ref="F1412:AB1412" si="2151">$C1411*F1411</f>
        <v>2789.1782499999999</v>
      </c>
      <c r="G1412" s="27">
        <f t="shared" si="2151"/>
        <v>3960.7662499999997</v>
      </c>
      <c r="H1412" s="27">
        <f t="shared" si="2151"/>
        <v>2915.6565000000001</v>
      </c>
      <c r="I1412" s="27">
        <f t="shared" si="2151"/>
        <v>0</v>
      </c>
      <c r="J1412" s="27">
        <f t="shared" si="2151"/>
        <v>1051.7665000000002</v>
      </c>
      <c r="K1412" s="27">
        <f t="shared" si="2151"/>
        <v>1531.0525</v>
      </c>
      <c r="L1412" s="27">
        <f t="shared" si="2151"/>
        <v>838.75049999999999</v>
      </c>
      <c r="M1412" s="27">
        <f t="shared" si="2151"/>
        <v>1018.48275</v>
      </c>
      <c r="N1412" s="27">
        <f t="shared" si="2151"/>
        <v>9785.4224999999988</v>
      </c>
      <c r="O1412" s="27">
        <f t="shared" si="2151"/>
        <v>652.36149999999998</v>
      </c>
      <c r="P1412" s="27">
        <f t="shared" si="2151"/>
        <v>13.313500000000001</v>
      </c>
      <c r="Q1412" s="27">
        <f t="shared" si="2151"/>
        <v>1278.0959999999998</v>
      </c>
      <c r="R1412" s="27">
        <f t="shared" si="2151"/>
        <v>925.28824999999995</v>
      </c>
      <c r="S1412" s="27">
        <f t="shared" si="2151"/>
        <v>372.77800000000002</v>
      </c>
      <c r="T1412" s="27">
        <f t="shared" si="2151"/>
        <v>2789.1782499999999</v>
      </c>
      <c r="U1412" s="27">
        <f t="shared" si="2151"/>
        <v>2889.0295000000001</v>
      </c>
      <c r="V1412" s="27">
        <f t="shared" si="2151"/>
        <v>3361.6587500000001</v>
      </c>
      <c r="W1412" s="27">
        <f t="shared" si="2151"/>
        <v>2682.6702500000001</v>
      </c>
      <c r="X1412" s="27">
        <f t="shared" si="2151"/>
        <v>2982.2240000000002</v>
      </c>
      <c r="Y1412" s="27">
        <f t="shared" si="2151"/>
        <v>79.880999999999986</v>
      </c>
      <c r="Z1412" s="27">
        <f t="shared" si="2151"/>
        <v>53.254000000000005</v>
      </c>
      <c r="AA1412" s="27">
        <f t="shared" si="2151"/>
        <v>0</v>
      </c>
      <c r="AB1412" s="27">
        <f t="shared" si="2151"/>
        <v>6656.75</v>
      </c>
      <c r="AC1412" s="56"/>
    </row>
    <row r="1413" spans="1:29" s="14" customFormat="1">
      <c r="A1413" s="105" t="s">
        <v>776</v>
      </c>
      <c r="B1413" s="50">
        <v>6506</v>
      </c>
      <c r="C1413" s="203">
        <f>ROUND(B1413/12,2)</f>
        <v>542.16999999999996</v>
      </c>
      <c r="D1413" s="106">
        <v>1E-4</v>
      </c>
      <c r="E1413" s="106">
        <v>0.40279999999999999</v>
      </c>
      <c r="F1413" s="106">
        <v>1.2999999999999999E-3</v>
      </c>
      <c r="G1413" s="106">
        <v>5.0000000000000001E-4</v>
      </c>
      <c r="H1413" s="106">
        <v>8.0000000000000004E-4</v>
      </c>
      <c r="I1413" s="106"/>
      <c r="J1413" s="106">
        <v>2.9999999999999997E-4</v>
      </c>
      <c r="K1413" s="106"/>
      <c r="L1413" s="106"/>
      <c r="M1413" s="106">
        <v>1E-4</v>
      </c>
      <c r="N1413" s="106"/>
      <c r="O1413" s="106"/>
      <c r="P1413" s="106">
        <v>4.0000000000000002E-4</v>
      </c>
      <c r="Q1413" s="106"/>
      <c r="R1413" s="106">
        <v>4.0000000000000002E-4</v>
      </c>
      <c r="S1413" s="106">
        <v>4.0000000000000002E-4</v>
      </c>
      <c r="T1413" s="106"/>
      <c r="U1413" s="106">
        <v>5.9999999999999995E-4</v>
      </c>
      <c r="V1413" s="106"/>
      <c r="W1413" s="106">
        <v>2E-3</v>
      </c>
      <c r="X1413" s="106">
        <v>2.9999999999999997E-4</v>
      </c>
      <c r="Y1413" s="106"/>
      <c r="Z1413" s="107"/>
      <c r="AA1413" s="107"/>
      <c r="AB1413" s="107">
        <v>0.59</v>
      </c>
      <c r="AC1413" s="56"/>
    </row>
    <row r="1414" spans="1:29" s="14" customFormat="1">
      <c r="A1414" s="72"/>
      <c r="C1414" s="203"/>
      <c r="D1414" s="27">
        <f t="shared" ref="D1414" si="2152">$C1413*D1413</f>
        <v>5.4217000000000001E-2</v>
      </c>
      <c r="E1414" s="27">
        <f t="shared" ref="E1414" si="2153">$C1413*E1413</f>
        <v>218.38607599999997</v>
      </c>
      <c r="F1414" s="27">
        <f t="shared" ref="F1414:AB1414" si="2154">$C1413*F1413</f>
        <v>0.70482099999999992</v>
      </c>
      <c r="G1414" s="27">
        <f t="shared" si="2154"/>
        <v>0.27108499999999996</v>
      </c>
      <c r="H1414" s="27">
        <f t="shared" si="2154"/>
        <v>0.43373600000000001</v>
      </c>
      <c r="I1414" s="27">
        <f t="shared" si="2154"/>
        <v>0</v>
      </c>
      <c r="J1414" s="27">
        <f t="shared" si="2154"/>
        <v>0.16265099999999996</v>
      </c>
      <c r="K1414" s="27">
        <f t="shared" si="2154"/>
        <v>0</v>
      </c>
      <c r="L1414" s="27">
        <f t="shared" si="2154"/>
        <v>0</v>
      </c>
      <c r="M1414" s="27">
        <f t="shared" si="2154"/>
        <v>5.4217000000000001E-2</v>
      </c>
      <c r="N1414" s="27">
        <f t="shared" si="2154"/>
        <v>0</v>
      </c>
      <c r="O1414" s="27">
        <f t="shared" si="2154"/>
        <v>0</v>
      </c>
      <c r="P1414" s="27">
        <f t="shared" si="2154"/>
        <v>0.21686800000000001</v>
      </c>
      <c r="Q1414" s="27">
        <f t="shared" si="2154"/>
        <v>0</v>
      </c>
      <c r="R1414" s="27">
        <f t="shared" si="2154"/>
        <v>0.21686800000000001</v>
      </c>
      <c r="S1414" s="27">
        <f t="shared" si="2154"/>
        <v>0.21686800000000001</v>
      </c>
      <c r="T1414" s="27">
        <f t="shared" si="2154"/>
        <v>0</v>
      </c>
      <c r="U1414" s="27">
        <f t="shared" si="2154"/>
        <v>0.32530199999999992</v>
      </c>
      <c r="V1414" s="27">
        <f t="shared" si="2154"/>
        <v>0</v>
      </c>
      <c r="W1414" s="27">
        <f t="shared" si="2154"/>
        <v>1.0843399999999999</v>
      </c>
      <c r="X1414" s="27">
        <f t="shared" si="2154"/>
        <v>0.16265099999999996</v>
      </c>
      <c r="Y1414" s="27">
        <f t="shared" si="2154"/>
        <v>0</v>
      </c>
      <c r="Z1414" s="27">
        <f t="shared" si="2154"/>
        <v>0</v>
      </c>
      <c r="AA1414" s="27">
        <f t="shared" si="2154"/>
        <v>0</v>
      </c>
      <c r="AB1414" s="27">
        <f t="shared" si="2154"/>
        <v>319.88029999999998</v>
      </c>
      <c r="AC1414" s="56"/>
    </row>
    <row r="1415" spans="1:29" s="14" customFormat="1">
      <c r="A1415" s="105" t="s">
        <v>778</v>
      </c>
      <c r="B1415" s="50">
        <v>936630</v>
      </c>
      <c r="C1415" s="203">
        <f>ROUND(B1415/12,2)</f>
        <v>78052.5</v>
      </c>
      <c r="D1415" s="106">
        <v>2.8E-3</v>
      </c>
      <c r="E1415" s="106">
        <v>4.5100000000000001E-2</v>
      </c>
      <c r="F1415" s="106">
        <v>1.3100000000000001E-2</v>
      </c>
      <c r="G1415" s="106">
        <v>1.9099999999999999E-2</v>
      </c>
      <c r="H1415" s="106">
        <v>1.4E-2</v>
      </c>
      <c r="I1415" s="106"/>
      <c r="J1415" s="106">
        <v>4.8999999999999998E-3</v>
      </c>
      <c r="K1415" s="106">
        <v>6.8999999999999999E-3</v>
      </c>
      <c r="L1415" s="106">
        <v>3.8E-3</v>
      </c>
      <c r="M1415" s="106">
        <v>4.5999999999999999E-3</v>
      </c>
      <c r="N1415" s="106">
        <v>4.3499999999999997E-2</v>
      </c>
      <c r="O1415" s="106">
        <v>2.7000000000000001E-3</v>
      </c>
      <c r="P1415" s="106">
        <v>1E-4</v>
      </c>
      <c r="Q1415" s="106">
        <v>5.7000000000000002E-3</v>
      </c>
      <c r="R1415" s="106">
        <v>4.3E-3</v>
      </c>
      <c r="S1415" s="106">
        <v>1.4E-3</v>
      </c>
      <c r="T1415" s="106">
        <v>1.2500000000000001E-2</v>
      </c>
      <c r="U1415" s="106">
        <v>1.34E-2</v>
      </c>
      <c r="V1415" s="106">
        <v>1.5299999999999999E-2</v>
      </c>
      <c r="W1415" s="106">
        <v>1.23E-2</v>
      </c>
      <c r="X1415" s="106">
        <v>1.41E-2</v>
      </c>
      <c r="Y1415" s="106">
        <v>4.0000000000000002E-4</v>
      </c>
      <c r="Z1415" s="107"/>
      <c r="AA1415" s="107"/>
      <c r="AB1415" s="107">
        <v>0.76</v>
      </c>
      <c r="AC1415" s="56"/>
    </row>
    <row r="1416" spans="1:29" s="14" customFormat="1">
      <c r="A1416" s="72"/>
      <c r="C1416" s="203" t="s">
        <v>159</v>
      </c>
      <c r="D1416" s="27">
        <f t="shared" ref="D1416" si="2155">$C1415*D1415</f>
        <v>218.547</v>
      </c>
      <c r="E1416" s="27">
        <f t="shared" ref="E1416" si="2156">$C1415*E1415</f>
        <v>3520.1677500000001</v>
      </c>
      <c r="F1416" s="27">
        <f t="shared" ref="F1416:AB1416" si="2157">$C1415*F1415</f>
        <v>1022.48775</v>
      </c>
      <c r="G1416" s="27">
        <f t="shared" si="2157"/>
        <v>1490.8027499999998</v>
      </c>
      <c r="H1416" s="27">
        <f t="shared" si="2157"/>
        <v>1092.7350000000001</v>
      </c>
      <c r="I1416" s="27">
        <f t="shared" si="2157"/>
        <v>0</v>
      </c>
      <c r="J1416" s="27">
        <f t="shared" si="2157"/>
        <v>382.45724999999999</v>
      </c>
      <c r="K1416" s="27">
        <f t="shared" si="2157"/>
        <v>538.56224999999995</v>
      </c>
      <c r="L1416" s="27">
        <f t="shared" si="2157"/>
        <v>296.59949999999998</v>
      </c>
      <c r="M1416" s="27">
        <f t="shared" si="2157"/>
        <v>359.04149999999998</v>
      </c>
      <c r="N1416" s="27">
        <f t="shared" si="2157"/>
        <v>3395.2837499999996</v>
      </c>
      <c r="O1416" s="27">
        <f t="shared" si="2157"/>
        <v>210.74175000000002</v>
      </c>
      <c r="P1416" s="27">
        <f t="shared" si="2157"/>
        <v>7.80525</v>
      </c>
      <c r="Q1416" s="27">
        <f t="shared" si="2157"/>
        <v>444.89924999999999</v>
      </c>
      <c r="R1416" s="27">
        <f t="shared" si="2157"/>
        <v>335.62574999999998</v>
      </c>
      <c r="S1416" s="27">
        <f t="shared" si="2157"/>
        <v>109.2735</v>
      </c>
      <c r="T1416" s="27">
        <f t="shared" si="2157"/>
        <v>975.65625</v>
      </c>
      <c r="U1416" s="27">
        <f t="shared" si="2157"/>
        <v>1045.9035000000001</v>
      </c>
      <c r="V1416" s="27">
        <f t="shared" si="2157"/>
        <v>1194.20325</v>
      </c>
      <c r="W1416" s="27">
        <f t="shared" si="2157"/>
        <v>960.04575</v>
      </c>
      <c r="X1416" s="27">
        <f t="shared" si="2157"/>
        <v>1100.54025</v>
      </c>
      <c r="Y1416" s="27">
        <f t="shared" si="2157"/>
        <v>31.221</v>
      </c>
      <c r="Z1416" s="27">
        <f t="shared" si="2157"/>
        <v>0</v>
      </c>
      <c r="AA1416" s="27">
        <f t="shared" si="2157"/>
        <v>0</v>
      </c>
      <c r="AB1416" s="27">
        <f t="shared" si="2157"/>
        <v>59319.9</v>
      </c>
      <c r="AC1416" s="56"/>
    </row>
    <row r="1417" spans="1:29" s="14" customFormat="1">
      <c r="A1417" s="105" t="s">
        <v>777</v>
      </c>
      <c r="B1417" s="50">
        <v>4194333</v>
      </c>
      <c r="C1417" s="203">
        <f>ROUND(B1417/12,2)</f>
        <v>349527.75</v>
      </c>
      <c r="D1417" s="106"/>
      <c r="E1417" s="106"/>
      <c r="F1417" s="106"/>
      <c r="G1417" s="106"/>
      <c r="H1417" s="106"/>
      <c r="I1417" s="106">
        <v>0.89100000000000001</v>
      </c>
      <c r="J1417" s="106"/>
      <c r="K1417" s="106"/>
      <c r="L1417" s="106"/>
      <c r="M1417" s="106"/>
      <c r="N1417" s="106"/>
      <c r="O1417" s="106"/>
      <c r="P1417" s="106"/>
      <c r="Q1417" s="106"/>
      <c r="R1417" s="106"/>
      <c r="S1417" s="106"/>
      <c r="T1417" s="106"/>
      <c r="U1417" s="106"/>
      <c r="V1417" s="106"/>
      <c r="W1417" s="106"/>
      <c r="X1417" s="106"/>
      <c r="Y1417" s="106"/>
      <c r="Z1417" s="107"/>
      <c r="AA1417" s="107"/>
      <c r="AB1417" s="107">
        <v>0.109</v>
      </c>
      <c r="AC1417" s="56"/>
    </row>
    <row r="1418" spans="1:29" s="14" customFormat="1">
      <c r="A1418" s="72"/>
      <c r="C1418" s="203"/>
      <c r="D1418" s="27">
        <f t="shared" ref="D1418:AB1418" si="2158">$C1417*D1417</f>
        <v>0</v>
      </c>
      <c r="E1418" s="27">
        <f t="shared" si="2158"/>
        <v>0</v>
      </c>
      <c r="F1418" s="27">
        <f t="shared" si="2158"/>
        <v>0</v>
      </c>
      <c r="G1418" s="27">
        <f t="shared" si="2158"/>
        <v>0</v>
      </c>
      <c r="H1418" s="27">
        <f t="shared" si="2158"/>
        <v>0</v>
      </c>
      <c r="I1418" s="27">
        <f t="shared" si="2158"/>
        <v>311429.22525000002</v>
      </c>
      <c r="J1418" s="27">
        <f t="shared" si="2158"/>
        <v>0</v>
      </c>
      <c r="K1418" s="27">
        <f t="shared" si="2158"/>
        <v>0</v>
      </c>
      <c r="L1418" s="27">
        <f t="shared" si="2158"/>
        <v>0</v>
      </c>
      <c r="M1418" s="27">
        <f t="shared" si="2158"/>
        <v>0</v>
      </c>
      <c r="N1418" s="27">
        <f t="shared" si="2158"/>
        <v>0</v>
      </c>
      <c r="O1418" s="27">
        <f t="shared" si="2158"/>
        <v>0</v>
      </c>
      <c r="P1418" s="27">
        <f t="shared" si="2158"/>
        <v>0</v>
      </c>
      <c r="Q1418" s="27">
        <f t="shared" si="2158"/>
        <v>0</v>
      </c>
      <c r="R1418" s="27">
        <f t="shared" si="2158"/>
        <v>0</v>
      </c>
      <c r="S1418" s="27">
        <f t="shared" si="2158"/>
        <v>0</v>
      </c>
      <c r="T1418" s="27">
        <f t="shared" si="2158"/>
        <v>0</v>
      </c>
      <c r="U1418" s="27">
        <f t="shared" si="2158"/>
        <v>0</v>
      </c>
      <c r="V1418" s="27">
        <f t="shared" si="2158"/>
        <v>0</v>
      </c>
      <c r="W1418" s="27">
        <f t="shared" si="2158"/>
        <v>0</v>
      </c>
      <c r="X1418" s="27">
        <f t="shared" si="2158"/>
        <v>0</v>
      </c>
      <c r="Y1418" s="27">
        <f t="shared" si="2158"/>
        <v>0</v>
      </c>
      <c r="Z1418" s="27">
        <f t="shared" si="2158"/>
        <v>0</v>
      </c>
      <c r="AA1418" s="27">
        <f t="shared" si="2158"/>
        <v>0</v>
      </c>
      <c r="AB1418" s="27">
        <f t="shared" si="2158"/>
        <v>38098.524749999997</v>
      </c>
      <c r="AC1418" s="56"/>
    </row>
    <row r="1419" spans="1:29">
      <c r="A1419" s="45" t="s">
        <v>50</v>
      </c>
      <c r="B1419" s="30">
        <f>SUM(B1409:B1417)</f>
        <v>6776467</v>
      </c>
      <c r="C1419" s="46">
        <f>SUM(C1409:C1417)</f>
        <v>564705.59</v>
      </c>
      <c r="D1419" s="46">
        <f>D1410+D1412+D1414+D1416+D1418</f>
        <v>1516.8309660000002</v>
      </c>
      <c r="E1419" s="46">
        <f t="shared" ref="E1419:AB1419" si="2159">E1410+E1412+E1414+E1416+E1418</f>
        <v>32717.026381</v>
      </c>
      <c r="F1419" s="46">
        <f t="shared" si="2159"/>
        <v>7271.1449190000003</v>
      </c>
      <c r="G1419" s="46">
        <f t="shared" si="2159"/>
        <v>10892.057644</v>
      </c>
      <c r="H1419" s="46">
        <f t="shared" si="2159"/>
        <v>7649.6400759999997</v>
      </c>
      <c r="I1419" s="46">
        <f t="shared" si="2159"/>
        <v>311429.22525000002</v>
      </c>
      <c r="J1419" s="46">
        <f t="shared" si="2159"/>
        <v>2729.6762960000001</v>
      </c>
      <c r="K1419" s="46">
        <f t="shared" si="2159"/>
        <v>3672.9735929999997</v>
      </c>
      <c r="L1419" s="46">
        <f t="shared" si="2159"/>
        <v>2136.5740809999998</v>
      </c>
      <c r="M1419" s="46">
        <f t="shared" si="2159"/>
        <v>2602.8526919999999</v>
      </c>
      <c r="N1419" s="46">
        <f t="shared" si="2159"/>
        <v>23823.088089999997</v>
      </c>
      <c r="O1419" s="46">
        <f t="shared" si="2159"/>
        <v>1283.1972700000001</v>
      </c>
      <c r="P1419" s="46">
        <f t="shared" si="2159"/>
        <v>35.338751999999999</v>
      </c>
      <c r="Q1419" s="46">
        <f t="shared" si="2159"/>
        <v>3235.3337219999999</v>
      </c>
      <c r="R1419" s="46">
        <f t="shared" si="2159"/>
        <v>2465.400392</v>
      </c>
      <c r="S1419" s="46">
        <f t="shared" si="2159"/>
        <v>713.32007899999996</v>
      </c>
      <c r="T1419" s="46">
        <f t="shared" si="2159"/>
        <v>6789.5114439999998</v>
      </c>
      <c r="U1419" s="46">
        <f t="shared" si="2159"/>
        <v>7422.0386680000001</v>
      </c>
      <c r="V1419" s="46">
        <f t="shared" si="2159"/>
        <v>8616.7708600000005</v>
      </c>
      <c r="W1419" s="46">
        <f t="shared" si="2159"/>
        <v>6962.5430980000001</v>
      </c>
      <c r="X1419" s="46">
        <f t="shared" si="2159"/>
        <v>7639.7229369999995</v>
      </c>
      <c r="Y1419" s="46">
        <f t="shared" si="2159"/>
        <v>216.12550499999998</v>
      </c>
      <c r="Z1419" s="46">
        <f t="shared" si="2159"/>
        <v>88.261835000000005</v>
      </c>
      <c r="AA1419" s="46">
        <f t="shared" si="2159"/>
        <v>0</v>
      </c>
      <c r="AB1419" s="46">
        <f t="shared" si="2159"/>
        <v>112796.93545</v>
      </c>
      <c r="AC1419" s="56"/>
    </row>
    <row r="1420" spans="1:29">
      <c r="A1420" s="13"/>
      <c r="B1420" s="6"/>
      <c r="C1420" s="27"/>
      <c r="D1420" s="27"/>
      <c r="E1420" s="27"/>
      <c r="F1420" s="27"/>
      <c r="G1420" s="27"/>
      <c r="H1420" s="27"/>
      <c r="I1420" s="27"/>
      <c r="J1420" s="27"/>
      <c r="K1420" s="27"/>
      <c r="L1420" s="27"/>
      <c r="M1420" s="27"/>
      <c r="N1420" s="27"/>
      <c r="O1420" s="27"/>
      <c r="P1420" s="27"/>
      <c r="Q1420" s="27"/>
      <c r="R1420" s="27"/>
      <c r="S1420" s="27"/>
      <c r="T1420" s="27"/>
      <c r="U1420" s="27"/>
      <c r="V1420" s="27"/>
      <c r="W1420" s="27"/>
      <c r="X1420" s="27"/>
      <c r="Y1420" s="27"/>
      <c r="Z1420" s="27"/>
      <c r="AA1420" s="27"/>
      <c r="AB1420" s="27"/>
      <c r="AC1420" s="56"/>
    </row>
    <row r="1421" spans="1:29" s="14" customFormat="1">
      <c r="A1421" s="13" t="s">
        <v>779</v>
      </c>
      <c r="B1421" s="6"/>
      <c r="C1421" s="27"/>
      <c r="D1421" s="27"/>
      <c r="E1421" s="27"/>
      <c r="F1421" s="27"/>
      <c r="G1421" s="27"/>
      <c r="H1421" s="27"/>
      <c r="I1421" s="27"/>
      <c r="J1421" s="27"/>
      <c r="K1421" s="27"/>
      <c r="L1421" s="27"/>
      <c r="M1421" s="27"/>
      <c r="N1421" s="27"/>
      <c r="O1421" s="27"/>
      <c r="P1421" s="27"/>
      <c r="Q1421" s="27"/>
      <c r="R1421" s="27"/>
      <c r="S1421" s="27"/>
      <c r="T1421" s="27"/>
      <c r="U1421" s="27"/>
      <c r="V1421" s="27"/>
      <c r="W1421" s="27"/>
      <c r="X1421" s="27"/>
      <c r="Y1421" s="27"/>
      <c r="Z1421" s="27"/>
      <c r="AA1421" s="27"/>
      <c r="AB1421" s="27"/>
      <c r="AC1421" s="56"/>
    </row>
    <row r="1422" spans="1:29">
      <c r="A1422" s="145"/>
      <c r="B1422" s="169"/>
      <c r="C1422" s="138"/>
      <c r="D1422" s="138"/>
      <c r="E1422" s="138"/>
      <c r="F1422" s="138"/>
      <c r="G1422" s="138"/>
      <c r="H1422" s="138"/>
      <c r="I1422" s="138"/>
      <c r="J1422" s="138"/>
      <c r="K1422" s="138"/>
      <c r="L1422" s="138"/>
      <c r="M1422" s="27"/>
      <c r="N1422" s="27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  <c r="AA1422" s="27"/>
      <c r="AB1422" s="27"/>
      <c r="AC1422" s="56"/>
    </row>
    <row r="1423" spans="1:29">
      <c r="A1423" s="145"/>
      <c r="B1423" s="169"/>
      <c r="C1423" s="138"/>
      <c r="D1423" s="138"/>
      <c r="E1423" s="138"/>
      <c r="F1423" s="138"/>
      <c r="G1423" s="138"/>
      <c r="H1423" s="138"/>
      <c r="I1423" s="138"/>
      <c r="J1423" s="138"/>
      <c r="K1423" s="138"/>
      <c r="L1423" s="138"/>
      <c r="M1423" s="27"/>
      <c r="N1423" s="27"/>
      <c r="O1423" s="27"/>
      <c r="P1423" s="27"/>
      <c r="Q1423" s="27"/>
      <c r="R1423" s="27"/>
      <c r="S1423" s="27"/>
      <c r="T1423" s="27"/>
      <c r="U1423" s="27"/>
      <c r="V1423" s="27"/>
      <c r="W1423" s="27"/>
      <c r="X1423" s="27"/>
      <c r="Y1423" s="27"/>
      <c r="Z1423" s="27"/>
      <c r="AA1423" s="27"/>
      <c r="AB1423" s="27"/>
      <c r="AC1423" s="56"/>
    </row>
    <row r="1424" spans="1:29" s="14" customFormat="1" ht="13.8" thickBot="1">
      <c r="A1424" s="66" t="s">
        <v>665</v>
      </c>
      <c r="B1424" s="65"/>
      <c r="C1424" s="152"/>
      <c r="D1424" s="65"/>
      <c r="E1424" s="65"/>
      <c r="F1424" s="65"/>
      <c r="G1424" s="65"/>
      <c r="H1424" s="65"/>
      <c r="I1424" s="65"/>
      <c r="J1424" s="19"/>
      <c r="K1424" s="19"/>
      <c r="L1424" s="19"/>
      <c r="M1424" s="19"/>
      <c r="N1424" s="19"/>
      <c r="O1424" s="19"/>
      <c r="P1424" s="19"/>
      <c r="Q1424" s="19"/>
      <c r="R1424" s="19"/>
      <c r="S1424" s="19"/>
      <c r="T1424" s="19"/>
      <c r="U1424" s="19"/>
      <c r="V1424" s="19"/>
      <c r="W1424" s="19"/>
      <c r="X1424" s="19"/>
      <c r="Y1424" s="19"/>
      <c r="Z1424" s="19"/>
      <c r="AA1424" s="19"/>
      <c r="AB1424" s="19"/>
      <c r="AC1424" s="56"/>
    </row>
    <row r="1425" spans="1:29" s="14" customFormat="1" ht="13.8" thickBot="1">
      <c r="A1425" s="93" t="s">
        <v>1</v>
      </c>
      <c r="B1425" s="94" t="s">
        <v>2</v>
      </c>
      <c r="C1425" s="125" t="s">
        <v>3</v>
      </c>
      <c r="D1425" s="211" t="s">
        <v>4</v>
      </c>
      <c r="E1425" s="212"/>
      <c r="F1425" s="212"/>
      <c r="G1425" s="212"/>
      <c r="H1425" s="212"/>
      <c r="I1425" s="212"/>
      <c r="J1425" s="212"/>
      <c r="K1425" s="212"/>
      <c r="L1425" s="212"/>
      <c r="M1425" s="212"/>
      <c r="N1425" s="212"/>
      <c r="O1425" s="212"/>
      <c r="P1425" s="212"/>
      <c r="Q1425" s="212"/>
      <c r="R1425" s="212"/>
      <c r="S1425" s="212"/>
      <c r="T1425" s="212"/>
      <c r="U1425" s="212"/>
      <c r="V1425" s="212"/>
      <c r="W1425" s="212"/>
      <c r="X1425" s="212"/>
      <c r="Y1425" s="212"/>
      <c r="Z1425" s="103"/>
      <c r="AA1425" s="103"/>
      <c r="AB1425" s="103"/>
      <c r="AC1425" s="56"/>
    </row>
    <row r="1426" spans="1:29">
      <c r="A1426" s="95" t="s">
        <v>5</v>
      </c>
      <c r="B1426" s="96" t="s">
        <v>6</v>
      </c>
      <c r="C1426" s="126" t="s">
        <v>6</v>
      </c>
      <c r="D1426" s="97"/>
      <c r="E1426" s="98"/>
      <c r="F1426" s="98"/>
      <c r="G1426" s="98"/>
      <c r="H1426" s="98"/>
      <c r="I1426" s="98"/>
      <c r="J1426" s="98"/>
      <c r="K1426" s="98"/>
      <c r="L1426" s="98"/>
      <c r="M1426" s="98"/>
      <c r="N1426" s="98"/>
      <c r="O1426" s="98"/>
      <c r="P1426" s="98"/>
      <c r="Q1426" s="98"/>
      <c r="R1426" s="98"/>
      <c r="S1426" s="98"/>
      <c r="T1426" s="98"/>
      <c r="U1426" s="98"/>
      <c r="V1426" s="98"/>
      <c r="W1426" s="98"/>
      <c r="X1426" s="98"/>
      <c r="Y1426" s="99"/>
      <c r="Z1426" s="96" t="s">
        <v>7</v>
      </c>
      <c r="AA1426" s="96"/>
      <c r="AB1426" s="96"/>
      <c r="AC1426" s="56"/>
    </row>
    <row r="1427" spans="1:29">
      <c r="A1427" s="95" t="s">
        <v>8</v>
      </c>
      <c r="B1427" s="96" t="s">
        <v>9</v>
      </c>
      <c r="C1427" s="126" t="s">
        <v>9</v>
      </c>
      <c r="D1427" s="100" t="s">
        <v>10</v>
      </c>
      <c r="E1427" s="96" t="s">
        <v>11</v>
      </c>
      <c r="F1427" s="96" t="s">
        <v>12</v>
      </c>
      <c r="G1427" s="96" t="s">
        <v>13</v>
      </c>
      <c r="H1427" s="96" t="s">
        <v>14</v>
      </c>
      <c r="I1427" s="96" t="s">
        <v>15</v>
      </c>
      <c r="J1427" s="96" t="s">
        <v>16</v>
      </c>
      <c r="K1427" s="96" t="s">
        <v>17</v>
      </c>
      <c r="L1427" s="96" t="s">
        <v>18</v>
      </c>
      <c r="M1427" s="96" t="s">
        <v>19</v>
      </c>
      <c r="N1427" s="96" t="s">
        <v>20</v>
      </c>
      <c r="O1427" s="96" t="s">
        <v>169</v>
      </c>
      <c r="P1427" s="96" t="s">
        <v>21</v>
      </c>
      <c r="Q1427" s="96" t="s">
        <v>22</v>
      </c>
      <c r="R1427" s="96" t="s">
        <v>23</v>
      </c>
      <c r="S1427" s="96" t="s">
        <v>24</v>
      </c>
      <c r="T1427" s="96" t="s">
        <v>25</v>
      </c>
      <c r="U1427" s="96" t="s">
        <v>26</v>
      </c>
      <c r="V1427" s="96" t="s">
        <v>27</v>
      </c>
      <c r="W1427" s="96" t="s">
        <v>28</v>
      </c>
      <c r="X1427" s="96" t="s">
        <v>29</v>
      </c>
      <c r="Y1427" s="96" t="s">
        <v>30</v>
      </c>
      <c r="Z1427" s="96" t="s">
        <v>31</v>
      </c>
      <c r="AA1427" s="96" t="s">
        <v>484</v>
      </c>
      <c r="AB1427" s="96" t="s">
        <v>467</v>
      </c>
      <c r="AC1427" s="56"/>
    </row>
    <row r="1428" spans="1:29">
      <c r="A1428" s="95"/>
      <c r="B1428" s="167"/>
      <c r="C1428" s="126" t="s">
        <v>746</v>
      </c>
      <c r="D1428" s="101"/>
      <c r="E1428" s="102"/>
      <c r="F1428" s="102"/>
      <c r="G1428" s="102"/>
      <c r="H1428" s="102"/>
      <c r="I1428" s="102"/>
      <c r="J1428" s="102"/>
      <c r="K1428" s="102"/>
      <c r="L1428" s="102"/>
      <c r="M1428" s="102"/>
      <c r="N1428" s="102"/>
      <c r="O1428" s="102"/>
      <c r="P1428" s="102"/>
      <c r="Q1428" s="102"/>
      <c r="R1428" s="102"/>
      <c r="S1428" s="102"/>
      <c r="T1428" s="102"/>
      <c r="U1428" s="102"/>
      <c r="V1428" s="102"/>
      <c r="W1428" s="102"/>
      <c r="X1428" s="102"/>
      <c r="Y1428" s="102"/>
      <c r="Z1428" s="102"/>
      <c r="AA1428" s="102"/>
      <c r="AB1428" s="102"/>
      <c r="AC1428" s="56"/>
    </row>
    <row r="1429" spans="1:29" s="14" customFormat="1">
      <c r="A1429" s="105" t="s">
        <v>745</v>
      </c>
      <c r="B1429" s="50">
        <v>288634</v>
      </c>
      <c r="C1429" s="130">
        <f>ROUND(B1429/12,2)</f>
        <v>24052.83</v>
      </c>
      <c r="D1429" s="106"/>
      <c r="E1429" s="106">
        <v>4.7899999999999998E-2</v>
      </c>
      <c r="F1429" s="106"/>
      <c r="G1429" s="106">
        <v>2.2000000000000001E-3</v>
      </c>
      <c r="H1429" s="106"/>
      <c r="I1429" s="106">
        <v>1.4500000000000001E-2</v>
      </c>
      <c r="J1429" s="106">
        <v>5.0000000000000001E-4</v>
      </c>
      <c r="K1429" s="106"/>
      <c r="L1429" s="106">
        <v>1E-4</v>
      </c>
      <c r="M1429" s="106"/>
      <c r="N1429" s="106"/>
      <c r="O1429" s="106"/>
      <c r="P1429" s="106"/>
      <c r="Q1429" s="106"/>
      <c r="R1429" s="106">
        <v>2.0000000000000001E-4</v>
      </c>
      <c r="S1429" s="106"/>
      <c r="T1429" s="106">
        <v>1E-3</v>
      </c>
      <c r="U1429" s="106">
        <v>1.1000000000000001E-3</v>
      </c>
      <c r="V1429" s="106"/>
      <c r="W1429" s="106">
        <v>5.0000000000000001E-4</v>
      </c>
      <c r="X1429" s="106">
        <v>2E-3</v>
      </c>
      <c r="Y1429" s="106"/>
      <c r="Z1429" s="107"/>
      <c r="AA1429" s="107"/>
      <c r="AB1429" s="107">
        <v>0.93</v>
      </c>
      <c r="AC1429" s="56"/>
    </row>
    <row r="1430" spans="1:29" s="14" customFormat="1">
      <c r="A1430" s="72"/>
      <c r="C1430" s="130"/>
      <c r="D1430" s="27">
        <f t="shared" ref="D1430:AB1430" si="2160">$C1429*D1429</f>
        <v>0</v>
      </c>
      <c r="E1430" s="27">
        <f>$C1429*E1429</f>
        <v>1152.130557</v>
      </c>
      <c r="F1430" s="27">
        <f t="shared" si="2160"/>
        <v>0</v>
      </c>
      <c r="G1430" s="27">
        <f t="shared" si="2160"/>
        <v>52.916226000000009</v>
      </c>
      <c r="H1430" s="27">
        <f t="shared" si="2160"/>
        <v>0</v>
      </c>
      <c r="I1430" s="27">
        <f t="shared" si="2160"/>
        <v>348.76603500000004</v>
      </c>
      <c r="J1430" s="27">
        <f t="shared" si="2160"/>
        <v>12.026415000000002</v>
      </c>
      <c r="K1430" s="27">
        <f t="shared" si="2160"/>
        <v>0</v>
      </c>
      <c r="L1430" s="27">
        <f t="shared" si="2160"/>
        <v>2.4052830000000003</v>
      </c>
      <c r="M1430" s="27">
        <f t="shared" si="2160"/>
        <v>0</v>
      </c>
      <c r="N1430" s="27">
        <f t="shared" si="2160"/>
        <v>0</v>
      </c>
      <c r="O1430" s="27">
        <f t="shared" si="2160"/>
        <v>0</v>
      </c>
      <c r="P1430" s="27">
        <f t="shared" si="2160"/>
        <v>0</v>
      </c>
      <c r="Q1430" s="27">
        <f t="shared" si="2160"/>
        <v>0</v>
      </c>
      <c r="R1430" s="27">
        <f t="shared" si="2160"/>
        <v>4.8105660000000006</v>
      </c>
      <c r="S1430" s="27">
        <f t="shared" si="2160"/>
        <v>0</v>
      </c>
      <c r="T1430" s="27">
        <f t="shared" si="2160"/>
        <v>24.052830000000004</v>
      </c>
      <c r="U1430" s="27">
        <f t="shared" si="2160"/>
        <v>26.458113000000004</v>
      </c>
      <c r="V1430" s="27">
        <f t="shared" si="2160"/>
        <v>0</v>
      </c>
      <c r="W1430" s="27">
        <f t="shared" si="2160"/>
        <v>12.026415000000002</v>
      </c>
      <c r="X1430" s="27">
        <f t="shared" si="2160"/>
        <v>48.105660000000007</v>
      </c>
      <c r="Y1430" s="27">
        <f t="shared" si="2160"/>
        <v>0</v>
      </c>
      <c r="Z1430" s="27">
        <f t="shared" si="2160"/>
        <v>0</v>
      </c>
      <c r="AA1430" s="27">
        <f t="shared" si="2160"/>
        <v>0</v>
      </c>
      <c r="AB1430" s="27">
        <f t="shared" si="2160"/>
        <v>22369.131900000004</v>
      </c>
      <c r="AC1430" s="56"/>
    </row>
    <row r="1431" spans="1:29">
      <c r="A1431" s="45" t="s">
        <v>50</v>
      </c>
      <c r="B1431" s="30">
        <f>SUM(B1429:B1430)</f>
        <v>288634</v>
      </c>
      <c r="C1431" s="46">
        <f>SUM(C1429:C1430)</f>
        <v>24052.83</v>
      </c>
      <c r="D1431" s="46">
        <f>D1430</f>
        <v>0</v>
      </c>
      <c r="E1431" s="46">
        <f t="shared" ref="E1431:AB1431" si="2161">E1430</f>
        <v>1152.130557</v>
      </c>
      <c r="F1431" s="46">
        <f t="shared" si="2161"/>
        <v>0</v>
      </c>
      <c r="G1431" s="46">
        <f t="shared" si="2161"/>
        <v>52.916226000000009</v>
      </c>
      <c r="H1431" s="46">
        <f t="shared" si="2161"/>
        <v>0</v>
      </c>
      <c r="I1431" s="46">
        <f t="shared" si="2161"/>
        <v>348.76603500000004</v>
      </c>
      <c r="J1431" s="46">
        <f t="shared" si="2161"/>
        <v>12.026415000000002</v>
      </c>
      <c r="K1431" s="46">
        <f t="shared" si="2161"/>
        <v>0</v>
      </c>
      <c r="L1431" s="46">
        <f t="shared" si="2161"/>
        <v>2.4052830000000003</v>
      </c>
      <c r="M1431" s="46">
        <f t="shared" si="2161"/>
        <v>0</v>
      </c>
      <c r="N1431" s="46">
        <f t="shared" si="2161"/>
        <v>0</v>
      </c>
      <c r="O1431" s="46">
        <f t="shared" si="2161"/>
        <v>0</v>
      </c>
      <c r="P1431" s="46">
        <f t="shared" si="2161"/>
        <v>0</v>
      </c>
      <c r="Q1431" s="46">
        <f t="shared" si="2161"/>
        <v>0</v>
      </c>
      <c r="R1431" s="46">
        <f t="shared" si="2161"/>
        <v>4.8105660000000006</v>
      </c>
      <c r="S1431" s="46">
        <f t="shared" si="2161"/>
        <v>0</v>
      </c>
      <c r="T1431" s="46">
        <f t="shared" si="2161"/>
        <v>24.052830000000004</v>
      </c>
      <c r="U1431" s="46">
        <f t="shared" si="2161"/>
        <v>26.458113000000004</v>
      </c>
      <c r="V1431" s="46">
        <f t="shared" si="2161"/>
        <v>0</v>
      </c>
      <c r="W1431" s="46">
        <f t="shared" si="2161"/>
        <v>12.026415000000002</v>
      </c>
      <c r="X1431" s="46">
        <f t="shared" si="2161"/>
        <v>48.105660000000007</v>
      </c>
      <c r="Y1431" s="46">
        <f t="shared" si="2161"/>
        <v>0</v>
      </c>
      <c r="Z1431" s="46">
        <f t="shared" si="2161"/>
        <v>0</v>
      </c>
      <c r="AA1431" s="46">
        <f t="shared" si="2161"/>
        <v>0</v>
      </c>
      <c r="AB1431" s="46">
        <f t="shared" si="2161"/>
        <v>22369.131900000004</v>
      </c>
      <c r="AC1431" s="56"/>
    </row>
    <row r="1432" spans="1:29">
      <c r="A1432" s="13"/>
      <c r="B1432" s="6"/>
      <c r="C1432" s="27"/>
      <c r="D1432" s="27"/>
      <c r="E1432" s="27"/>
      <c r="F1432" s="27"/>
      <c r="G1432" s="27"/>
      <c r="H1432" s="27"/>
      <c r="I1432" s="27"/>
      <c r="J1432" s="27"/>
      <c r="K1432" s="27"/>
      <c r="L1432" s="27"/>
      <c r="M1432" s="27"/>
      <c r="N1432" s="27"/>
      <c r="O1432" s="27"/>
      <c r="P1432" s="27"/>
      <c r="Q1432" s="27"/>
      <c r="R1432" s="27"/>
      <c r="S1432" s="27"/>
      <c r="T1432" s="27"/>
      <c r="U1432" s="27"/>
      <c r="V1432" s="27"/>
      <c r="W1432" s="27"/>
      <c r="X1432" s="27"/>
      <c r="Y1432" s="27"/>
      <c r="Z1432" s="27"/>
      <c r="AA1432" s="27"/>
      <c r="AB1432" s="27"/>
      <c r="AC1432" s="56"/>
    </row>
    <row r="1433" spans="1:29">
      <c r="A1433" s="145"/>
      <c r="B1433" s="169"/>
      <c r="C1433" s="138"/>
      <c r="D1433" s="138"/>
      <c r="E1433" s="138"/>
      <c r="F1433" s="138"/>
      <c r="G1433" s="138"/>
      <c r="H1433" s="138"/>
      <c r="I1433" s="138"/>
      <c r="J1433" s="27"/>
      <c r="K1433" s="27"/>
      <c r="L1433" s="27"/>
      <c r="M1433" s="27"/>
      <c r="N1433" s="27"/>
      <c r="O1433" s="27"/>
      <c r="P1433" s="27"/>
      <c r="Q1433" s="27"/>
      <c r="R1433" s="27"/>
      <c r="S1433" s="27"/>
      <c r="T1433" s="27"/>
      <c r="U1433" s="27"/>
      <c r="V1433" s="27"/>
      <c r="W1433" s="27"/>
      <c r="X1433" s="27"/>
      <c r="Y1433" s="27"/>
      <c r="Z1433" s="27"/>
      <c r="AA1433" s="27"/>
      <c r="AB1433" s="27"/>
      <c r="AC1433" s="56"/>
    </row>
    <row r="1434" spans="1:29">
      <c r="A1434" s="13"/>
      <c r="B1434" s="6"/>
      <c r="C1434" s="138"/>
      <c r="D1434" s="27"/>
      <c r="E1434" s="27"/>
      <c r="F1434" s="27"/>
      <c r="G1434" s="27"/>
      <c r="H1434" s="27"/>
      <c r="I1434" s="27"/>
      <c r="J1434" s="27"/>
      <c r="K1434" s="27"/>
      <c r="L1434" s="27"/>
      <c r="M1434" s="27"/>
      <c r="N1434" s="27"/>
      <c r="O1434" s="27"/>
      <c r="P1434" s="27"/>
      <c r="Q1434" s="27"/>
      <c r="R1434" s="27"/>
      <c r="S1434" s="27"/>
      <c r="T1434" s="27"/>
      <c r="U1434" s="27"/>
      <c r="V1434" s="27"/>
      <c r="W1434" s="27"/>
      <c r="X1434" s="27"/>
      <c r="Y1434" s="27"/>
      <c r="Z1434" s="27"/>
      <c r="AA1434" s="27"/>
      <c r="AB1434" s="27"/>
      <c r="AC1434" s="56"/>
    </row>
    <row r="1435" spans="1:29" ht="13.8" thickBot="1">
      <c r="A1435" s="66" t="s">
        <v>511</v>
      </c>
      <c r="B1435" s="65"/>
      <c r="C1435" s="152"/>
      <c r="D1435" s="65"/>
      <c r="E1435" s="140"/>
      <c r="F1435" s="19"/>
      <c r="G1435" s="19"/>
      <c r="H1435" s="19"/>
      <c r="I1435" s="19"/>
      <c r="J1435" s="19"/>
      <c r="K1435" s="19"/>
      <c r="L1435" s="19"/>
      <c r="M1435" s="19"/>
      <c r="N1435" s="19"/>
      <c r="O1435" s="19"/>
      <c r="P1435" s="19"/>
      <c r="Q1435" s="19"/>
      <c r="R1435" s="19"/>
      <c r="S1435" s="19"/>
      <c r="T1435" s="19"/>
      <c r="U1435" s="19"/>
      <c r="V1435" s="19"/>
      <c r="W1435" s="19"/>
      <c r="X1435" s="19"/>
      <c r="Y1435" s="19"/>
      <c r="Z1435" s="19"/>
      <c r="AA1435" s="19"/>
      <c r="AB1435" s="19"/>
      <c r="AC1435" s="56"/>
    </row>
    <row r="1436" spans="1:29" ht="13.8" thickBot="1">
      <c r="A1436" s="93" t="s">
        <v>1</v>
      </c>
      <c r="B1436" s="94" t="s">
        <v>2</v>
      </c>
      <c r="C1436" s="125" t="s">
        <v>3</v>
      </c>
      <c r="D1436" s="211" t="s">
        <v>4</v>
      </c>
      <c r="E1436" s="212"/>
      <c r="F1436" s="212"/>
      <c r="G1436" s="212"/>
      <c r="H1436" s="212"/>
      <c r="I1436" s="212"/>
      <c r="J1436" s="212"/>
      <c r="K1436" s="212"/>
      <c r="L1436" s="212"/>
      <c r="M1436" s="212"/>
      <c r="N1436" s="212"/>
      <c r="O1436" s="212"/>
      <c r="P1436" s="212"/>
      <c r="Q1436" s="212"/>
      <c r="R1436" s="212"/>
      <c r="S1436" s="212"/>
      <c r="T1436" s="212"/>
      <c r="U1436" s="212"/>
      <c r="V1436" s="212"/>
      <c r="W1436" s="212"/>
      <c r="X1436" s="212"/>
      <c r="Y1436" s="212"/>
      <c r="Z1436" s="103"/>
      <c r="AA1436" s="103"/>
      <c r="AB1436" s="103"/>
      <c r="AC1436" s="56"/>
    </row>
    <row r="1437" spans="1:29">
      <c r="A1437" s="95" t="s">
        <v>5</v>
      </c>
      <c r="B1437" s="96" t="s">
        <v>6</v>
      </c>
      <c r="C1437" s="126" t="s">
        <v>6</v>
      </c>
      <c r="D1437" s="97"/>
      <c r="E1437" s="98"/>
      <c r="F1437" s="98"/>
      <c r="G1437" s="98"/>
      <c r="H1437" s="98"/>
      <c r="I1437" s="98"/>
      <c r="J1437" s="98"/>
      <c r="K1437" s="98"/>
      <c r="L1437" s="98"/>
      <c r="M1437" s="98"/>
      <c r="N1437" s="98"/>
      <c r="O1437" s="98"/>
      <c r="P1437" s="98"/>
      <c r="Q1437" s="98"/>
      <c r="R1437" s="98"/>
      <c r="S1437" s="98"/>
      <c r="T1437" s="98"/>
      <c r="U1437" s="98"/>
      <c r="V1437" s="98"/>
      <c r="W1437" s="98"/>
      <c r="X1437" s="98"/>
      <c r="Y1437" s="99"/>
      <c r="Z1437" s="96" t="s">
        <v>7</v>
      </c>
      <c r="AA1437" s="96"/>
      <c r="AB1437" s="96"/>
      <c r="AC1437" s="56"/>
    </row>
    <row r="1438" spans="1:29">
      <c r="A1438" s="95" t="s">
        <v>8</v>
      </c>
      <c r="B1438" s="96" t="s">
        <v>9</v>
      </c>
      <c r="C1438" s="126" t="s">
        <v>9</v>
      </c>
      <c r="D1438" s="100" t="s">
        <v>10</v>
      </c>
      <c r="E1438" s="96" t="s">
        <v>11</v>
      </c>
      <c r="F1438" s="96" t="s">
        <v>12</v>
      </c>
      <c r="G1438" s="96" t="s">
        <v>13</v>
      </c>
      <c r="H1438" s="96" t="s">
        <v>14</v>
      </c>
      <c r="I1438" s="96" t="s">
        <v>15</v>
      </c>
      <c r="J1438" s="96" t="s">
        <v>16</v>
      </c>
      <c r="K1438" s="96" t="s">
        <v>17</v>
      </c>
      <c r="L1438" s="96" t="s">
        <v>18</v>
      </c>
      <c r="M1438" s="96" t="s">
        <v>19</v>
      </c>
      <c r="N1438" s="96" t="s">
        <v>20</v>
      </c>
      <c r="O1438" s="96" t="s">
        <v>169</v>
      </c>
      <c r="P1438" s="96" t="s">
        <v>21</v>
      </c>
      <c r="Q1438" s="96" t="s">
        <v>22</v>
      </c>
      <c r="R1438" s="96" t="s">
        <v>23</v>
      </c>
      <c r="S1438" s="96" t="s">
        <v>24</v>
      </c>
      <c r="T1438" s="96" t="s">
        <v>25</v>
      </c>
      <c r="U1438" s="96" t="s">
        <v>26</v>
      </c>
      <c r="V1438" s="96" t="s">
        <v>27</v>
      </c>
      <c r="W1438" s="96" t="s">
        <v>28</v>
      </c>
      <c r="X1438" s="96" t="s">
        <v>29</v>
      </c>
      <c r="Y1438" s="96" t="s">
        <v>30</v>
      </c>
      <c r="Z1438" s="96" t="s">
        <v>31</v>
      </c>
      <c r="AA1438" s="96" t="s">
        <v>484</v>
      </c>
      <c r="AB1438" s="96" t="s">
        <v>467</v>
      </c>
      <c r="AC1438" s="56"/>
    </row>
    <row r="1439" spans="1:29">
      <c r="A1439" s="95"/>
      <c r="B1439" s="96"/>
      <c r="C1439" s="126" t="s">
        <v>696</v>
      </c>
      <c r="D1439" s="101"/>
      <c r="E1439" s="102"/>
      <c r="F1439" s="102"/>
      <c r="G1439" s="102"/>
      <c r="H1439" s="102"/>
      <c r="I1439" s="102"/>
      <c r="J1439" s="102"/>
      <c r="K1439" s="102"/>
      <c r="L1439" s="102"/>
      <c r="M1439" s="102"/>
      <c r="N1439" s="102"/>
      <c r="O1439" s="102"/>
      <c r="P1439" s="102"/>
      <c r="Q1439" s="102"/>
      <c r="R1439" s="102"/>
      <c r="S1439" s="102"/>
      <c r="T1439" s="102"/>
      <c r="U1439" s="102"/>
      <c r="V1439" s="102"/>
      <c r="W1439" s="102"/>
      <c r="X1439" s="102"/>
      <c r="Y1439" s="102"/>
      <c r="Z1439" s="102"/>
      <c r="AA1439" s="102"/>
      <c r="AB1439" s="102"/>
      <c r="AC1439" s="56"/>
    </row>
    <row r="1440" spans="1:29" s="14" customFormat="1">
      <c r="A1440" s="111" t="s">
        <v>510</v>
      </c>
      <c r="B1440" s="26">
        <v>3633376.649751097</v>
      </c>
      <c r="C1440" s="130">
        <f>ROUND(B1440/12,2)</f>
        <v>302781.39</v>
      </c>
      <c r="D1440" s="17"/>
      <c r="E1440" s="39"/>
      <c r="F1440" s="4"/>
      <c r="G1440" s="16">
        <v>9.9299999999999999E-2</v>
      </c>
      <c r="H1440" s="17"/>
      <c r="I1440" s="17"/>
      <c r="J1440" s="17">
        <v>0.90069999999999995</v>
      </c>
      <c r="K1440" s="17"/>
      <c r="L1440" s="4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56"/>
    </row>
    <row r="1441" spans="1:29" s="14" customFormat="1">
      <c r="A1441" s="72"/>
      <c r="C1441" s="27"/>
      <c r="D1441" s="27">
        <f t="shared" ref="D1441" si="2162">$C1440*D1440</f>
        <v>0</v>
      </c>
      <c r="E1441" s="27">
        <f t="shared" ref="E1441" si="2163">$C1440*E1440</f>
        <v>0</v>
      </c>
      <c r="F1441" s="27">
        <f t="shared" ref="F1441:AB1441" si="2164">$C1440*F1440</f>
        <v>0</v>
      </c>
      <c r="G1441" s="27">
        <f>$C1440*G1440</f>
        <v>30066.192027000001</v>
      </c>
      <c r="H1441" s="27">
        <f t="shared" si="2164"/>
        <v>0</v>
      </c>
      <c r="I1441" s="27">
        <f t="shared" si="2164"/>
        <v>0</v>
      </c>
      <c r="J1441" s="27">
        <f>$C1440*J1440</f>
        <v>272715.197973</v>
      </c>
      <c r="K1441" s="27">
        <f t="shared" si="2164"/>
        <v>0</v>
      </c>
      <c r="L1441" s="27">
        <f t="shared" si="2164"/>
        <v>0</v>
      </c>
      <c r="M1441" s="27">
        <f t="shared" si="2164"/>
        <v>0</v>
      </c>
      <c r="N1441" s="27">
        <f t="shared" si="2164"/>
        <v>0</v>
      </c>
      <c r="O1441" s="27">
        <f t="shared" si="2164"/>
        <v>0</v>
      </c>
      <c r="P1441" s="27">
        <f t="shared" si="2164"/>
        <v>0</v>
      </c>
      <c r="Q1441" s="27">
        <f t="shared" si="2164"/>
        <v>0</v>
      </c>
      <c r="R1441" s="27">
        <f t="shared" si="2164"/>
        <v>0</v>
      </c>
      <c r="S1441" s="27">
        <f t="shared" si="2164"/>
        <v>0</v>
      </c>
      <c r="T1441" s="27">
        <f t="shared" si="2164"/>
        <v>0</v>
      </c>
      <c r="U1441" s="27">
        <f t="shared" si="2164"/>
        <v>0</v>
      </c>
      <c r="V1441" s="27">
        <f t="shared" si="2164"/>
        <v>0</v>
      </c>
      <c r="W1441" s="27">
        <f t="shared" si="2164"/>
        <v>0</v>
      </c>
      <c r="X1441" s="27">
        <f t="shared" si="2164"/>
        <v>0</v>
      </c>
      <c r="Y1441" s="27">
        <f t="shared" si="2164"/>
        <v>0</v>
      </c>
      <c r="Z1441" s="27">
        <f t="shared" si="2164"/>
        <v>0</v>
      </c>
      <c r="AA1441" s="27">
        <f t="shared" si="2164"/>
        <v>0</v>
      </c>
      <c r="AB1441" s="27">
        <f t="shared" si="2164"/>
        <v>0</v>
      </c>
      <c r="AC1441" s="56"/>
    </row>
    <row r="1442" spans="1:29" s="14" customFormat="1" ht="13.95" customHeight="1">
      <c r="A1442" s="45" t="s">
        <v>50</v>
      </c>
      <c r="B1442" s="30">
        <f>SUM(B1440:B1441)</f>
        <v>3633376.649751097</v>
      </c>
      <c r="C1442" s="46">
        <f>SUM(C1440:C1441)</f>
        <v>302781.39</v>
      </c>
      <c r="D1442" s="46">
        <f>D1441</f>
        <v>0</v>
      </c>
      <c r="E1442" s="46">
        <f t="shared" ref="E1442:AB1442" si="2165">E1441</f>
        <v>0</v>
      </c>
      <c r="F1442" s="46">
        <f t="shared" si="2165"/>
        <v>0</v>
      </c>
      <c r="G1442" s="46">
        <f t="shared" si="2165"/>
        <v>30066.192027000001</v>
      </c>
      <c r="H1442" s="46">
        <f t="shared" si="2165"/>
        <v>0</v>
      </c>
      <c r="I1442" s="46">
        <f t="shared" si="2165"/>
        <v>0</v>
      </c>
      <c r="J1442" s="46">
        <f t="shared" si="2165"/>
        <v>272715.197973</v>
      </c>
      <c r="K1442" s="46">
        <f t="shared" si="2165"/>
        <v>0</v>
      </c>
      <c r="L1442" s="46">
        <f t="shared" si="2165"/>
        <v>0</v>
      </c>
      <c r="M1442" s="46">
        <f t="shared" si="2165"/>
        <v>0</v>
      </c>
      <c r="N1442" s="46">
        <f t="shared" si="2165"/>
        <v>0</v>
      </c>
      <c r="O1442" s="46">
        <f t="shared" si="2165"/>
        <v>0</v>
      </c>
      <c r="P1442" s="46">
        <f t="shared" si="2165"/>
        <v>0</v>
      </c>
      <c r="Q1442" s="46">
        <f t="shared" si="2165"/>
        <v>0</v>
      </c>
      <c r="R1442" s="46">
        <f t="shared" si="2165"/>
        <v>0</v>
      </c>
      <c r="S1442" s="46">
        <f t="shared" si="2165"/>
        <v>0</v>
      </c>
      <c r="T1442" s="46">
        <f t="shared" si="2165"/>
        <v>0</v>
      </c>
      <c r="U1442" s="46">
        <f t="shared" si="2165"/>
        <v>0</v>
      </c>
      <c r="V1442" s="46">
        <f t="shared" si="2165"/>
        <v>0</v>
      </c>
      <c r="W1442" s="46">
        <f t="shared" si="2165"/>
        <v>0</v>
      </c>
      <c r="X1442" s="46">
        <f t="shared" si="2165"/>
        <v>0</v>
      </c>
      <c r="Y1442" s="46">
        <f t="shared" si="2165"/>
        <v>0</v>
      </c>
      <c r="Z1442" s="46">
        <f t="shared" si="2165"/>
        <v>0</v>
      </c>
      <c r="AA1442" s="46">
        <f t="shared" si="2165"/>
        <v>0</v>
      </c>
      <c r="AB1442" s="46">
        <f t="shared" si="2165"/>
        <v>0</v>
      </c>
      <c r="AC1442" s="56"/>
    </row>
    <row r="1443" spans="1:29" s="14" customFormat="1">
      <c r="A1443" s="13"/>
      <c r="B1443" s="6"/>
      <c r="C1443" s="138"/>
      <c r="D1443" s="27"/>
      <c r="E1443" s="27"/>
      <c r="F1443" s="27"/>
      <c r="G1443" s="27"/>
      <c r="H1443" s="27"/>
      <c r="I1443" s="27"/>
      <c r="J1443" s="27"/>
      <c r="K1443" s="27"/>
      <c r="L1443" s="27"/>
      <c r="M1443" s="27"/>
      <c r="N1443" s="27"/>
      <c r="O1443" s="27"/>
      <c r="P1443" s="27"/>
      <c r="Q1443" s="27"/>
      <c r="R1443" s="27"/>
      <c r="S1443" s="27"/>
      <c r="T1443" s="27"/>
      <c r="U1443" s="27"/>
      <c r="V1443" s="27"/>
      <c r="W1443" s="27"/>
      <c r="X1443" s="27"/>
      <c r="Y1443" s="27"/>
      <c r="Z1443" s="27"/>
      <c r="AA1443" s="27"/>
      <c r="AB1443" s="27"/>
      <c r="AC1443" s="56"/>
    </row>
    <row r="1444" spans="1:29" s="14" customFormat="1">
      <c r="A1444" s="13"/>
      <c r="B1444" s="6"/>
      <c r="C1444" s="138"/>
      <c r="D1444" s="27"/>
      <c r="E1444" s="27"/>
      <c r="F1444" s="27"/>
      <c r="G1444" s="27"/>
      <c r="H1444" s="27"/>
      <c r="I1444" s="27"/>
      <c r="J1444" s="27"/>
      <c r="K1444" s="27"/>
      <c r="L1444" s="27"/>
      <c r="M1444" s="27"/>
      <c r="N1444" s="27"/>
      <c r="O1444" s="27"/>
      <c r="P1444" s="27"/>
      <c r="Q1444" s="27"/>
      <c r="R1444" s="27"/>
      <c r="S1444" s="27"/>
      <c r="T1444" s="27"/>
      <c r="U1444" s="27"/>
      <c r="V1444" s="27"/>
      <c r="W1444" s="27"/>
      <c r="X1444" s="27"/>
      <c r="Y1444" s="27"/>
      <c r="Z1444" s="27"/>
      <c r="AA1444" s="27"/>
      <c r="AB1444" s="27"/>
      <c r="AC1444" s="56"/>
    </row>
    <row r="1445" spans="1:29">
      <c r="A1445" s="13"/>
      <c r="B1445" s="6"/>
      <c r="C1445" s="138"/>
      <c r="D1445" s="27"/>
      <c r="E1445" s="27"/>
      <c r="F1445" s="27"/>
      <c r="G1445" s="27"/>
      <c r="H1445" s="27"/>
      <c r="I1445" s="27"/>
      <c r="J1445" s="27"/>
      <c r="K1445" s="27"/>
      <c r="L1445" s="27"/>
      <c r="M1445" s="27"/>
      <c r="N1445" s="27"/>
      <c r="O1445" s="27"/>
      <c r="P1445" s="27"/>
      <c r="Q1445" s="27"/>
      <c r="R1445" s="27"/>
      <c r="S1445" s="27"/>
      <c r="T1445" s="27"/>
      <c r="U1445" s="27"/>
      <c r="V1445" s="27"/>
      <c r="W1445" s="27"/>
      <c r="X1445" s="27"/>
      <c r="Y1445" s="27"/>
      <c r="Z1445" s="27"/>
      <c r="AA1445" s="27"/>
      <c r="AB1445" s="27"/>
      <c r="AC1445" s="56"/>
    </row>
    <row r="1446" spans="1:29" ht="13.8" thickBot="1">
      <c r="A1446" s="139" t="s">
        <v>559</v>
      </c>
      <c r="B1446" s="140"/>
      <c r="C1446" s="156"/>
      <c r="D1446" s="140"/>
      <c r="E1446" s="140"/>
      <c r="F1446" s="19"/>
      <c r="G1446" s="19"/>
      <c r="H1446" s="19"/>
      <c r="I1446" s="19"/>
      <c r="J1446" s="19"/>
      <c r="K1446" s="19"/>
      <c r="L1446" s="19"/>
      <c r="M1446" s="19"/>
      <c r="N1446" s="19"/>
      <c r="O1446" s="19"/>
      <c r="P1446" s="19"/>
      <c r="Q1446" s="19"/>
      <c r="R1446" s="19"/>
      <c r="S1446" s="19"/>
      <c r="T1446" s="19"/>
      <c r="U1446" s="19"/>
      <c r="V1446" s="19"/>
      <c r="W1446" s="19"/>
      <c r="X1446" s="19"/>
      <c r="Y1446" s="19"/>
      <c r="Z1446" s="19"/>
      <c r="AA1446" s="19"/>
      <c r="AB1446" s="19"/>
      <c r="AC1446" s="56"/>
    </row>
    <row r="1447" spans="1:29" ht="13.8" thickBot="1">
      <c r="A1447" s="93" t="s">
        <v>1</v>
      </c>
      <c r="B1447" s="94" t="s">
        <v>2</v>
      </c>
      <c r="C1447" s="125" t="s">
        <v>3</v>
      </c>
      <c r="D1447" s="211" t="s">
        <v>4</v>
      </c>
      <c r="E1447" s="212"/>
      <c r="F1447" s="212"/>
      <c r="G1447" s="212"/>
      <c r="H1447" s="212"/>
      <c r="I1447" s="212"/>
      <c r="J1447" s="212"/>
      <c r="K1447" s="212"/>
      <c r="L1447" s="212"/>
      <c r="M1447" s="212"/>
      <c r="N1447" s="212"/>
      <c r="O1447" s="212"/>
      <c r="P1447" s="212"/>
      <c r="Q1447" s="212"/>
      <c r="R1447" s="212"/>
      <c r="S1447" s="212"/>
      <c r="T1447" s="212"/>
      <c r="U1447" s="212"/>
      <c r="V1447" s="212"/>
      <c r="W1447" s="212"/>
      <c r="X1447" s="212"/>
      <c r="Y1447" s="212"/>
      <c r="Z1447" s="103"/>
      <c r="AA1447" s="103"/>
      <c r="AB1447" s="103"/>
      <c r="AC1447" s="56"/>
    </row>
    <row r="1448" spans="1:29">
      <c r="A1448" s="95" t="s">
        <v>5</v>
      </c>
      <c r="B1448" s="96" t="s">
        <v>6</v>
      </c>
      <c r="C1448" s="126" t="s">
        <v>6</v>
      </c>
      <c r="D1448" s="97"/>
      <c r="E1448" s="98"/>
      <c r="F1448" s="98"/>
      <c r="G1448" s="98"/>
      <c r="H1448" s="98"/>
      <c r="I1448" s="98"/>
      <c r="J1448" s="98"/>
      <c r="K1448" s="98"/>
      <c r="L1448" s="98"/>
      <c r="M1448" s="98"/>
      <c r="N1448" s="98"/>
      <c r="O1448" s="98"/>
      <c r="P1448" s="98"/>
      <c r="Q1448" s="98"/>
      <c r="R1448" s="98"/>
      <c r="S1448" s="98"/>
      <c r="T1448" s="98"/>
      <c r="U1448" s="98"/>
      <c r="V1448" s="98"/>
      <c r="W1448" s="98"/>
      <c r="X1448" s="98"/>
      <c r="Y1448" s="99"/>
      <c r="Z1448" s="96" t="s">
        <v>7</v>
      </c>
      <c r="AA1448" s="96"/>
      <c r="AB1448" s="96"/>
      <c r="AC1448" s="56"/>
    </row>
    <row r="1449" spans="1:29">
      <c r="A1449" s="95" t="s">
        <v>8</v>
      </c>
      <c r="B1449" s="96" t="s">
        <v>9</v>
      </c>
      <c r="C1449" s="126" t="s">
        <v>9</v>
      </c>
      <c r="D1449" s="100" t="s">
        <v>10</v>
      </c>
      <c r="E1449" s="96" t="s">
        <v>11</v>
      </c>
      <c r="F1449" s="96" t="s">
        <v>12</v>
      </c>
      <c r="G1449" s="96" t="s">
        <v>13</v>
      </c>
      <c r="H1449" s="96" t="s">
        <v>14</v>
      </c>
      <c r="I1449" s="96" t="s">
        <v>15</v>
      </c>
      <c r="J1449" s="96" t="s">
        <v>16</v>
      </c>
      <c r="K1449" s="96" t="s">
        <v>17</v>
      </c>
      <c r="L1449" s="96" t="s">
        <v>18</v>
      </c>
      <c r="M1449" s="96" t="s">
        <v>19</v>
      </c>
      <c r="N1449" s="96" t="s">
        <v>20</v>
      </c>
      <c r="O1449" s="96" t="s">
        <v>169</v>
      </c>
      <c r="P1449" s="96" t="s">
        <v>21</v>
      </c>
      <c r="Q1449" s="96" t="s">
        <v>22</v>
      </c>
      <c r="R1449" s="96" t="s">
        <v>23</v>
      </c>
      <c r="S1449" s="96" t="s">
        <v>24</v>
      </c>
      <c r="T1449" s="96" t="s">
        <v>25</v>
      </c>
      <c r="U1449" s="96" t="s">
        <v>26</v>
      </c>
      <c r="V1449" s="96" t="s">
        <v>27</v>
      </c>
      <c r="W1449" s="96" t="s">
        <v>28</v>
      </c>
      <c r="X1449" s="96" t="s">
        <v>29</v>
      </c>
      <c r="Y1449" s="96" t="s">
        <v>30</v>
      </c>
      <c r="Z1449" s="96" t="s">
        <v>31</v>
      </c>
      <c r="AA1449" s="96" t="s">
        <v>484</v>
      </c>
      <c r="AB1449" s="96" t="s">
        <v>467</v>
      </c>
      <c r="AC1449" s="56"/>
    </row>
    <row r="1450" spans="1:29">
      <c r="A1450" s="95"/>
      <c r="B1450" s="96"/>
      <c r="C1450" s="126" t="s">
        <v>696</v>
      </c>
      <c r="D1450" s="101"/>
      <c r="E1450" s="102"/>
      <c r="F1450" s="102"/>
      <c r="G1450" s="102"/>
      <c r="H1450" s="102"/>
      <c r="I1450" s="102"/>
      <c r="J1450" s="102"/>
      <c r="K1450" s="102"/>
      <c r="L1450" s="102"/>
      <c r="M1450" s="102"/>
      <c r="N1450" s="102"/>
      <c r="O1450" s="102"/>
      <c r="P1450" s="102"/>
      <c r="Q1450" s="102"/>
      <c r="R1450" s="102"/>
      <c r="S1450" s="102"/>
      <c r="T1450" s="102"/>
      <c r="U1450" s="102"/>
      <c r="V1450" s="102"/>
      <c r="W1450" s="102"/>
      <c r="X1450" s="102"/>
      <c r="Y1450" s="102"/>
      <c r="Z1450" s="102"/>
      <c r="AA1450" s="102"/>
      <c r="AB1450" s="102"/>
      <c r="AC1450" s="56"/>
    </row>
    <row r="1451" spans="1:29" s="14" customFormat="1">
      <c r="A1451" s="105" t="s">
        <v>560</v>
      </c>
      <c r="B1451" s="50">
        <f>-69654.8330954694/2</f>
        <v>-34827.416547734698</v>
      </c>
      <c r="C1451" s="130">
        <f>ROUND(B1451/12,2)</f>
        <v>-2902.28</v>
      </c>
      <c r="D1451" s="35">
        <v>1.6299999999999999E-2</v>
      </c>
      <c r="E1451" s="35">
        <v>0.14269999999999999</v>
      </c>
      <c r="F1451" s="35">
        <v>5.8900000000000001E-2</v>
      </c>
      <c r="G1451" s="35">
        <v>7.6200000000000004E-2</v>
      </c>
      <c r="H1451" s="35">
        <v>3.9600000000000003E-2</v>
      </c>
      <c r="I1451" s="35">
        <v>0.12470000000000001</v>
      </c>
      <c r="J1451" s="35">
        <v>2.0400000000000001E-2</v>
      </c>
      <c r="K1451" s="35">
        <v>3.1199999999999999E-2</v>
      </c>
      <c r="L1451" s="35">
        <v>1.6199999999999999E-2</v>
      </c>
      <c r="M1451" s="35">
        <v>2.53E-2</v>
      </c>
      <c r="N1451" s="35">
        <v>0.14849999999999999</v>
      </c>
      <c r="O1451" s="35">
        <v>2.2599999999999999E-2</v>
      </c>
      <c r="P1451" s="35">
        <v>0</v>
      </c>
      <c r="Q1451" s="35">
        <v>3.78E-2</v>
      </c>
      <c r="R1451" s="35">
        <v>1.8100000000000002E-2</v>
      </c>
      <c r="S1451" s="35">
        <v>4.1000000000000003E-3</v>
      </c>
      <c r="T1451" s="35">
        <v>5.04E-2</v>
      </c>
      <c r="U1451" s="35">
        <v>1.7500000000000002E-2</v>
      </c>
      <c r="V1451" s="35">
        <v>3.6200000000000003E-2</v>
      </c>
      <c r="W1451" s="35">
        <v>4.8500000000000001E-2</v>
      </c>
      <c r="X1451" s="35">
        <v>6.1600000000000002E-2</v>
      </c>
      <c r="Y1451" s="35">
        <v>2.5000000000000001E-3</v>
      </c>
      <c r="Z1451" s="4">
        <v>0</v>
      </c>
      <c r="AA1451" s="4">
        <v>6.9999999999999999E-4</v>
      </c>
      <c r="AB1451" s="4">
        <v>0</v>
      </c>
      <c r="AC1451" s="56"/>
    </row>
    <row r="1452" spans="1:29" s="14" customFormat="1">
      <c r="A1452" s="72"/>
      <c r="C1452" s="130"/>
      <c r="D1452" s="27">
        <f>$C1451*D1451</f>
        <v>-47.307164</v>
      </c>
      <c r="E1452" s="27">
        <f t="shared" ref="E1452" si="2166">$C1451*E1451</f>
        <v>-414.15535599999998</v>
      </c>
      <c r="F1452" s="27">
        <f t="shared" ref="F1452" si="2167">$C1451*F1451</f>
        <v>-170.94429200000002</v>
      </c>
      <c r="G1452" s="27">
        <f t="shared" ref="G1452:AB1452" si="2168">$C1451*G1451</f>
        <v>-221.15373600000004</v>
      </c>
      <c r="H1452" s="27">
        <f t="shared" si="2168"/>
        <v>-114.93028800000002</v>
      </c>
      <c r="I1452" s="27">
        <f t="shared" si="2168"/>
        <v>-361.91431600000004</v>
      </c>
      <c r="J1452" s="27">
        <f t="shared" si="2168"/>
        <v>-59.206512000000011</v>
      </c>
      <c r="K1452" s="27">
        <f t="shared" si="2168"/>
        <v>-90.551136</v>
      </c>
      <c r="L1452" s="27">
        <f t="shared" si="2168"/>
        <v>-47.016936000000001</v>
      </c>
      <c r="M1452" s="27">
        <f t="shared" si="2168"/>
        <v>-73.427683999999999</v>
      </c>
      <c r="N1452" s="27">
        <f t="shared" si="2168"/>
        <v>-430.98858000000001</v>
      </c>
      <c r="O1452" s="27">
        <f t="shared" si="2168"/>
        <v>-65.591527999999997</v>
      </c>
      <c r="P1452" s="27">
        <f t="shared" si="2168"/>
        <v>0</v>
      </c>
      <c r="Q1452" s="27">
        <f t="shared" si="2168"/>
        <v>-109.70618400000001</v>
      </c>
      <c r="R1452" s="27">
        <f t="shared" si="2168"/>
        <v>-52.531268000000011</v>
      </c>
      <c r="S1452" s="27">
        <f t="shared" si="2168"/>
        <v>-11.899348000000002</v>
      </c>
      <c r="T1452" s="27">
        <f t="shared" si="2168"/>
        <v>-146.274912</v>
      </c>
      <c r="U1452" s="27">
        <f t="shared" si="2168"/>
        <v>-50.78990000000001</v>
      </c>
      <c r="V1452" s="27">
        <f t="shared" si="2168"/>
        <v>-105.06253600000002</v>
      </c>
      <c r="W1452" s="27">
        <f t="shared" si="2168"/>
        <v>-140.76058</v>
      </c>
      <c r="X1452" s="27">
        <f t="shared" si="2168"/>
        <v>-178.78044800000001</v>
      </c>
      <c r="Y1452" s="27">
        <f t="shared" si="2168"/>
        <v>-7.2557000000000009</v>
      </c>
      <c r="Z1452" s="27">
        <f t="shared" si="2168"/>
        <v>0</v>
      </c>
      <c r="AA1452" s="27">
        <f t="shared" si="2168"/>
        <v>-2.031596</v>
      </c>
      <c r="AB1452" s="27">
        <f t="shared" si="2168"/>
        <v>0</v>
      </c>
      <c r="AC1452" s="56"/>
    </row>
    <row r="1453" spans="1:29" s="14" customFormat="1">
      <c r="A1453" s="105" t="s">
        <v>567</v>
      </c>
      <c r="B1453" s="50">
        <f>-69654.8330954694/2</f>
        <v>-34827.416547734698</v>
      </c>
      <c r="C1453" s="130">
        <f>ROUND(B1453/12,2)</f>
        <v>-2902.28</v>
      </c>
      <c r="D1453" s="106"/>
      <c r="E1453" s="106"/>
      <c r="F1453" s="106">
        <v>1</v>
      </c>
      <c r="G1453" s="106"/>
      <c r="H1453" s="106"/>
      <c r="I1453" s="106"/>
      <c r="J1453" s="106"/>
      <c r="K1453" s="106"/>
      <c r="L1453" s="106"/>
      <c r="M1453" s="106"/>
      <c r="N1453" s="106"/>
      <c r="O1453" s="106"/>
      <c r="P1453" s="106"/>
      <c r="Q1453" s="106"/>
      <c r="R1453" s="106"/>
      <c r="S1453" s="106"/>
      <c r="T1453" s="106"/>
      <c r="U1453" s="106"/>
      <c r="V1453" s="106"/>
      <c r="W1453" s="106"/>
      <c r="X1453" s="106"/>
      <c r="Y1453" s="106"/>
      <c r="Z1453" s="107"/>
      <c r="AA1453" s="107"/>
      <c r="AB1453" s="107"/>
      <c r="AC1453" s="56"/>
    </row>
    <row r="1454" spans="1:29" s="14" customFormat="1">
      <c r="A1454" s="72"/>
      <c r="C1454" s="130"/>
      <c r="D1454" s="27">
        <f t="shared" ref="D1454" si="2169">$C1453*D1453</f>
        <v>0</v>
      </c>
      <c r="E1454" s="27">
        <f t="shared" ref="E1454" si="2170">$C1453*E1453</f>
        <v>0</v>
      </c>
      <c r="F1454" s="27">
        <f t="shared" ref="F1454:AB1454" si="2171">$C1453*F1453</f>
        <v>-2902.28</v>
      </c>
      <c r="G1454" s="27">
        <f t="shared" si="2171"/>
        <v>0</v>
      </c>
      <c r="H1454" s="27">
        <f t="shared" si="2171"/>
        <v>0</v>
      </c>
      <c r="I1454" s="27">
        <f t="shared" si="2171"/>
        <v>0</v>
      </c>
      <c r="J1454" s="27">
        <f t="shared" si="2171"/>
        <v>0</v>
      </c>
      <c r="K1454" s="27">
        <f t="shared" si="2171"/>
        <v>0</v>
      </c>
      <c r="L1454" s="27">
        <f t="shared" si="2171"/>
        <v>0</v>
      </c>
      <c r="M1454" s="27">
        <f t="shared" si="2171"/>
        <v>0</v>
      </c>
      <c r="N1454" s="27">
        <f t="shared" si="2171"/>
        <v>0</v>
      </c>
      <c r="O1454" s="27">
        <f t="shared" si="2171"/>
        <v>0</v>
      </c>
      <c r="P1454" s="27">
        <f t="shared" si="2171"/>
        <v>0</v>
      </c>
      <c r="Q1454" s="27">
        <f t="shared" si="2171"/>
        <v>0</v>
      </c>
      <c r="R1454" s="27">
        <f t="shared" si="2171"/>
        <v>0</v>
      </c>
      <c r="S1454" s="27">
        <f t="shared" si="2171"/>
        <v>0</v>
      </c>
      <c r="T1454" s="27">
        <f t="shared" si="2171"/>
        <v>0</v>
      </c>
      <c r="U1454" s="27">
        <f t="shared" si="2171"/>
        <v>0</v>
      </c>
      <c r="V1454" s="27">
        <f t="shared" si="2171"/>
        <v>0</v>
      </c>
      <c r="W1454" s="27">
        <f t="shared" si="2171"/>
        <v>0</v>
      </c>
      <c r="X1454" s="27">
        <f t="shared" si="2171"/>
        <v>0</v>
      </c>
      <c r="Y1454" s="27">
        <f t="shared" si="2171"/>
        <v>0</v>
      </c>
      <c r="Z1454" s="27">
        <f t="shared" si="2171"/>
        <v>0</v>
      </c>
      <c r="AA1454" s="27">
        <f t="shared" si="2171"/>
        <v>0</v>
      </c>
      <c r="AB1454" s="27">
        <f t="shared" si="2171"/>
        <v>0</v>
      </c>
      <c r="AC1454" s="56"/>
    </row>
    <row r="1455" spans="1:29" s="14" customFormat="1">
      <c r="A1455" s="105" t="s">
        <v>694</v>
      </c>
      <c r="B1455" s="50">
        <v>389081.81850886485</v>
      </c>
      <c r="C1455" s="130">
        <f>ROUND(B1455/12,2)</f>
        <v>32423.48</v>
      </c>
      <c r="D1455" s="106"/>
      <c r="E1455" s="106">
        <v>0</v>
      </c>
      <c r="F1455" s="106">
        <v>1</v>
      </c>
      <c r="G1455" s="106"/>
      <c r="H1455" s="106"/>
      <c r="I1455" s="106"/>
      <c r="J1455" s="106"/>
      <c r="K1455" s="106"/>
      <c r="L1455" s="106"/>
      <c r="M1455" s="106"/>
      <c r="N1455" s="106"/>
      <c r="O1455" s="106"/>
      <c r="P1455" s="106"/>
      <c r="Q1455" s="106"/>
      <c r="R1455" s="106"/>
      <c r="S1455" s="106"/>
      <c r="T1455" s="106"/>
      <c r="U1455" s="106"/>
      <c r="V1455" s="106"/>
      <c r="W1455" s="106"/>
      <c r="X1455" s="106"/>
      <c r="Y1455" s="106"/>
      <c r="Z1455" s="107"/>
      <c r="AA1455" s="107"/>
      <c r="AB1455" s="107"/>
      <c r="AC1455" s="56"/>
    </row>
    <row r="1456" spans="1:29" s="14" customFormat="1">
      <c r="A1456" s="72"/>
      <c r="C1456" s="130"/>
      <c r="D1456" s="27">
        <f t="shared" ref="D1456:AB1456" si="2172">$C1455*D1455</f>
        <v>0</v>
      </c>
      <c r="E1456" s="27">
        <f t="shared" si="2172"/>
        <v>0</v>
      </c>
      <c r="F1456" s="27">
        <f t="shared" si="2172"/>
        <v>32423.48</v>
      </c>
      <c r="G1456" s="27">
        <f t="shared" si="2172"/>
        <v>0</v>
      </c>
      <c r="H1456" s="27">
        <f t="shared" si="2172"/>
        <v>0</v>
      </c>
      <c r="I1456" s="27">
        <f t="shared" si="2172"/>
        <v>0</v>
      </c>
      <c r="J1456" s="27">
        <f t="shared" si="2172"/>
        <v>0</v>
      </c>
      <c r="K1456" s="27">
        <f t="shared" si="2172"/>
        <v>0</v>
      </c>
      <c r="L1456" s="27">
        <f t="shared" si="2172"/>
        <v>0</v>
      </c>
      <c r="M1456" s="27">
        <f t="shared" si="2172"/>
        <v>0</v>
      </c>
      <c r="N1456" s="27">
        <f t="shared" si="2172"/>
        <v>0</v>
      </c>
      <c r="O1456" s="27">
        <f t="shared" si="2172"/>
        <v>0</v>
      </c>
      <c r="P1456" s="27">
        <f t="shared" si="2172"/>
        <v>0</v>
      </c>
      <c r="Q1456" s="27">
        <f t="shared" si="2172"/>
        <v>0</v>
      </c>
      <c r="R1456" s="27">
        <f t="shared" si="2172"/>
        <v>0</v>
      </c>
      <c r="S1456" s="27">
        <f t="shared" si="2172"/>
        <v>0</v>
      </c>
      <c r="T1456" s="27">
        <f t="shared" si="2172"/>
        <v>0</v>
      </c>
      <c r="U1456" s="27">
        <f t="shared" si="2172"/>
        <v>0</v>
      </c>
      <c r="V1456" s="27">
        <f t="shared" si="2172"/>
        <v>0</v>
      </c>
      <c r="W1456" s="27">
        <f t="shared" si="2172"/>
        <v>0</v>
      </c>
      <c r="X1456" s="27">
        <f t="shared" si="2172"/>
        <v>0</v>
      </c>
      <c r="Y1456" s="27">
        <f t="shared" si="2172"/>
        <v>0</v>
      </c>
      <c r="Z1456" s="27">
        <f t="shared" si="2172"/>
        <v>0</v>
      </c>
      <c r="AA1456" s="27">
        <f t="shared" si="2172"/>
        <v>0</v>
      </c>
      <c r="AB1456" s="27">
        <f t="shared" si="2172"/>
        <v>0</v>
      </c>
      <c r="AC1456" s="56"/>
    </row>
    <row r="1457" spans="1:29" s="14" customFormat="1">
      <c r="A1457" s="105" t="s">
        <v>561</v>
      </c>
      <c r="B1457" s="50">
        <v>322422.4736933735</v>
      </c>
      <c r="C1457" s="130">
        <f>ROUND(B1457/12,2)</f>
        <v>26868.54</v>
      </c>
      <c r="D1457" s="106"/>
      <c r="E1457" s="106"/>
      <c r="F1457" s="106"/>
      <c r="G1457" s="106"/>
      <c r="H1457" s="106">
        <v>0.1666</v>
      </c>
      <c r="I1457" s="106"/>
      <c r="J1457" s="106"/>
      <c r="K1457" s="106"/>
      <c r="L1457" s="106"/>
      <c r="M1457" s="106"/>
      <c r="N1457" s="106">
        <v>0.33660000000000001</v>
      </c>
      <c r="O1457" s="106"/>
      <c r="P1457" s="106"/>
      <c r="Q1457" s="106"/>
      <c r="R1457" s="106"/>
      <c r="S1457" s="106"/>
      <c r="T1457" s="106"/>
      <c r="U1457" s="106"/>
      <c r="V1457" s="106">
        <v>0.49680000000000002</v>
      </c>
      <c r="W1457" s="106"/>
      <c r="X1457" s="106"/>
      <c r="Y1457" s="106"/>
      <c r="Z1457" s="107"/>
      <c r="AA1457" s="107"/>
      <c r="AB1457" s="107"/>
      <c r="AC1457" s="56"/>
    </row>
    <row r="1458" spans="1:29" s="14" customFormat="1">
      <c r="A1458" s="72"/>
      <c r="C1458" s="130"/>
      <c r="D1458" s="27">
        <f t="shared" ref="D1458" si="2173">$C1457*D1457</f>
        <v>0</v>
      </c>
      <c r="E1458" s="27">
        <f t="shared" ref="E1458" si="2174">$C1457*E1457</f>
        <v>0</v>
      </c>
      <c r="F1458" s="27">
        <f t="shared" ref="F1458:AB1458" si="2175">$C1457*F1457</f>
        <v>0</v>
      </c>
      <c r="G1458" s="27">
        <f t="shared" si="2175"/>
        <v>0</v>
      </c>
      <c r="H1458" s="27">
        <f t="shared" si="2175"/>
        <v>4476.2987640000001</v>
      </c>
      <c r="I1458" s="27">
        <f t="shared" si="2175"/>
        <v>0</v>
      </c>
      <c r="J1458" s="27">
        <f t="shared" si="2175"/>
        <v>0</v>
      </c>
      <c r="K1458" s="27">
        <f t="shared" si="2175"/>
        <v>0</v>
      </c>
      <c r="L1458" s="27">
        <f t="shared" si="2175"/>
        <v>0</v>
      </c>
      <c r="M1458" s="27">
        <f t="shared" si="2175"/>
        <v>0</v>
      </c>
      <c r="N1458" s="27">
        <f t="shared" si="2175"/>
        <v>9043.9505640000007</v>
      </c>
      <c r="O1458" s="27">
        <f t="shared" si="2175"/>
        <v>0</v>
      </c>
      <c r="P1458" s="27">
        <f t="shared" si="2175"/>
        <v>0</v>
      </c>
      <c r="Q1458" s="27">
        <f t="shared" si="2175"/>
        <v>0</v>
      </c>
      <c r="R1458" s="27">
        <f t="shared" si="2175"/>
        <v>0</v>
      </c>
      <c r="S1458" s="27">
        <f t="shared" si="2175"/>
        <v>0</v>
      </c>
      <c r="T1458" s="27">
        <f t="shared" si="2175"/>
        <v>0</v>
      </c>
      <c r="U1458" s="27">
        <f t="shared" si="2175"/>
        <v>0</v>
      </c>
      <c r="V1458" s="27">
        <f t="shared" si="2175"/>
        <v>13348.290672000001</v>
      </c>
      <c r="W1458" s="27">
        <f t="shared" si="2175"/>
        <v>0</v>
      </c>
      <c r="X1458" s="27">
        <f t="shared" si="2175"/>
        <v>0</v>
      </c>
      <c r="Y1458" s="27">
        <f t="shared" si="2175"/>
        <v>0</v>
      </c>
      <c r="Z1458" s="27">
        <f t="shared" si="2175"/>
        <v>0</v>
      </c>
      <c r="AA1458" s="27">
        <f t="shared" si="2175"/>
        <v>0</v>
      </c>
      <c r="AB1458" s="27">
        <f t="shared" si="2175"/>
        <v>0</v>
      </c>
      <c r="AC1458" s="56"/>
    </row>
    <row r="1459" spans="1:29" s="14" customFormat="1">
      <c r="A1459" s="105" t="s">
        <v>562</v>
      </c>
      <c r="B1459" s="50">
        <v>202940.83831137771</v>
      </c>
      <c r="C1459" s="130">
        <f>ROUND(B1459/12,2)</f>
        <v>16911.740000000002</v>
      </c>
      <c r="D1459" s="106">
        <v>1.8200000000000001E-2</v>
      </c>
      <c r="E1459" s="106"/>
      <c r="F1459" s="106">
        <v>0.76839999999999997</v>
      </c>
      <c r="G1459" s="106"/>
      <c r="H1459" s="106"/>
      <c r="I1459" s="106"/>
      <c r="J1459" s="106"/>
      <c r="K1459" s="106"/>
      <c r="L1459" s="106"/>
      <c r="M1459" s="106">
        <v>2.64E-2</v>
      </c>
      <c r="N1459" s="106"/>
      <c r="O1459" s="106"/>
      <c r="P1459" s="106"/>
      <c r="Q1459" s="106">
        <v>4.53E-2</v>
      </c>
      <c r="R1459" s="106">
        <v>9.1499999999999998E-2</v>
      </c>
      <c r="S1459" s="106">
        <v>4.1999999999999997E-3</v>
      </c>
      <c r="T1459" s="106"/>
      <c r="U1459" s="106"/>
      <c r="V1459" s="106"/>
      <c r="W1459" s="106">
        <v>4.5999999999999999E-2</v>
      </c>
      <c r="X1459" s="106"/>
      <c r="Y1459" s="106"/>
      <c r="Z1459" s="107"/>
      <c r="AA1459" s="107"/>
      <c r="AB1459" s="107"/>
      <c r="AC1459" s="56"/>
    </row>
    <row r="1460" spans="1:29" s="14" customFormat="1">
      <c r="A1460" s="72"/>
      <c r="C1460" s="130"/>
      <c r="D1460" s="27">
        <f t="shared" ref="D1460" si="2176">$C1459*D1459</f>
        <v>307.79366800000003</v>
      </c>
      <c r="E1460" s="27">
        <f t="shared" ref="E1460" si="2177">$C1459*E1459</f>
        <v>0</v>
      </c>
      <c r="F1460" s="27">
        <f t="shared" ref="F1460:AB1460" si="2178">$C1459*F1459</f>
        <v>12994.981016000002</v>
      </c>
      <c r="G1460" s="27">
        <f t="shared" si="2178"/>
        <v>0</v>
      </c>
      <c r="H1460" s="27">
        <f t="shared" si="2178"/>
        <v>0</v>
      </c>
      <c r="I1460" s="27">
        <f t="shared" si="2178"/>
        <v>0</v>
      </c>
      <c r="J1460" s="27">
        <f t="shared" si="2178"/>
        <v>0</v>
      </c>
      <c r="K1460" s="27">
        <f t="shared" si="2178"/>
        <v>0</v>
      </c>
      <c r="L1460" s="27">
        <f t="shared" si="2178"/>
        <v>0</v>
      </c>
      <c r="M1460" s="27">
        <f t="shared" si="2178"/>
        <v>446.46993600000002</v>
      </c>
      <c r="N1460" s="27">
        <f t="shared" si="2178"/>
        <v>0</v>
      </c>
      <c r="O1460" s="27">
        <f t="shared" si="2178"/>
        <v>0</v>
      </c>
      <c r="P1460" s="27">
        <f t="shared" si="2178"/>
        <v>0</v>
      </c>
      <c r="Q1460" s="27">
        <f t="shared" si="2178"/>
        <v>766.10182200000008</v>
      </c>
      <c r="R1460" s="27">
        <f t="shared" si="2178"/>
        <v>1547.4242100000001</v>
      </c>
      <c r="S1460" s="27">
        <f t="shared" si="2178"/>
        <v>71.029308</v>
      </c>
      <c r="T1460" s="27">
        <f t="shared" si="2178"/>
        <v>0</v>
      </c>
      <c r="U1460" s="27">
        <f t="shared" si="2178"/>
        <v>0</v>
      </c>
      <c r="V1460" s="27">
        <f t="shared" si="2178"/>
        <v>0</v>
      </c>
      <c r="W1460" s="27">
        <f t="shared" si="2178"/>
        <v>777.94004000000007</v>
      </c>
      <c r="X1460" s="27">
        <f t="shared" si="2178"/>
        <v>0</v>
      </c>
      <c r="Y1460" s="27">
        <f t="shared" si="2178"/>
        <v>0</v>
      </c>
      <c r="Z1460" s="27">
        <f t="shared" si="2178"/>
        <v>0</v>
      </c>
      <c r="AA1460" s="27">
        <f t="shared" si="2178"/>
        <v>0</v>
      </c>
      <c r="AB1460" s="27">
        <f t="shared" si="2178"/>
        <v>0</v>
      </c>
      <c r="AC1460" s="56"/>
    </row>
    <row r="1461" spans="1:29" s="14" customFormat="1">
      <c r="A1461" s="105" t="s">
        <v>563</v>
      </c>
      <c r="B1461" s="50">
        <f>12200.0686385988/2</f>
        <v>6100.0343192993996</v>
      </c>
      <c r="C1461" s="130">
        <f>ROUND(B1461/12,2)</f>
        <v>508.34</v>
      </c>
      <c r="D1461" s="35">
        <v>1.6299999999999999E-2</v>
      </c>
      <c r="E1461" s="35">
        <v>0.14269999999999999</v>
      </c>
      <c r="F1461" s="35">
        <v>5.8900000000000001E-2</v>
      </c>
      <c r="G1461" s="35">
        <v>7.6200000000000004E-2</v>
      </c>
      <c r="H1461" s="35">
        <v>3.9600000000000003E-2</v>
      </c>
      <c r="I1461" s="35">
        <v>0.12470000000000001</v>
      </c>
      <c r="J1461" s="35">
        <v>2.0400000000000001E-2</v>
      </c>
      <c r="K1461" s="35">
        <v>3.1199999999999999E-2</v>
      </c>
      <c r="L1461" s="35">
        <v>1.6199999999999999E-2</v>
      </c>
      <c r="M1461" s="35">
        <v>2.53E-2</v>
      </c>
      <c r="N1461" s="35">
        <v>0.14849999999999999</v>
      </c>
      <c r="O1461" s="35">
        <v>2.2599999999999999E-2</v>
      </c>
      <c r="P1461" s="35">
        <v>0</v>
      </c>
      <c r="Q1461" s="35">
        <v>3.78E-2</v>
      </c>
      <c r="R1461" s="35">
        <v>1.8100000000000002E-2</v>
      </c>
      <c r="S1461" s="35">
        <v>4.1000000000000003E-3</v>
      </c>
      <c r="T1461" s="35">
        <v>5.04E-2</v>
      </c>
      <c r="U1461" s="35">
        <v>1.7500000000000002E-2</v>
      </c>
      <c r="V1461" s="35">
        <v>3.6200000000000003E-2</v>
      </c>
      <c r="W1461" s="35">
        <v>4.8500000000000001E-2</v>
      </c>
      <c r="X1461" s="35">
        <v>6.1600000000000002E-2</v>
      </c>
      <c r="Y1461" s="35">
        <v>2.5000000000000001E-3</v>
      </c>
      <c r="Z1461" s="4">
        <v>0</v>
      </c>
      <c r="AA1461" s="4">
        <v>6.9999999999999999E-4</v>
      </c>
      <c r="AB1461" s="4">
        <v>0</v>
      </c>
      <c r="AC1461" s="56"/>
    </row>
    <row r="1462" spans="1:29" s="14" customFormat="1">
      <c r="A1462" s="72"/>
      <c r="C1462" s="130"/>
      <c r="D1462" s="27">
        <f t="shared" ref="D1462" si="2179">$C1461*D1461</f>
        <v>8.2859419999999986</v>
      </c>
      <c r="E1462" s="27">
        <f t="shared" ref="E1462" si="2180">$C1461*E1461</f>
        <v>72.540117999999993</v>
      </c>
      <c r="F1462" s="27">
        <f t="shared" ref="F1462:AB1462" si="2181">$C1461*F1461</f>
        <v>29.941226</v>
      </c>
      <c r="G1462" s="27">
        <f t="shared" si="2181"/>
        <v>38.735508000000003</v>
      </c>
      <c r="H1462" s="27">
        <f t="shared" si="2181"/>
        <v>20.130264</v>
      </c>
      <c r="I1462" s="27">
        <f t="shared" si="2181"/>
        <v>63.389997999999999</v>
      </c>
      <c r="J1462" s="27">
        <f t="shared" si="2181"/>
        <v>10.370136</v>
      </c>
      <c r="K1462" s="27">
        <f t="shared" si="2181"/>
        <v>15.860207999999998</v>
      </c>
      <c r="L1462" s="27">
        <f t="shared" si="2181"/>
        <v>8.2351079999999985</v>
      </c>
      <c r="M1462" s="27">
        <f t="shared" si="2181"/>
        <v>12.861001999999999</v>
      </c>
      <c r="N1462" s="27">
        <f t="shared" si="2181"/>
        <v>75.488489999999999</v>
      </c>
      <c r="O1462" s="27">
        <f t="shared" si="2181"/>
        <v>11.488483999999998</v>
      </c>
      <c r="P1462" s="27">
        <f t="shared" si="2181"/>
        <v>0</v>
      </c>
      <c r="Q1462" s="27">
        <f t="shared" si="2181"/>
        <v>19.215252</v>
      </c>
      <c r="R1462" s="27">
        <f t="shared" si="2181"/>
        <v>9.2009540000000012</v>
      </c>
      <c r="S1462" s="27">
        <f t="shared" si="2181"/>
        <v>2.0841940000000001</v>
      </c>
      <c r="T1462" s="27">
        <f t="shared" si="2181"/>
        <v>25.620335999999998</v>
      </c>
      <c r="U1462" s="27">
        <f t="shared" si="2181"/>
        <v>8.8959500000000009</v>
      </c>
      <c r="V1462" s="27">
        <f t="shared" si="2181"/>
        <v>18.401908000000002</v>
      </c>
      <c r="W1462" s="27">
        <f t="shared" si="2181"/>
        <v>24.654489999999999</v>
      </c>
      <c r="X1462" s="27">
        <f t="shared" si="2181"/>
        <v>31.313744</v>
      </c>
      <c r="Y1462" s="27">
        <f t="shared" si="2181"/>
        <v>1.27085</v>
      </c>
      <c r="Z1462" s="27">
        <f t="shared" si="2181"/>
        <v>0</v>
      </c>
      <c r="AA1462" s="27">
        <f t="shared" si="2181"/>
        <v>0.35583799999999999</v>
      </c>
      <c r="AB1462" s="27">
        <f t="shared" si="2181"/>
        <v>0</v>
      </c>
      <c r="AC1462" s="56"/>
    </row>
    <row r="1463" spans="1:29" s="14" customFormat="1">
      <c r="A1463" s="105" t="s">
        <v>568</v>
      </c>
      <c r="B1463" s="50">
        <f>12200.0686385988/2</f>
        <v>6100.0343192993996</v>
      </c>
      <c r="C1463" s="130">
        <f>ROUND(B1463/12,2)</f>
        <v>508.34</v>
      </c>
      <c r="D1463" s="106"/>
      <c r="E1463" s="106"/>
      <c r="F1463" s="106">
        <v>0.159</v>
      </c>
      <c r="G1463" s="106"/>
      <c r="H1463" s="106">
        <v>8.5099999999999995E-2</v>
      </c>
      <c r="I1463" s="106"/>
      <c r="J1463" s="106"/>
      <c r="K1463" s="106"/>
      <c r="L1463" s="106"/>
      <c r="M1463" s="106">
        <v>0</v>
      </c>
      <c r="N1463" s="106">
        <v>0.67910000000000004</v>
      </c>
      <c r="O1463" s="106"/>
      <c r="P1463" s="106"/>
      <c r="Q1463" s="106"/>
      <c r="R1463" s="106"/>
      <c r="S1463" s="106"/>
      <c r="T1463" s="106"/>
      <c r="U1463" s="106"/>
      <c r="V1463" s="106">
        <v>7.6799999999999993E-2</v>
      </c>
      <c r="W1463" s="106"/>
      <c r="X1463" s="106"/>
      <c r="Y1463" s="106"/>
      <c r="Z1463" s="107"/>
      <c r="AA1463" s="107"/>
      <c r="AB1463" s="107"/>
      <c r="AC1463" s="56"/>
    </row>
    <row r="1464" spans="1:29" s="14" customFormat="1">
      <c r="A1464" s="72"/>
      <c r="C1464" s="130"/>
      <c r="D1464" s="27">
        <f t="shared" ref="D1464" si="2182">$C1463*D1463</f>
        <v>0</v>
      </c>
      <c r="E1464" s="27">
        <f t="shared" ref="E1464" si="2183">$C1463*E1463</f>
        <v>0</v>
      </c>
      <c r="F1464" s="27">
        <f t="shared" ref="F1464:AB1464" si="2184">$C1463*F1463</f>
        <v>80.826059999999998</v>
      </c>
      <c r="G1464" s="27">
        <f t="shared" si="2184"/>
        <v>0</v>
      </c>
      <c r="H1464" s="27">
        <f t="shared" si="2184"/>
        <v>43.259733999999995</v>
      </c>
      <c r="I1464" s="27">
        <f t="shared" si="2184"/>
        <v>0</v>
      </c>
      <c r="J1464" s="27">
        <f t="shared" si="2184"/>
        <v>0</v>
      </c>
      <c r="K1464" s="27">
        <f t="shared" si="2184"/>
        <v>0</v>
      </c>
      <c r="L1464" s="27">
        <f t="shared" si="2184"/>
        <v>0</v>
      </c>
      <c r="M1464" s="27">
        <f t="shared" si="2184"/>
        <v>0</v>
      </c>
      <c r="N1464" s="27">
        <f t="shared" si="2184"/>
        <v>345.21369399999998</v>
      </c>
      <c r="O1464" s="27">
        <f t="shared" si="2184"/>
        <v>0</v>
      </c>
      <c r="P1464" s="27">
        <f t="shared" si="2184"/>
        <v>0</v>
      </c>
      <c r="Q1464" s="27">
        <f t="shared" si="2184"/>
        <v>0</v>
      </c>
      <c r="R1464" s="27">
        <f t="shared" si="2184"/>
        <v>0</v>
      </c>
      <c r="S1464" s="27">
        <f t="shared" si="2184"/>
        <v>0</v>
      </c>
      <c r="T1464" s="27">
        <f t="shared" si="2184"/>
        <v>0</v>
      </c>
      <c r="U1464" s="27">
        <f t="shared" si="2184"/>
        <v>0</v>
      </c>
      <c r="V1464" s="27">
        <f t="shared" si="2184"/>
        <v>39.040511999999993</v>
      </c>
      <c r="W1464" s="27">
        <f t="shared" si="2184"/>
        <v>0</v>
      </c>
      <c r="X1464" s="27">
        <f t="shared" si="2184"/>
        <v>0</v>
      </c>
      <c r="Y1464" s="27">
        <f t="shared" si="2184"/>
        <v>0</v>
      </c>
      <c r="Z1464" s="27">
        <f t="shared" si="2184"/>
        <v>0</v>
      </c>
      <c r="AA1464" s="27">
        <f t="shared" si="2184"/>
        <v>0</v>
      </c>
      <c r="AB1464" s="27">
        <f t="shared" si="2184"/>
        <v>0</v>
      </c>
      <c r="AC1464" s="56"/>
    </row>
    <row r="1465" spans="1:29" s="14" customFormat="1">
      <c r="A1465" s="105" t="s">
        <v>564</v>
      </c>
      <c r="B1465" s="50">
        <f>1578296.98614443/2</f>
        <v>789148.493072215</v>
      </c>
      <c r="C1465" s="130">
        <f>ROUND(B1465/12,2)</f>
        <v>65762.37</v>
      </c>
      <c r="D1465" s="35">
        <v>1.6299999999999999E-2</v>
      </c>
      <c r="E1465" s="35">
        <v>0.14269999999999999</v>
      </c>
      <c r="F1465" s="35">
        <v>5.8900000000000001E-2</v>
      </c>
      <c r="G1465" s="35">
        <v>7.6200000000000004E-2</v>
      </c>
      <c r="H1465" s="35">
        <v>3.9600000000000003E-2</v>
      </c>
      <c r="I1465" s="35">
        <v>0.12470000000000001</v>
      </c>
      <c r="J1465" s="35">
        <v>2.0400000000000001E-2</v>
      </c>
      <c r="K1465" s="35">
        <v>3.1199999999999999E-2</v>
      </c>
      <c r="L1465" s="35">
        <v>1.6199999999999999E-2</v>
      </c>
      <c r="M1465" s="35">
        <v>2.53E-2</v>
      </c>
      <c r="N1465" s="35">
        <v>0.14849999999999999</v>
      </c>
      <c r="O1465" s="35">
        <v>2.2599999999999999E-2</v>
      </c>
      <c r="P1465" s="35">
        <v>0</v>
      </c>
      <c r="Q1465" s="35">
        <v>3.78E-2</v>
      </c>
      <c r="R1465" s="35">
        <v>1.8100000000000002E-2</v>
      </c>
      <c r="S1465" s="35">
        <v>4.1000000000000003E-3</v>
      </c>
      <c r="T1465" s="35">
        <v>5.04E-2</v>
      </c>
      <c r="U1465" s="35">
        <v>1.7500000000000002E-2</v>
      </c>
      <c r="V1465" s="35">
        <v>3.6200000000000003E-2</v>
      </c>
      <c r="W1465" s="35">
        <v>4.8500000000000001E-2</v>
      </c>
      <c r="X1465" s="35">
        <v>6.1600000000000002E-2</v>
      </c>
      <c r="Y1465" s="35">
        <v>2.5000000000000001E-3</v>
      </c>
      <c r="Z1465" s="4">
        <v>0</v>
      </c>
      <c r="AA1465" s="4">
        <v>6.9999999999999999E-4</v>
      </c>
      <c r="AB1465" s="4">
        <v>0</v>
      </c>
      <c r="AC1465" s="56"/>
    </row>
    <row r="1466" spans="1:29" s="14" customFormat="1">
      <c r="A1466" s="72"/>
      <c r="C1466" s="130"/>
      <c r="D1466" s="27">
        <f t="shared" ref="D1466" si="2185">$C1465*D1465</f>
        <v>1071.9266309999998</v>
      </c>
      <c r="E1466" s="27">
        <f t="shared" ref="E1466" si="2186">$C1465*E1465</f>
        <v>9384.2901989999991</v>
      </c>
      <c r="F1466" s="27">
        <f t="shared" ref="F1466:AB1466" si="2187">$C1465*F1465</f>
        <v>3873.403593</v>
      </c>
      <c r="G1466" s="27">
        <f t="shared" si="2187"/>
        <v>5011.0925939999997</v>
      </c>
      <c r="H1466" s="27">
        <f t="shared" si="2187"/>
        <v>2604.189852</v>
      </c>
      <c r="I1466" s="27">
        <f t="shared" si="2187"/>
        <v>8200.5675389999997</v>
      </c>
      <c r="J1466" s="27">
        <f t="shared" si="2187"/>
        <v>1341.5523479999999</v>
      </c>
      <c r="K1466" s="27">
        <f t="shared" si="2187"/>
        <v>2051.7859439999997</v>
      </c>
      <c r="L1466" s="27">
        <f t="shared" si="2187"/>
        <v>1065.3503939999998</v>
      </c>
      <c r="M1466" s="27">
        <f t="shared" si="2187"/>
        <v>1663.7879609999998</v>
      </c>
      <c r="N1466" s="27">
        <f t="shared" si="2187"/>
        <v>9765.7119449999991</v>
      </c>
      <c r="O1466" s="27">
        <f t="shared" si="2187"/>
        <v>1486.2295619999998</v>
      </c>
      <c r="P1466" s="27">
        <f t="shared" si="2187"/>
        <v>0</v>
      </c>
      <c r="Q1466" s="27">
        <f t="shared" si="2187"/>
        <v>2485.8175859999997</v>
      </c>
      <c r="R1466" s="27">
        <f t="shared" si="2187"/>
        <v>1190.2988970000001</v>
      </c>
      <c r="S1466" s="27">
        <f t="shared" si="2187"/>
        <v>269.62571700000001</v>
      </c>
      <c r="T1466" s="27">
        <f t="shared" si="2187"/>
        <v>3314.423448</v>
      </c>
      <c r="U1466" s="27">
        <f t="shared" si="2187"/>
        <v>1150.8414749999999</v>
      </c>
      <c r="V1466" s="27">
        <f t="shared" si="2187"/>
        <v>2380.5977940000002</v>
      </c>
      <c r="W1466" s="27">
        <f t="shared" si="2187"/>
        <v>3189.4749449999999</v>
      </c>
      <c r="X1466" s="27">
        <f t="shared" si="2187"/>
        <v>4050.961992</v>
      </c>
      <c r="Y1466" s="27">
        <f t="shared" si="2187"/>
        <v>164.405925</v>
      </c>
      <c r="Z1466" s="27">
        <f t="shared" si="2187"/>
        <v>0</v>
      </c>
      <c r="AA1466" s="27">
        <f t="shared" si="2187"/>
        <v>46.033658999999993</v>
      </c>
      <c r="AB1466" s="27">
        <f t="shared" si="2187"/>
        <v>0</v>
      </c>
      <c r="AC1466" s="56"/>
    </row>
    <row r="1467" spans="1:29" s="14" customFormat="1">
      <c r="A1467" s="105" t="s">
        <v>569</v>
      </c>
      <c r="B1467" s="50">
        <f>1578296.98614443/2</f>
        <v>789148.493072215</v>
      </c>
      <c r="C1467" s="130">
        <f>ROUND(B1467/12,2)</f>
        <v>65762.37</v>
      </c>
      <c r="D1467" s="106"/>
      <c r="E1467" s="106"/>
      <c r="F1467" s="106">
        <v>0.159</v>
      </c>
      <c r="G1467" s="106"/>
      <c r="H1467" s="106">
        <v>8.5099999999999995E-2</v>
      </c>
      <c r="I1467" s="106"/>
      <c r="J1467" s="106"/>
      <c r="K1467" s="106"/>
      <c r="L1467" s="106"/>
      <c r="M1467" s="106">
        <v>0</v>
      </c>
      <c r="N1467" s="106">
        <v>0.67910000000000004</v>
      </c>
      <c r="O1467" s="106"/>
      <c r="P1467" s="106"/>
      <c r="Q1467" s="106"/>
      <c r="R1467" s="106"/>
      <c r="S1467" s="106"/>
      <c r="T1467" s="106"/>
      <c r="U1467" s="106"/>
      <c r="V1467" s="106">
        <v>7.6799999999999993E-2</v>
      </c>
      <c r="W1467" s="106"/>
      <c r="X1467" s="106"/>
      <c r="Y1467" s="106"/>
      <c r="Z1467" s="107"/>
      <c r="AA1467" s="107"/>
      <c r="AB1467" s="107"/>
      <c r="AC1467" s="56"/>
    </row>
    <row r="1468" spans="1:29" s="14" customFormat="1">
      <c r="A1468" s="72"/>
      <c r="C1468" s="130"/>
      <c r="D1468" s="27">
        <f t="shared" ref="D1468" si="2188">$C1467*D1467</f>
        <v>0</v>
      </c>
      <c r="E1468" s="27">
        <f t="shared" ref="E1468" si="2189">$C1467*E1467</f>
        <v>0</v>
      </c>
      <c r="F1468" s="27">
        <f t="shared" ref="F1468:AB1468" si="2190">$C1467*F1467</f>
        <v>10456.216829999999</v>
      </c>
      <c r="G1468" s="27">
        <f t="shared" si="2190"/>
        <v>0</v>
      </c>
      <c r="H1468" s="27">
        <f t="shared" si="2190"/>
        <v>5596.3776869999992</v>
      </c>
      <c r="I1468" s="27">
        <f t="shared" si="2190"/>
        <v>0</v>
      </c>
      <c r="J1468" s="27">
        <f t="shared" si="2190"/>
        <v>0</v>
      </c>
      <c r="K1468" s="27">
        <f t="shared" si="2190"/>
        <v>0</v>
      </c>
      <c r="L1468" s="27">
        <f t="shared" si="2190"/>
        <v>0</v>
      </c>
      <c r="M1468" s="27">
        <f t="shared" si="2190"/>
        <v>0</v>
      </c>
      <c r="N1468" s="27">
        <f t="shared" si="2190"/>
        <v>44659.225466999997</v>
      </c>
      <c r="O1468" s="27">
        <f t="shared" si="2190"/>
        <v>0</v>
      </c>
      <c r="P1468" s="27">
        <f t="shared" si="2190"/>
        <v>0</v>
      </c>
      <c r="Q1468" s="27">
        <f t="shared" si="2190"/>
        <v>0</v>
      </c>
      <c r="R1468" s="27">
        <f t="shared" si="2190"/>
        <v>0</v>
      </c>
      <c r="S1468" s="27">
        <f t="shared" si="2190"/>
        <v>0</v>
      </c>
      <c r="T1468" s="27">
        <f t="shared" si="2190"/>
        <v>0</v>
      </c>
      <c r="U1468" s="27">
        <f t="shared" si="2190"/>
        <v>0</v>
      </c>
      <c r="V1468" s="27">
        <f t="shared" si="2190"/>
        <v>5050.5500159999992</v>
      </c>
      <c r="W1468" s="27">
        <f t="shared" si="2190"/>
        <v>0</v>
      </c>
      <c r="X1468" s="27">
        <f t="shared" si="2190"/>
        <v>0</v>
      </c>
      <c r="Y1468" s="27">
        <f t="shared" si="2190"/>
        <v>0</v>
      </c>
      <c r="Z1468" s="27">
        <f t="shared" si="2190"/>
        <v>0</v>
      </c>
      <c r="AA1468" s="27">
        <f t="shared" si="2190"/>
        <v>0</v>
      </c>
      <c r="AB1468" s="27">
        <f t="shared" si="2190"/>
        <v>0</v>
      </c>
      <c r="AC1468" s="56"/>
    </row>
    <row r="1469" spans="1:29" s="14" customFormat="1">
      <c r="A1469" s="105" t="s">
        <v>565</v>
      </c>
      <c r="B1469" s="50">
        <v>51202.02251732524</v>
      </c>
      <c r="C1469" s="130">
        <f>ROUND(B1469/12,2)</f>
        <v>4266.84</v>
      </c>
      <c r="D1469" s="106"/>
      <c r="E1469" s="106">
        <v>0.12909999999999999</v>
      </c>
      <c r="F1469" s="106">
        <v>0.19040000000000001</v>
      </c>
      <c r="G1469" s="106">
        <v>1.24E-2</v>
      </c>
      <c r="H1469" s="106"/>
      <c r="I1469" s="106">
        <v>3.5000000000000001E-3</v>
      </c>
      <c r="J1469" s="106">
        <v>1.4500000000000001E-2</v>
      </c>
      <c r="K1469" s="106">
        <v>2.3E-2</v>
      </c>
      <c r="L1469" s="106">
        <v>1.11E-2</v>
      </c>
      <c r="M1469" s="106"/>
      <c r="N1469" s="106">
        <v>0.44850000000000001</v>
      </c>
      <c r="O1469" s="106">
        <v>7.7999999999999996E-3</v>
      </c>
      <c r="P1469" s="106"/>
      <c r="Q1469" s="106"/>
      <c r="R1469" s="106"/>
      <c r="S1469" s="106"/>
      <c r="T1469" s="106"/>
      <c r="U1469" s="106"/>
      <c r="V1469" s="106">
        <v>0.1585</v>
      </c>
      <c r="W1469" s="106">
        <v>1.1999999999999999E-3</v>
      </c>
      <c r="X1469" s="106"/>
      <c r="Y1469" s="106"/>
      <c r="Z1469" s="107"/>
      <c r="AA1469" s="107"/>
      <c r="AB1469" s="107"/>
      <c r="AC1469" s="56"/>
    </row>
    <row r="1470" spans="1:29" s="14" customFormat="1">
      <c r="A1470" s="72"/>
      <c r="C1470" s="130"/>
      <c r="D1470" s="27">
        <f t="shared" ref="D1470" si="2191">$C1469*D1469</f>
        <v>0</v>
      </c>
      <c r="E1470" s="27">
        <f t="shared" ref="E1470" si="2192">$C1469*E1469</f>
        <v>550.84904399999994</v>
      </c>
      <c r="F1470" s="27">
        <f t="shared" ref="F1470:AB1470" si="2193">$C1469*F1469</f>
        <v>812.40633600000012</v>
      </c>
      <c r="G1470" s="27">
        <f t="shared" si="2193"/>
        <v>52.908816000000002</v>
      </c>
      <c r="H1470" s="27">
        <f t="shared" si="2193"/>
        <v>0</v>
      </c>
      <c r="I1470" s="27">
        <f t="shared" si="2193"/>
        <v>14.933940000000002</v>
      </c>
      <c r="J1470" s="27">
        <f t="shared" si="2193"/>
        <v>61.869180000000007</v>
      </c>
      <c r="K1470" s="27">
        <f t="shared" si="2193"/>
        <v>98.137320000000003</v>
      </c>
      <c r="L1470" s="27">
        <f t="shared" si="2193"/>
        <v>47.361924000000002</v>
      </c>
      <c r="M1470" s="27">
        <f t="shared" si="2193"/>
        <v>0</v>
      </c>
      <c r="N1470" s="27">
        <f t="shared" si="2193"/>
        <v>1913.6777400000001</v>
      </c>
      <c r="O1470" s="27">
        <f t="shared" si="2193"/>
        <v>33.281351999999998</v>
      </c>
      <c r="P1470" s="27">
        <f t="shared" si="2193"/>
        <v>0</v>
      </c>
      <c r="Q1470" s="27">
        <f t="shared" si="2193"/>
        <v>0</v>
      </c>
      <c r="R1470" s="27">
        <f t="shared" si="2193"/>
        <v>0</v>
      </c>
      <c r="S1470" s="27">
        <f t="shared" si="2193"/>
        <v>0</v>
      </c>
      <c r="T1470" s="27">
        <f t="shared" si="2193"/>
        <v>0</v>
      </c>
      <c r="U1470" s="27">
        <f t="shared" si="2193"/>
        <v>0</v>
      </c>
      <c r="V1470" s="27">
        <f t="shared" si="2193"/>
        <v>676.29414000000008</v>
      </c>
      <c r="W1470" s="27">
        <f t="shared" si="2193"/>
        <v>5.1202079999999999</v>
      </c>
      <c r="X1470" s="27">
        <f t="shared" si="2193"/>
        <v>0</v>
      </c>
      <c r="Y1470" s="27">
        <f t="shared" si="2193"/>
        <v>0</v>
      </c>
      <c r="Z1470" s="27">
        <f t="shared" si="2193"/>
        <v>0</v>
      </c>
      <c r="AA1470" s="27">
        <f t="shared" si="2193"/>
        <v>0</v>
      </c>
      <c r="AB1470" s="27">
        <f t="shared" si="2193"/>
        <v>0</v>
      </c>
      <c r="AC1470" s="56"/>
    </row>
    <row r="1471" spans="1:29" s="14" customFormat="1">
      <c r="A1471" s="105" t="s">
        <v>571</v>
      </c>
      <c r="B1471" s="50">
        <f>201031.092514127/2</f>
        <v>100515.5462570635</v>
      </c>
      <c r="C1471" s="130">
        <f>ROUND(B1471/12,2)</f>
        <v>8376.2999999999993</v>
      </c>
      <c r="D1471" s="35">
        <v>1.6299999999999999E-2</v>
      </c>
      <c r="E1471" s="35">
        <v>0.14269999999999999</v>
      </c>
      <c r="F1471" s="35">
        <v>5.8900000000000001E-2</v>
      </c>
      <c r="G1471" s="35">
        <v>7.6200000000000004E-2</v>
      </c>
      <c r="H1471" s="35">
        <v>3.9600000000000003E-2</v>
      </c>
      <c r="I1471" s="35">
        <v>0.12470000000000001</v>
      </c>
      <c r="J1471" s="35">
        <v>2.0400000000000001E-2</v>
      </c>
      <c r="K1471" s="35">
        <v>3.1199999999999999E-2</v>
      </c>
      <c r="L1471" s="35">
        <v>1.6199999999999999E-2</v>
      </c>
      <c r="M1471" s="35">
        <v>2.53E-2</v>
      </c>
      <c r="N1471" s="35">
        <v>0.14849999999999999</v>
      </c>
      <c r="O1471" s="35">
        <v>2.2599999999999999E-2</v>
      </c>
      <c r="P1471" s="35">
        <v>0</v>
      </c>
      <c r="Q1471" s="35">
        <v>3.78E-2</v>
      </c>
      <c r="R1471" s="35">
        <v>1.8100000000000002E-2</v>
      </c>
      <c r="S1471" s="35">
        <v>4.1000000000000003E-3</v>
      </c>
      <c r="T1471" s="35">
        <v>5.04E-2</v>
      </c>
      <c r="U1471" s="35">
        <v>1.7500000000000002E-2</v>
      </c>
      <c r="V1471" s="35">
        <v>3.6200000000000003E-2</v>
      </c>
      <c r="W1471" s="35">
        <v>4.8500000000000001E-2</v>
      </c>
      <c r="X1471" s="35">
        <v>6.1600000000000002E-2</v>
      </c>
      <c r="Y1471" s="35">
        <v>2.5000000000000001E-3</v>
      </c>
      <c r="Z1471" s="4">
        <v>0</v>
      </c>
      <c r="AA1471" s="4">
        <v>6.9999999999999999E-4</v>
      </c>
      <c r="AB1471" s="4">
        <v>0</v>
      </c>
      <c r="AC1471" s="56"/>
    </row>
    <row r="1472" spans="1:29" s="14" customFormat="1">
      <c r="A1472" s="72"/>
      <c r="C1472" s="130"/>
      <c r="D1472" s="27">
        <f t="shared" ref="D1472" si="2194">$C1471*D1471</f>
        <v>136.53368999999998</v>
      </c>
      <c r="E1472" s="27">
        <f t="shared" ref="E1472" si="2195">$C1471*E1471</f>
        <v>1195.2980099999997</v>
      </c>
      <c r="F1472" s="27">
        <f t="shared" ref="F1472:AB1472" si="2196">$C1471*F1471</f>
        <v>493.36406999999997</v>
      </c>
      <c r="G1472" s="27">
        <f t="shared" si="2196"/>
        <v>638.27405999999996</v>
      </c>
      <c r="H1472" s="27">
        <f t="shared" si="2196"/>
        <v>331.70148</v>
      </c>
      <c r="I1472" s="27">
        <f t="shared" si="2196"/>
        <v>1044.5246099999999</v>
      </c>
      <c r="J1472" s="27">
        <f t="shared" si="2196"/>
        <v>170.87652</v>
      </c>
      <c r="K1472" s="27">
        <f t="shared" si="2196"/>
        <v>261.34055999999998</v>
      </c>
      <c r="L1472" s="27">
        <f t="shared" si="2196"/>
        <v>135.69605999999999</v>
      </c>
      <c r="M1472" s="27">
        <f t="shared" si="2196"/>
        <v>211.92038999999997</v>
      </c>
      <c r="N1472" s="27">
        <f t="shared" si="2196"/>
        <v>1243.8805499999999</v>
      </c>
      <c r="O1472" s="27">
        <f t="shared" si="2196"/>
        <v>189.30437999999998</v>
      </c>
      <c r="P1472" s="27">
        <f t="shared" si="2196"/>
        <v>0</v>
      </c>
      <c r="Q1472" s="27">
        <f t="shared" si="2196"/>
        <v>316.62413999999995</v>
      </c>
      <c r="R1472" s="27">
        <f t="shared" si="2196"/>
        <v>151.61103</v>
      </c>
      <c r="S1472" s="27">
        <f t="shared" si="2196"/>
        <v>34.342829999999999</v>
      </c>
      <c r="T1472" s="27">
        <f t="shared" si="2196"/>
        <v>422.16551999999996</v>
      </c>
      <c r="U1472" s="27">
        <f t="shared" si="2196"/>
        <v>146.58525</v>
      </c>
      <c r="V1472" s="27">
        <f t="shared" si="2196"/>
        <v>303.22206</v>
      </c>
      <c r="W1472" s="27">
        <f t="shared" si="2196"/>
        <v>406.25054999999998</v>
      </c>
      <c r="X1472" s="27">
        <f t="shared" si="2196"/>
        <v>515.98007999999993</v>
      </c>
      <c r="Y1472" s="27">
        <f t="shared" si="2196"/>
        <v>20.940749999999998</v>
      </c>
      <c r="Z1472" s="27">
        <f t="shared" si="2196"/>
        <v>0</v>
      </c>
      <c r="AA1472" s="27">
        <f t="shared" si="2196"/>
        <v>5.8634099999999991</v>
      </c>
      <c r="AB1472" s="27">
        <f t="shared" si="2196"/>
        <v>0</v>
      </c>
      <c r="AC1472" s="56"/>
    </row>
    <row r="1473" spans="1:29" s="14" customFormat="1">
      <c r="A1473" s="143" t="s">
        <v>570</v>
      </c>
      <c r="B1473" s="50">
        <f>201031.092514127/2</f>
        <v>100515.5462570635</v>
      </c>
      <c r="C1473" s="130">
        <f>ROUND(B1473/12,2)</f>
        <v>8376.2999999999993</v>
      </c>
      <c r="D1473" s="106"/>
      <c r="E1473" s="106"/>
      <c r="F1473" s="106">
        <v>0.13020000000000001</v>
      </c>
      <c r="G1473" s="106"/>
      <c r="H1473" s="106">
        <v>6.7400000000000002E-2</v>
      </c>
      <c r="I1473" s="106"/>
      <c r="J1473" s="106"/>
      <c r="K1473" s="106"/>
      <c r="L1473" s="106"/>
      <c r="M1473" s="106"/>
      <c r="N1473" s="106">
        <v>0.70189999999999997</v>
      </c>
      <c r="O1473" s="106"/>
      <c r="P1473" s="106"/>
      <c r="Q1473" s="106"/>
      <c r="R1473" s="106"/>
      <c r="S1473" s="106"/>
      <c r="T1473" s="106"/>
      <c r="U1473" s="106"/>
      <c r="V1473" s="106">
        <v>0.10050000000000001</v>
      </c>
      <c r="W1473" s="106"/>
      <c r="X1473" s="106"/>
      <c r="Y1473" s="106"/>
      <c r="Z1473" s="107"/>
      <c r="AA1473" s="107"/>
      <c r="AB1473" s="107"/>
      <c r="AC1473" s="56"/>
    </row>
    <row r="1474" spans="1:29" s="14" customFormat="1">
      <c r="A1474" s="123"/>
      <c r="C1474" s="130"/>
      <c r="D1474" s="27">
        <f t="shared" ref="D1474" si="2197">$C1473*D1473</f>
        <v>0</v>
      </c>
      <c r="E1474" s="27">
        <f t="shared" ref="E1474" si="2198">$C1473*E1473</f>
        <v>0</v>
      </c>
      <c r="F1474" s="27">
        <f t="shared" ref="F1474:AB1474" si="2199">$C1473*F1473</f>
        <v>1090.5942600000001</v>
      </c>
      <c r="G1474" s="27">
        <f t="shared" si="2199"/>
        <v>0</v>
      </c>
      <c r="H1474" s="27">
        <f t="shared" si="2199"/>
        <v>564.56261999999992</v>
      </c>
      <c r="I1474" s="27">
        <f t="shared" si="2199"/>
        <v>0</v>
      </c>
      <c r="J1474" s="27">
        <f t="shared" si="2199"/>
        <v>0</v>
      </c>
      <c r="K1474" s="27">
        <f t="shared" si="2199"/>
        <v>0</v>
      </c>
      <c r="L1474" s="27">
        <f t="shared" si="2199"/>
        <v>0</v>
      </c>
      <c r="M1474" s="27">
        <f t="shared" si="2199"/>
        <v>0</v>
      </c>
      <c r="N1474" s="27">
        <f t="shared" si="2199"/>
        <v>5879.3249699999997</v>
      </c>
      <c r="O1474" s="27">
        <f t="shared" si="2199"/>
        <v>0</v>
      </c>
      <c r="P1474" s="27">
        <f t="shared" si="2199"/>
        <v>0</v>
      </c>
      <c r="Q1474" s="27">
        <f t="shared" si="2199"/>
        <v>0</v>
      </c>
      <c r="R1474" s="27">
        <f t="shared" si="2199"/>
        <v>0</v>
      </c>
      <c r="S1474" s="27">
        <f t="shared" si="2199"/>
        <v>0</v>
      </c>
      <c r="T1474" s="27">
        <f t="shared" si="2199"/>
        <v>0</v>
      </c>
      <c r="U1474" s="27">
        <f t="shared" si="2199"/>
        <v>0</v>
      </c>
      <c r="V1474" s="27">
        <f t="shared" si="2199"/>
        <v>841.81814999999995</v>
      </c>
      <c r="W1474" s="27">
        <f t="shared" si="2199"/>
        <v>0</v>
      </c>
      <c r="X1474" s="27">
        <f t="shared" si="2199"/>
        <v>0</v>
      </c>
      <c r="Y1474" s="27">
        <f t="shared" si="2199"/>
        <v>0</v>
      </c>
      <c r="Z1474" s="27">
        <f t="shared" si="2199"/>
        <v>0</v>
      </c>
      <c r="AA1474" s="27">
        <f t="shared" si="2199"/>
        <v>0</v>
      </c>
      <c r="AB1474" s="27">
        <f t="shared" si="2199"/>
        <v>0</v>
      </c>
      <c r="AC1474" s="56"/>
    </row>
    <row r="1475" spans="1:29" s="14" customFormat="1">
      <c r="A1475" s="105" t="s">
        <v>566</v>
      </c>
      <c r="B1475" s="50">
        <v>1165.2686733987957</v>
      </c>
      <c r="C1475" s="130">
        <f>ROUND(B1475/12,2)</f>
        <v>97.11</v>
      </c>
      <c r="D1475" s="106"/>
      <c r="E1475" s="106"/>
      <c r="F1475" s="106">
        <v>0.37680000000000002</v>
      </c>
      <c r="G1475" s="106"/>
      <c r="H1475" s="106">
        <v>0.1145</v>
      </c>
      <c r="I1475" s="106"/>
      <c r="J1475" s="106"/>
      <c r="K1475" s="106"/>
      <c r="L1475" s="106">
        <v>1.8E-3</v>
      </c>
      <c r="M1475" s="106"/>
      <c r="N1475" s="106">
        <v>0.34460000000000002</v>
      </c>
      <c r="O1475" s="106"/>
      <c r="P1475" s="106"/>
      <c r="Q1475" s="106"/>
      <c r="R1475" s="106">
        <v>2.01E-2</v>
      </c>
      <c r="S1475" s="106"/>
      <c r="T1475" s="106"/>
      <c r="U1475" s="106">
        <v>5.3E-3</v>
      </c>
      <c r="V1475" s="106">
        <v>0.13689999999999999</v>
      </c>
      <c r="W1475" s="106"/>
      <c r="X1475" s="106"/>
      <c r="Y1475" s="106"/>
      <c r="Z1475" s="107"/>
      <c r="AA1475" s="107"/>
      <c r="AB1475" s="107"/>
      <c r="AC1475" s="56"/>
    </row>
    <row r="1476" spans="1:29" s="14" customFormat="1">
      <c r="A1476" s="72"/>
      <c r="C1476" s="130"/>
      <c r="D1476" s="27">
        <f t="shared" ref="D1476" si="2200">$C1475*D1475</f>
        <v>0</v>
      </c>
      <c r="E1476" s="27">
        <f t="shared" ref="E1476" si="2201">$C1475*E1475</f>
        <v>0</v>
      </c>
      <c r="F1476" s="27">
        <f t="shared" ref="F1476:AB1476" si="2202">$C1475*F1475</f>
        <v>36.591048000000001</v>
      </c>
      <c r="G1476" s="27">
        <f t="shared" si="2202"/>
        <v>0</v>
      </c>
      <c r="H1476" s="27">
        <f t="shared" si="2202"/>
        <v>11.119095</v>
      </c>
      <c r="I1476" s="27">
        <f t="shared" si="2202"/>
        <v>0</v>
      </c>
      <c r="J1476" s="27">
        <f t="shared" si="2202"/>
        <v>0</v>
      </c>
      <c r="K1476" s="27">
        <f t="shared" si="2202"/>
        <v>0</v>
      </c>
      <c r="L1476" s="27">
        <f t="shared" si="2202"/>
        <v>0.17479799999999998</v>
      </c>
      <c r="M1476" s="27">
        <f t="shared" si="2202"/>
        <v>0</v>
      </c>
      <c r="N1476" s="27">
        <f t="shared" si="2202"/>
        <v>33.464106000000001</v>
      </c>
      <c r="O1476" s="27">
        <f t="shared" si="2202"/>
        <v>0</v>
      </c>
      <c r="P1476" s="27">
        <f t="shared" si="2202"/>
        <v>0</v>
      </c>
      <c r="Q1476" s="27">
        <f t="shared" si="2202"/>
        <v>0</v>
      </c>
      <c r="R1476" s="27">
        <f t="shared" si="2202"/>
        <v>1.951911</v>
      </c>
      <c r="S1476" s="27">
        <f t="shared" si="2202"/>
        <v>0</v>
      </c>
      <c r="T1476" s="27">
        <f t="shared" si="2202"/>
        <v>0</v>
      </c>
      <c r="U1476" s="27">
        <f t="shared" si="2202"/>
        <v>0.514683</v>
      </c>
      <c r="V1476" s="27">
        <f t="shared" si="2202"/>
        <v>13.294359</v>
      </c>
      <c r="W1476" s="27">
        <f t="shared" si="2202"/>
        <v>0</v>
      </c>
      <c r="X1476" s="27">
        <f t="shared" si="2202"/>
        <v>0</v>
      </c>
      <c r="Y1476" s="27">
        <f t="shared" si="2202"/>
        <v>0</v>
      </c>
      <c r="Z1476" s="27">
        <f t="shared" si="2202"/>
        <v>0</v>
      </c>
      <c r="AA1476" s="27">
        <f t="shared" si="2202"/>
        <v>0</v>
      </c>
      <c r="AB1476" s="27">
        <f t="shared" si="2202"/>
        <v>0</v>
      </c>
      <c r="AC1476" s="56"/>
    </row>
    <row r="1477" spans="1:29">
      <c r="A1477" s="45" t="s">
        <v>50</v>
      </c>
      <c r="B1477" s="30">
        <f>SUM(B1451:B1476)</f>
        <v>2688685.7359060263</v>
      </c>
      <c r="C1477" s="46">
        <f>SUM(C1451:C1476)</f>
        <v>224057.16999999995</v>
      </c>
      <c r="D1477" s="46">
        <f>D1452+D1454+D1456+D1458+D1460+D1462+D1464+D1466+D1468+D1470+D1472+D1474+D1476</f>
        <v>1477.2327669999997</v>
      </c>
      <c r="E1477" s="46">
        <f t="shared" ref="E1477:AB1477" si="2203">E1452+E1454+E1456+E1458+E1460+E1462+E1464+E1466+E1468+E1470+E1472+E1474+E1476</f>
        <v>10788.822015</v>
      </c>
      <c r="F1477" s="46">
        <f t="shared" si="2203"/>
        <v>59218.580147000008</v>
      </c>
      <c r="G1477" s="46">
        <f t="shared" si="2203"/>
        <v>5519.8572419999991</v>
      </c>
      <c r="H1477" s="46">
        <f t="shared" si="2203"/>
        <v>13532.709207999998</v>
      </c>
      <c r="I1477" s="46">
        <f t="shared" si="2203"/>
        <v>8961.5017709999993</v>
      </c>
      <c r="J1477" s="46">
        <f t="shared" si="2203"/>
        <v>1525.4616719999999</v>
      </c>
      <c r="K1477" s="46">
        <f t="shared" si="2203"/>
        <v>2336.5728959999997</v>
      </c>
      <c r="L1477" s="46">
        <f t="shared" si="2203"/>
        <v>1209.801348</v>
      </c>
      <c r="M1477" s="46">
        <f t="shared" si="2203"/>
        <v>2261.6116049999996</v>
      </c>
      <c r="N1477" s="46">
        <f t="shared" si="2203"/>
        <v>72528.94894599999</v>
      </c>
      <c r="O1477" s="46">
        <f t="shared" si="2203"/>
        <v>1654.7122499999998</v>
      </c>
      <c r="P1477" s="46">
        <f t="shared" si="2203"/>
        <v>0</v>
      </c>
      <c r="Q1477" s="46">
        <f t="shared" si="2203"/>
        <v>3478.0526159999995</v>
      </c>
      <c r="R1477" s="46">
        <f t="shared" si="2203"/>
        <v>2847.9557340000001</v>
      </c>
      <c r="S1477" s="46">
        <f t="shared" si="2203"/>
        <v>365.18270100000001</v>
      </c>
      <c r="T1477" s="46">
        <f t="shared" si="2203"/>
        <v>3615.9343920000001</v>
      </c>
      <c r="U1477" s="46">
        <f t="shared" si="2203"/>
        <v>1256.0474580000002</v>
      </c>
      <c r="V1477" s="46">
        <f t="shared" si="2203"/>
        <v>22566.447075</v>
      </c>
      <c r="W1477" s="46">
        <f t="shared" si="2203"/>
        <v>4262.6796530000001</v>
      </c>
      <c r="X1477" s="46">
        <f t="shared" si="2203"/>
        <v>4419.4753680000003</v>
      </c>
      <c r="Y1477" s="46">
        <f t="shared" si="2203"/>
        <v>179.36182500000001</v>
      </c>
      <c r="Z1477" s="46">
        <f t="shared" si="2203"/>
        <v>0</v>
      </c>
      <c r="AA1477" s="46">
        <f t="shared" si="2203"/>
        <v>50.221310999999993</v>
      </c>
      <c r="AB1477" s="46">
        <f t="shared" si="2203"/>
        <v>0</v>
      </c>
      <c r="AC1477" s="56"/>
    </row>
    <row r="1478" spans="1:29">
      <c r="A1478" s="145"/>
      <c r="B1478" s="169"/>
      <c r="C1478" s="138"/>
      <c r="D1478" s="138"/>
      <c r="E1478" s="138"/>
      <c r="F1478" s="138"/>
      <c r="G1478" s="138"/>
      <c r="H1478" s="138"/>
      <c r="I1478" s="27"/>
      <c r="J1478" s="27"/>
      <c r="K1478" s="27"/>
      <c r="L1478" s="27"/>
      <c r="M1478" s="27"/>
      <c r="N1478" s="27"/>
      <c r="O1478" s="27"/>
      <c r="P1478" s="27"/>
      <c r="Q1478" s="27"/>
      <c r="R1478" s="27"/>
      <c r="S1478" s="27"/>
      <c r="T1478" s="27"/>
      <c r="U1478" s="27"/>
      <c r="V1478" s="27"/>
      <c r="W1478" s="27"/>
      <c r="X1478" s="27"/>
      <c r="Y1478" s="27"/>
      <c r="Z1478" s="27"/>
      <c r="AA1478" s="27"/>
      <c r="AB1478" s="27"/>
      <c r="AC1478" s="56"/>
    </row>
    <row r="1479" spans="1:29">
      <c r="A1479" s="145"/>
      <c r="B1479" s="169"/>
      <c r="C1479" s="138"/>
      <c r="D1479" s="138"/>
      <c r="E1479" s="138"/>
      <c r="F1479" s="138"/>
      <c r="G1479" s="138"/>
      <c r="H1479" s="138"/>
      <c r="I1479" s="138"/>
      <c r="J1479" s="27"/>
      <c r="K1479" s="27"/>
      <c r="L1479" s="27"/>
      <c r="M1479" s="27"/>
      <c r="N1479" s="27"/>
      <c r="O1479" s="27"/>
      <c r="P1479" s="27"/>
      <c r="Q1479" s="27"/>
      <c r="R1479" s="27"/>
      <c r="S1479" s="27"/>
      <c r="T1479" s="27"/>
      <c r="U1479" s="27"/>
      <c r="V1479" s="27"/>
      <c r="W1479" s="27"/>
      <c r="X1479" s="27"/>
      <c r="Y1479" s="27"/>
      <c r="Z1479" s="27"/>
      <c r="AA1479" s="27"/>
      <c r="AB1479" s="27"/>
      <c r="AC1479" s="56"/>
    </row>
    <row r="1480" spans="1:29">
      <c r="A1480" s="13"/>
      <c r="B1480" s="6"/>
      <c r="C1480" s="138"/>
      <c r="D1480" s="27"/>
      <c r="E1480" s="27"/>
      <c r="F1480" s="27"/>
      <c r="G1480" s="27"/>
      <c r="H1480" s="27"/>
      <c r="I1480" s="27"/>
      <c r="J1480" s="27"/>
      <c r="K1480" s="27"/>
      <c r="L1480" s="27"/>
      <c r="M1480" s="27"/>
      <c r="N1480" s="27"/>
      <c r="O1480" s="27"/>
      <c r="P1480" s="27"/>
      <c r="Q1480" s="27"/>
      <c r="R1480" s="27"/>
      <c r="S1480" s="27"/>
      <c r="T1480" s="27"/>
      <c r="U1480" s="27"/>
      <c r="V1480" s="27"/>
      <c r="W1480" s="27"/>
      <c r="X1480" s="27"/>
      <c r="Y1480" s="27"/>
      <c r="Z1480" s="27"/>
      <c r="AA1480" s="27"/>
      <c r="AB1480" s="27"/>
      <c r="AC1480" s="56"/>
    </row>
    <row r="1481" spans="1:29" ht="13.8" thickBot="1">
      <c r="A1481" s="139" t="s">
        <v>668</v>
      </c>
      <c r="B1481" s="140"/>
      <c r="C1481" s="166"/>
      <c r="D1481" s="140"/>
      <c r="E1481" s="140"/>
      <c r="F1481" s="140"/>
      <c r="G1481" s="19"/>
      <c r="H1481" s="19"/>
      <c r="I1481" s="19"/>
      <c r="J1481" s="19"/>
      <c r="K1481" s="19"/>
      <c r="L1481" s="19"/>
      <c r="M1481" s="19"/>
      <c r="N1481" s="19"/>
      <c r="O1481" s="19"/>
      <c r="P1481" s="19"/>
      <c r="Q1481" s="19"/>
      <c r="R1481" s="19"/>
      <c r="S1481" s="19"/>
      <c r="T1481" s="19"/>
      <c r="U1481" s="19"/>
      <c r="V1481" s="19"/>
      <c r="W1481" s="19"/>
      <c r="X1481" s="19"/>
      <c r="Y1481" s="19"/>
      <c r="Z1481" s="19"/>
      <c r="AA1481" s="19"/>
      <c r="AB1481" s="19"/>
      <c r="AC1481" s="56"/>
    </row>
    <row r="1482" spans="1:29" ht="13.8" thickBot="1">
      <c r="A1482" s="93" t="s">
        <v>1</v>
      </c>
      <c r="B1482" s="94" t="s">
        <v>2</v>
      </c>
      <c r="C1482" s="125" t="s">
        <v>3</v>
      </c>
      <c r="D1482" s="211" t="s">
        <v>4</v>
      </c>
      <c r="E1482" s="212"/>
      <c r="F1482" s="212"/>
      <c r="G1482" s="212"/>
      <c r="H1482" s="212"/>
      <c r="I1482" s="212"/>
      <c r="J1482" s="212"/>
      <c r="K1482" s="212"/>
      <c r="L1482" s="212"/>
      <c r="M1482" s="212"/>
      <c r="N1482" s="212"/>
      <c r="O1482" s="212"/>
      <c r="P1482" s="212"/>
      <c r="Q1482" s="212"/>
      <c r="R1482" s="212"/>
      <c r="S1482" s="212"/>
      <c r="T1482" s="212"/>
      <c r="U1482" s="212"/>
      <c r="V1482" s="212"/>
      <c r="W1482" s="212"/>
      <c r="X1482" s="212"/>
      <c r="Y1482" s="212"/>
      <c r="Z1482" s="103"/>
      <c r="AA1482" s="103"/>
      <c r="AB1482" s="103"/>
      <c r="AC1482" s="56"/>
    </row>
    <row r="1483" spans="1:29">
      <c r="A1483" s="95" t="s">
        <v>5</v>
      </c>
      <c r="B1483" s="96" t="s">
        <v>6</v>
      </c>
      <c r="C1483" s="126" t="s">
        <v>6</v>
      </c>
      <c r="D1483" s="97"/>
      <c r="E1483" s="98"/>
      <c r="F1483" s="98"/>
      <c r="G1483" s="98"/>
      <c r="H1483" s="98"/>
      <c r="I1483" s="98"/>
      <c r="J1483" s="98"/>
      <c r="K1483" s="98"/>
      <c r="L1483" s="98"/>
      <c r="M1483" s="98"/>
      <c r="N1483" s="98"/>
      <c r="O1483" s="98"/>
      <c r="P1483" s="98"/>
      <c r="Q1483" s="98"/>
      <c r="R1483" s="98"/>
      <c r="S1483" s="98"/>
      <c r="T1483" s="98"/>
      <c r="U1483" s="98"/>
      <c r="V1483" s="98"/>
      <c r="W1483" s="98"/>
      <c r="X1483" s="98"/>
      <c r="Y1483" s="99"/>
      <c r="Z1483" s="96" t="s">
        <v>7</v>
      </c>
      <c r="AA1483" s="96"/>
      <c r="AB1483" s="96"/>
      <c r="AC1483" s="56"/>
    </row>
    <row r="1484" spans="1:29">
      <c r="A1484" s="95" t="s">
        <v>8</v>
      </c>
      <c r="B1484" s="96" t="s">
        <v>9</v>
      </c>
      <c r="C1484" s="126" t="s">
        <v>9</v>
      </c>
      <c r="D1484" s="100" t="s">
        <v>10</v>
      </c>
      <c r="E1484" s="96" t="s">
        <v>11</v>
      </c>
      <c r="F1484" s="96" t="s">
        <v>12</v>
      </c>
      <c r="G1484" s="96" t="s">
        <v>13</v>
      </c>
      <c r="H1484" s="96" t="s">
        <v>14</v>
      </c>
      <c r="I1484" s="96" t="s">
        <v>15</v>
      </c>
      <c r="J1484" s="96" t="s">
        <v>16</v>
      </c>
      <c r="K1484" s="96" t="s">
        <v>17</v>
      </c>
      <c r="L1484" s="96" t="s">
        <v>18</v>
      </c>
      <c r="M1484" s="96" t="s">
        <v>19</v>
      </c>
      <c r="N1484" s="96" t="s">
        <v>20</v>
      </c>
      <c r="O1484" s="96" t="s">
        <v>169</v>
      </c>
      <c r="P1484" s="96" t="s">
        <v>21</v>
      </c>
      <c r="Q1484" s="96" t="s">
        <v>22</v>
      </c>
      <c r="R1484" s="96" t="s">
        <v>23</v>
      </c>
      <c r="S1484" s="96" t="s">
        <v>24</v>
      </c>
      <c r="T1484" s="96" t="s">
        <v>25</v>
      </c>
      <c r="U1484" s="96" t="s">
        <v>26</v>
      </c>
      <c r="V1484" s="96" t="s">
        <v>27</v>
      </c>
      <c r="W1484" s="96" t="s">
        <v>28</v>
      </c>
      <c r="X1484" s="96" t="s">
        <v>29</v>
      </c>
      <c r="Y1484" s="96" t="s">
        <v>30</v>
      </c>
      <c r="Z1484" s="96" t="s">
        <v>31</v>
      </c>
      <c r="AA1484" s="96" t="s">
        <v>484</v>
      </c>
      <c r="AB1484" s="96" t="s">
        <v>467</v>
      </c>
      <c r="AC1484" s="56"/>
    </row>
    <row r="1485" spans="1:29">
      <c r="A1485" s="95"/>
      <c r="B1485" s="96"/>
      <c r="C1485" s="126" t="s">
        <v>696</v>
      </c>
      <c r="D1485" s="101"/>
      <c r="E1485" s="102"/>
      <c r="F1485" s="102"/>
      <c r="G1485" s="102"/>
      <c r="H1485" s="102"/>
      <c r="I1485" s="102"/>
      <c r="J1485" s="102"/>
      <c r="K1485" s="102"/>
      <c r="L1485" s="102"/>
      <c r="M1485" s="102"/>
      <c r="N1485" s="102"/>
      <c r="O1485" s="102"/>
      <c r="P1485" s="102"/>
      <c r="Q1485" s="102"/>
      <c r="R1485" s="102"/>
      <c r="S1485" s="102"/>
      <c r="T1485" s="102"/>
      <c r="U1485" s="102"/>
      <c r="V1485" s="102"/>
      <c r="W1485" s="102"/>
      <c r="X1485" s="102"/>
      <c r="Y1485" s="102"/>
      <c r="Z1485" s="102"/>
      <c r="AA1485" s="102"/>
      <c r="AB1485" s="102"/>
      <c r="AC1485" s="56"/>
    </row>
    <row r="1486" spans="1:29" s="14" customFormat="1">
      <c r="A1486" s="105" t="s">
        <v>677</v>
      </c>
      <c r="B1486" s="50">
        <v>51413.681180739935</v>
      </c>
      <c r="C1486" s="130">
        <f>ROUND(B1486/12,2)</f>
        <v>4284.47</v>
      </c>
      <c r="D1486" s="106"/>
      <c r="E1486" s="106"/>
      <c r="F1486" s="106">
        <v>0.9698</v>
      </c>
      <c r="G1486" s="106"/>
      <c r="H1486" s="106"/>
      <c r="I1486" s="106"/>
      <c r="J1486" s="106"/>
      <c r="K1486" s="106"/>
      <c r="L1486" s="106">
        <v>3.0200000000000001E-2</v>
      </c>
      <c r="M1486" s="106"/>
      <c r="N1486" s="106"/>
      <c r="O1486" s="106"/>
      <c r="P1486" s="106"/>
      <c r="Q1486" s="106"/>
      <c r="R1486" s="106"/>
      <c r="S1486" s="106"/>
      <c r="T1486" s="106"/>
      <c r="U1486" s="106"/>
      <c r="V1486" s="106"/>
      <c r="W1486" s="106"/>
      <c r="X1486" s="106"/>
      <c r="Y1486" s="106"/>
      <c r="Z1486" s="107"/>
      <c r="AA1486" s="107"/>
      <c r="AB1486" s="107"/>
      <c r="AC1486" s="56"/>
    </row>
    <row r="1487" spans="1:29" s="14" customFormat="1">
      <c r="A1487" s="72"/>
      <c r="C1487" s="130"/>
      <c r="D1487" s="27">
        <f t="shared" ref="D1487:AB1487" si="2204">$C1486*D1486</f>
        <v>0</v>
      </c>
      <c r="E1487" s="27">
        <f t="shared" si="2204"/>
        <v>0</v>
      </c>
      <c r="F1487" s="27">
        <f t="shared" si="2204"/>
        <v>4155.0790059999999</v>
      </c>
      <c r="G1487" s="27">
        <f t="shared" si="2204"/>
        <v>0</v>
      </c>
      <c r="H1487" s="27">
        <f t="shared" si="2204"/>
        <v>0</v>
      </c>
      <c r="I1487" s="27">
        <f t="shared" si="2204"/>
        <v>0</v>
      </c>
      <c r="J1487" s="27">
        <f t="shared" si="2204"/>
        <v>0</v>
      </c>
      <c r="K1487" s="27">
        <f t="shared" si="2204"/>
        <v>0</v>
      </c>
      <c r="L1487" s="27">
        <f t="shared" si="2204"/>
        <v>129.39099400000001</v>
      </c>
      <c r="M1487" s="27">
        <f t="shared" si="2204"/>
        <v>0</v>
      </c>
      <c r="N1487" s="27">
        <f t="shared" si="2204"/>
        <v>0</v>
      </c>
      <c r="O1487" s="27">
        <f t="shared" si="2204"/>
        <v>0</v>
      </c>
      <c r="P1487" s="27">
        <f t="shared" si="2204"/>
        <v>0</v>
      </c>
      <c r="Q1487" s="27">
        <f t="shared" si="2204"/>
        <v>0</v>
      </c>
      <c r="R1487" s="27">
        <f t="shared" si="2204"/>
        <v>0</v>
      </c>
      <c r="S1487" s="27">
        <f t="shared" si="2204"/>
        <v>0</v>
      </c>
      <c r="T1487" s="27">
        <f t="shared" si="2204"/>
        <v>0</v>
      </c>
      <c r="U1487" s="27">
        <f t="shared" si="2204"/>
        <v>0</v>
      </c>
      <c r="V1487" s="27">
        <f t="shared" si="2204"/>
        <v>0</v>
      </c>
      <c r="W1487" s="27">
        <f t="shared" si="2204"/>
        <v>0</v>
      </c>
      <c r="X1487" s="27">
        <f t="shared" si="2204"/>
        <v>0</v>
      </c>
      <c r="Y1487" s="27">
        <f t="shared" si="2204"/>
        <v>0</v>
      </c>
      <c r="Z1487" s="27">
        <f t="shared" si="2204"/>
        <v>0</v>
      </c>
      <c r="AA1487" s="27">
        <f t="shared" si="2204"/>
        <v>0</v>
      </c>
      <c r="AB1487" s="27">
        <f t="shared" si="2204"/>
        <v>0</v>
      </c>
      <c r="AC1487" s="56"/>
    </row>
    <row r="1488" spans="1:29" s="14" customFormat="1">
      <c r="A1488" s="105" t="s">
        <v>678</v>
      </c>
      <c r="B1488" s="50">
        <v>67431.906728136775</v>
      </c>
      <c r="C1488" s="130">
        <f>ROUND(B1488/12,2)</f>
        <v>5619.33</v>
      </c>
      <c r="D1488" s="106"/>
      <c r="E1488" s="106"/>
      <c r="F1488" s="106">
        <v>0.9698</v>
      </c>
      <c r="G1488" s="106"/>
      <c r="H1488" s="106"/>
      <c r="I1488" s="106"/>
      <c r="J1488" s="106"/>
      <c r="K1488" s="106"/>
      <c r="L1488" s="106">
        <v>3.0200000000000001E-2</v>
      </c>
      <c r="M1488" s="106"/>
      <c r="N1488" s="106"/>
      <c r="O1488" s="106"/>
      <c r="P1488" s="106"/>
      <c r="Q1488" s="106"/>
      <c r="R1488" s="106"/>
      <c r="S1488" s="106"/>
      <c r="T1488" s="106"/>
      <c r="U1488" s="106"/>
      <c r="V1488" s="106"/>
      <c r="W1488" s="106"/>
      <c r="X1488" s="106"/>
      <c r="Y1488" s="106"/>
      <c r="Z1488" s="107"/>
      <c r="AA1488" s="107"/>
      <c r="AB1488" s="107"/>
      <c r="AC1488" s="56"/>
    </row>
    <row r="1489" spans="1:29" s="14" customFormat="1">
      <c r="A1489" s="72"/>
      <c r="C1489" s="130"/>
      <c r="D1489" s="27">
        <f t="shared" ref="D1489:AB1489" si="2205">$C1488*D1488</f>
        <v>0</v>
      </c>
      <c r="E1489" s="27">
        <f t="shared" si="2205"/>
        <v>0</v>
      </c>
      <c r="F1489" s="27">
        <f t="shared" si="2205"/>
        <v>5449.6262340000003</v>
      </c>
      <c r="G1489" s="27">
        <f t="shared" si="2205"/>
        <v>0</v>
      </c>
      <c r="H1489" s="27">
        <f t="shared" si="2205"/>
        <v>0</v>
      </c>
      <c r="I1489" s="27">
        <f t="shared" si="2205"/>
        <v>0</v>
      </c>
      <c r="J1489" s="27">
        <f t="shared" si="2205"/>
        <v>0</v>
      </c>
      <c r="K1489" s="27">
        <f t="shared" si="2205"/>
        <v>0</v>
      </c>
      <c r="L1489" s="27">
        <f t="shared" si="2205"/>
        <v>169.703766</v>
      </c>
      <c r="M1489" s="27">
        <f t="shared" si="2205"/>
        <v>0</v>
      </c>
      <c r="N1489" s="27">
        <f t="shared" si="2205"/>
        <v>0</v>
      </c>
      <c r="O1489" s="27">
        <f t="shared" si="2205"/>
        <v>0</v>
      </c>
      <c r="P1489" s="27">
        <f t="shared" si="2205"/>
        <v>0</v>
      </c>
      <c r="Q1489" s="27">
        <f t="shared" si="2205"/>
        <v>0</v>
      </c>
      <c r="R1489" s="27">
        <f t="shared" si="2205"/>
        <v>0</v>
      </c>
      <c r="S1489" s="27">
        <f t="shared" si="2205"/>
        <v>0</v>
      </c>
      <c r="T1489" s="27">
        <f t="shared" si="2205"/>
        <v>0</v>
      </c>
      <c r="U1489" s="27">
        <f t="shared" si="2205"/>
        <v>0</v>
      </c>
      <c r="V1489" s="27">
        <f t="shared" si="2205"/>
        <v>0</v>
      </c>
      <c r="W1489" s="27">
        <f t="shared" si="2205"/>
        <v>0</v>
      </c>
      <c r="X1489" s="27">
        <f t="shared" si="2205"/>
        <v>0</v>
      </c>
      <c r="Y1489" s="27">
        <f t="shared" si="2205"/>
        <v>0</v>
      </c>
      <c r="Z1489" s="27">
        <f t="shared" si="2205"/>
        <v>0</v>
      </c>
      <c r="AA1489" s="27">
        <f t="shared" si="2205"/>
        <v>0</v>
      </c>
      <c r="AB1489" s="27">
        <f t="shared" si="2205"/>
        <v>0</v>
      </c>
      <c r="AC1489" s="56"/>
    </row>
    <row r="1490" spans="1:29" s="14" customFormat="1">
      <c r="A1490" s="105" t="s">
        <v>679</v>
      </c>
      <c r="B1490" s="50">
        <v>13086231.182180796</v>
      </c>
      <c r="C1490" s="130">
        <f>ROUND(B1490/12,2)</f>
        <v>1090519.27</v>
      </c>
      <c r="D1490" s="106"/>
      <c r="E1490" s="106"/>
      <c r="F1490" s="106">
        <v>0.66420000000000001</v>
      </c>
      <c r="G1490" s="106"/>
      <c r="H1490" s="106"/>
      <c r="I1490" s="106"/>
      <c r="J1490" s="106"/>
      <c r="K1490" s="106"/>
      <c r="L1490" s="106">
        <v>0.33579999999999999</v>
      </c>
      <c r="M1490" s="106"/>
      <c r="N1490" s="106"/>
      <c r="O1490" s="106"/>
      <c r="P1490" s="106"/>
      <c r="Q1490" s="106"/>
      <c r="R1490" s="106"/>
      <c r="S1490" s="106"/>
      <c r="T1490" s="106"/>
      <c r="U1490" s="106"/>
      <c r="V1490" s="106"/>
      <c r="W1490" s="106"/>
      <c r="X1490" s="106"/>
      <c r="Y1490" s="106"/>
      <c r="Z1490" s="107"/>
      <c r="AA1490" s="107"/>
      <c r="AB1490" s="107"/>
      <c r="AC1490" s="56"/>
    </row>
    <row r="1491" spans="1:29" s="14" customFormat="1">
      <c r="A1491" s="72"/>
      <c r="C1491" s="130"/>
      <c r="D1491" s="27">
        <f t="shared" ref="D1491:AB1491" si="2206">$C1490*D1490</f>
        <v>0</v>
      </c>
      <c r="E1491" s="27">
        <f t="shared" si="2206"/>
        <v>0</v>
      </c>
      <c r="F1491" s="27">
        <f t="shared" si="2206"/>
        <v>724322.89913400006</v>
      </c>
      <c r="G1491" s="27">
        <f t="shared" si="2206"/>
        <v>0</v>
      </c>
      <c r="H1491" s="27">
        <f t="shared" si="2206"/>
        <v>0</v>
      </c>
      <c r="I1491" s="27">
        <f t="shared" si="2206"/>
        <v>0</v>
      </c>
      <c r="J1491" s="27">
        <f t="shared" si="2206"/>
        <v>0</v>
      </c>
      <c r="K1491" s="27">
        <f t="shared" si="2206"/>
        <v>0</v>
      </c>
      <c r="L1491" s="27">
        <f t="shared" si="2206"/>
        <v>366196.37086600001</v>
      </c>
      <c r="M1491" s="27">
        <f t="shared" si="2206"/>
        <v>0</v>
      </c>
      <c r="N1491" s="27">
        <f t="shared" si="2206"/>
        <v>0</v>
      </c>
      <c r="O1491" s="27">
        <f t="shared" si="2206"/>
        <v>0</v>
      </c>
      <c r="P1491" s="27">
        <f t="shared" si="2206"/>
        <v>0</v>
      </c>
      <c r="Q1491" s="27">
        <f t="shared" si="2206"/>
        <v>0</v>
      </c>
      <c r="R1491" s="27">
        <f t="shared" si="2206"/>
        <v>0</v>
      </c>
      <c r="S1491" s="27">
        <f t="shared" si="2206"/>
        <v>0</v>
      </c>
      <c r="T1491" s="27">
        <f t="shared" si="2206"/>
        <v>0</v>
      </c>
      <c r="U1491" s="27">
        <f t="shared" si="2206"/>
        <v>0</v>
      </c>
      <c r="V1491" s="27">
        <f t="shared" si="2206"/>
        <v>0</v>
      </c>
      <c r="W1491" s="27">
        <f t="shared" si="2206"/>
        <v>0</v>
      </c>
      <c r="X1491" s="27">
        <f t="shared" si="2206"/>
        <v>0</v>
      </c>
      <c r="Y1491" s="27">
        <f t="shared" si="2206"/>
        <v>0</v>
      </c>
      <c r="Z1491" s="27">
        <f t="shared" si="2206"/>
        <v>0</v>
      </c>
      <c r="AA1491" s="27">
        <f t="shared" si="2206"/>
        <v>0</v>
      </c>
      <c r="AB1491" s="27">
        <f t="shared" si="2206"/>
        <v>0</v>
      </c>
      <c r="AC1491" s="56"/>
    </row>
    <row r="1492" spans="1:29" s="14" customFormat="1">
      <c r="A1492" s="105" t="s">
        <v>680</v>
      </c>
      <c r="B1492" s="50">
        <v>100542.81832172986</v>
      </c>
      <c r="C1492" s="130">
        <f>ROUND(B1492/12,2)</f>
        <v>8378.57</v>
      </c>
      <c r="D1492" s="106"/>
      <c r="E1492" s="106"/>
      <c r="F1492" s="106">
        <v>0.28789999999999999</v>
      </c>
      <c r="G1492" s="106"/>
      <c r="H1492" s="106"/>
      <c r="I1492" s="106"/>
      <c r="J1492" s="106"/>
      <c r="K1492" s="106"/>
      <c r="L1492" s="106">
        <v>0.71209999999999996</v>
      </c>
      <c r="M1492" s="106"/>
      <c r="N1492" s="106"/>
      <c r="O1492" s="106"/>
      <c r="P1492" s="106"/>
      <c r="Q1492" s="106"/>
      <c r="R1492" s="106"/>
      <c r="S1492" s="106"/>
      <c r="T1492" s="106"/>
      <c r="U1492" s="106"/>
      <c r="V1492" s="106"/>
      <c r="W1492" s="106"/>
      <c r="X1492" s="106"/>
      <c r="Y1492" s="106"/>
      <c r="Z1492" s="107"/>
      <c r="AA1492" s="107"/>
      <c r="AB1492" s="107"/>
      <c r="AC1492" s="56"/>
    </row>
    <row r="1493" spans="1:29" s="14" customFormat="1">
      <c r="A1493" s="72"/>
      <c r="C1493" s="130"/>
      <c r="D1493" s="27">
        <f t="shared" ref="D1493:AB1493" si="2207">$C1492*D1492</f>
        <v>0</v>
      </c>
      <c r="E1493" s="27">
        <f t="shared" si="2207"/>
        <v>0</v>
      </c>
      <c r="F1493" s="27">
        <f t="shared" si="2207"/>
        <v>2412.1903029999999</v>
      </c>
      <c r="G1493" s="27">
        <f t="shared" si="2207"/>
        <v>0</v>
      </c>
      <c r="H1493" s="27">
        <f t="shared" si="2207"/>
        <v>0</v>
      </c>
      <c r="I1493" s="27">
        <f t="shared" si="2207"/>
        <v>0</v>
      </c>
      <c r="J1493" s="27">
        <f t="shared" si="2207"/>
        <v>0</v>
      </c>
      <c r="K1493" s="27">
        <f t="shared" si="2207"/>
        <v>0</v>
      </c>
      <c r="L1493" s="27">
        <f t="shared" si="2207"/>
        <v>5966.3796969999994</v>
      </c>
      <c r="M1493" s="27">
        <f t="shared" si="2207"/>
        <v>0</v>
      </c>
      <c r="N1493" s="27">
        <f t="shared" si="2207"/>
        <v>0</v>
      </c>
      <c r="O1493" s="27">
        <f t="shared" si="2207"/>
        <v>0</v>
      </c>
      <c r="P1493" s="27">
        <f t="shared" si="2207"/>
        <v>0</v>
      </c>
      <c r="Q1493" s="27">
        <f t="shared" si="2207"/>
        <v>0</v>
      </c>
      <c r="R1493" s="27">
        <f t="shared" si="2207"/>
        <v>0</v>
      </c>
      <c r="S1493" s="27">
        <f t="shared" si="2207"/>
        <v>0</v>
      </c>
      <c r="T1493" s="27">
        <f t="shared" si="2207"/>
        <v>0</v>
      </c>
      <c r="U1493" s="27">
        <f t="shared" si="2207"/>
        <v>0</v>
      </c>
      <c r="V1493" s="27">
        <f t="shared" si="2207"/>
        <v>0</v>
      </c>
      <c r="W1493" s="27">
        <f t="shared" si="2207"/>
        <v>0</v>
      </c>
      <c r="X1493" s="27">
        <f t="shared" si="2207"/>
        <v>0</v>
      </c>
      <c r="Y1493" s="27">
        <f t="shared" si="2207"/>
        <v>0</v>
      </c>
      <c r="Z1493" s="27">
        <f t="shared" si="2207"/>
        <v>0</v>
      </c>
      <c r="AA1493" s="27">
        <f t="shared" si="2207"/>
        <v>0</v>
      </c>
      <c r="AB1493" s="27">
        <f t="shared" si="2207"/>
        <v>0</v>
      </c>
      <c r="AC1493" s="56"/>
    </row>
    <row r="1494" spans="1:29" s="14" customFormat="1">
      <c r="A1494" s="105" t="s">
        <v>681</v>
      </c>
      <c r="B1494" s="50">
        <v>122298.25770734063</v>
      </c>
      <c r="C1494" s="130">
        <f>ROUND(B1494/12,2)</f>
        <v>10191.52</v>
      </c>
      <c r="D1494" s="106"/>
      <c r="E1494" s="106"/>
      <c r="F1494" s="106">
        <v>0.28789999999999999</v>
      </c>
      <c r="G1494" s="106"/>
      <c r="H1494" s="106"/>
      <c r="I1494" s="106"/>
      <c r="J1494" s="106"/>
      <c r="K1494" s="106"/>
      <c r="L1494" s="106">
        <v>0.71209999999999996</v>
      </c>
      <c r="M1494" s="106"/>
      <c r="N1494" s="106"/>
      <c r="O1494" s="106"/>
      <c r="P1494" s="106"/>
      <c r="Q1494" s="106"/>
      <c r="R1494" s="106"/>
      <c r="S1494" s="106"/>
      <c r="T1494" s="106"/>
      <c r="U1494" s="106"/>
      <c r="V1494" s="106"/>
      <c r="W1494" s="106"/>
      <c r="X1494" s="106"/>
      <c r="Y1494" s="106"/>
      <c r="Z1494" s="107"/>
      <c r="AA1494" s="107"/>
      <c r="AB1494" s="107"/>
      <c r="AC1494" s="56"/>
    </row>
    <row r="1495" spans="1:29" s="14" customFormat="1">
      <c r="A1495" s="72"/>
      <c r="C1495" s="130"/>
      <c r="D1495" s="27">
        <f t="shared" ref="D1495:AB1495" si="2208">$C1494*D1494</f>
        <v>0</v>
      </c>
      <c r="E1495" s="27">
        <f t="shared" si="2208"/>
        <v>0</v>
      </c>
      <c r="F1495" s="27">
        <f t="shared" si="2208"/>
        <v>2934.1386080000002</v>
      </c>
      <c r="G1495" s="27">
        <f t="shared" si="2208"/>
        <v>0</v>
      </c>
      <c r="H1495" s="27">
        <f t="shared" si="2208"/>
        <v>0</v>
      </c>
      <c r="I1495" s="27">
        <f t="shared" si="2208"/>
        <v>0</v>
      </c>
      <c r="J1495" s="27">
        <f t="shared" si="2208"/>
        <v>0</v>
      </c>
      <c r="K1495" s="27">
        <f t="shared" si="2208"/>
        <v>0</v>
      </c>
      <c r="L1495" s="27">
        <f t="shared" si="2208"/>
        <v>7257.3813920000002</v>
      </c>
      <c r="M1495" s="27">
        <f t="shared" si="2208"/>
        <v>0</v>
      </c>
      <c r="N1495" s="27">
        <f t="shared" si="2208"/>
        <v>0</v>
      </c>
      <c r="O1495" s="27">
        <f t="shared" si="2208"/>
        <v>0</v>
      </c>
      <c r="P1495" s="27">
        <f t="shared" si="2208"/>
        <v>0</v>
      </c>
      <c r="Q1495" s="27">
        <f t="shared" si="2208"/>
        <v>0</v>
      </c>
      <c r="R1495" s="27">
        <f t="shared" si="2208"/>
        <v>0</v>
      </c>
      <c r="S1495" s="27">
        <f t="shared" si="2208"/>
        <v>0</v>
      </c>
      <c r="T1495" s="27">
        <f t="shared" si="2208"/>
        <v>0</v>
      </c>
      <c r="U1495" s="27">
        <f t="shared" si="2208"/>
        <v>0</v>
      </c>
      <c r="V1495" s="27">
        <f t="shared" si="2208"/>
        <v>0</v>
      </c>
      <c r="W1495" s="27">
        <f t="shared" si="2208"/>
        <v>0</v>
      </c>
      <c r="X1495" s="27">
        <f t="shared" si="2208"/>
        <v>0</v>
      </c>
      <c r="Y1495" s="27">
        <f t="shared" si="2208"/>
        <v>0</v>
      </c>
      <c r="Z1495" s="27">
        <f t="shared" si="2208"/>
        <v>0</v>
      </c>
      <c r="AA1495" s="27">
        <f t="shared" si="2208"/>
        <v>0</v>
      </c>
      <c r="AB1495" s="27">
        <f t="shared" si="2208"/>
        <v>0</v>
      </c>
      <c r="AC1495" s="56"/>
    </row>
    <row r="1496" spans="1:29" s="14" customFormat="1">
      <c r="A1496" s="105" t="s">
        <v>682</v>
      </c>
      <c r="B1496" s="50">
        <v>1278290.3450467323</v>
      </c>
      <c r="C1496" s="130">
        <f>ROUND(B1496/12,2)</f>
        <v>106524.2</v>
      </c>
      <c r="D1496" s="106"/>
      <c r="E1496" s="106"/>
      <c r="F1496" s="106">
        <v>0.35670000000000002</v>
      </c>
      <c r="G1496" s="106"/>
      <c r="H1496" s="106"/>
      <c r="I1496" s="106"/>
      <c r="J1496" s="106"/>
      <c r="K1496" s="106"/>
      <c r="L1496" s="106">
        <v>0.64329999999999998</v>
      </c>
      <c r="M1496" s="106"/>
      <c r="N1496" s="106"/>
      <c r="O1496" s="106"/>
      <c r="P1496" s="106"/>
      <c r="Q1496" s="106"/>
      <c r="R1496" s="106"/>
      <c r="S1496" s="106"/>
      <c r="T1496" s="106"/>
      <c r="U1496" s="106"/>
      <c r="V1496" s="106"/>
      <c r="W1496" s="106"/>
      <c r="X1496" s="106"/>
      <c r="Y1496" s="106"/>
      <c r="Z1496" s="107"/>
      <c r="AA1496" s="107"/>
      <c r="AB1496" s="107"/>
      <c r="AC1496" s="56"/>
    </row>
    <row r="1497" spans="1:29" s="14" customFormat="1">
      <c r="A1497" s="72"/>
      <c r="C1497" s="130"/>
      <c r="D1497" s="27">
        <f t="shared" ref="D1497:AB1497" si="2209">$C1496*D1496</f>
        <v>0</v>
      </c>
      <c r="E1497" s="27">
        <f t="shared" si="2209"/>
        <v>0</v>
      </c>
      <c r="F1497" s="27">
        <f t="shared" si="2209"/>
        <v>37997.182139999997</v>
      </c>
      <c r="G1497" s="27">
        <f t="shared" si="2209"/>
        <v>0</v>
      </c>
      <c r="H1497" s="27">
        <f t="shared" si="2209"/>
        <v>0</v>
      </c>
      <c r="I1497" s="27">
        <f t="shared" si="2209"/>
        <v>0</v>
      </c>
      <c r="J1497" s="27">
        <f t="shared" si="2209"/>
        <v>0</v>
      </c>
      <c r="K1497" s="27">
        <f t="shared" si="2209"/>
        <v>0</v>
      </c>
      <c r="L1497" s="27">
        <f t="shared" si="2209"/>
        <v>68527.017859999993</v>
      </c>
      <c r="M1497" s="27">
        <f t="shared" si="2209"/>
        <v>0</v>
      </c>
      <c r="N1497" s="27">
        <f t="shared" si="2209"/>
        <v>0</v>
      </c>
      <c r="O1497" s="27">
        <f t="shared" si="2209"/>
        <v>0</v>
      </c>
      <c r="P1497" s="27">
        <f t="shared" si="2209"/>
        <v>0</v>
      </c>
      <c r="Q1497" s="27">
        <f t="shared" si="2209"/>
        <v>0</v>
      </c>
      <c r="R1497" s="27">
        <f t="shared" si="2209"/>
        <v>0</v>
      </c>
      <c r="S1497" s="27">
        <f t="shared" si="2209"/>
        <v>0</v>
      </c>
      <c r="T1497" s="27">
        <f t="shared" si="2209"/>
        <v>0</v>
      </c>
      <c r="U1497" s="27">
        <f t="shared" si="2209"/>
        <v>0</v>
      </c>
      <c r="V1497" s="27">
        <f t="shared" si="2209"/>
        <v>0</v>
      </c>
      <c r="W1497" s="27">
        <f t="shared" si="2209"/>
        <v>0</v>
      </c>
      <c r="X1497" s="27">
        <f t="shared" si="2209"/>
        <v>0</v>
      </c>
      <c r="Y1497" s="27">
        <f t="shared" si="2209"/>
        <v>0</v>
      </c>
      <c r="Z1497" s="27">
        <f t="shared" si="2209"/>
        <v>0</v>
      </c>
      <c r="AA1497" s="27">
        <f t="shared" si="2209"/>
        <v>0</v>
      </c>
      <c r="AB1497" s="27">
        <f t="shared" si="2209"/>
        <v>0</v>
      </c>
      <c r="AC1497" s="56"/>
    </row>
    <row r="1498" spans="1:29" s="14" customFormat="1">
      <c r="A1498" s="105" t="s">
        <v>669</v>
      </c>
      <c r="B1498" s="50">
        <v>3808587.7378790807</v>
      </c>
      <c r="C1498" s="130">
        <f>ROUND(B1498/12,2)</f>
        <v>317382.31</v>
      </c>
      <c r="D1498" s="106"/>
      <c r="E1498" s="106"/>
      <c r="F1498" s="106"/>
      <c r="G1498" s="106"/>
      <c r="H1498" s="106"/>
      <c r="I1498" s="106"/>
      <c r="J1498" s="106"/>
      <c r="K1498" s="106"/>
      <c r="L1498" s="106">
        <v>1</v>
      </c>
      <c r="M1498" s="106"/>
      <c r="N1498" s="106"/>
      <c r="O1498" s="106"/>
      <c r="P1498" s="106"/>
      <c r="Q1498" s="106"/>
      <c r="R1498" s="106"/>
      <c r="S1498" s="106"/>
      <c r="T1498" s="106"/>
      <c r="U1498" s="106"/>
      <c r="V1498" s="106"/>
      <c r="W1498" s="106"/>
      <c r="X1498" s="106"/>
      <c r="Y1498" s="106"/>
      <c r="Z1498" s="107"/>
      <c r="AA1498" s="107"/>
      <c r="AB1498" s="107"/>
      <c r="AC1498" s="56"/>
    </row>
    <row r="1499" spans="1:29" s="14" customFormat="1">
      <c r="A1499" s="72"/>
      <c r="C1499" s="130"/>
      <c r="D1499" s="27">
        <f t="shared" ref="D1499:AB1499" si="2210">$C1498*D1498</f>
        <v>0</v>
      </c>
      <c r="E1499" s="27">
        <f t="shared" si="2210"/>
        <v>0</v>
      </c>
      <c r="F1499" s="27">
        <f t="shared" si="2210"/>
        <v>0</v>
      </c>
      <c r="G1499" s="27">
        <f t="shared" si="2210"/>
        <v>0</v>
      </c>
      <c r="H1499" s="27">
        <f t="shared" si="2210"/>
        <v>0</v>
      </c>
      <c r="I1499" s="27">
        <f t="shared" si="2210"/>
        <v>0</v>
      </c>
      <c r="J1499" s="27">
        <f t="shared" si="2210"/>
        <v>0</v>
      </c>
      <c r="K1499" s="27">
        <f t="shared" si="2210"/>
        <v>0</v>
      </c>
      <c r="L1499" s="27">
        <f t="shared" si="2210"/>
        <v>317382.31</v>
      </c>
      <c r="M1499" s="27">
        <f t="shared" si="2210"/>
        <v>0</v>
      </c>
      <c r="N1499" s="27">
        <f t="shared" si="2210"/>
        <v>0</v>
      </c>
      <c r="O1499" s="27">
        <f t="shared" si="2210"/>
        <v>0</v>
      </c>
      <c r="P1499" s="27">
        <f t="shared" si="2210"/>
        <v>0</v>
      </c>
      <c r="Q1499" s="27">
        <f t="shared" si="2210"/>
        <v>0</v>
      </c>
      <c r="R1499" s="27">
        <f t="shared" si="2210"/>
        <v>0</v>
      </c>
      <c r="S1499" s="27">
        <f t="shared" si="2210"/>
        <v>0</v>
      </c>
      <c r="T1499" s="27">
        <f t="shared" si="2210"/>
        <v>0</v>
      </c>
      <c r="U1499" s="27">
        <f t="shared" si="2210"/>
        <v>0</v>
      </c>
      <c r="V1499" s="27">
        <f t="shared" si="2210"/>
        <v>0</v>
      </c>
      <c r="W1499" s="27">
        <f t="shared" si="2210"/>
        <v>0</v>
      </c>
      <c r="X1499" s="27">
        <f t="shared" si="2210"/>
        <v>0</v>
      </c>
      <c r="Y1499" s="27">
        <f t="shared" si="2210"/>
        <v>0</v>
      </c>
      <c r="Z1499" s="27">
        <f t="shared" si="2210"/>
        <v>0</v>
      </c>
      <c r="AA1499" s="27">
        <f t="shared" si="2210"/>
        <v>0</v>
      </c>
      <c r="AB1499" s="27">
        <f t="shared" si="2210"/>
        <v>0</v>
      </c>
      <c r="AC1499" s="56"/>
    </row>
    <row r="1500" spans="1:29" s="14" customFormat="1">
      <c r="A1500" s="105" t="s">
        <v>670</v>
      </c>
      <c r="B1500" s="50">
        <v>412348.35210318759</v>
      </c>
      <c r="C1500" s="130">
        <f>ROUND(B1500/12,2)</f>
        <v>34362.36</v>
      </c>
      <c r="D1500" s="106"/>
      <c r="E1500" s="106"/>
      <c r="F1500" s="106">
        <v>8.0199999999999994E-2</v>
      </c>
      <c r="G1500" s="106"/>
      <c r="H1500" s="106"/>
      <c r="I1500" s="106"/>
      <c r="J1500" s="106"/>
      <c r="K1500" s="106"/>
      <c r="L1500" s="106">
        <v>0.91979999999999995</v>
      </c>
      <c r="M1500" s="106"/>
      <c r="N1500" s="106"/>
      <c r="O1500" s="106"/>
      <c r="P1500" s="106"/>
      <c r="Q1500" s="106"/>
      <c r="R1500" s="106"/>
      <c r="S1500" s="106"/>
      <c r="T1500" s="106"/>
      <c r="U1500" s="106"/>
      <c r="V1500" s="106"/>
      <c r="W1500" s="106"/>
      <c r="X1500" s="106"/>
      <c r="Y1500" s="106"/>
      <c r="Z1500" s="107"/>
      <c r="AA1500" s="107"/>
      <c r="AB1500" s="107"/>
      <c r="AC1500" s="56"/>
    </row>
    <row r="1501" spans="1:29" s="14" customFormat="1">
      <c r="A1501" s="72"/>
      <c r="C1501" s="130"/>
      <c r="D1501" s="27">
        <f t="shared" ref="D1501:AB1501" si="2211">$C1500*D1500</f>
        <v>0</v>
      </c>
      <c r="E1501" s="27">
        <f t="shared" si="2211"/>
        <v>0</v>
      </c>
      <c r="F1501" s="27">
        <f t="shared" si="2211"/>
        <v>2755.8612719999996</v>
      </c>
      <c r="G1501" s="27">
        <f t="shared" si="2211"/>
        <v>0</v>
      </c>
      <c r="H1501" s="27">
        <f t="shared" si="2211"/>
        <v>0</v>
      </c>
      <c r="I1501" s="27">
        <f t="shared" si="2211"/>
        <v>0</v>
      </c>
      <c r="J1501" s="27">
        <f t="shared" si="2211"/>
        <v>0</v>
      </c>
      <c r="K1501" s="27">
        <f t="shared" si="2211"/>
        <v>0</v>
      </c>
      <c r="L1501" s="27">
        <f t="shared" si="2211"/>
        <v>31606.498727999999</v>
      </c>
      <c r="M1501" s="27">
        <f t="shared" si="2211"/>
        <v>0</v>
      </c>
      <c r="N1501" s="27">
        <f t="shared" si="2211"/>
        <v>0</v>
      </c>
      <c r="O1501" s="27">
        <f t="shared" si="2211"/>
        <v>0</v>
      </c>
      <c r="P1501" s="27">
        <f t="shared" si="2211"/>
        <v>0</v>
      </c>
      <c r="Q1501" s="27">
        <f t="shared" si="2211"/>
        <v>0</v>
      </c>
      <c r="R1501" s="27">
        <f t="shared" si="2211"/>
        <v>0</v>
      </c>
      <c r="S1501" s="27">
        <f t="shared" si="2211"/>
        <v>0</v>
      </c>
      <c r="T1501" s="27">
        <f t="shared" si="2211"/>
        <v>0</v>
      </c>
      <c r="U1501" s="27">
        <f t="shared" si="2211"/>
        <v>0</v>
      </c>
      <c r="V1501" s="27">
        <f t="shared" si="2211"/>
        <v>0</v>
      </c>
      <c r="W1501" s="27">
        <f t="shared" si="2211"/>
        <v>0</v>
      </c>
      <c r="X1501" s="27">
        <f t="shared" si="2211"/>
        <v>0</v>
      </c>
      <c r="Y1501" s="27">
        <f t="shared" si="2211"/>
        <v>0</v>
      </c>
      <c r="Z1501" s="27">
        <f t="shared" si="2211"/>
        <v>0</v>
      </c>
      <c r="AA1501" s="27">
        <f t="shared" si="2211"/>
        <v>0</v>
      </c>
      <c r="AB1501" s="27">
        <f t="shared" si="2211"/>
        <v>0</v>
      </c>
      <c r="AC1501" s="56"/>
    </row>
    <row r="1502" spans="1:29">
      <c r="A1502" s="45" t="s">
        <v>50</v>
      </c>
      <c r="B1502" s="30">
        <f>SUM(B1486:B1500)</f>
        <v>18927144.281147745</v>
      </c>
      <c r="C1502" s="46">
        <f>SUM(C1486:C1500)</f>
        <v>1577262.0300000003</v>
      </c>
      <c r="D1502" s="46">
        <f>D1487+D1489+D1491+D1493+D1495+D1497+D1499+D1501</f>
        <v>0</v>
      </c>
      <c r="E1502" s="46">
        <f t="shared" ref="E1502:AB1502" si="2212">E1487+E1489+E1491+E1493+E1495+E1497+E1499+E1501</f>
        <v>0</v>
      </c>
      <c r="F1502" s="46">
        <f>F1487+F1489+F1491+F1493+F1495+F1497+F1499+F1501</f>
        <v>780026.97669700021</v>
      </c>
      <c r="G1502" s="46">
        <f t="shared" si="2212"/>
        <v>0</v>
      </c>
      <c r="H1502" s="46">
        <f t="shared" si="2212"/>
        <v>0</v>
      </c>
      <c r="I1502" s="46">
        <f t="shared" si="2212"/>
        <v>0</v>
      </c>
      <c r="J1502" s="46">
        <f t="shared" si="2212"/>
        <v>0</v>
      </c>
      <c r="K1502" s="46">
        <f t="shared" si="2212"/>
        <v>0</v>
      </c>
      <c r="L1502" s="46">
        <f>L1487+L1489+L1491+L1493+L1495+L1497+L1499+L1501</f>
        <v>797235.05330299994</v>
      </c>
      <c r="M1502" s="46">
        <f t="shared" si="2212"/>
        <v>0</v>
      </c>
      <c r="N1502" s="46">
        <f t="shared" si="2212"/>
        <v>0</v>
      </c>
      <c r="O1502" s="46">
        <f t="shared" si="2212"/>
        <v>0</v>
      </c>
      <c r="P1502" s="46">
        <f t="shared" si="2212"/>
        <v>0</v>
      </c>
      <c r="Q1502" s="46">
        <f t="shared" si="2212"/>
        <v>0</v>
      </c>
      <c r="R1502" s="46">
        <f t="shared" si="2212"/>
        <v>0</v>
      </c>
      <c r="S1502" s="46">
        <f t="shared" si="2212"/>
        <v>0</v>
      </c>
      <c r="T1502" s="46">
        <f t="shared" si="2212"/>
        <v>0</v>
      </c>
      <c r="U1502" s="46">
        <f t="shared" si="2212"/>
        <v>0</v>
      </c>
      <c r="V1502" s="46">
        <f t="shared" si="2212"/>
        <v>0</v>
      </c>
      <c r="W1502" s="46">
        <f t="shared" si="2212"/>
        <v>0</v>
      </c>
      <c r="X1502" s="46">
        <f t="shared" si="2212"/>
        <v>0</v>
      </c>
      <c r="Y1502" s="46">
        <f t="shared" si="2212"/>
        <v>0</v>
      </c>
      <c r="Z1502" s="46">
        <f t="shared" si="2212"/>
        <v>0</v>
      </c>
      <c r="AA1502" s="46">
        <f t="shared" si="2212"/>
        <v>0</v>
      </c>
      <c r="AB1502" s="46">
        <f t="shared" si="2212"/>
        <v>0</v>
      </c>
      <c r="AC1502" s="56"/>
    </row>
    <row r="1503" spans="1:29">
      <c r="A1503" s="13"/>
      <c r="B1503" s="6"/>
      <c r="C1503" s="27"/>
      <c r="D1503" s="27"/>
      <c r="E1503" s="27"/>
      <c r="F1503" s="27"/>
      <c r="G1503" s="27"/>
      <c r="H1503" s="27"/>
      <c r="I1503" s="27"/>
      <c r="J1503" s="27"/>
      <c r="K1503" s="27"/>
      <c r="L1503" s="27"/>
      <c r="M1503" s="27"/>
      <c r="N1503" s="27"/>
      <c r="O1503" s="27"/>
      <c r="P1503" s="27"/>
      <c r="Q1503" s="27"/>
      <c r="R1503" s="27"/>
      <c r="S1503" s="27"/>
      <c r="T1503" s="27"/>
      <c r="U1503" s="27"/>
      <c r="V1503" s="27"/>
      <c r="W1503" s="27"/>
      <c r="X1503" s="27"/>
      <c r="Y1503" s="27"/>
      <c r="Z1503" s="27"/>
      <c r="AA1503" s="27"/>
      <c r="AB1503" s="27"/>
      <c r="AC1503" s="56"/>
    </row>
    <row r="1504" spans="1:29">
      <c r="A1504" s="13"/>
      <c r="B1504" s="6"/>
      <c r="C1504" s="27"/>
      <c r="D1504" s="27"/>
      <c r="E1504" s="27"/>
      <c r="F1504" s="27"/>
      <c r="G1504" s="27"/>
      <c r="H1504" s="27"/>
      <c r="I1504" s="27"/>
      <c r="J1504" s="27"/>
      <c r="K1504" s="27"/>
      <c r="L1504" s="27"/>
      <c r="M1504" s="27"/>
      <c r="N1504" s="27"/>
      <c r="O1504" s="27"/>
      <c r="P1504" s="27"/>
      <c r="Q1504" s="27"/>
      <c r="R1504" s="27"/>
      <c r="S1504" s="27"/>
      <c r="T1504" s="27"/>
      <c r="U1504" s="27"/>
      <c r="V1504" s="27"/>
      <c r="W1504" s="27"/>
      <c r="X1504" s="27"/>
      <c r="Y1504" s="27"/>
      <c r="Z1504" s="27"/>
      <c r="AA1504" s="27"/>
      <c r="AB1504" s="27"/>
      <c r="AC1504" s="56"/>
    </row>
    <row r="1505" spans="1:29" ht="13.8" thickBot="1">
      <c r="A1505" s="139" t="s">
        <v>683</v>
      </c>
      <c r="B1505" s="140"/>
      <c r="C1505" s="166"/>
      <c r="D1505" s="140"/>
      <c r="E1505" s="140"/>
      <c r="F1505" s="140"/>
      <c r="G1505" s="19"/>
      <c r="H1505" s="19"/>
      <c r="I1505" s="19"/>
      <c r="J1505" s="19"/>
      <c r="K1505" s="19"/>
      <c r="L1505" s="19"/>
      <c r="M1505" s="19"/>
      <c r="N1505" s="19"/>
      <c r="O1505" s="19"/>
      <c r="P1505" s="19"/>
      <c r="Q1505" s="19"/>
      <c r="R1505" s="19"/>
      <c r="S1505" s="19"/>
      <c r="T1505" s="19"/>
      <c r="U1505" s="19"/>
      <c r="V1505" s="19"/>
      <c r="W1505" s="19"/>
      <c r="X1505" s="19"/>
      <c r="Y1505" s="19"/>
      <c r="Z1505" s="19"/>
      <c r="AA1505" s="19"/>
      <c r="AB1505" s="19"/>
      <c r="AC1505" s="56"/>
    </row>
    <row r="1506" spans="1:29" ht="13.8" thickBot="1">
      <c r="A1506" s="93" t="s">
        <v>1</v>
      </c>
      <c r="B1506" s="94" t="s">
        <v>2</v>
      </c>
      <c r="C1506" s="125" t="s">
        <v>3</v>
      </c>
      <c r="D1506" s="211" t="s">
        <v>4</v>
      </c>
      <c r="E1506" s="212"/>
      <c r="F1506" s="212"/>
      <c r="G1506" s="212"/>
      <c r="H1506" s="212"/>
      <c r="I1506" s="212"/>
      <c r="J1506" s="212"/>
      <c r="K1506" s="212"/>
      <c r="L1506" s="212"/>
      <c r="M1506" s="212"/>
      <c r="N1506" s="212"/>
      <c r="O1506" s="212"/>
      <c r="P1506" s="212"/>
      <c r="Q1506" s="212"/>
      <c r="R1506" s="212"/>
      <c r="S1506" s="212"/>
      <c r="T1506" s="212"/>
      <c r="U1506" s="212"/>
      <c r="V1506" s="212"/>
      <c r="W1506" s="212"/>
      <c r="X1506" s="212"/>
      <c r="Y1506" s="212"/>
      <c r="Z1506" s="103"/>
      <c r="AA1506" s="103"/>
      <c r="AB1506" s="103"/>
      <c r="AC1506" s="56"/>
    </row>
    <row r="1507" spans="1:29">
      <c r="A1507" s="95" t="s">
        <v>5</v>
      </c>
      <c r="B1507" s="96" t="s">
        <v>6</v>
      </c>
      <c r="C1507" s="126" t="s">
        <v>6</v>
      </c>
      <c r="D1507" s="97"/>
      <c r="E1507" s="98"/>
      <c r="F1507" s="98"/>
      <c r="G1507" s="98"/>
      <c r="H1507" s="98"/>
      <c r="I1507" s="98"/>
      <c r="J1507" s="98"/>
      <c r="K1507" s="98"/>
      <c r="L1507" s="98"/>
      <c r="M1507" s="98"/>
      <c r="N1507" s="98"/>
      <c r="O1507" s="98"/>
      <c r="P1507" s="98"/>
      <c r="Q1507" s="98"/>
      <c r="R1507" s="98"/>
      <c r="S1507" s="98"/>
      <c r="T1507" s="98"/>
      <c r="U1507" s="98"/>
      <c r="V1507" s="98"/>
      <c r="W1507" s="98"/>
      <c r="X1507" s="98"/>
      <c r="Y1507" s="99"/>
      <c r="Z1507" s="96" t="s">
        <v>7</v>
      </c>
      <c r="AA1507" s="96"/>
      <c r="AB1507" s="96"/>
      <c r="AC1507" s="56"/>
    </row>
    <row r="1508" spans="1:29">
      <c r="A1508" s="95" t="s">
        <v>8</v>
      </c>
      <c r="B1508" s="96" t="s">
        <v>9</v>
      </c>
      <c r="C1508" s="126" t="s">
        <v>9</v>
      </c>
      <c r="D1508" s="100" t="s">
        <v>10</v>
      </c>
      <c r="E1508" s="96" t="s">
        <v>11</v>
      </c>
      <c r="F1508" s="96" t="s">
        <v>12</v>
      </c>
      <c r="G1508" s="96" t="s">
        <v>13</v>
      </c>
      <c r="H1508" s="96" t="s">
        <v>14</v>
      </c>
      <c r="I1508" s="96" t="s">
        <v>15</v>
      </c>
      <c r="J1508" s="96" t="s">
        <v>16</v>
      </c>
      <c r="K1508" s="96" t="s">
        <v>17</v>
      </c>
      <c r="L1508" s="96" t="s">
        <v>18</v>
      </c>
      <c r="M1508" s="96" t="s">
        <v>19</v>
      </c>
      <c r="N1508" s="96" t="s">
        <v>20</v>
      </c>
      <c r="O1508" s="96" t="s">
        <v>169</v>
      </c>
      <c r="P1508" s="96" t="s">
        <v>21</v>
      </c>
      <c r="Q1508" s="96" t="s">
        <v>22</v>
      </c>
      <c r="R1508" s="96" t="s">
        <v>23</v>
      </c>
      <c r="S1508" s="96" t="s">
        <v>24</v>
      </c>
      <c r="T1508" s="96" t="s">
        <v>25</v>
      </c>
      <c r="U1508" s="96" t="s">
        <v>26</v>
      </c>
      <c r="V1508" s="96" t="s">
        <v>27</v>
      </c>
      <c r="W1508" s="96" t="s">
        <v>28</v>
      </c>
      <c r="X1508" s="96" t="s">
        <v>29</v>
      </c>
      <c r="Y1508" s="96" t="s">
        <v>30</v>
      </c>
      <c r="Z1508" s="96" t="s">
        <v>31</v>
      </c>
      <c r="AA1508" s="96" t="s">
        <v>484</v>
      </c>
      <c r="AB1508" s="96" t="s">
        <v>467</v>
      </c>
      <c r="AC1508" s="56"/>
    </row>
    <row r="1509" spans="1:29">
      <c r="A1509" s="95"/>
      <c r="B1509" s="96"/>
      <c r="C1509" s="126" t="s">
        <v>746</v>
      </c>
      <c r="D1509" s="101"/>
      <c r="E1509" s="102"/>
      <c r="F1509" s="102"/>
      <c r="G1509" s="102"/>
      <c r="H1509" s="102"/>
      <c r="I1509" s="102"/>
      <c r="J1509" s="102"/>
      <c r="K1509" s="102"/>
      <c r="L1509" s="102"/>
      <c r="M1509" s="102"/>
      <c r="N1509" s="102"/>
      <c r="O1509" s="102"/>
      <c r="P1509" s="102"/>
      <c r="Q1509" s="102"/>
      <c r="R1509" s="102"/>
      <c r="S1509" s="102"/>
      <c r="T1509" s="102"/>
      <c r="U1509" s="102"/>
      <c r="V1509" s="102"/>
      <c r="W1509" s="102"/>
      <c r="X1509" s="102"/>
      <c r="Y1509" s="102"/>
      <c r="Z1509" s="102"/>
      <c r="AA1509" s="102"/>
      <c r="AB1509" s="102"/>
      <c r="AC1509" s="56"/>
    </row>
    <row r="1510" spans="1:29" s="14" customFormat="1">
      <c r="A1510" s="105" t="s">
        <v>684</v>
      </c>
      <c r="B1510" s="50">
        <v>17579628</v>
      </c>
      <c r="C1510" s="130">
        <f>ROUND(B1510/12,2)</f>
        <v>1464969</v>
      </c>
      <c r="D1510" s="106"/>
      <c r="E1510" s="106"/>
      <c r="F1510" s="106"/>
      <c r="G1510" s="106"/>
      <c r="H1510" s="106"/>
      <c r="I1510" s="106">
        <v>1</v>
      </c>
      <c r="J1510" s="106"/>
      <c r="K1510" s="106"/>
      <c r="L1510" s="106"/>
      <c r="M1510" s="106"/>
      <c r="N1510" s="106"/>
      <c r="O1510" s="106"/>
      <c r="P1510" s="106"/>
      <c r="Q1510" s="106"/>
      <c r="R1510" s="106"/>
      <c r="S1510" s="106"/>
      <c r="T1510" s="106"/>
      <c r="U1510" s="106"/>
      <c r="V1510" s="106"/>
      <c r="W1510" s="106"/>
      <c r="X1510" s="106"/>
      <c r="Y1510" s="106"/>
      <c r="Z1510" s="107"/>
      <c r="AA1510" s="107"/>
      <c r="AB1510" s="107"/>
      <c r="AC1510" s="56"/>
    </row>
    <row r="1511" spans="1:29" s="14" customFormat="1">
      <c r="A1511" s="72"/>
      <c r="C1511" s="130"/>
      <c r="D1511" s="27">
        <f t="shared" ref="D1511:AB1511" si="2213">$C1510*D1510</f>
        <v>0</v>
      </c>
      <c r="E1511" s="27">
        <f t="shared" si="2213"/>
        <v>0</v>
      </c>
      <c r="F1511" s="27">
        <f t="shared" si="2213"/>
        <v>0</v>
      </c>
      <c r="G1511" s="27">
        <f t="shared" si="2213"/>
        <v>0</v>
      </c>
      <c r="H1511" s="27">
        <f t="shared" si="2213"/>
        <v>0</v>
      </c>
      <c r="I1511" s="27">
        <f t="shared" si="2213"/>
        <v>1464969</v>
      </c>
      <c r="J1511" s="27">
        <f t="shared" si="2213"/>
        <v>0</v>
      </c>
      <c r="K1511" s="27">
        <f t="shared" si="2213"/>
        <v>0</v>
      </c>
      <c r="L1511" s="27">
        <f t="shared" si="2213"/>
        <v>0</v>
      </c>
      <c r="M1511" s="27">
        <f t="shared" si="2213"/>
        <v>0</v>
      </c>
      <c r="N1511" s="27">
        <f t="shared" si="2213"/>
        <v>0</v>
      </c>
      <c r="O1511" s="27">
        <f t="shared" si="2213"/>
        <v>0</v>
      </c>
      <c r="P1511" s="27">
        <f t="shared" si="2213"/>
        <v>0</v>
      </c>
      <c r="Q1511" s="27">
        <f t="shared" si="2213"/>
        <v>0</v>
      </c>
      <c r="R1511" s="27">
        <f t="shared" si="2213"/>
        <v>0</v>
      </c>
      <c r="S1511" s="27">
        <f t="shared" si="2213"/>
        <v>0</v>
      </c>
      <c r="T1511" s="27">
        <f t="shared" si="2213"/>
        <v>0</v>
      </c>
      <c r="U1511" s="27">
        <f t="shared" si="2213"/>
        <v>0</v>
      </c>
      <c r="V1511" s="27">
        <f t="shared" si="2213"/>
        <v>0</v>
      </c>
      <c r="W1511" s="27">
        <f t="shared" si="2213"/>
        <v>0</v>
      </c>
      <c r="X1511" s="27">
        <f t="shared" si="2213"/>
        <v>0</v>
      </c>
      <c r="Y1511" s="27">
        <f t="shared" si="2213"/>
        <v>0</v>
      </c>
      <c r="Z1511" s="27">
        <f t="shared" si="2213"/>
        <v>0</v>
      </c>
      <c r="AA1511" s="27">
        <f t="shared" si="2213"/>
        <v>0</v>
      </c>
      <c r="AB1511" s="27">
        <f t="shared" si="2213"/>
        <v>0</v>
      </c>
      <c r="AC1511" s="56"/>
    </row>
    <row r="1512" spans="1:29" s="14" customFormat="1">
      <c r="A1512" s="105" t="s">
        <v>685</v>
      </c>
      <c r="B1512" s="50">
        <f>SUM(1888399*0.4725)</f>
        <v>892268.52749999997</v>
      </c>
      <c r="C1512" s="130">
        <f>ROUND(B1512/12,2)</f>
        <v>74355.710000000006</v>
      </c>
      <c r="D1512" s="106"/>
      <c r="E1512" s="106"/>
      <c r="F1512" s="106"/>
      <c r="G1512" s="106"/>
      <c r="H1512" s="106"/>
      <c r="I1512" s="106">
        <v>1</v>
      </c>
      <c r="J1512" s="106"/>
      <c r="K1512" s="106"/>
      <c r="L1512" s="106"/>
      <c r="M1512" s="106"/>
      <c r="N1512" s="106"/>
      <c r="O1512" s="106"/>
      <c r="P1512" s="106"/>
      <c r="Q1512" s="106"/>
      <c r="R1512" s="106"/>
      <c r="S1512" s="106"/>
      <c r="T1512" s="106"/>
      <c r="U1512" s="106"/>
      <c r="V1512" s="106"/>
      <c r="W1512" s="106"/>
      <c r="X1512" s="106"/>
      <c r="Y1512" s="106"/>
      <c r="Z1512" s="107"/>
      <c r="AA1512" s="107"/>
      <c r="AB1512" s="107"/>
      <c r="AC1512" s="56"/>
    </row>
    <row r="1513" spans="1:29" s="14" customFormat="1">
      <c r="A1513" s="72"/>
      <c r="C1513" s="130"/>
      <c r="D1513" s="27">
        <f t="shared" ref="D1513:AB1513" si="2214">$C1512*D1512</f>
        <v>0</v>
      </c>
      <c r="E1513" s="27">
        <f t="shared" si="2214"/>
        <v>0</v>
      </c>
      <c r="F1513" s="27">
        <f t="shared" si="2214"/>
        <v>0</v>
      </c>
      <c r="G1513" s="27">
        <f t="shared" si="2214"/>
        <v>0</v>
      </c>
      <c r="H1513" s="27">
        <f t="shared" si="2214"/>
        <v>0</v>
      </c>
      <c r="I1513" s="27">
        <f t="shared" si="2214"/>
        <v>74355.710000000006</v>
      </c>
      <c r="J1513" s="27">
        <f t="shared" si="2214"/>
        <v>0</v>
      </c>
      <c r="K1513" s="27">
        <f t="shared" si="2214"/>
        <v>0</v>
      </c>
      <c r="L1513" s="27">
        <f t="shared" si="2214"/>
        <v>0</v>
      </c>
      <c r="M1513" s="27">
        <f t="shared" si="2214"/>
        <v>0</v>
      </c>
      <c r="N1513" s="27">
        <f t="shared" si="2214"/>
        <v>0</v>
      </c>
      <c r="O1513" s="27">
        <f t="shared" si="2214"/>
        <v>0</v>
      </c>
      <c r="P1513" s="27">
        <f t="shared" si="2214"/>
        <v>0</v>
      </c>
      <c r="Q1513" s="27">
        <f t="shared" si="2214"/>
        <v>0</v>
      </c>
      <c r="R1513" s="27">
        <f t="shared" si="2214"/>
        <v>0</v>
      </c>
      <c r="S1513" s="27">
        <f t="shared" si="2214"/>
        <v>0</v>
      </c>
      <c r="T1513" s="27">
        <f t="shared" si="2214"/>
        <v>0</v>
      </c>
      <c r="U1513" s="27">
        <f t="shared" si="2214"/>
        <v>0</v>
      </c>
      <c r="V1513" s="27">
        <f t="shared" si="2214"/>
        <v>0</v>
      </c>
      <c r="W1513" s="27">
        <f t="shared" si="2214"/>
        <v>0</v>
      </c>
      <c r="X1513" s="27">
        <f t="shared" si="2214"/>
        <v>0</v>
      </c>
      <c r="Y1513" s="27">
        <f t="shared" si="2214"/>
        <v>0</v>
      </c>
      <c r="Z1513" s="27">
        <f t="shared" si="2214"/>
        <v>0</v>
      </c>
      <c r="AA1513" s="27">
        <f t="shared" si="2214"/>
        <v>0</v>
      </c>
      <c r="AB1513" s="27">
        <f t="shared" si="2214"/>
        <v>0</v>
      </c>
      <c r="AC1513" s="56"/>
    </row>
    <row r="1514" spans="1:29" s="14" customFormat="1">
      <c r="A1514" s="105" t="s">
        <v>686</v>
      </c>
      <c r="B1514" s="50">
        <f>SUM(1888399*0.5275)</f>
        <v>996130.47249999992</v>
      </c>
      <c r="C1514" s="130">
        <f>ROUND(B1514/12,2)</f>
        <v>83010.87</v>
      </c>
      <c r="D1514" s="106">
        <v>8.6999999999999994E-3</v>
      </c>
      <c r="E1514" s="106">
        <v>0.2407</v>
      </c>
      <c r="F1514" s="106">
        <v>3.95E-2</v>
      </c>
      <c r="G1514" s="106">
        <v>0.1104</v>
      </c>
      <c r="H1514" s="106">
        <v>4.2999999999999997E-2</v>
      </c>
      <c r="I1514" s="106"/>
      <c r="J1514" s="106">
        <v>3.5200000000000002E-2</v>
      </c>
      <c r="K1514" s="106">
        <v>5.3499999999999999E-2</v>
      </c>
      <c r="L1514" s="106">
        <v>2.1100000000000001E-2</v>
      </c>
      <c r="M1514" s="106">
        <v>1.7299999999999999E-2</v>
      </c>
      <c r="N1514" s="106">
        <v>0.2009</v>
      </c>
      <c r="O1514" s="106">
        <v>1.7299999999999999E-2</v>
      </c>
      <c r="P1514" s="106">
        <v>6.9999999999999999E-4</v>
      </c>
      <c r="Q1514" s="106">
        <v>1.9800000000000002E-2</v>
      </c>
      <c r="R1514" s="106">
        <v>1.6299999999999999E-2</v>
      </c>
      <c r="S1514" s="106">
        <v>4.3E-3</v>
      </c>
      <c r="T1514" s="106">
        <v>3.5900000000000001E-2</v>
      </c>
      <c r="U1514" s="106">
        <v>1.6799999999999999E-2</v>
      </c>
      <c r="V1514" s="106">
        <v>3.9100000000000003E-2</v>
      </c>
      <c r="W1514" s="106">
        <v>3.6400000000000002E-2</v>
      </c>
      <c r="X1514" s="106">
        <v>3.9300000000000002E-2</v>
      </c>
      <c r="Y1514" s="106">
        <v>1.4E-3</v>
      </c>
      <c r="Z1514" s="107">
        <v>1.6999999999999999E-3</v>
      </c>
      <c r="AA1514" s="107">
        <v>6.9999999999999999E-4</v>
      </c>
      <c r="AB1514" s="107"/>
      <c r="AC1514" s="56"/>
    </row>
    <row r="1515" spans="1:29" s="14" customFormat="1">
      <c r="A1515" s="72"/>
      <c r="C1515" s="130"/>
      <c r="D1515" s="27">
        <f t="shared" ref="D1515:AB1515" si="2215">$C1514*D1514</f>
        <v>722.19456899999989</v>
      </c>
      <c r="E1515" s="27">
        <f t="shared" si="2215"/>
        <v>19980.716408999997</v>
      </c>
      <c r="F1515" s="27">
        <f t="shared" si="2215"/>
        <v>3278.929365</v>
      </c>
      <c r="G1515" s="27">
        <f t="shared" si="2215"/>
        <v>9164.4000479999995</v>
      </c>
      <c r="H1515" s="27">
        <f t="shared" si="2215"/>
        <v>3569.4674099999993</v>
      </c>
      <c r="I1515" s="27">
        <f t="shared" si="2215"/>
        <v>0</v>
      </c>
      <c r="J1515" s="27">
        <f t="shared" si="2215"/>
        <v>2921.9826240000002</v>
      </c>
      <c r="K1515" s="27">
        <f t="shared" si="2215"/>
        <v>4441.081545</v>
      </c>
      <c r="L1515" s="27">
        <f t="shared" si="2215"/>
        <v>1751.5293569999999</v>
      </c>
      <c r="M1515" s="27">
        <f t="shared" si="2215"/>
        <v>1436.088051</v>
      </c>
      <c r="N1515" s="27">
        <f t="shared" si="2215"/>
        <v>16676.883782999997</v>
      </c>
      <c r="O1515" s="27">
        <f t="shared" si="2215"/>
        <v>1436.088051</v>
      </c>
      <c r="P1515" s="27">
        <f t="shared" si="2215"/>
        <v>58.107608999999997</v>
      </c>
      <c r="Q1515" s="27">
        <f t="shared" si="2215"/>
        <v>1643.6152260000001</v>
      </c>
      <c r="R1515" s="27">
        <f t="shared" si="2215"/>
        <v>1353.0771809999999</v>
      </c>
      <c r="S1515" s="27">
        <f t="shared" si="2215"/>
        <v>356.94674099999997</v>
      </c>
      <c r="T1515" s="27">
        <f t="shared" si="2215"/>
        <v>2980.0902329999999</v>
      </c>
      <c r="U1515" s="27">
        <f t="shared" si="2215"/>
        <v>1394.5826159999999</v>
      </c>
      <c r="V1515" s="27">
        <f t="shared" si="2215"/>
        <v>3245.7250170000002</v>
      </c>
      <c r="W1515" s="27">
        <f t="shared" si="2215"/>
        <v>3021.5956679999999</v>
      </c>
      <c r="X1515" s="27">
        <f t="shared" si="2215"/>
        <v>3262.3271909999999</v>
      </c>
      <c r="Y1515" s="27">
        <f t="shared" si="2215"/>
        <v>116.21521799999999</v>
      </c>
      <c r="Z1515" s="27">
        <f t="shared" si="2215"/>
        <v>141.11847899999998</v>
      </c>
      <c r="AA1515" s="27">
        <f t="shared" si="2215"/>
        <v>58.107608999999997</v>
      </c>
      <c r="AB1515" s="27">
        <f t="shared" si="2215"/>
        <v>0</v>
      </c>
      <c r="AC1515" s="56"/>
    </row>
    <row r="1516" spans="1:29" s="14" customFormat="1">
      <c r="A1516" s="105" t="s">
        <v>687</v>
      </c>
      <c r="B1516" s="50">
        <f>4100785/2</f>
        <v>2050392.5</v>
      </c>
      <c r="C1516" s="130">
        <f>ROUND(B1516/12,2)</f>
        <v>170866.04</v>
      </c>
      <c r="D1516" s="35">
        <v>1.6299999999999999E-2</v>
      </c>
      <c r="E1516" s="35">
        <v>0.14269999999999999</v>
      </c>
      <c r="F1516" s="35">
        <v>5.8900000000000001E-2</v>
      </c>
      <c r="G1516" s="35">
        <v>7.6200000000000004E-2</v>
      </c>
      <c r="H1516" s="35">
        <v>3.9600000000000003E-2</v>
      </c>
      <c r="I1516" s="35">
        <v>0.12470000000000001</v>
      </c>
      <c r="J1516" s="35">
        <v>2.0400000000000001E-2</v>
      </c>
      <c r="K1516" s="35">
        <v>3.1199999999999999E-2</v>
      </c>
      <c r="L1516" s="35">
        <v>1.6199999999999999E-2</v>
      </c>
      <c r="M1516" s="35">
        <v>2.53E-2</v>
      </c>
      <c r="N1516" s="35">
        <v>0.14849999999999999</v>
      </c>
      <c r="O1516" s="35">
        <v>2.2599999999999999E-2</v>
      </c>
      <c r="P1516" s="35">
        <v>0</v>
      </c>
      <c r="Q1516" s="35">
        <v>3.78E-2</v>
      </c>
      <c r="R1516" s="35">
        <v>1.8100000000000002E-2</v>
      </c>
      <c r="S1516" s="35">
        <v>4.1000000000000003E-3</v>
      </c>
      <c r="T1516" s="35">
        <v>5.04E-2</v>
      </c>
      <c r="U1516" s="35">
        <v>1.7500000000000002E-2</v>
      </c>
      <c r="V1516" s="35">
        <v>3.6200000000000003E-2</v>
      </c>
      <c r="W1516" s="35">
        <v>4.8500000000000001E-2</v>
      </c>
      <c r="X1516" s="35">
        <v>6.1600000000000002E-2</v>
      </c>
      <c r="Y1516" s="35">
        <v>2.5000000000000001E-3</v>
      </c>
      <c r="Z1516" s="4">
        <v>0</v>
      </c>
      <c r="AA1516" s="4">
        <v>6.9999999999999999E-4</v>
      </c>
      <c r="AB1516" s="4">
        <v>0</v>
      </c>
      <c r="AC1516" s="56"/>
    </row>
    <row r="1517" spans="1:29" s="14" customFormat="1">
      <c r="A1517" s="72"/>
      <c r="C1517" s="130"/>
      <c r="D1517" s="27">
        <f t="shared" ref="D1517:AB1517" si="2216">$C1516*D1516</f>
        <v>2785.1164519999998</v>
      </c>
      <c r="E1517" s="27">
        <f t="shared" si="2216"/>
        <v>24382.583908000001</v>
      </c>
      <c r="F1517" s="27">
        <f t="shared" si="2216"/>
        <v>10064.009756000001</v>
      </c>
      <c r="G1517" s="27">
        <f t="shared" si="2216"/>
        <v>13019.992248</v>
      </c>
      <c r="H1517" s="27">
        <f t="shared" si="2216"/>
        <v>6766.2951840000005</v>
      </c>
      <c r="I1517" s="27">
        <f t="shared" si="2216"/>
        <v>21306.995188000001</v>
      </c>
      <c r="J1517" s="27">
        <f t="shared" si="2216"/>
        <v>3485.6672160000003</v>
      </c>
      <c r="K1517" s="27">
        <f t="shared" si="2216"/>
        <v>5331.0204480000002</v>
      </c>
      <c r="L1517" s="27">
        <f t="shared" si="2216"/>
        <v>2768.0298480000001</v>
      </c>
      <c r="M1517" s="27">
        <f t="shared" si="2216"/>
        <v>4322.9108120000001</v>
      </c>
      <c r="N1517" s="27">
        <f t="shared" si="2216"/>
        <v>25373.606940000001</v>
      </c>
      <c r="O1517" s="27">
        <f t="shared" si="2216"/>
        <v>3861.5725039999998</v>
      </c>
      <c r="P1517" s="27">
        <f t="shared" si="2216"/>
        <v>0</v>
      </c>
      <c r="Q1517" s="27">
        <f t="shared" si="2216"/>
        <v>6458.736312</v>
      </c>
      <c r="R1517" s="27">
        <f t="shared" si="2216"/>
        <v>3092.6753240000003</v>
      </c>
      <c r="S1517" s="27">
        <f t="shared" si="2216"/>
        <v>700.55076400000007</v>
      </c>
      <c r="T1517" s="27">
        <f t="shared" si="2216"/>
        <v>8611.648416</v>
      </c>
      <c r="U1517" s="27">
        <f t="shared" si="2216"/>
        <v>2990.1557000000003</v>
      </c>
      <c r="V1517" s="27">
        <f t="shared" si="2216"/>
        <v>6185.3506480000005</v>
      </c>
      <c r="W1517" s="27">
        <f t="shared" si="2216"/>
        <v>8287.0029400000003</v>
      </c>
      <c r="X1517" s="27">
        <f t="shared" si="2216"/>
        <v>10525.348064000002</v>
      </c>
      <c r="Y1517" s="27">
        <f t="shared" si="2216"/>
        <v>427.16510000000005</v>
      </c>
      <c r="Z1517" s="27">
        <f t="shared" si="2216"/>
        <v>0</v>
      </c>
      <c r="AA1517" s="27">
        <f t="shared" si="2216"/>
        <v>119.606228</v>
      </c>
      <c r="AB1517" s="27">
        <f t="shared" si="2216"/>
        <v>0</v>
      </c>
      <c r="AC1517" s="56"/>
    </row>
    <row r="1518" spans="1:29" s="14" customFormat="1">
      <c r="A1518" s="105" t="s">
        <v>688</v>
      </c>
      <c r="B1518" s="50">
        <f>4100785/2</f>
        <v>2050392.5</v>
      </c>
      <c r="C1518" s="130">
        <f>ROUND(B1518/12,2)</f>
        <v>170866.04</v>
      </c>
      <c r="D1518" s="106"/>
      <c r="E1518" s="106"/>
      <c r="F1518" s="106">
        <v>0.25590000000000002</v>
      </c>
      <c r="G1518" s="106"/>
      <c r="H1518" s="106">
        <v>9.7900000000000001E-2</v>
      </c>
      <c r="I1518" s="106"/>
      <c r="J1518" s="106"/>
      <c r="K1518" s="106"/>
      <c r="L1518" s="106"/>
      <c r="M1518" s="106"/>
      <c r="N1518" s="106">
        <v>0.51939999999999997</v>
      </c>
      <c r="O1518" s="106"/>
      <c r="P1518" s="106"/>
      <c r="Q1518" s="106"/>
      <c r="R1518" s="106"/>
      <c r="S1518" s="106"/>
      <c r="T1518" s="106"/>
      <c r="U1518" s="106"/>
      <c r="V1518" s="106">
        <v>0.1268</v>
      </c>
      <c r="W1518" s="106"/>
      <c r="X1518" s="106"/>
      <c r="Y1518" s="106"/>
      <c r="Z1518" s="107"/>
      <c r="AA1518" s="107"/>
      <c r="AB1518" s="107"/>
      <c r="AC1518" s="56"/>
    </row>
    <row r="1519" spans="1:29" s="14" customFormat="1">
      <c r="A1519" s="72"/>
      <c r="C1519" s="130"/>
      <c r="D1519" s="27">
        <f t="shared" ref="D1519:AB1519" si="2217">$C1518*D1518</f>
        <v>0</v>
      </c>
      <c r="E1519" s="27">
        <f t="shared" si="2217"/>
        <v>0</v>
      </c>
      <c r="F1519" s="27">
        <f t="shared" si="2217"/>
        <v>43724.619636000003</v>
      </c>
      <c r="G1519" s="27">
        <f t="shared" si="2217"/>
        <v>0</v>
      </c>
      <c r="H1519" s="27">
        <f t="shared" si="2217"/>
        <v>16727.785316000001</v>
      </c>
      <c r="I1519" s="27">
        <f t="shared" si="2217"/>
        <v>0</v>
      </c>
      <c r="J1519" s="27">
        <f t="shared" si="2217"/>
        <v>0</v>
      </c>
      <c r="K1519" s="27">
        <f t="shared" si="2217"/>
        <v>0</v>
      </c>
      <c r="L1519" s="27">
        <f t="shared" si="2217"/>
        <v>0</v>
      </c>
      <c r="M1519" s="27">
        <f t="shared" si="2217"/>
        <v>0</v>
      </c>
      <c r="N1519" s="27">
        <f t="shared" si="2217"/>
        <v>88747.821175999998</v>
      </c>
      <c r="O1519" s="27">
        <f t="shared" si="2217"/>
        <v>0</v>
      </c>
      <c r="P1519" s="27">
        <f t="shared" si="2217"/>
        <v>0</v>
      </c>
      <c r="Q1519" s="27">
        <f t="shared" si="2217"/>
        <v>0</v>
      </c>
      <c r="R1519" s="27">
        <f t="shared" si="2217"/>
        <v>0</v>
      </c>
      <c r="S1519" s="27">
        <f t="shared" si="2217"/>
        <v>0</v>
      </c>
      <c r="T1519" s="27">
        <f t="shared" si="2217"/>
        <v>0</v>
      </c>
      <c r="U1519" s="27">
        <f t="shared" si="2217"/>
        <v>0</v>
      </c>
      <c r="V1519" s="27">
        <f t="shared" si="2217"/>
        <v>21665.813871999999</v>
      </c>
      <c r="W1519" s="27">
        <f t="shared" si="2217"/>
        <v>0</v>
      </c>
      <c r="X1519" s="27">
        <f t="shared" si="2217"/>
        <v>0</v>
      </c>
      <c r="Y1519" s="27">
        <f t="shared" si="2217"/>
        <v>0</v>
      </c>
      <c r="Z1519" s="27">
        <f t="shared" si="2217"/>
        <v>0</v>
      </c>
      <c r="AA1519" s="27">
        <f t="shared" si="2217"/>
        <v>0</v>
      </c>
      <c r="AB1519" s="27">
        <f t="shared" si="2217"/>
        <v>0</v>
      </c>
      <c r="AC1519" s="56"/>
    </row>
    <row r="1520" spans="1:29" s="14" customFormat="1">
      <c r="A1520" s="105" t="s">
        <v>689</v>
      </c>
      <c r="B1520" s="50">
        <f>631443/2</f>
        <v>315721.5</v>
      </c>
      <c r="C1520" s="130">
        <f>ROUND(B1520/12,2)</f>
        <v>26310.13</v>
      </c>
      <c r="D1520" s="35">
        <v>1.6299999999999999E-2</v>
      </c>
      <c r="E1520" s="35">
        <v>0.14269999999999999</v>
      </c>
      <c r="F1520" s="35">
        <v>5.8900000000000001E-2</v>
      </c>
      <c r="G1520" s="35">
        <v>7.6200000000000004E-2</v>
      </c>
      <c r="H1520" s="35">
        <v>3.9600000000000003E-2</v>
      </c>
      <c r="I1520" s="35">
        <v>0.12470000000000001</v>
      </c>
      <c r="J1520" s="35">
        <v>2.0400000000000001E-2</v>
      </c>
      <c r="K1520" s="35">
        <v>3.1199999999999999E-2</v>
      </c>
      <c r="L1520" s="35">
        <v>1.6199999999999999E-2</v>
      </c>
      <c r="M1520" s="35">
        <v>2.53E-2</v>
      </c>
      <c r="N1520" s="35">
        <v>0.14849999999999999</v>
      </c>
      <c r="O1520" s="35">
        <v>2.2599999999999999E-2</v>
      </c>
      <c r="P1520" s="35">
        <v>0</v>
      </c>
      <c r="Q1520" s="35">
        <v>3.78E-2</v>
      </c>
      <c r="R1520" s="35">
        <v>1.8100000000000002E-2</v>
      </c>
      <c r="S1520" s="35">
        <v>4.1000000000000003E-3</v>
      </c>
      <c r="T1520" s="35">
        <v>5.04E-2</v>
      </c>
      <c r="U1520" s="35">
        <v>1.7500000000000002E-2</v>
      </c>
      <c r="V1520" s="35">
        <v>3.6200000000000003E-2</v>
      </c>
      <c r="W1520" s="35">
        <v>4.8500000000000001E-2</v>
      </c>
      <c r="X1520" s="35">
        <v>6.1600000000000002E-2</v>
      </c>
      <c r="Y1520" s="35">
        <v>2.5000000000000001E-3</v>
      </c>
      <c r="Z1520" s="4">
        <v>0</v>
      </c>
      <c r="AA1520" s="4">
        <v>6.9999999999999999E-4</v>
      </c>
      <c r="AB1520" s="4">
        <v>0</v>
      </c>
      <c r="AC1520" s="56"/>
    </row>
    <row r="1521" spans="1:29" s="14" customFormat="1">
      <c r="A1521" s="72"/>
      <c r="C1521" s="130"/>
      <c r="D1521" s="27">
        <f t="shared" ref="D1521:AB1521" si="2218">$C1520*D1520</f>
        <v>428.855119</v>
      </c>
      <c r="E1521" s="27">
        <f t="shared" si="2218"/>
        <v>3754.455551</v>
      </c>
      <c r="F1521" s="27">
        <f t="shared" si="2218"/>
        <v>1549.666657</v>
      </c>
      <c r="G1521" s="27">
        <f t="shared" si="2218"/>
        <v>2004.8319060000001</v>
      </c>
      <c r="H1521" s="27">
        <f t="shared" si="2218"/>
        <v>1041.8811480000002</v>
      </c>
      <c r="I1521" s="27">
        <f t="shared" si="2218"/>
        <v>3280.8732110000001</v>
      </c>
      <c r="J1521" s="27">
        <f t="shared" si="2218"/>
        <v>536.72665200000006</v>
      </c>
      <c r="K1521" s="27">
        <f t="shared" si="2218"/>
        <v>820.87605599999995</v>
      </c>
      <c r="L1521" s="27">
        <f t="shared" si="2218"/>
        <v>426.22410600000001</v>
      </c>
      <c r="M1521" s="27">
        <f t="shared" si="2218"/>
        <v>665.64628900000002</v>
      </c>
      <c r="N1521" s="27">
        <f t="shared" si="2218"/>
        <v>3907.0543050000001</v>
      </c>
      <c r="O1521" s="27">
        <f t="shared" si="2218"/>
        <v>594.60893799999997</v>
      </c>
      <c r="P1521" s="27">
        <f t="shared" si="2218"/>
        <v>0</v>
      </c>
      <c r="Q1521" s="27">
        <f t="shared" si="2218"/>
        <v>994.52291400000001</v>
      </c>
      <c r="R1521" s="27">
        <f t="shared" si="2218"/>
        <v>476.21335300000004</v>
      </c>
      <c r="S1521" s="27">
        <f t="shared" si="2218"/>
        <v>107.87153300000001</v>
      </c>
      <c r="T1521" s="27">
        <f t="shared" si="2218"/>
        <v>1326.0305520000002</v>
      </c>
      <c r="U1521" s="27">
        <f t="shared" si="2218"/>
        <v>460.42727500000007</v>
      </c>
      <c r="V1521" s="27">
        <f t="shared" si="2218"/>
        <v>952.42670600000008</v>
      </c>
      <c r="W1521" s="27">
        <f t="shared" si="2218"/>
        <v>1276.0413050000002</v>
      </c>
      <c r="X1521" s="27">
        <f t="shared" si="2218"/>
        <v>1620.7040080000002</v>
      </c>
      <c r="Y1521" s="27">
        <f t="shared" si="2218"/>
        <v>65.775325000000009</v>
      </c>
      <c r="Z1521" s="27">
        <f t="shared" si="2218"/>
        <v>0</v>
      </c>
      <c r="AA1521" s="27">
        <f t="shared" si="2218"/>
        <v>18.417090999999999</v>
      </c>
      <c r="AB1521" s="27">
        <f t="shared" si="2218"/>
        <v>0</v>
      </c>
      <c r="AC1521" s="56"/>
    </row>
    <row r="1522" spans="1:29" s="14" customFormat="1">
      <c r="A1522" s="105" t="s">
        <v>690</v>
      </c>
      <c r="B1522" s="50">
        <f>631443/2</f>
        <v>315721.5</v>
      </c>
      <c r="C1522" s="130">
        <f>ROUND(B1522/12,2)</f>
        <v>26310.13</v>
      </c>
      <c r="D1522" s="106"/>
      <c r="E1522" s="106"/>
      <c r="F1522" s="106">
        <v>1</v>
      </c>
      <c r="G1522" s="106"/>
      <c r="H1522" s="106"/>
      <c r="I1522" s="106"/>
      <c r="J1522" s="106"/>
      <c r="K1522" s="106"/>
      <c r="L1522" s="106"/>
      <c r="M1522" s="106"/>
      <c r="N1522" s="106"/>
      <c r="O1522" s="106"/>
      <c r="P1522" s="106"/>
      <c r="Q1522" s="106"/>
      <c r="R1522" s="106"/>
      <c r="S1522" s="106"/>
      <c r="T1522" s="106"/>
      <c r="U1522" s="106"/>
      <c r="V1522" s="106"/>
      <c r="W1522" s="106"/>
      <c r="X1522" s="106"/>
      <c r="Y1522" s="106"/>
      <c r="Z1522" s="107"/>
      <c r="AA1522" s="107"/>
      <c r="AB1522" s="107"/>
      <c r="AC1522" s="56"/>
    </row>
    <row r="1523" spans="1:29" s="14" customFormat="1">
      <c r="A1523" s="72"/>
      <c r="C1523" s="130"/>
      <c r="D1523" s="27">
        <f t="shared" ref="D1523:AB1523" si="2219">$C1522*D1522</f>
        <v>0</v>
      </c>
      <c r="E1523" s="27">
        <f t="shared" si="2219"/>
        <v>0</v>
      </c>
      <c r="F1523" s="27">
        <f t="shared" si="2219"/>
        <v>26310.13</v>
      </c>
      <c r="G1523" s="27">
        <f t="shared" si="2219"/>
        <v>0</v>
      </c>
      <c r="H1523" s="27">
        <f t="shared" si="2219"/>
        <v>0</v>
      </c>
      <c r="I1523" s="27">
        <f t="shared" si="2219"/>
        <v>0</v>
      </c>
      <c r="J1523" s="27">
        <f t="shared" si="2219"/>
        <v>0</v>
      </c>
      <c r="K1523" s="27">
        <f t="shared" si="2219"/>
        <v>0</v>
      </c>
      <c r="L1523" s="27">
        <f t="shared" si="2219"/>
        <v>0</v>
      </c>
      <c r="M1523" s="27">
        <f t="shared" si="2219"/>
        <v>0</v>
      </c>
      <c r="N1523" s="27">
        <f t="shared" si="2219"/>
        <v>0</v>
      </c>
      <c r="O1523" s="27">
        <f t="shared" si="2219"/>
        <v>0</v>
      </c>
      <c r="P1523" s="27">
        <f t="shared" si="2219"/>
        <v>0</v>
      </c>
      <c r="Q1523" s="27">
        <f t="shared" si="2219"/>
        <v>0</v>
      </c>
      <c r="R1523" s="27">
        <f t="shared" si="2219"/>
        <v>0</v>
      </c>
      <c r="S1523" s="27">
        <f t="shared" si="2219"/>
        <v>0</v>
      </c>
      <c r="T1523" s="27">
        <f t="shared" si="2219"/>
        <v>0</v>
      </c>
      <c r="U1523" s="27">
        <f t="shared" si="2219"/>
        <v>0</v>
      </c>
      <c r="V1523" s="27">
        <f t="shared" si="2219"/>
        <v>0</v>
      </c>
      <c r="W1523" s="27">
        <f t="shared" si="2219"/>
        <v>0</v>
      </c>
      <c r="X1523" s="27">
        <f t="shared" si="2219"/>
        <v>0</v>
      </c>
      <c r="Y1523" s="27">
        <f t="shared" si="2219"/>
        <v>0</v>
      </c>
      <c r="Z1523" s="27">
        <f t="shared" si="2219"/>
        <v>0</v>
      </c>
      <c r="AA1523" s="27">
        <f t="shared" si="2219"/>
        <v>0</v>
      </c>
      <c r="AB1523" s="27">
        <f t="shared" si="2219"/>
        <v>0</v>
      </c>
      <c r="AC1523" s="56"/>
    </row>
    <row r="1524" spans="1:29" s="14" customFormat="1">
      <c r="A1524" s="105" t="s">
        <v>747</v>
      </c>
      <c r="B1524" s="50">
        <v>983306</v>
      </c>
      <c r="C1524" s="130">
        <f>ROUND(B1524/12,2)</f>
        <v>81942.17</v>
      </c>
      <c r="D1524" s="35"/>
      <c r="E1524" s="35"/>
      <c r="F1524" s="35">
        <v>1</v>
      </c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5"/>
      <c r="Y1524" s="35"/>
      <c r="Z1524" s="4"/>
      <c r="AA1524" s="4"/>
      <c r="AB1524" s="4"/>
      <c r="AC1524" s="56"/>
    </row>
    <row r="1525" spans="1:29" s="14" customFormat="1">
      <c r="A1525" s="72"/>
      <c r="C1525" s="130"/>
      <c r="D1525" s="27">
        <f t="shared" ref="D1525:AB1525" si="2220">$C1524*D1524</f>
        <v>0</v>
      </c>
      <c r="E1525" s="27">
        <f t="shared" si="2220"/>
        <v>0</v>
      </c>
      <c r="F1525" s="27">
        <f t="shared" si="2220"/>
        <v>81942.17</v>
      </c>
      <c r="G1525" s="27">
        <f t="shared" si="2220"/>
        <v>0</v>
      </c>
      <c r="H1525" s="27">
        <f t="shared" si="2220"/>
        <v>0</v>
      </c>
      <c r="I1525" s="27">
        <f t="shared" si="2220"/>
        <v>0</v>
      </c>
      <c r="J1525" s="27">
        <f t="shared" si="2220"/>
        <v>0</v>
      </c>
      <c r="K1525" s="27">
        <f t="shared" si="2220"/>
        <v>0</v>
      </c>
      <c r="L1525" s="27">
        <f t="shared" si="2220"/>
        <v>0</v>
      </c>
      <c r="M1525" s="27">
        <f t="shared" si="2220"/>
        <v>0</v>
      </c>
      <c r="N1525" s="27">
        <f t="shared" si="2220"/>
        <v>0</v>
      </c>
      <c r="O1525" s="27">
        <f t="shared" si="2220"/>
        <v>0</v>
      </c>
      <c r="P1525" s="27">
        <f t="shared" si="2220"/>
        <v>0</v>
      </c>
      <c r="Q1525" s="27">
        <f t="shared" si="2220"/>
        <v>0</v>
      </c>
      <c r="R1525" s="27">
        <f t="shared" si="2220"/>
        <v>0</v>
      </c>
      <c r="S1525" s="27">
        <f t="shared" si="2220"/>
        <v>0</v>
      </c>
      <c r="T1525" s="27">
        <f t="shared" si="2220"/>
        <v>0</v>
      </c>
      <c r="U1525" s="27">
        <f t="shared" si="2220"/>
        <v>0</v>
      </c>
      <c r="V1525" s="27">
        <f t="shared" si="2220"/>
        <v>0</v>
      </c>
      <c r="W1525" s="27">
        <f t="shared" si="2220"/>
        <v>0</v>
      </c>
      <c r="X1525" s="27">
        <f t="shared" si="2220"/>
        <v>0</v>
      </c>
      <c r="Y1525" s="27">
        <f t="shared" si="2220"/>
        <v>0</v>
      </c>
      <c r="Z1525" s="27">
        <f t="shared" si="2220"/>
        <v>0</v>
      </c>
      <c r="AA1525" s="27">
        <f t="shared" si="2220"/>
        <v>0</v>
      </c>
      <c r="AB1525" s="27">
        <f t="shared" si="2220"/>
        <v>0</v>
      </c>
      <c r="AC1525" s="56"/>
    </row>
    <row r="1526" spans="1:29" s="14" customFormat="1">
      <c r="A1526" s="105" t="s">
        <v>748</v>
      </c>
      <c r="B1526" s="50">
        <f>5560254/2</f>
        <v>2780127</v>
      </c>
      <c r="C1526" s="130">
        <f>ROUND(B1526/12,2)</f>
        <v>231677.25</v>
      </c>
      <c r="D1526" s="35">
        <v>1.6299999999999999E-2</v>
      </c>
      <c r="E1526" s="35">
        <v>0.14269999999999999</v>
      </c>
      <c r="F1526" s="35">
        <v>5.8900000000000001E-2</v>
      </c>
      <c r="G1526" s="35">
        <v>7.6200000000000004E-2</v>
      </c>
      <c r="H1526" s="35">
        <v>3.9600000000000003E-2</v>
      </c>
      <c r="I1526" s="35">
        <v>0.12470000000000001</v>
      </c>
      <c r="J1526" s="35">
        <v>2.0400000000000001E-2</v>
      </c>
      <c r="K1526" s="35">
        <v>3.1199999999999999E-2</v>
      </c>
      <c r="L1526" s="35">
        <v>1.6199999999999999E-2</v>
      </c>
      <c r="M1526" s="35">
        <v>2.53E-2</v>
      </c>
      <c r="N1526" s="35">
        <v>0.14849999999999999</v>
      </c>
      <c r="O1526" s="35">
        <v>2.2599999999999999E-2</v>
      </c>
      <c r="P1526" s="35">
        <v>0</v>
      </c>
      <c r="Q1526" s="35">
        <v>3.78E-2</v>
      </c>
      <c r="R1526" s="35">
        <v>1.8100000000000002E-2</v>
      </c>
      <c r="S1526" s="35">
        <v>4.1000000000000003E-3</v>
      </c>
      <c r="T1526" s="35">
        <v>5.04E-2</v>
      </c>
      <c r="U1526" s="35">
        <v>1.7500000000000002E-2</v>
      </c>
      <c r="V1526" s="35">
        <v>3.6200000000000003E-2</v>
      </c>
      <c r="W1526" s="35">
        <v>4.8500000000000001E-2</v>
      </c>
      <c r="X1526" s="35">
        <v>6.1600000000000002E-2</v>
      </c>
      <c r="Y1526" s="35">
        <v>2.5000000000000001E-3</v>
      </c>
      <c r="Z1526" s="4">
        <v>0</v>
      </c>
      <c r="AA1526" s="4">
        <v>6.9999999999999999E-4</v>
      </c>
      <c r="AB1526" s="4">
        <v>0</v>
      </c>
      <c r="AC1526" s="56"/>
    </row>
    <row r="1527" spans="1:29" s="14" customFormat="1">
      <c r="A1527" s="72"/>
      <c r="C1527" s="130"/>
      <c r="D1527" s="27">
        <f t="shared" ref="D1527:AB1527" si="2221">$C1526*D1526</f>
        <v>3776.3391749999996</v>
      </c>
      <c r="E1527" s="27">
        <f t="shared" si="2221"/>
        <v>33060.343574999999</v>
      </c>
      <c r="F1527" s="27">
        <f t="shared" si="2221"/>
        <v>13645.790025</v>
      </c>
      <c r="G1527" s="27">
        <f t="shared" si="2221"/>
        <v>17653.80645</v>
      </c>
      <c r="H1527" s="27">
        <f t="shared" si="2221"/>
        <v>9174.419100000001</v>
      </c>
      <c r="I1527" s="27">
        <f t="shared" si="2221"/>
        <v>28890.153075000002</v>
      </c>
      <c r="J1527" s="27">
        <f t="shared" si="2221"/>
        <v>4726.2159000000001</v>
      </c>
      <c r="K1527" s="27">
        <f t="shared" si="2221"/>
        <v>7228.3301999999994</v>
      </c>
      <c r="L1527" s="27">
        <f t="shared" si="2221"/>
        <v>3753.1714499999998</v>
      </c>
      <c r="M1527" s="27">
        <f t="shared" si="2221"/>
        <v>5861.4344249999995</v>
      </c>
      <c r="N1527" s="27">
        <f t="shared" si="2221"/>
        <v>34404.071624999997</v>
      </c>
      <c r="O1527" s="27">
        <f t="shared" si="2221"/>
        <v>5235.9058500000001</v>
      </c>
      <c r="P1527" s="27">
        <f t="shared" si="2221"/>
        <v>0</v>
      </c>
      <c r="Q1527" s="27">
        <f t="shared" si="2221"/>
        <v>8757.4000500000002</v>
      </c>
      <c r="R1527" s="27">
        <f t="shared" si="2221"/>
        <v>4193.3582249999999</v>
      </c>
      <c r="S1527" s="27">
        <f t="shared" si="2221"/>
        <v>949.87672500000008</v>
      </c>
      <c r="T1527" s="27">
        <f t="shared" si="2221"/>
        <v>11676.5334</v>
      </c>
      <c r="U1527" s="27">
        <f t="shared" si="2221"/>
        <v>4054.3518750000003</v>
      </c>
      <c r="V1527" s="27">
        <f t="shared" si="2221"/>
        <v>8386.7164499999999</v>
      </c>
      <c r="W1527" s="27">
        <f t="shared" si="2221"/>
        <v>11236.346625</v>
      </c>
      <c r="X1527" s="27">
        <f t="shared" si="2221"/>
        <v>14271.318600000001</v>
      </c>
      <c r="Y1527" s="27">
        <f t="shared" si="2221"/>
        <v>579.19312500000001</v>
      </c>
      <c r="Z1527" s="27">
        <f t="shared" si="2221"/>
        <v>0</v>
      </c>
      <c r="AA1527" s="27">
        <f t="shared" si="2221"/>
        <v>162.17407499999999</v>
      </c>
      <c r="AB1527" s="27">
        <f t="shared" si="2221"/>
        <v>0</v>
      </c>
      <c r="AC1527" s="56"/>
    </row>
    <row r="1528" spans="1:29" s="14" customFormat="1">
      <c r="A1528" s="105" t="s">
        <v>749</v>
      </c>
      <c r="B1528" s="50">
        <f>5560254/2</f>
        <v>2780127</v>
      </c>
      <c r="C1528" s="130">
        <f>ROUND(B1528/12,2)</f>
        <v>231677.25</v>
      </c>
      <c r="D1528" s="106"/>
      <c r="E1528" s="106"/>
      <c r="F1528" s="106">
        <v>1</v>
      </c>
      <c r="G1528" s="106"/>
      <c r="H1528" s="106"/>
      <c r="I1528" s="106"/>
      <c r="J1528" s="106"/>
      <c r="K1528" s="106"/>
      <c r="L1528" s="106"/>
      <c r="M1528" s="106"/>
      <c r="N1528" s="106"/>
      <c r="O1528" s="106"/>
      <c r="P1528" s="106"/>
      <c r="Q1528" s="106"/>
      <c r="R1528" s="106"/>
      <c r="S1528" s="106"/>
      <c r="T1528" s="106"/>
      <c r="U1528" s="106"/>
      <c r="V1528" s="106"/>
      <c r="W1528" s="106"/>
      <c r="X1528" s="106"/>
      <c r="Y1528" s="106"/>
      <c r="Z1528" s="107"/>
      <c r="AA1528" s="107"/>
      <c r="AB1528" s="107"/>
      <c r="AC1528" s="56"/>
    </row>
    <row r="1529" spans="1:29" s="14" customFormat="1">
      <c r="A1529" s="72"/>
      <c r="C1529" s="130"/>
      <c r="D1529" s="27">
        <f t="shared" ref="D1529:AB1529" si="2222">$C1528*D1528</f>
        <v>0</v>
      </c>
      <c r="E1529" s="27">
        <f t="shared" si="2222"/>
        <v>0</v>
      </c>
      <c r="F1529" s="27">
        <f t="shared" si="2222"/>
        <v>231677.25</v>
      </c>
      <c r="G1529" s="27">
        <f t="shared" si="2222"/>
        <v>0</v>
      </c>
      <c r="H1529" s="27">
        <f t="shared" si="2222"/>
        <v>0</v>
      </c>
      <c r="I1529" s="27">
        <f t="shared" si="2222"/>
        <v>0</v>
      </c>
      <c r="J1529" s="27">
        <f t="shared" si="2222"/>
        <v>0</v>
      </c>
      <c r="K1529" s="27">
        <f t="shared" si="2222"/>
        <v>0</v>
      </c>
      <c r="L1529" s="27">
        <f t="shared" si="2222"/>
        <v>0</v>
      </c>
      <c r="M1529" s="27">
        <f t="shared" si="2222"/>
        <v>0</v>
      </c>
      <c r="N1529" s="27">
        <f t="shared" si="2222"/>
        <v>0</v>
      </c>
      <c r="O1529" s="27">
        <f t="shared" si="2222"/>
        <v>0</v>
      </c>
      <c r="P1529" s="27">
        <f t="shared" si="2222"/>
        <v>0</v>
      </c>
      <c r="Q1529" s="27">
        <f t="shared" si="2222"/>
        <v>0</v>
      </c>
      <c r="R1529" s="27">
        <f t="shared" si="2222"/>
        <v>0</v>
      </c>
      <c r="S1529" s="27">
        <f t="shared" si="2222"/>
        <v>0</v>
      </c>
      <c r="T1529" s="27">
        <f t="shared" si="2222"/>
        <v>0</v>
      </c>
      <c r="U1529" s="27">
        <f t="shared" si="2222"/>
        <v>0</v>
      </c>
      <c r="V1529" s="27">
        <f t="shared" si="2222"/>
        <v>0</v>
      </c>
      <c r="W1529" s="27">
        <f t="shared" si="2222"/>
        <v>0</v>
      </c>
      <c r="X1529" s="27">
        <f t="shared" si="2222"/>
        <v>0</v>
      </c>
      <c r="Y1529" s="27">
        <f t="shared" si="2222"/>
        <v>0</v>
      </c>
      <c r="Z1529" s="27">
        <f t="shared" si="2222"/>
        <v>0</v>
      </c>
      <c r="AA1529" s="27">
        <f t="shared" si="2222"/>
        <v>0</v>
      </c>
      <c r="AB1529" s="27">
        <f t="shared" si="2222"/>
        <v>0</v>
      </c>
      <c r="AC1529" s="56"/>
    </row>
    <row r="1530" spans="1:29">
      <c r="A1530" s="45" t="s">
        <v>50</v>
      </c>
      <c r="B1530" s="30">
        <f>SUM(B1510:B1528)</f>
        <v>30743815</v>
      </c>
      <c r="C1530" s="46">
        <f>SUM(C1510:C1528)</f>
        <v>2561984.59</v>
      </c>
      <c r="D1530" s="46">
        <f>D1511+D1513+D1515+D1517+D1519+D1521+D1523+D1525+D1527+D1529</f>
        <v>7712.5053149999985</v>
      </c>
      <c r="E1530" s="46">
        <f t="shared" ref="E1530:AB1530" si="2223">E1511+E1513+E1515+E1517+E1519+E1521+E1523+E1525+E1527+E1529</f>
        <v>81178.099442999999</v>
      </c>
      <c r="F1530" s="46">
        <f t="shared" si="2223"/>
        <v>412192.56543900003</v>
      </c>
      <c r="G1530" s="46">
        <f t="shared" si="2223"/>
        <v>41843.030652000001</v>
      </c>
      <c r="H1530" s="46">
        <f t="shared" si="2223"/>
        <v>37279.848158000001</v>
      </c>
      <c r="I1530" s="46">
        <f t="shared" si="2223"/>
        <v>1592802.731474</v>
      </c>
      <c r="J1530" s="46">
        <f t="shared" si="2223"/>
        <v>11670.592392</v>
      </c>
      <c r="K1530" s="46">
        <f t="shared" si="2223"/>
        <v>17821.308248999998</v>
      </c>
      <c r="L1530" s="46">
        <f t="shared" si="2223"/>
        <v>8698.9547609999991</v>
      </c>
      <c r="M1530" s="46">
        <f t="shared" si="2223"/>
        <v>12286.079577</v>
      </c>
      <c r="N1530" s="46">
        <f t="shared" si="2223"/>
        <v>169109.437829</v>
      </c>
      <c r="O1530" s="46">
        <f t="shared" si="2223"/>
        <v>11128.175342999999</v>
      </c>
      <c r="P1530" s="46">
        <f t="shared" si="2223"/>
        <v>58.107608999999997</v>
      </c>
      <c r="Q1530" s="46">
        <f t="shared" si="2223"/>
        <v>17854.274502</v>
      </c>
      <c r="R1530" s="46">
        <f t="shared" si="2223"/>
        <v>9115.3240829999995</v>
      </c>
      <c r="S1530" s="46">
        <f t="shared" si="2223"/>
        <v>2115.2457629999999</v>
      </c>
      <c r="T1530" s="46">
        <f t="shared" si="2223"/>
        <v>24594.302600999999</v>
      </c>
      <c r="U1530" s="46">
        <f t="shared" si="2223"/>
        <v>8899.5174660000011</v>
      </c>
      <c r="V1530" s="46">
        <f t="shared" si="2223"/>
        <v>40436.032693000001</v>
      </c>
      <c r="W1530" s="46">
        <f t="shared" si="2223"/>
        <v>23820.986538000001</v>
      </c>
      <c r="X1530" s="46">
        <f t="shared" si="2223"/>
        <v>29679.697863000001</v>
      </c>
      <c r="Y1530" s="46">
        <f t="shared" si="2223"/>
        <v>1188.3487680000001</v>
      </c>
      <c r="Z1530" s="46">
        <f t="shared" si="2223"/>
        <v>141.11847899999998</v>
      </c>
      <c r="AA1530" s="46">
        <f t="shared" si="2223"/>
        <v>358.305003</v>
      </c>
      <c r="AB1530" s="46">
        <f t="shared" si="2223"/>
        <v>0</v>
      </c>
      <c r="AC1530" s="56"/>
    </row>
    <row r="1531" spans="1:29">
      <c r="A1531" s="13"/>
      <c r="B1531" s="6"/>
      <c r="C1531" s="27"/>
      <c r="D1531" s="27"/>
      <c r="E1531" s="27"/>
      <c r="F1531" s="27"/>
      <c r="G1531" s="27"/>
      <c r="H1531" s="27"/>
      <c r="I1531" s="27"/>
      <c r="J1531" s="27"/>
      <c r="K1531" s="27"/>
      <c r="L1531" s="27"/>
      <c r="M1531" s="27"/>
      <c r="N1531" s="27"/>
      <c r="O1531" s="27"/>
      <c r="P1531" s="27"/>
      <c r="Q1531" s="27"/>
      <c r="R1531" s="27"/>
      <c r="S1531" s="27"/>
      <c r="T1531" s="27"/>
      <c r="U1531" s="27"/>
      <c r="V1531" s="27"/>
      <c r="W1531" s="27"/>
      <c r="X1531" s="27"/>
      <c r="Y1531" s="27"/>
      <c r="Z1531" s="27"/>
      <c r="AA1531" s="27"/>
      <c r="AB1531" s="27"/>
      <c r="AC1531" s="56"/>
    </row>
    <row r="1532" spans="1:29">
      <c r="A1532" s="13"/>
      <c r="B1532" s="6"/>
      <c r="C1532" s="27"/>
      <c r="D1532" s="27"/>
      <c r="E1532" s="27"/>
      <c r="F1532" s="27"/>
      <c r="G1532" s="27"/>
      <c r="H1532" s="27"/>
      <c r="I1532" s="27"/>
      <c r="J1532" s="27"/>
      <c r="K1532" s="27"/>
      <c r="L1532" s="27"/>
      <c r="M1532" s="27"/>
      <c r="N1532" s="27"/>
      <c r="O1532" s="27"/>
      <c r="P1532" s="27"/>
      <c r="Q1532" s="27"/>
      <c r="R1532" s="27"/>
      <c r="S1532" s="27"/>
      <c r="T1532" s="27"/>
      <c r="U1532" s="27"/>
      <c r="V1532" s="27"/>
      <c r="W1532" s="27"/>
      <c r="X1532" s="27"/>
      <c r="Y1532" s="27"/>
      <c r="Z1532" s="27"/>
      <c r="AA1532" s="27"/>
      <c r="AB1532" s="27"/>
      <c r="AC1532" s="56"/>
    </row>
    <row r="1533" spans="1:29" ht="13.8" thickBot="1">
      <c r="A1533" s="139" t="s">
        <v>691</v>
      </c>
      <c r="B1533" s="140"/>
      <c r="C1533" s="166"/>
      <c r="D1533" s="140"/>
      <c r="E1533" s="140"/>
      <c r="F1533" s="140"/>
      <c r="G1533" s="140"/>
      <c r="H1533" s="19"/>
      <c r="I1533" s="19"/>
      <c r="J1533" s="19"/>
      <c r="K1533" s="19"/>
      <c r="L1533" s="19"/>
      <c r="M1533" s="19"/>
      <c r="N1533" s="19"/>
      <c r="O1533" s="19"/>
      <c r="P1533" s="19"/>
      <c r="Q1533" s="19"/>
      <c r="R1533" s="19"/>
      <c r="S1533" s="19"/>
      <c r="T1533" s="19"/>
      <c r="U1533" s="19"/>
      <c r="V1533" s="19"/>
      <c r="W1533" s="19"/>
      <c r="X1533" s="19"/>
      <c r="Y1533" s="19"/>
      <c r="Z1533" s="19"/>
      <c r="AA1533" s="19"/>
      <c r="AB1533" s="19"/>
      <c r="AC1533" s="56"/>
    </row>
    <row r="1534" spans="1:29" ht="13.8" thickBot="1">
      <c r="A1534" s="93" t="s">
        <v>1</v>
      </c>
      <c r="B1534" s="94" t="s">
        <v>2</v>
      </c>
      <c r="C1534" s="125" t="s">
        <v>3</v>
      </c>
      <c r="D1534" s="211" t="s">
        <v>4</v>
      </c>
      <c r="E1534" s="212"/>
      <c r="F1534" s="212"/>
      <c r="G1534" s="212"/>
      <c r="H1534" s="212"/>
      <c r="I1534" s="212"/>
      <c r="J1534" s="212"/>
      <c r="K1534" s="212"/>
      <c r="L1534" s="212"/>
      <c r="M1534" s="212"/>
      <c r="N1534" s="212"/>
      <c r="O1534" s="212"/>
      <c r="P1534" s="212"/>
      <c r="Q1534" s="212"/>
      <c r="R1534" s="212"/>
      <c r="S1534" s="212"/>
      <c r="T1534" s="212"/>
      <c r="U1534" s="212"/>
      <c r="V1534" s="212"/>
      <c r="W1534" s="212"/>
      <c r="X1534" s="212"/>
      <c r="Y1534" s="212"/>
      <c r="Z1534" s="103"/>
      <c r="AA1534" s="103"/>
      <c r="AB1534" s="103"/>
      <c r="AC1534" s="56"/>
    </row>
    <row r="1535" spans="1:29">
      <c r="A1535" s="95" t="s">
        <v>5</v>
      </c>
      <c r="B1535" s="96" t="s">
        <v>6</v>
      </c>
      <c r="C1535" s="126" t="s">
        <v>6</v>
      </c>
      <c r="D1535" s="97"/>
      <c r="E1535" s="98"/>
      <c r="F1535" s="98"/>
      <c r="G1535" s="98"/>
      <c r="H1535" s="98"/>
      <c r="I1535" s="98"/>
      <c r="J1535" s="98"/>
      <c r="K1535" s="98"/>
      <c r="L1535" s="98"/>
      <c r="M1535" s="98"/>
      <c r="N1535" s="98"/>
      <c r="O1535" s="98"/>
      <c r="P1535" s="98"/>
      <c r="Q1535" s="98"/>
      <c r="R1535" s="98"/>
      <c r="S1535" s="98"/>
      <c r="T1535" s="98"/>
      <c r="U1535" s="98"/>
      <c r="V1535" s="98"/>
      <c r="W1535" s="98"/>
      <c r="X1535" s="98"/>
      <c r="Y1535" s="99"/>
      <c r="Z1535" s="96" t="s">
        <v>7</v>
      </c>
      <c r="AA1535" s="96"/>
      <c r="AB1535" s="96"/>
      <c r="AC1535" s="56"/>
    </row>
    <row r="1536" spans="1:29">
      <c r="A1536" s="95" t="s">
        <v>8</v>
      </c>
      <c r="B1536" s="96" t="s">
        <v>9</v>
      </c>
      <c r="C1536" s="126" t="s">
        <v>9</v>
      </c>
      <c r="D1536" s="100" t="s">
        <v>10</v>
      </c>
      <c r="E1536" s="96" t="s">
        <v>11</v>
      </c>
      <c r="F1536" s="96" t="s">
        <v>12</v>
      </c>
      <c r="G1536" s="96" t="s">
        <v>13</v>
      </c>
      <c r="H1536" s="96" t="s">
        <v>14</v>
      </c>
      <c r="I1536" s="96" t="s">
        <v>15</v>
      </c>
      <c r="J1536" s="96" t="s">
        <v>16</v>
      </c>
      <c r="K1536" s="96" t="s">
        <v>17</v>
      </c>
      <c r="L1536" s="96" t="s">
        <v>18</v>
      </c>
      <c r="M1536" s="96" t="s">
        <v>19</v>
      </c>
      <c r="N1536" s="96" t="s">
        <v>20</v>
      </c>
      <c r="O1536" s="96" t="s">
        <v>169</v>
      </c>
      <c r="P1536" s="96" t="s">
        <v>21</v>
      </c>
      <c r="Q1536" s="96" t="s">
        <v>22</v>
      </c>
      <c r="R1536" s="96" t="s">
        <v>23</v>
      </c>
      <c r="S1536" s="96" t="s">
        <v>24</v>
      </c>
      <c r="T1536" s="96" t="s">
        <v>25</v>
      </c>
      <c r="U1536" s="96" t="s">
        <v>26</v>
      </c>
      <c r="V1536" s="96" t="s">
        <v>27</v>
      </c>
      <c r="W1536" s="96" t="s">
        <v>28</v>
      </c>
      <c r="X1536" s="96" t="s">
        <v>29</v>
      </c>
      <c r="Y1536" s="96" t="s">
        <v>30</v>
      </c>
      <c r="Z1536" s="96" t="s">
        <v>31</v>
      </c>
      <c r="AA1536" s="96" t="s">
        <v>484</v>
      </c>
      <c r="AB1536" s="96" t="s">
        <v>467</v>
      </c>
      <c r="AC1536" s="56"/>
    </row>
    <row r="1537" spans="1:30">
      <c r="A1537" s="95"/>
      <c r="B1537" s="96"/>
      <c r="C1537" s="126" t="s">
        <v>746</v>
      </c>
      <c r="D1537" s="101"/>
      <c r="E1537" s="102"/>
      <c r="F1537" s="102"/>
      <c r="G1537" s="102"/>
      <c r="H1537" s="102"/>
      <c r="I1537" s="102"/>
      <c r="J1537" s="102"/>
      <c r="K1537" s="102"/>
      <c r="L1537" s="102"/>
      <c r="M1537" s="102"/>
      <c r="N1537" s="102"/>
      <c r="O1537" s="102"/>
      <c r="P1537" s="102"/>
      <c r="Q1537" s="102"/>
      <c r="R1537" s="102"/>
      <c r="S1537" s="102"/>
      <c r="T1537" s="102"/>
      <c r="U1537" s="102"/>
      <c r="V1537" s="102"/>
      <c r="W1537" s="102"/>
      <c r="X1537" s="102"/>
      <c r="Y1537" s="102"/>
      <c r="Z1537" s="102"/>
      <c r="AA1537" s="102"/>
      <c r="AB1537" s="102"/>
      <c r="AC1537" s="56"/>
    </row>
    <row r="1538" spans="1:30" s="14" customFormat="1">
      <c r="A1538" s="105" t="s">
        <v>692</v>
      </c>
      <c r="B1538" s="50">
        <v>3595583</v>
      </c>
      <c r="C1538" s="130">
        <f>ROUND(B1538/12,2)</f>
        <v>299631.92</v>
      </c>
      <c r="D1538" s="106"/>
      <c r="E1538" s="106"/>
      <c r="F1538" s="106"/>
      <c r="G1538" s="106"/>
      <c r="H1538" s="106"/>
      <c r="I1538" s="106"/>
      <c r="J1538" s="106">
        <v>0.5151</v>
      </c>
      <c r="K1538" s="106">
        <v>0.4849</v>
      </c>
      <c r="L1538" s="106"/>
      <c r="M1538" s="106"/>
      <c r="N1538" s="106"/>
      <c r="O1538" s="106"/>
      <c r="P1538" s="106"/>
      <c r="Q1538" s="106"/>
      <c r="R1538" s="106"/>
      <c r="S1538" s="106"/>
      <c r="T1538" s="106"/>
      <c r="U1538" s="106"/>
      <c r="V1538" s="106"/>
      <c r="W1538" s="106"/>
      <c r="X1538" s="106"/>
      <c r="Y1538" s="106"/>
      <c r="Z1538" s="107"/>
      <c r="AA1538" s="107"/>
      <c r="AB1538" s="107"/>
      <c r="AC1538" s="56"/>
    </row>
    <row r="1539" spans="1:30" s="14" customFormat="1">
      <c r="A1539" s="72"/>
      <c r="C1539" s="130"/>
      <c r="D1539" s="27">
        <f t="shared" ref="D1539:AB1539" si="2224">$C1538*D1538</f>
        <v>0</v>
      </c>
      <c r="E1539" s="27">
        <f t="shared" si="2224"/>
        <v>0</v>
      </c>
      <c r="F1539" s="27">
        <f t="shared" si="2224"/>
        <v>0</v>
      </c>
      <c r="G1539" s="27">
        <f t="shared" si="2224"/>
        <v>0</v>
      </c>
      <c r="H1539" s="27">
        <f t="shared" si="2224"/>
        <v>0</v>
      </c>
      <c r="I1539" s="27">
        <f t="shared" si="2224"/>
        <v>0</v>
      </c>
      <c r="J1539" s="27">
        <f t="shared" si="2224"/>
        <v>154340.401992</v>
      </c>
      <c r="K1539" s="27">
        <f t="shared" si="2224"/>
        <v>145291.51800799998</v>
      </c>
      <c r="L1539" s="27">
        <f t="shared" si="2224"/>
        <v>0</v>
      </c>
      <c r="M1539" s="27">
        <f t="shared" si="2224"/>
        <v>0</v>
      </c>
      <c r="N1539" s="27">
        <f t="shared" si="2224"/>
        <v>0</v>
      </c>
      <c r="O1539" s="27">
        <f t="shared" si="2224"/>
        <v>0</v>
      </c>
      <c r="P1539" s="27">
        <f t="shared" si="2224"/>
        <v>0</v>
      </c>
      <c r="Q1539" s="27">
        <f t="shared" si="2224"/>
        <v>0</v>
      </c>
      <c r="R1539" s="27">
        <f t="shared" si="2224"/>
        <v>0</v>
      </c>
      <c r="S1539" s="27">
        <f t="shared" si="2224"/>
        <v>0</v>
      </c>
      <c r="T1539" s="27">
        <f t="shared" si="2224"/>
        <v>0</v>
      </c>
      <c r="U1539" s="27">
        <f t="shared" si="2224"/>
        <v>0</v>
      </c>
      <c r="V1539" s="27">
        <f t="shared" si="2224"/>
        <v>0</v>
      </c>
      <c r="W1539" s="27">
        <f t="shared" si="2224"/>
        <v>0</v>
      </c>
      <c r="X1539" s="27">
        <f t="shared" si="2224"/>
        <v>0</v>
      </c>
      <c r="Y1539" s="27">
        <f t="shared" si="2224"/>
        <v>0</v>
      </c>
      <c r="Z1539" s="27">
        <f t="shared" si="2224"/>
        <v>0</v>
      </c>
      <c r="AA1539" s="27">
        <f t="shared" si="2224"/>
        <v>0</v>
      </c>
      <c r="AB1539" s="27">
        <f t="shared" si="2224"/>
        <v>0</v>
      </c>
      <c r="AC1539" s="56"/>
    </row>
    <row r="1540" spans="1:30">
      <c r="A1540" s="45" t="s">
        <v>50</v>
      </c>
      <c r="B1540" s="30">
        <f>SUM(B1538:B1539)</f>
        <v>3595583</v>
      </c>
      <c r="C1540" s="46">
        <f>SUM(C1538:C1539)</f>
        <v>299631.92</v>
      </c>
      <c r="D1540" s="46">
        <f>D1539</f>
        <v>0</v>
      </c>
      <c r="E1540" s="46">
        <f t="shared" ref="E1540:AB1540" si="2225">E1539</f>
        <v>0</v>
      </c>
      <c r="F1540" s="46">
        <f t="shared" si="2225"/>
        <v>0</v>
      </c>
      <c r="G1540" s="46">
        <f t="shared" si="2225"/>
        <v>0</v>
      </c>
      <c r="H1540" s="46">
        <f t="shared" si="2225"/>
        <v>0</v>
      </c>
      <c r="I1540" s="46">
        <f t="shared" si="2225"/>
        <v>0</v>
      </c>
      <c r="J1540" s="46">
        <f t="shared" si="2225"/>
        <v>154340.401992</v>
      </c>
      <c r="K1540" s="46">
        <f t="shared" si="2225"/>
        <v>145291.51800799998</v>
      </c>
      <c r="L1540" s="46">
        <f t="shared" si="2225"/>
        <v>0</v>
      </c>
      <c r="M1540" s="46">
        <f t="shared" si="2225"/>
        <v>0</v>
      </c>
      <c r="N1540" s="46">
        <f t="shared" si="2225"/>
        <v>0</v>
      </c>
      <c r="O1540" s="46">
        <f t="shared" si="2225"/>
        <v>0</v>
      </c>
      <c r="P1540" s="46">
        <f t="shared" si="2225"/>
        <v>0</v>
      </c>
      <c r="Q1540" s="46">
        <f t="shared" si="2225"/>
        <v>0</v>
      </c>
      <c r="R1540" s="46">
        <f t="shared" si="2225"/>
        <v>0</v>
      </c>
      <c r="S1540" s="46">
        <f t="shared" si="2225"/>
        <v>0</v>
      </c>
      <c r="T1540" s="46">
        <f t="shared" si="2225"/>
        <v>0</v>
      </c>
      <c r="U1540" s="46">
        <f t="shared" si="2225"/>
        <v>0</v>
      </c>
      <c r="V1540" s="46">
        <f t="shared" si="2225"/>
        <v>0</v>
      </c>
      <c r="W1540" s="46">
        <f t="shared" si="2225"/>
        <v>0</v>
      </c>
      <c r="X1540" s="46">
        <f t="shared" si="2225"/>
        <v>0</v>
      </c>
      <c r="Y1540" s="46">
        <f t="shared" si="2225"/>
        <v>0</v>
      </c>
      <c r="Z1540" s="46">
        <f t="shared" si="2225"/>
        <v>0</v>
      </c>
      <c r="AA1540" s="46">
        <f t="shared" si="2225"/>
        <v>0</v>
      </c>
      <c r="AB1540" s="46">
        <f t="shared" si="2225"/>
        <v>0</v>
      </c>
      <c r="AC1540" s="56"/>
    </row>
    <row r="1541" spans="1:30">
      <c r="A1541" s="13"/>
      <c r="B1541" s="6"/>
      <c r="C1541" s="27"/>
      <c r="D1541" s="27"/>
      <c r="E1541" s="27"/>
      <c r="F1541" s="27"/>
      <c r="G1541" s="27"/>
      <c r="H1541" s="27"/>
      <c r="I1541" s="27"/>
      <c r="J1541" s="27"/>
      <c r="K1541" s="27"/>
      <c r="L1541" s="27"/>
      <c r="M1541" s="27"/>
      <c r="N1541" s="27"/>
      <c r="O1541" s="27"/>
      <c r="P1541" s="27"/>
      <c r="Q1541" s="27"/>
      <c r="R1541" s="27"/>
      <c r="S1541" s="27"/>
      <c r="T1541" s="27"/>
      <c r="U1541" s="27"/>
      <c r="V1541" s="27"/>
      <c r="W1541" s="27"/>
      <c r="X1541" s="27"/>
      <c r="Y1541" s="27"/>
      <c r="Z1541" s="27"/>
      <c r="AA1541" s="27"/>
      <c r="AB1541" s="27"/>
      <c r="AC1541" s="56"/>
    </row>
    <row r="1542" spans="1:30" s="14" customFormat="1">
      <c r="A1542" s="72"/>
      <c r="C1542" s="27"/>
      <c r="D1542" s="27"/>
      <c r="E1542" s="27"/>
      <c r="F1542" s="27"/>
      <c r="G1542" s="27"/>
      <c r="H1542" s="27"/>
      <c r="I1542" s="27"/>
      <c r="J1542" s="27"/>
      <c r="K1542" s="27"/>
      <c r="L1542" s="27"/>
      <c r="M1542" s="27"/>
      <c r="N1542" s="27"/>
      <c r="O1542" s="27"/>
      <c r="P1542" s="27"/>
      <c r="Q1542" s="27"/>
      <c r="R1542" s="27"/>
      <c r="S1542" s="27"/>
      <c r="T1542" s="27"/>
      <c r="U1542" s="27"/>
      <c r="V1542" s="27"/>
      <c r="W1542" s="27"/>
      <c r="X1542" s="27"/>
      <c r="Y1542" s="27"/>
      <c r="Z1542" s="27"/>
      <c r="AA1542" s="27"/>
      <c r="AB1542" s="27"/>
      <c r="AC1542" s="56"/>
    </row>
    <row r="1543" spans="1:30" s="14" customFormat="1" ht="13.8" thickBot="1">
      <c r="A1543" s="66" t="s">
        <v>709</v>
      </c>
      <c r="B1543" s="65"/>
      <c r="C1543" s="152"/>
      <c r="D1543" s="65"/>
      <c r="E1543" s="65"/>
      <c r="F1543" s="19"/>
      <c r="G1543" s="19"/>
      <c r="H1543" s="19"/>
      <c r="I1543" s="19"/>
      <c r="J1543" s="19"/>
      <c r="K1543" s="19"/>
      <c r="L1543" s="19"/>
      <c r="M1543" s="19"/>
      <c r="N1543" s="19"/>
      <c r="O1543" s="19"/>
      <c r="P1543" s="19"/>
      <c r="Q1543" s="19"/>
      <c r="R1543" s="19"/>
      <c r="S1543" s="19"/>
      <c r="T1543" s="19"/>
      <c r="U1543" s="19"/>
      <c r="V1543" s="19"/>
      <c r="W1543" s="19"/>
      <c r="X1543" s="19"/>
      <c r="Y1543" s="19"/>
      <c r="Z1543" s="19"/>
      <c r="AA1543" s="19"/>
      <c r="AB1543" s="19"/>
      <c r="AC1543" s="56"/>
      <c r="AD1543" s="23"/>
    </row>
    <row r="1544" spans="1:30" s="14" customFormat="1" ht="13.8" thickBot="1">
      <c r="A1544" s="171" t="s">
        <v>1</v>
      </c>
      <c r="B1544" s="172" t="s">
        <v>2</v>
      </c>
      <c r="C1544" s="173" t="s">
        <v>3</v>
      </c>
      <c r="D1544" s="209" t="s">
        <v>4</v>
      </c>
      <c r="E1544" s="210"/>
      <c r="F1544" s="210"/>
      <c r="G1544" s="210"/>
      <c r="H1544" s="210"/>
      <c r="I1544" s="210"/>
      <c r="J1544" s="210"/>
      <c r="K1544" s="210"/>
      <c r="L1544" s="210"/>
      <c r="M1544" s="210"/>
      <c r="N1544" s="210"/>
      <c r="O1544" s="210"/>
      <c r="P1544" s="210"/>
      <c r="Q1544" s="210"/>
      <c r="R1544" s="210"/>
      <c r="S1544" s="210"/>
      <c r="T1544" s="210"/>
      <c r="U1544" s="210"/>
      <c r="V1544" s="210"/>
      <c r="W1544" s="210"/>
      <c r="X1544" s="210"/>
      <c r="Y1544" s="210"/>
      <c r="Z1544" s="174"/>
      <c r="AA1544" s="174"/>
      <c r="AB1544" s="174"/>
      <c r="AC1544" s="56"/>
      <c r="AD1544" s="23"/>
    </row>
    <row r="1545" spans="1:30" s="14" customFormat="1">
      <c r="A1545" s="175" t="s">
        <v>5</v>
      </c>
      <c r="B1545" s="176" t="s">
        <v>6</v>
      </c>
      <c r="C1545" s="126" t="s">
        <v>6</v>
      </c>
      <c r="D1545" s="177"/>
      <c r="E1545" s="178"/>
      <c r="F1545" s="178"/>
      <c r="G1545" s="178"/>
      <c r="H1545" s="178"/>
      <c r="I1545" s="178"/>
      <c r="J1545" s="178"/>
      <c r="K1545" s="178"/>
      <c r="L1545" s="178"/>
      <c r="M1545" s="178"/>
      <c r="N1545" s="178"/>
      <c r="O1545" s="178"/>
      <c r="P1545" s="178"/>
      <c r="Q1545" s="178"/>
      <c r="R1545" s="178"/>
      <c r="S1545" s="178"/>
      <c r="T1545" s="178"/>
      <c r="U1545" s="178"/>
      <c r="V1545" s="178"/>
      <c r="W1545" s="178"/>
      <c r="X1545" s="178"/>
      <c r="Y1545" s="99"/>
      <c r="Z1545" s="176" t="s">
        <v>7</v>
      </c>
      <c r="AA1545" s="176"/>
      <c r="AB1545" s="176"/>
      <c r="AC1545" s="56"/>
      <c r="AD1545" s="23"/>
    </row>
    <row r="1546" spans="1:30" s="14" customFormat="1">
      <c r="A1546" s="175" t="s">
        <v>8</v>
      </c>
      <c r="B1546" s="176" t="s">
        <v>9</v>
      </c>
      <c r="C1546" s="126" t="s">
        <v>9</v>
      </c>
      <c r="D1546" s="179" t="s">
        <v>10</v>
      </c>
      <c r="E1546" s="176" t="s">
        <v>11</v>
      </c>
      <c r="F1546" s="176" t="s">
        <v>12</v>
      </c>
      <c r="G1546" s="176" t="s">
        <v>13</v>
      </c>
      <c r="H1546" s="176" t="s">
        <v>14</v>
      </c>
      <c r="I1546" s="176" t="s">
        <v>15</v>
      </c>
      <c r="J1546" s="176" t="s">
        <v>16</v>
      </c>
      <c r="K1546" s="176" t="s">
        <v>17</v>
      </c>
      <c r="L1546" s="176" t="s">
        <v>18</v>
      </c>
      <c r="M1546" s="176" t="s">
        <v>19</v>
      </c>
      <c r="N1546" s="176" t="s">
        <v>20</v>
      </c>
      <c r="O1546" s="176" t="s">
        <v>169</v>
      </c>
      <c r="P1546" s="176" t="s">
        <v>21</v>
      </c>
      <c r="Q1546" s="176" t="s">
        <v>22</v>
      </c>
      <c r="R1546" s="176" t="s">
        <v>23</v>
      </c>
      <c r="S1546" s="176" t="s">
        <v>24</v>
      </c>
      <c r="T1546" s="176" t="s">
        <v>25</v>
      </c>
      <c r="U1546" s="176" t="s">
        <v>26</v>
      </c>
      <c r="V1546" s="176" t="s">
        <v>27</v>
      </c>
      <c r="W1546" s="176" t="s">
        <v>28</v>
      </c>
      <c r="X1546" s="176" t="s">
        <v>29</v>
      </c>
      <c r="Y1546" s="176" t="s">
        <v>30</v>
      </c>
      <c r="Z1546" s="176" t="s">
        <v>31</v>
      </c>
      <c r="AA1546" s="176" t="s">
        <v>484</v>
      </c>
      <c r="AB1546" s="176" t="s">
        <v>467</v>
      </c>
      <c r="AC1546" s="56"/>
      <c r="AD1546" s="23"/>
    </row>
    <row r="1547" spans="1:30" s="14" customFormat="1">
      <c r="A1547" s="175"/>
      <c r="B1547" s="176"/>
      <c r="C1547" s="126" t="s">
        <v>696</v>
      </c>
      <c r="D1547" s="180"/>
      <c r="E1547" s="181"/>
      <c r="F1547" s="181"/>
      <c r="G1547" s="181"/>
      <c r="H1547" s="181"/>
      <c r="I1547" s="181"/>
      <c r="J1547" s="181"/>
      <c r="K1547" s="181"/>
      <c r="L1547" s="181"/>
      <c r="M1547" s="181"/>
      <c r="N1547" s="181"/>
      <c r="O1547" s="181"/>
      <c r="P1547" s="181"/>
      <c r="Q1547" s="181"/>
      <c r="R1547" s="181"/>
      <c r="S1547" s="181"/>
      <c r="T1547" s="181"/>
      <c r="U1547" s="181"/>
      <c r="V1547" s="181"/>
      <c r="W1547" s="181"/>
      <c r="X1547" s="181"/>
      <c r="Y1547" s="181"/>
      <c r="Z1547" s="181"/>
      <c r="AA1547" s="181"/>
      <c r="AB1547" s="181"/>
      <c r="AC1547" s="56"/>
      <c r="AD1547" s="23"/>
    </row>
    <row r="1548" spans="1:30" s="14" customFormat="1">
      <c r="A1548" s="194" t="s">
        <v>710</v>
      </c>
      <c r="B1548" s="195">
        <f>112062/2</f>
        <v>56031</v>
      </c>
      <c r="C1548" s="196">
        <f>ROUND(B1548/12,2)</f>
        <v>4669.25</v>
      </c>
      <c r="D1548" s="197">
        <v>1.6299999999999999E-2</v>
      </c>
      <c r="E1548" s="197">
        <v>0.14269999999999999</v>
      </c>
      <c r="F1548" s="197">
        <v>5.8900000000000001E-2</v>
      </c>
      <c r="G1548" s="197">
        <v>7.6200000000000004E-2</v>
      </c>
      <c r="H1548" s="197">
        <v>3.9600000000000003E-2</v>
      </c>
      <c r="I1548" s="197">
        <v>0.12470000000000001</v>
      </c>
      <c r="J1548" s="197">
        <v>2.0400000000000001E-2</v>
      </c>
      <c r="K1548" s="197">
        <v>3.1199999999999999E-2</v>
      </c>
      <c r="L1548" s="197">
        <v>1.6199999999999999E-2</v>
      </c>
      <c r="M1548" s="197">
        <v>2.53E-2</v>
      </c>
      <c r="N1548" s="197">
        <v>0.14849999999999999</v>
      </c>
      <c r="O1548" s="197">
        <v>2.2599999999999999E-2</v>
      </c>
      <c r="P1548" s="197">
        <v>0</v>
      </c>
      <c r="Q1548" s="197">
        <v>3.78E-2</v>
      </c>
      <c r="R1548" s="197">
        <v>1.8100000000000002E-2</v>
      </c>
      <c r="S1548" s="197">
        <v>4.1000000000000003E-3</v>
      </c>
      <c r="T1548" s="197">
        <v>5.04E-2</v>
      </c>
      <c r="U1548" s="197">
        <v>1.7500000000000002E-2</v>
      </c>
      <c r="V1548" s="197">
        <v>3.6200000000000003E-2</v>
      </c>
      <c r="W1548" s="197">
        <v>4.8500000000000001E-2</v>
      </c>
      <c r="X1548" s="197">
        <v>6.1600000000000002E-2</v>
      </c>
      <c r="Y1548" s="197">
        <v>2.5000000000000001E-3</v>
      </c>
      <c r="Z1548" s="198">
        <v>0</v>
      </c>
      <c r="AA1548" s="198">
        <v>6.9999999999999999E-4</v>
      </c>
      <c r="AB1548" s="198">
        <v>0</v>
      </c>
      <c r="AC1548" s="56"/>
      <c r="AD1548" s="23"/>
    </row>
    <row r="1549" spans="1:30" s="14" customFormat="1">
      <c r="A1549" s="47"/>
      <c r="B1549" s="199"/>
      <c r="C1549" s="128"/>
      <c r="D1549" s="27">
        <f>$C1548*D1548</f>
        <v>76.108774999999994</v>
      </c>
      <c r="E1549" s="27">
        <f>$C1548*E1548</f>
        <v>666.30197499999997</v>
      </c>
      <c r="F1549" s="27">
        <f t="shared" ref="F1549:AB1549" si="2226">$C1548*F1548</f>
        <v>275.01882499999999</v>
      </c>
      <c r="G1549" s="27">
        <f t="shared" si="2226"/>
        <v>355.79685000000001</v>
      </c>
      <c r="H1549" s="27">
        <f t="shared" si="2226"/>
        <v>184.90230000000003</v>
      </c>
      <c r="I1549" s="27">
        <f t="shared" si="2226"/>
        <v>582.25547500000005</v>
      </c>
      <c r="J1549" s="27">
        <f t="shared" si="2226"/>
        <v>95.252700000000004</v>
      </c>
      <c r="K1549" s="27">
        <f t="shared" si="2226"/>
        <v>145.6806</v>
      </c>
      <c r="L1549" s="27">
        <f t="shared" si="2226"/>
        <v>75.641849999999991</v>
      </c>
      <c r="M1549" s="27">
        <f t="shared" si="2226"/>
        <v>118.132025</v>
      </c>
      <c r="N1549" s="27">
        <f t="shared" si="2226"/>
        <v>693.38362499999994</v>
      </c>
      <c r="O1549" s="27">
        <f t="shared" si="2226"/>
        <v>105.52504999999999</v>
      </c>
      <c r="P1549" s="27">
        <f t="shared" si="2226"/>
        <v>0</v>
      </c>
      <c r="Q1549" s="27">
        <f t="shared" si="2226"/>
        <v>176.49764999999999</v>
      </c>
      <c r="R1549" s="27">
        <f t="shared" si="2226"/>
        <v>84.513425000000012</v>
      </c>
      <c r="S1549" s="27">
        <f t="shared" si="2226"/>
        <v>19.143925000000003</v>
      </c>
      <c r="T1549" s="27">
        <f t="shared" si="2226"/>
        <v>235.33019999999999</v>
      </c>
      <c r="U1549" s="27">
        <f t="shared" si="2226"/>
        <v>81.711875000000006</v>
      </c>
      <c r="V1549" s="27">
        <f t="shared" si="2226"/>
        <v>169.02685000000002</v>
      </c>
      <c r="W1549" s="27">
        <f t="shared" si="2226"/>
        <v>226.45862500000001</v>
      </c>
      <c r="X1549" s="27">
        <f t="shared" si="2226"/>
        <v>287.62580000000003</v>
      </c>
      <c r="Y1549" s="27">
        <f t="shared" si="2226"/>
        <v>11.673125000000001</v>
      </c>
      <c r="Z1549" s="27">
        <f t="shared" si="2226"/>
        <v>0</v>
      </c>
      <c r="AA1549" s="27">
        <f t="shared" si="2226"/>
        <v>3.268475</v>
      </c>
      <c r="AB1549" s="27">
        <f t="shared" si="2226"/>
        <v>0</v>
      </c>
      <c r="AC1549" s="56"/>
      <c r="AD1549" s="23"/>
    </row>
    <row r="1550" spans="1:30" s="14" customFormat="1">
      <c r="A1550" s="194" t="s">
        <v>711</v>
      </c>
      <c r="B1550" s="195">
        <f>112062/2</f>
        <v>56031</v>
      </c>
      <c r="C1550" s="196">
        <f>ROUND(B1550/12,2)</f>
        <v>4669.25</v>
      </c>
      <c r="D1550" s="200"/>
      <c r="E1550" s="201"/>
      <c r="F1550" s="198">
        <v>0.1467</v>
      </c>
      <c r="G1550" s="198"/>
      <c r="H1550" s="202">
        <v>8.1100000000000005E-2</v>
      </c>
      <c r="I1550" s="202"/>
      <c r="J1550" s="202"/>
      <c r="K1550" s="202"/>
      <c r="L1550" s="198"/>
      <c r="M1550" s="202">
        <v>2.1499999999999998E-2</v>
      </c>
      <c r="N1550" s="202">
        <v>0.66090000000000004</v>
      </c>
      <c r="O1550" s="202"/>
      <c r="P1550" s="202"/>
      <c r="Q1550" s="202"/>
      <c r="R1550" s="202"/>
      <c r="S1550" s="202"/>
      <c r="T1550" s="202"/>
      <c r="U1550" s="202"/>
      <c r="V1550" s="202">
        <v>8.9800000000000005E-2</v>
      </c>
      <c r="W1550" s="202"/>
      <c r="X1550" s="202"/>
      <c r="Y1550" s="202"/>
      <c r="Z1550" s="202"/>
      <c r="AA1550" s="202"/>
      <c r="AB1550" s="202"/>
      <c r="AC1550" s="56"/>
      <c r="AD1550" s="23"/>
    </row>
    <row r="1551" spans="1:30" s="14" customFormat="1">
      <c r="A1551" s="47"/>
      <c r="B1551" s="199"/>
      <c r="C1551" s="128"/>
      <c r="D1551" s="27">
        <f t="shared" ref="D1551:AB1551" si="2227">$C1550*D1550</f>
        <v>0</v>
      </c>
      <c r="E1551" s="27">
        <f t="shared" si="2227"/>
        <v>0</v>
      </c>
      <c r="F1551" s="27">
        <f t="shared" si="2227"/>
        <v>684.97897499999999</v>
      </c>
      <c r="G1551" s="27">
        <f t="shared" si="2227"/>
        <v>0</v>
      </c>
      <c r="H1551" s="27">
        <f t="shared" si="2227"/>
        <v>378.676175</v>
      </c>
      <c r="I1551" s="27">
        <f t="shared" si="2227"/>
        <v>0</v>
      </c>
      <c r="J1551" s="27">
        <f t="shared" si="2227"/>
        <v>0</v>
      </c>
      <c r="K1551" s="27">
        <f t="shared" si="2227"/>
        <v>0</v>
      </c>
      <c r="L1551" s="27">
        <f t="shared" si="2227"/>
        <v>0</v>
      </c>
      <c r="M1551" s="27">
        <f t="shared" si="2227"/>
        <v>100.388875</v>
      </c>
      <c r="N1551" s="27">
        <f t="shared" si="2227"/>
        <v>3085.9073250000001</v>
      </c>
      <c r="O1551" s="27">
        <f t="shared" si="2227"/>
        <v>0</v>
      </c>
      <c r="P1551" s="27">
        <f t="shared" si="2227"/>
        <v>0</v>
      </c>
      <c r="Q1551" s="27">
        <f t="shared" si="2227"/>
        <v>0</v>
      </c>
      <c r="R1551" s="27">
        <f t="shared" si="2227"/>
        <v>0</v>
      </c>
      <c r="S1551" s="27">
        <f t="shared" si="2227"/>
        <v>0</v>
      </c>
      <c r="T1551" s="27">
        <f t="shared" si="2227"/>
        <v>0</v>
      </c>
      <c r="U1551" s="27">
        <f t="shared" si="2227"/>
        <v>0</v>
      </c>
      <c r="V1551" s="27">
        <f t="shared" si="2227"/>
        <v>419.29865000000001</v>
      </c>
      <c r="W1551" s="27">
        <f t="shared" si="2227"/>
        <v>0</v>
      </c>
      <c r="X1551" s="27">
        <f t="shared" si="2227"/>
        <v>0</v>
      </c>
      <c r="Y1551" s="27">
        <f t="shared" si="2227"/>
        <v>0</v>
      </c>
      <c r="Z1551" s="27">
        <f t="shared" si="2227"/>
        <v>0</v>
      </c>
      <c r="AA1551" s="27">
        <f t="shared" si="2227"/>
        <v>0</v>
      </c>
      <c r="AB1551" s="27">
        <f t="shared" si="2227"/>
        <v>0</v>
      </c>
      <c r="AC1551" s="56"/>
      <c r="AD1551" s="23"/>
    </row>
    <row r="1552" spans="1:30" s="14" customFormat="1">
      <c r="A1552" s="194" t="s">
        <v>712</v>
      </c>
      <c r="B1552" s="195">
        <f>3202473/2</f>
        <v>1601236.5</v>
      </c>
      <c r="C1552" s="196">
        <f>ROUND(B1552/12,2)</f>
        <v>133436.38</v>
      </c>
      <c r="D1552" s="197">
        <v>1.6299999999999999E-2</v>
      </c>
      <c r="E1552" s="197">
        <v>0.14269999999999999</v>
      </c>
      <c r="F1552" s="197">
        <v>5.8900000000000001E-2</v>
      </c>
      <c r="G1552" s="197">
        <v>7.6200000000000004E-2</v>
      </c>
      <c r="H1552" s="197">
        <v>3.9600000000000003E-2</v>
      </c>
      <c r="I1552" s="197">
        <v>0.12470000000000001</v>
      </c>
      <c r="J1552" s="197">
        <v>2.0400000000000001E-2</v>
      </c>
      <c r="K1552" s="197">
        <v>3.1199999999999999E-2</v>
      </c>
      <c r="L1552" s="197">
        <v>1.6199999999999999E-2</v>
      </c>
      <c r="M1552" s="197">
        <v>2.53E-2</v>
      </c>
      <c r="N1552" s="197">
        <v>0.14849999999999999</v>
      </c>
      <c r="O1552" s="197">
        <v>2.2599999999999999E-2</v>
      </c>
      <c r="P1552" s="197">
        <v>0</v>
      </c>
      <c r="Q1552" s="197">
        <v>3.78E-2</v>
      </c>
      <c r="R1552" s="197">
        <v>1.8100000000000002E-2</v>
      </c>
      <c r="S1552" s="197">
        <v>4.1000000000000003E-3</v>
      </c>
      <c r="T1552" s="197">
        <v>5.04E-2</v>
      </c>
      <c r="U1552" s="197">
        <v>1.7500000000000002E-2</v>
      </c>
      <c r="V1552" s="197">
        <v>3.6200000000000003E-2</v>
      </c>
      <c r="W1552" s="197">
        <v>4.8500000000000001E-2</v>
      </c>
      <c r="X1552" s="197">
        <v>6.1600000000000002E-2</v>
      </c>
      <c r="Y1552" s="197">
        <v>2.5000000000000001E-3</v>
      </c>
      <c r="Z1552" s="198">
        <v>0</v>
      </c>
      <c r="AA1552" s="198">
        <v>6.9999999999999999E-4</v>
      </c>
      <c r="AB1552" s="198">
        <v>0</v>
      </c>
      <c r="AC1552" s="56"/>
      <c r="AD1552" s="23"/>
    </row>
    <row r="1553" spans="1:30" s="14" customFormat="1">
      <c r="A1553" s="47"/>
      <c r="B1553" s="199"/>
      <c r="C1553" s="128"/>
      <c r="D1553" s="27">
        <f t="shared" ref="D1553:AB1553" si="2228">$C1552*D1552</f>
        <v>2175.0129939999997</v>
      </c>
      <c r="E1553" s="27">
        <f t="shared" si="2228"/>
        <v>19041.371426000002</v>
      </c>
      <c r="F1553" s="27">
        <f t="shared" si="2228"/>
        <v>7859.4027820000001</v>
      </c>
      <c r="G1553" s="27">
        <f t="shared" si="2228"/>
        <v>10167.852156000001</v>
      </c>
      <c r="H1553" s="27">
        <f t="shared" si="2228"/>
        <v>5284.080648000001</v>
      </c>
      <c r="I1553" s="27">
        <f t="shared" si="2228"/>
        <v>16639.516586000002</v>
      </c>
      <c r="J1553" s="27">
        <f t="shared" si="2228"/>
        <v>2722.1021520000004</v>
      </c>
      <c r="K1553" s="27">
        <f t="shared" si="2228"/>
        <v>4163.215056</v>
      </c>
      <c r="L1553" s="27">
        <f t="shared" si="2228"/>
        <v>2161.6693559999999</v>
      </c>
      <c r="M1553" s="27">
        <f t="shared" si="2228"/>
        <v>3375.9404140000001</v>
      </c>
      <c r="N1553" s="27">
        <f t="shared" si="2228"/>
        <v>19815.30243</v>
      </c>
      <c r="O1553" s="27">
        <f t="shared" si="2228"/>
        <v>3015.6621879999998</v>
      </c>
      <c r="P1553" s="27">
        <f t="shared" si="2228"/>
        <v>0</v>
      </c>
      <c r="Q1553" s="27">
        <f t="shared" si="2228"/>
        <v>5043.8951640000005</v>
      </c>
      <c r="R1553" s="27">
        <f t="shared" si="2228"/>
        <v>2415.1984780000003</v>
      </c>
      <c r="S1553" s="27">
        <f t="shared" si="2228"/>
        <v>547.08915800000011</v>
      </c>
      <c r="T1553" s="27">
        <f t="shared" si="2228"/>
        <v>6725.1935520000006</v>
      </c>
      <c r="U1553" s="27">
        <f t="shared" si="2228"/>
        <v>2335.1366500000004</v>
      </c>
      <c r="V1553" s="27">
        <f t="shared" si="2228"/>
        <v>4830.3969560000005</v>
      </c>
      <c r="W1553" s="27">
        <f t="shared" si="2228"/>
        <v>6471.6644300000007</v>
      </c>
      <c r="X1553" s="27">
        <f t="shared" si="2228"/>
        <v>8219.6810080000014</v>
      </c>
      <c r="Y1553" s="27">
        <f t="shared" si="2228"/>
        <v>333.59095000000002</v>
      </c>
      <c r="Z1553" s="27">
        <f t="shared" si="2228"/>
        <v>0</v>
      </c>
      <c r="AA1553" s="27">
        <f t="shared" si="2228"/>
        <v>93.405466000000004</v>
      </c>
      <c r="AB1553" s="27">
        <f t="shared" si="2228"/>
        <v>0</v>
      </c>
      <c r="AC1553" s="56"/>
      <c r="AD1553" s="23"/>
    </row>
    <row r="1554" spans="1:30" s="14" customFormat="1">
      <c r="A1554" s="194" t="s">
        <v>713</v>
      </c>
      <c r="B1554" s="195">
        <f>3202473/2</f>
        <v>1601236.5</v>
      </c>
      <c r="C1554" s="196">
        <f>ROUND(B1554/12,2)</f>
        <v>133436.38</v>
      </c>
      <c r="D1554" s="200"/>
      <c r="E1554" s="201"/>
      <c r="F1554" s="198">
        <v>0.14990000000000001</v>
      </c>
      <c r="G1554" s="198"/>
      <c r="H1554" s="202">
        <v>8.2900000000000001E-2</v>
      </c>
      <c r="I1554" s="202"/>
      <c r="J1554" s="202"/>
      <c r="K1554" s="202"/>
      <c r="L1554" s="198"/>
      <c r="M1554" s="202"/>
      <c r="N1554" s="202">
        <v>0.67549999999999999</v>
      </c>
      <c r="O1554" s="202"/>
      <c r="P1554" s="202"/>
      <c r="Q1554" s="202"/>
      <c r="R1554" s="202"/>
      <c r="S1554" s="202"/>
      <c r="T1554" s="202"/>
      <c r="U1554" s="202"/>
      <c r="V1554" s="202">
        <v>9.1700000000000004E-2</v>
      </c>
      <c r="W1554" s="202"/>
      <c r="X1554" s="202"/>
      <c r="Y1554" s="202"/>
      <c r="Z1554" s="202"/>
      <c r="AA1554" s="202"/>
      <c r="AB1554" s="202"/>
      <c r="AC1554" s="56"/>
      <c r="AD1554" s="23"/>
    </row>
    <row r="1555" spans="1:30" s="14" customFormat="1">
      <c r="A1555" s="47"/>
      <c r="B1555" s="199"/>
      <c r="C1555" s="128"/>
      <c r="D1555" s="27">
        <f>$C1554*D1554</f>
        <v>0</v>
      </c>
      <c r="E1555" s="27">
        <f>$C1554*E1554</f>
        <v>0</v>
      </c>
      <c r="F1555" s="27">
        <f t="shared" ref="F1555:AB1555" si="2229">$C1554*F1554</f>
        <v>20002.113362</v>
      </c>
      <c r="G1555" s="27">
        <f t="shared" si="2229"/>
        <v>0</v>
      </c>
      <c r="H1555" s="27">
        <f t="shared" si="2229"/>
        <v>11061.875902</v>
      </c>
      <c r="I1555" s="27">
        <f t="shared" si="2229"/>
        <v>0</v>
      </c>
      <c r="J1555" s="27">
        <f t="shared" si="2229"/>
        <v>0</v>
      </c>
      <c r="K1555" s="27">
        <f t="shared" si="2229"/>
        <v>0</v>
      </c>
      <c r="L1555" s="27">
        <f t="shared" si="2229"/>
        <v>0</v>
      </c>
      <c r="M1555" s="27">
        <f t="shared" si="2229"/>
        <v>0</v>
      </c>
      <c r="N1555" s="27">
        <f t="shared" si="2229"/>
        <v>90136.274690000006</v>
      </c>
      <c r="O1555" s="27">
        <f t="shared" si="2229"/>
        <v>0</v>
      </c>
      <c r="P1555" s="27">
        <f t="shared" si="2229"/>
        <v>0</v>
      </c>
      <c r="Q1555" s="27">
        <f t="shared" si="2229"/>
        <v>0</v>
      </c>
      <c r="R1555" s="27">
        <f t="shared" si="2229"/>
        <v>0</v>
      </c>
      <c r="S1555" s="27">
        <f t="shared" si="2229"/>
        <v>0</v>
      </c>
      <c r="T1555" s="27">
        <f t="shared" si="2229"/>
        <v>0</v>
      </c>
      <c r="U1555" s="27">
        <f t="shared" si="2229"/>
        <v>0</v>
      </c>
      <c r="V1555" s="27">
        <f t="shared" si="2229"/>
        <v>12236.116046000001</v>
      </c>
      <c r="W1555" s="27">
        <f t="shared" si="2229"/>
        <v>0</v>
      </c>
      <c r="X1555" s="27">
        <f t="shared" si="2229"/>
        <v>0</v>
      </c>
      <c r="Y1555" s="27">
        <f t="shared" si="2229"/>
        <v>0</v>
      </c>
      <c r="Z1555" s="27">
        <f t="shared" si="2229"/>
        <v>0</v>
      </c>
      <c r="AA1555" s="27">
        <f t="shared" si="2229"/>
        <v>0</v>
      </c>
      <c r="AB1555" s="27">
        <f t="shared" si="2229"/>
        <v>0</v>
      </c>
      <c r="AC1555" s="56"/>
      <c r="AD1555" s="23"/>
    </row>
    <row r="1556" spans="1:30" s="14" customFormat="1">
      <c r="A1556" s="194" t="s">
        <v>714</v>
      </c>
      <c r="B1556" s="195">
        <f>1521395/2</f>
        <v>760697.5</v>
      </c>
      <c r="C1556" s="196">
        <f>ROUND(B1556/12,2)</f>
        <v>63391.46</v>
      </c>
      <c r="D1556" s="197">
        <v>1.6299999999999999E-2</v>
      </c>
      <c r="E1556" s="197">
        <v>0.14269999999999999</v>
      </c>
      <c r="F1556" s="197">
        <v>5.8900000000000001E-2</v>
      </c>
      <c r="G1556" s="197">
        <v>7.6200000000000004E-2</v>
      </c>
      <c r="H1556" s="197">
        <v>3.9600000000000003E-2</v>
      </c>
      <c r="I1556" s="197">
        <v>0.12470000000000001</v>
      </c>
      <c r="J1556" s="197">
        <v>2.0400000000000001E-2</v>
      </c>
      <c r="K1556" s="197">
        <v>3.1199999999999999E-2</v>
      </c>
      <c r="L1556" s="197">
        <v>1.6199999999999999E-2</v>
      </c>
      <c r="M1556" s="197">
        <v>2.53E-2</v>
      </c>
      <c r="N1556" s="197">
        <v>0.14849999999999999</v>
      </c>
      <c r="O1556" s="197">
        <v>2.2599999999999999E-2</v>
      </c>
      <c r="P1556" s="197">
        <v>0</v>
      </c>
      <c r="Q1556" s="197">
        <v>3.78E-2</v>
      </c>
      <c r="R1556" s="197">
        <v>1.8100000000000002E-2</v>
      </c>
      <c r="S1556" s="197">
        <v>4.1000000000000003E-3</v>
      </c>
      <c r="T1556" s="197">
        <v>5.04E-2</v>
      </c>
      <c r="U1556" s="197">
        <v>1.7500000000000002E-2</v>
      </c>
      <c r="V1556" s="197">
        <v>3.6200000000000003E-2</v>
      </c>
      <c r="W1556" s="197">
        <v>4.8500000000000001E-2</v>
      </c>
      <c r="X1556" s="197">
        <v>6.1600000000000002E-2</v>
      </c>
      <c r="Y1556" s="197">
        <v>2.5000000000000001E-3</v>
      </c>
      <c r="Z1556" s="198">
        <v>0</v>
      </c>
      <c r="AA1556" s="198">
        <v>6.9999999999999999E-4</v>
      </c>
      <c r="AB1556" s="198">
        <v>0</v>
      </c>
      <c r="AC1556" s="56"/>
      <c r="AD1556" s="23"/>
    </row>
    <row r="1557" spans="1:30" s="14" customFormat="1">
      <c r="A1557" s="47"/>
      <c r="B1557" s="199"/>
      <c r="C1557" s="128"/>
      <c r="D1557" s="27">
        <f>$C1556*D1556</f>
        <v>1033.280798</v>
      </c>
      <c r="E1557" s="27">
        <f>$C1556*E1556</f>
        <v>9045.9613419999987</v>
      </c>
      <c r="F1557" s="27">
        <f t="shared" ref="F1557:AB1557" si="2230">$C1556*F1556</f>
        <v>3733.7569939999998</v>
      </c>
      <c r="G1557" s="27">
        <f t="shared" si="2230"/>
        <v>4830.4292519999999</v>
      </c>
      <c r="H1557" s="27">
        <f t="shared" si="2230"/>
        <v>2510.3018160000001</v>
      </c>
      <c r="I1557" s="27">
        <f t="shared" si="2230"/>
        <v>7904.915062</v>
      </c>
      <c r="J1557" s="27">
        <f t="shared" si="2230"/>
        <v>1293.185784</v>
      </c>
      <c r="K1557" s="27">
        <f t="shared" si="2230"/>
        <v>1977.8135519999998</v>
      </c>
      <c r="L1557" s="27">
        <f t="shared" si="2230"/>
        <v>1026.941652</v>
      </c>
      <c r="M1557" s="27">
        <f t="shared" si="2230"/>
        <v>1603.803938</v>
      </c>
      <c r="N1557" s="27">
        <f t="shared" si="2230"/>
        <v>9413.6318099999989</v>
      </c>
      <c r="O1557" s="27">
        <f t="shared" si="2230"/>
        <v>1432.6469959999999</v>
      </c>
      <c r="P1557" s="27">
        <f t="shared" si="2230"/>
        <v>0</v>
      </c>
      <c r="Q1557" s="27">
        <f t="shared" si="2230"/>
        <v>2396.1971880000001</v>
      </c>
      <c r="R1557" s="27">
        <f t="shared" si="2230"/>
        <v>1147.3854260000001</v>
      </c>
      <c r="S1557" s="27">
        <f t="shared" si="2230"/>
        <v>259.90498600000001</v>
      </c>
      <c r="T1557" s="27">
        <f t="shared" si="2230"/>
        <v>3194.929584</v>
      </c>
      <c r="U1557" s="27">
        <f t="shared" si="2230"/>
        <v>1109.3505500000001</v>
      </c>
      <c r="V1557" s="27">
        <f t="shared" si="2230"/>
        <v>2294.7708520000001</v>
      </c>
      <c r="W1557" s="27">
        <f t="shared" si="2230"/>
        <v>3074.4858100000001</v>
      </c>
      <c r="X1557" s="27">
        <f t="shared" si="2230"/>
        <v>3904.9139359999999</v>
      </c>
      <c r="Y1557" s="27">
        <f t="shared" si="2230"/>
        <v>158.47864999999999</v>
      </c>
      <c r="Z1557" s="27">
        <f t="shared" si="2230"/>
        <v>0</v>
      </c>
      <c r="AA1557" s="27">
        <f t="shared" si="2230"/>
        <v>44.374021999999997</v>
      </c>
      <c r="AB1557" s="27">
        <f t="shared" si="2230"/>
        <v>0</v>
      </c>
      <c r="AC1557" s="56"/>
      <c r="AD1557" s="23"/>
    </row>
    <row r="1558" spans="1:30" s="14" customFormat="1">
      <c r="A1558" s="194" t="s">
        <v>715</v>
      </c>
      <c r="B1558" s="195">
        <f>1521395/2</f>
        <v>760697.5</v>
      </c>
      <c r="C1558" s="196">
        <f>ROUND(B1558/12,2)</f>
        <v>63391.46</v>
      </c>
      <c r="D1558" s="200"/>
      <c r="E1558" s="201"/>
      <c r="F1558" s="198">
        <v>1</v>
      </c>
      <c r="G1558" s="198"/>
      <c r="H1558" s="202"/>
      <c r="I1558" s="202"/>
      <c r="J1558" s="202"/>
      <c r="K1558" s="202"/>
      <c r="L1558" s="198"/>
      <c r="M1558" s="202"/>
      <c r="N1558" s="202"/>
      <c r="O1558" s="202"/>
      <c r="P1558" s="202"/>
      <c r="Q1558" s="202"/>
      <c r="R1558" s="202"/>
      <c r="S1558" s="202"/>
      <c r="T1558" s="202"/>
      <c r="U1558" s="202"/>
      <c r="V1558" s="202"/>
      <c r="W1558" s="202"/>
      <c r="X1558" s="202"/>
      <c r="Y1558" s="202"/>
      <c r="Z1558" s="202"/>
      <c r="AA1558" s="202"/>
      <c r="AB1558" s="202"/>
      <c r="AC1558" s="56"/>
      <c r="AD1558" s="23"/>
    </row>
    <row r="1559" spans="1:30" s="14" customFormat="1">
      <c r="A1559" s="47"/>
      <c r="B1559" s="199"/>
      <c r="C1559" s="128"/>
      <c r="D1559" s="27">
        <f>$C1558*D1558</f>
        <v>0</v>
      </c>
      <c r="E1559" s="27">
        <f>$C1558*E1558</f>
        <v>0</v>
      </c>
      <c r="F1559" s="27">
        <f t="shared" ref="F1559:AB1559" si="2231">$C1558*F1558</f>
        <v>63391.46</v>
      </c>
      <c r="G1559" s="27">
        <f t="shared" si="2231"/>
        <v>0</v>
      </c>
      <c r="H1559" s="27">
        <f t="shared" si="2231"/>
        <v>0</v>
      </c>
      <c r="I1559" s="27">
        <f t="shared" si="2231"/>
        <v>0</v>
      </c>
      <c r="J1559" s="27">
        <f t="shared" si="2231"/>
        <v>0</v>
      </c>
      <c r="K1559" s="27">
        <f t="shared" si="2231"/>
        <v>0</v>
      </c>
      <c r="L1559" s="27">
        <f t="shared" si="2231"/>
        <v>0</v>
      </c>
      <c r="M1559" s="27">
        <f t="shared" si="2231"/>
        <v>0</v>
      </c>
      <c r="N1559" s="27">
        <f t="shared" si="2231"/>
        <v>0</v>
      </c>
      <c r="O1559" s="27">
        <f t="shared" si="2231"/>
        <v>0</v>
      </c>
      <c r="P1559" s="27">
        <f t="shared" si="2231"/>
        <v>0</v>
      </c>
      <c r="Q1559" s="27">
        <f t="shared" si="2231"/>
        <v>0</v>
      </c>
      <c r="R1559" s="27">
        <f t="shared" si="2231"/>
        <v>0</v>
      </c>
      <c r="S1559" s="27">
        <f t="shared" si="2231"/>
        <v>0</v>
      </c>
      <c r="T1559" s="27">
        <f t="shared" si="2231"/>
        <v>0</v>
      </c>
      <c r="U1559" s="27">
        <f t="shared" si="2231"/>
        <v>0</v>
      </c>
      <c r="V1559" s="27">
        <f t="shared" si="2231"/>
        <v>0</v>
      </c>
      <c r="W1559" s="27">
        <f t="shared" si="2231"/>
        <v>0</v>
      </c>
      <c r="X1559" s="27">
        <f t="shared" si="2231"/>
        <v>0</v>
      </c>
      <c r="Y1559" s="27">
        <f t="shared" si="2231"/>
        <v>0</v>
      </c>
      <c r="Z1559" s="27">
        <f t="shared" si="2231"/>
        <v>0</v>
      </c>
      <c r="AA1559" s="27">
        <f t="shared" si="2231"/>
        <v>0</v>
      </c>
      <c r="AB1559" s="27">
        <f t="shared" si="2231"/>
        <v>0</v>
      </c>
      <c r="AC1559" s="56"/>
      <c r="AD1559" s="23"/>
    </row>
    <row r="1560" spans="1:30" s="14" customFormat="1">
      <c r="A1560" s="182" t="s">
        <v>50</v>
      </c>
      <c r="B1560" s="183">
        <f>SUM(B1548:B1559)</f>
        <v>4835930</v>
      </c>
      <c r="C1560" s="184">
        <f>SUM(C1548:C1559)</f>
        <v>402994.18000000005</v>
      </c>
      <c r="D1560" s="184">
        <f>D1549+D1551+D1553+D1555+D1557+D1559</f>
        <v>3284.4025670000001</v>
      </c>
      <c r="E1560" s="184">
        <f t="shared" ref="E1560:AB1560" si="2232">E1549+E1551+E1553+E1555+E1557+E1559</f>
        <v>28753.634742999999</v>
      </c>
      <c r="F1560" s="184">
        <f t="shared" si="2232"/>
        <v>95946.730937999993</v>
      </c>
      <c r="G1560" s="184">
        <f t="shared" si="2232"/>
        <v>15354.078258000001</v>
      </c>
      <c r="H1560" s="184">
        <f t="shared" si="2232"/>
        <v>19419.836841</v>
      </c>
      <c r="I1560" s="184">
        <f t="shared" si="2232"/>
        <v>25126.687123000003</v>
      </c>
      <c r="J1560" s="184">
        <f t="shared" si="2232"/>
        <v>4110.5406360000006</v>
      </c>
      <c r="K1560" s="184">
        <f t="shared" si="2232"/>
        <v>6286.7092079999993</v>
      </c>
      <c r="L1560" s="184">
        <f t="shared" si="2232"/>
        <v>3264.2528579999998</v>
      </c>
      <c r="M1560" s="184">
        <f t="shared" si="2232"/>
        <v>5198.2652520000001</v>
      </c>
      <c r="N1560" s="184">
        <f t="shared" si="2232"/>
        <v>123144.49987999999</v>
      </c>
      <c r="O1560" s="184">
        <f t="shared" si="2232"/>
        <v>4553.8342339999999</v>
      </c>
      <c r="P1560" s="184">
        <f t="shared" si="2232"/>
        <v>0</v>
      </c>
      <c r="Q1560" s="184">
        <f t="shared" si="2232"/>
        <v>7616.5900020000008</v>
      </c>
      <c r="R1560" s="184">
        <f t="shared" si="2232"/>
        <v>3647.0973290000002</v>
      </c>
      <c r="S1560" s="184">
        <f t="shared" si="2232"/>
        <v>826.13806900000009</v>
      </c>
      <c r="T1560" s="184">
        <f t="shared" si="2232"/>
        <v>10155.453336</v>
      </c>
      <c r="U1560" s="184">
        <f t="shared" si="2232"/>
        <v>3526.1990750000004</v>
      </c>
      <c r="V1560" s="184">
        <f t="shared" si="2232"/>
        <v>19949.609354000004</v>
      </c>
      <c r="W1560" s="184">
        <f t="shared" si="2232"/>
        <v>9772.608865000002</v>
      </c>
      <c r="X1560" s="184">
        <f t="shared" si="2232"/>
        <v>12412.220744000002</v>
      </c>
      <c r="Y1560" s="184">
        <f t="shared" si="2232"/>
        <v>503.74272500000006</v>
      </c>
      <c r="Z1560" s="184">
        <f t="shared" si="2232"/>
        <v>0</v>
      </c>
      <c r="AA1560" s="184">
        <f t="shared" si="2232"/>
        <v>141.04796299999998</v>
      </c>
      <c r="AB1560" s="184">
        <f t="shared" si="2232"/>
        <v>0</v>
      </c>
      <c r="AC1560" s="56"/>
      <c r="AD1560" s="23"/>
    </row>
    <row r="1561" spans="1:30" customFormat="1"/>
    <row r="1562" spans="1:30" customFormat="1"/>
    <row r="1563" spans="1:30" s="14" customFormat="1" ht="13.8" thickBot="1">
      <c r="A1563" s="66" t="s">
        <v>716</v>
      </c>
      <c r="B1563" s="65"/>
      <c r="C1563" s="152"/>
      <c r="D1563" s="65"/>
      <c r="E1563" s="65"/>
      <c r="F1563" s="19"/>
      <c r="G1563" s="19"/>
      <c r="H1563" s="19"/>
      <c r="I1563" s="19"/>
      <c r="J1563" s="19"/>
      <c r="K1563" s="19"/>
      <c r="L1563" s="19"/>
      <c r="M1563" s="19"/>
      <c r="N1563" s="19"/>
      <c r="O1563" s="19"/>
      <c r="P1563" s="19"/>
      <c r="Q1563" s="19"/>
      <c r="R1563" s="19"/>
      <c r="S1563" s="19"/>
      <c r="T1563" s="19"/>
      <c r="U1563" s="19"/>
      <c r="V1563" s="19"/>
      <c r="W1563" s="19"/>
      <c r="X1563" s="19"/>
      <c r="Y1563" s="19"/>
      <c r="Z1563" s="19"/>
      <c r="AA1563" s="19"/>
      <c r="AB1563" s="19"/>
      <c r="AC1563" s="56"/>
      <c r="AD1563" s="23"/>
    </row>
    <row r="1564" spans="1:30" s="14" customFormat="1" ht="13.8" thickBot="1">
      <c r="A1564" s="171" t="s">
        <v>1</v>
      </c>
      <c r="B1564" s="172" t="s">
        <v>2</v>
      </c>
      <c r="C1564" s="173" t="s">
        <v>3</v>
      </c>
      <c r="D1564" s="209" t="s">
        <v>4</v>
      </c>
      <c r="E1564" s="210"/>
      <c r="F1564" s="210"/>
      <c r="G1564" s="210"/>
      <c r="H1564" s="210"/>
      <c r="I1564" s="210"/>
      <c r="J1564" s="210"/>
      <c r="K1564" s="210"/>
      <c r="L1564" s="210"/>
      <c r="M1564" s="210"/>
      <c r="N1564" s="210"/>
      <c r="O1564" s="210"/>
      <c r="P1564" s="210"/>
      <c r="Q1564" s="210"/>
      <c r="R1564" s="210"/>
      <c r="S1564" s="210"/>
      <c r="T1564" s="210"/>
      <c r="U1564" s="210"/>
      <c r="V1564" s="210"/>
      <c r="W1564" s="210"/>
      <c r="X1564" s="210"/>
      <c r="Y1564" s="210"/>
      <c r="Z1564" s="174"/>
      <c r="AA1564" s="174"/>
      <c r="AB1564" s="174"/>
      <c r="AC1564" s="56"/>
      <c r="AD1564" s="23"/>
    </row>
    <row r="1565" spans="1:30" s="14" customFormat="1">
      <c r="A1565" s="175" t="s">
        <v>5</v>
      </c>
      <c r="B1565" s="176" t="s">
        <v>6</v>
      </c>
      <c r="C1565" s="126" t="s">
        <v>6</v>
      </c>
      <c r="D1565" s="177"/>
      <c r="E1565" s="178"/>
      <c r="F1565" s="178"/>
      <c r="G1565" s="178"/>
      <c r="H1565" s="178"/>
      <c r="I1565" s="178"/>
      <c r="J1565" s="178"/>
      <c r="K1565" s="178"/>
      <c r="L1565" s="178"/>
      <c r="M1565" s="178"/>
      <c r="N1565" s="178"/>
      <c r="O1565" s="178"/>
      <c r="P1565" s="178"/>
      <c r="Q1565" s="178"/>
      <c r="R1565" s="178"/>
      <c r="S1565" s="178"/>
      <c r="T1565" s="178"/>
      <c r="U1565" s="178"/>
      <c r="V1565" s="178"/>
      <c r="W1565" s="178"/>
      <c r="X1565" s="178"/>
      <c r="Y1565" s="99"/>
      <c r="Z1565" s="176" t="s">
        <v>7</v>
      </c>
      <c r="AA1565" s="176"/>
      <c r="AB1565" s="176"/>
      <c r="AC1565" s="56"/>
      <c r="AD1565" s="23"/>
    </row>
    <row r="1566" spans="1:30" s="14" customFormat="1">
      <c r="A1566" s="175" t="s">
        <v>8</v>
      </c>
      <c r="B1566" s="176" t="s">
        <v>9</v>
      </c>
      <c r="C1566" s="126" t="s">
        <v>9</v>
      </c>
      <c r="D1566" s="179" t="s">
        <v>10</v>
      </c>
      <c r="E1566" s="176" t="s">
        <v>11</v>
      </c>
      <c r="F1566" s="176" t="s">
        <v>12</v>
      </c>
      <c r="G1566" s="176" t="s">
        <v>13</v>
      </c>
      <c r="H1566" s="176" t="s">
        <v>14</v>
      </c>
      <c r="I1566" s="176" t="s">
        <v>15</v>
      </c>
      <c r="J1566" s="176" t="s">
        <v>16</v>
      </c>
      <c r="K1566" s="176" t="s">
        <v>17</v>
      </c>
      <c r="L1566" s="176" t="s">
        <v>18</v>
      </c>
      <c r="M1566" s="176" t="s">
        <v>19</v>
      </c>
      <c r="N1566" s="176" t="s">
        <v>20</v>
      </c>
      <c r="O1566" s="176" t="s">
        <v>169</v>
      </c>
      <c r="P1566" s="176" t="s">
        <v>21</v>
      </c>
      <c r="Q1566" s="176" t="s">
        <v>22</v>
      </c>
      <c r="R1566" s="176" t="s">
        <v>23</v>
      </c>
      <c r="S1566" s="176" t="s">
        <v>24</v>
      </c>
      <c r="T1566" s="176" t="s">
        <v>25</v>
      </c>
      <c r="U1566" s="176" t="s">
        <v>26</v>
      </c>
      <c r="V1566" s="176" t="s">
        <v>27</v>
      </c>
      <c r="W1566" s="176" t="s">
        <v>28</v>
      </c>
      <c r="X1566" s="176" t="s">
        <v>29</v>
      </c>
      <c r="Y1566" s="176" t="s">
        <v>30</v>
      </c>
      <c r="Z1566" s="176" t="s">
        <v>31</v>
      </c>
      <c r="AA1566" s="176" t="s">
        <v>484</v>
      </c>
      <c r="AB1566" s="176" t="s">
        <v>467</v>
      </c>
      <c r="AC1566" s="56"/>
      <c r="AD1566" s="23"/>
    </row>
    <row r="1567" spans="1:30" s="14" customFormat="1">
      <c r="A1567" s="175"/>
      <c r="B1567" s="176"/>
      <c r="C1567" s="126" t="s">
        <v>696</v>
      </c>
      <c r="D1567" s="180"/>
      <c r="E1567" s="181"/>
      <c r="F1567" s="181"/>
      <c r="G1567" s="181"/>
      <c r="H1567" s="181"/>
      <c r="I1567" s="181"/>
      <c r="J1567" s="181"/>
      <c r="K1567" s="181"/>
      <c r="L1567" s="181"/>
      <c r="M1567" s="181"/>
      <c r="N1567" s="181"/>
      <c r="O1567" s="181"/>
      <c r="P1567" s="181"/>
      <c r="Q1567" s="181"/>
      <c r="R1567" s="181"/>
      <c r="S1567" s="181"/>
      <c r="T1567" s="181"/>
      <c r="U1567" s="181"/>
      <c r="V1567" s="181"/>
      <c r="W1567" s="181"/>
      <c r="X1567" s="181"/>
      <c r="Y1567" s="181"/>
      <c r="Z1567" s="181"/>
      <c r="AA1567" s="181"/>
      <c r="AB1567" s="181"/>
      <c r="AC1567" s="56"/>
      <c r="AD1567" s="23"/>
    </row>
    <row r="1568" spans="1:30" s="14" customFormat="1">
      <c r="A1568" s="194" t="s">
        <v>717</v>
      </c>
      <c r="B1568" s="195">
        <f>60031/2</f>
        <v>30015.5</v>
      </c>
      <c r="C1568" s="196">
        <f>ROUND(B1568/12,2)</f>
        <v>2501.29</v>
      </c>
      <c r="D1568" s="197">
        <v>1.6299999999999999E-2</v>
      </c>
      <c r="E1568" s="197">
        <v>0.14269999999999999</v>
      </c>
      <c r="F1568" s="197">
        <v>5.8900000000000001E-2</v>
      </c>
      <c r="G1568" s="197">
        <v>7.6200000000000004E-2</v>
      </c>
      <c r="H1568" s="197">
        <v>3.9600000000000003E-2</v>
      </c>
      <c r="I1568" s="197">
        <v>0.12470000000000001</v>
      </c>
      <c r="J1568" s="197">
        <v>2.0400000000000001E-2</v>
      </c>
      <c r="K1568" s="197">
        <v>3.1199999999999999E-2</v>
      </c>
      <c r="L1568" s="197">
        <v>1.6199999999999999E-2</v>
      </c>
      <c r="M1568" s="197">
        <v>2.53E-2</v>
      </c>
      <c r="N1568" s="197">
        <v>0.14849999999999999</v>
      </c>
      <c r="O1568" s="197">
        <v>2.2599999999999999E-2</v>
      </c>
      <c r="P1568" s="197">
        <v>0</v>
      </c>
      <c r="Q1568" s="197">
        <v>3.78E-2</v>
      </c>
      <c r="R1568" s="197">
        <v>1.8100000000000002E-2</v>
      </c>
      <c r="S1568" s="197">
        <v>4.1000000000000003E-3</v>
      </c>
      <c r="T1568" s="197">
        <v>5.04E-2</v>
      </c>
      <c r="U1568" s="197">
        <v>1.7500000000000002E-2</v>
      </c>
      <c r="V1568" s="197">
        <v>3.6200000000000003E-2</v>
      </c>
      <c r="W1568" s="197">
        <v>4.8500000000000001E-2</v>
      </c>
      <c r="X1568" s="197">
        <v>6.1600000000000002E-2</v>
      </c>
      <c r="Y1568" s="197">
        <v>2.5000000000000001E-3</v>
      </c>
      <c r="Z1568" s="198">
        <v>0</v>
      </c>
      <c r="AA1568" s="198">
        <v>6.9999999999999999E-4</v>
      </c>
      <c r="AB1568" s="198">
        <v>0</v>
      </c>
      <c r="AC1568" s="56"/>
      <c r="AD1568" s="23"/>
    </row>
    <row r="1569" spans="1:30" s="14" customFormat="1">
      <c r="A1569" s="47"/>
      <c r="B1569" s="199"/>
      <c r="C1569" s="128"/>
      <c r="D1569" s="27">
        <f>$C1568*D1568</f>
        <v>40.771026999999997</v>
      </c>
      <c r="E1569" s="27">
        <f>$C1568*E1568</f>
        <v>356.93408299999999</v>
      </c>
      <c r="F1569" s="27">
        <f t="shared" ref="F1569:AB1569" si="2233">$C1568*F1568</f>
        <v>147.32598100000001</v>
      </c>
      <c r="G1569" s="27">
        <f t="shared" si="2233"/>
        <v>190.598298</v>
      </c>
      <c r="H1569" s="27">
        <f t="shared" si="2233"/>
        <v>99.051084000000003</v>
      </c>
      <c r="I1569" s="27">
        <f t="shared" si="2233"/>
        <v>311.91086300000001</v>
      </c>
      <c r="J1569" s="27">
        <f t="shared" si="2233"/>
        <v>51.026316000000001</v>
      </c>
      <c r="K1569" s="27">
        <f t="shared" si="2233"/>
        <v>78.040247999999991</v>
      </c>
      <c r="L1569" s="27">
        <f t="shared" si="2233"/>
        <v>40.520897999999995</v>
      </c>
      <c r="M1569" s="27">
        <f t="shared" si="2233"/>
        <v>63.282637000000001</v>
      </c>
      <c r="N1569" s="27">
        <f t="shared" si="2233"/>
        <v>371.44156499999997</v>
      </c>
      <c r="O1569" s="27">
        <f t="shared" si="2233"/>
        <v>56.529153999999998</v>
      </c>
      <c r="P1569" s="27">
        <f t="shared" si="2233"/>
        <v>0</v>
      </c>
      <c r="Q1569" s="27">
        <f t="shared" si="2233"/>
        <v>94.548761999999996</v>
      </c>
      <c r="R1569" s="27">
        <f t="shared" si="2233"/>
        <v>45.273349000000003</v>
      </c>
      <c r="S1569" s="27">
        <f t="shared" si="2233"/>
        <v>10.255289000000001</v>
      </c>
      <c r="T1569" s="27">
        <f t="shared" si="2233"/>
        <v>126.065016</v>
      </c>
      <c r="U1569" s="27">
        <f t="shared" si="2233"/>
        <v>43.772575000000003</v>
      </c>
      <c r="V1569" s="27">
        <f t="shared" si="2233"/>
        <v>90.546698000000006</v>
      </c>
      <c r="W1569" s="27">
        <f t="shared" si="2233"/>
        <v>121.31256500000001</v>
      </c>
      <c r="X1569" s="27">
        <f t="shared" si="2233"/>
        <v>154.079464</v>
      </c>
      <c r="Y1569" s="27">
        <f t="shared" si="2233"/>
        <v>6.2532250000000005</v>
      </c>
      <c r="Z1569" s="27">
        <f t="shared" si="2233"/>
        <v>0</v>
      </c>
      <c r="AA1569" s="27">
        <f t="shared" si="2233"/>
        <v>1.7509029999999999</v>
      </c>
      <c r="AB1569" s="27">
        <f t="shared" si="2233"/>
        <v>0</v>
      </c>
      <c r="AC1569" s="56"/>
      <c r="AD1569" s="23"/>
    </row>
    <row r="1570" spans="1:30" s="14" customFormat="1">
      <c r="A1570" s="194" t="s">
        <v>718</v>
      </c>
      <c r="B1570" s="195">
        <f>60031/2</f>
        <v>30015.5</v>
      </c>
      <c r="C1570" s="196">
        <f>ROUND(B1570/12,2)</f>
        <v>2501.29</v>
      </c>
      <c r="D1570" s="200"/>
      <c r="E1570" s="201"/>
      <c r="F1570" s="198">
        <v>0.1467</v>
      </c>
      <c r="G1570" s="198"/>
      <c r="H1570" s="202">
        <v>8.1100000000000005E-2</v>
      </c>
      <c r="I1570" s="202"/>
      <c r="J1570" s="202"/>
      <c r="K1570" s="202"/>
      <c r="L1570" s="198"/>
      <c r="M1570" s="202">
        <v>2.1499999999999998E-2</v>
      </c>
      <c r="N1570" s="202">
        <v>0.66090000000000004</v>
      </c>
      <c r="O1570" s="202"/>
      <c r="P1570" s="202"/>
      <c r="Q1570" s="202"/>
      <c r="R1570" s="202"/>
      <c r="S1570" s="202"/>
      <c r="T1570" s="202"/>
      <c r="U1570" s="202"/>
      <c r="V1570" s="202">
        <v>8.9800000000000005E-2</v>
      </c>
      <c r="W1570" s="202"/>
      <c r="X1570" s="202"/>
      <c r="Y1570" s="202"/>
      <c r="Z1570" s="202"/>
      <c r="AA1570" s="202"/>
      <c r="AB1570" s="202"/>
      <c r="AC1570" s="56"/>
      <c r="AD1570" s="23"/>
    </row>
    <row r="1571" spans="1:30" s="14" customFormat="1">
      <c r="A1571" s="47"/>
      <c r="B1571" s="199"/>
      <c r="C1571" s="128"/>
      <c r="D1571" s="27">
        <f t="shared" ref="D1571:AB1571" si="2234">$C1570*D1570</f>
        <v>0</v>
      </c>
      <c r="E1571" s="27">
        <f t="shared" si="2234"/>
        <v>0</v>
      </c>
      <c r="F1571" s="27">
        <f t="shared" si="2234"/>
        <v>366.93924299999998</v>
      </c>
      <c r="G1571" s="27">
        <f t="shared" si="2234"/>
        <v>0</v>
      </c>
      <c r="H1571" s="27">
        <f t="shared" si="2234"/>
        <v>202.85461900000001</v>
      </c>
      <c r="I1571" s="27">
        <f t="shared" si="2234"/>
        <v>0</v>
      </c>
      <c r="J1571" s="27">
        <f t="shared" si="2234"/>
        <v>0</v>
      </c>
      <c r="K1571" s="27">
        <f t="shared" si="2234"/>
        <v>0</v>
      </c>
      <c r="L1571" s="27">
        <f t="shared" si="2234"/>
        <v>0</v>
      </c>
      <c r="M1571" s="27">
        <f t="shared" si="2234"/>
        <v>53.777734999999993</v>
      </c>
      <c r="N1571" s="27">
        <f t="shared" si="2234"/>
        <v>1653.1025610000002</v>
      </c>
      <c r="O1571" s="27">
        <f t="shared" si="2234"/>
        <v>0</v>
      </c>
      <c r="P1571" s="27">
        <f t="shared" si="2234"/>
        <v>0</v>
      </c>
      <c r="Q1571" s="27">
        <f t="shared" si="2234"/>
        <v>0</v>
      </c>
      <c r="R1571" s="27">
        <f t="shared" si="2234"/>
        <v>0</v>
      </c>
      <c r="S1571" s="27">
        <f t="shared" si="2234"/>
        <v>0</v>
      </c>
      <c r="T1571" s="27">
        <f t="shared" si="2234"/>
        <v>0</v>
      </c>
      <c r="U1571" s="27">
        <f t="shared" si="2234"/>
        <v>0</v>
      </c>
      <c r="V1571" s="27">
        <f t="shared" si="2234"/>
        <v>224.61584200000001</v>
      </c>
      <c r="W1571" s="27">
        <f t="shared" si="2234"/>
        <v>0</v>
      </c>
      <c r="X1571" s="27">
        <f t="shared" si="2234"/>
        <v>0</v>
      </c>
      <c r="Y1571" s="27">
        <f t="shared" si="2234"/>
        <v>0</v>
      </c>
      <c r="Z1571" s="27">
        <f t="shared" si="2234"/>
        <v>0</v>
      </c>
      <c r="AA1571" s="27">
        <f t="shared" si="2234"/>
        <v>0</v>
      </c>
      <c r="AB1571" s="27">
        <f t="shared" si="2234"/>
        <v>0</v>
      </c>
      <c r="AC1571" s="56"/>
      <c r="AD1571" s="23"/>
    </row>
    <row r="1572" spans="1:30" s="14" customFormat="1">
      <c r="A1572" s="194" t="s">
        <v>719</v>
      </c>
      <c r="B1572" s="195">
        <f>30016/2</f>
        <v>15008</v>
      </c>
      <c r="C1572" s="196">
        <f>ROUND(B1572/12,2)</f>
        <v>1250.67</v>
      </c>
      <c r="D1572" s="197">
        <v>1.6299999999999999E-2</v>
      </c>
      <c r="E1572" s="197">
        <v>0.14269999999999999</v>
      </c>
      <c r="F1572" s="197">
        <v>5.8900000000000001E-2</v>
      </c>
      <c r="G1572" s="197">
        <v>7.6200000000000004E-2</v>
      </c>
      <c r="H1572" s="197">
        <v>3.9600000000000003E-2</v>
      </c>
      <c r="I1572" s="197">
        <v>0.12470000000000001</v>
      </c>
      <c r="J1572" s="197">
        <v>2.0400000000000001E-2</v>
      </c>
      <c r="K1572" s="197">
        <v>3.1199999999999999E-2</v>
      </c>
      <c r="L1572" s="197">
        <v>1.6199999999999999E-2</v>
      </c>
      <c r="M1572" s="197">
        <v>2.53E-2</v>
      </c>
      <c r="N1572" s="197">
        <v>0.14849999999999999</v>
      </c>
      <c r="O1572" s="197">
        <v>2.2599999999999999E-2</v>
      </c>
      <c r="P1572" s="197">
        <v>0</v>
      </c>
      <c r="Q1572" s="197">
        <v>3.78E-2</v>
      </c>
      <c r="R1572" s="197">
        <v>1.8100000000000002E-2</v>
      </c>
      <c r="S1572" s="197">
        <v>4.1000000000000003E-3</v>
      </c>
      <c r="T1572" s="197">
        <v>5.04E-2</v>
      </c>
      <c r="U1572" s="197">
        <v>1.7500000000000002E-2</v>
      </c>
      <c r="V1572" s="197">
        <v>3.6200000000000003E-2</v>
      </c>
      <c r="W1572" s="197">
        <v>4.8500000000000001E-2</v>
      </c>
      <c r="X1572" s="197">
        <v>6.1600000000000002E-2</v>
      </c>
      <c r="Y1572" s="197">
        <v>2.5000000000000001E-3</v>
      </c>
      <c r="Z1572" s="198">
        <v>0</v>
      </c>
      <c r="AA1572" s="198">
        <v>6.9999999999999999E-4</v>
      </c>
      <c r="AB1572" s="198">
        <v>0</v>
      </c>
      <c r="AC1572" s="56"/>
      <c r="AD1572" s="23"/>
    </row>
    <row r="1573" spans="1:30" s="14" customFormat="1">
      <c r="A1573" s="47"/>
      <c r="B1573" s="199"/>
      <c r="C1573" s="128"/>
      <c r="D1573" s="27">
        <f t="shared" ref="D1573:AB1573" si="2235">$C1572*D1572</f>
        <v>20.385921</v>
      </c>
      <c r="E1573" s="27">
        <f t="shared" si="2235"/>
        <v>178.470609</v>
      </c>
      <c r="F1573" s="27">
        <f t="shared" si="2235"/>
        <v>73.664463000000012</v>
      </c>
      <c r="G1573" s="27">
        <f t="shared" si="2235"/>
        <v>95.301054000000008</v>
      </c>
      <c r="H1573" s="27">
        <f t="shared" si="2235"/>
        <v>49.52653200000001</v>
      </c>
      <c r="I1573" s="27">
        <f t="shared" si="2235"/>
        <v>155.958549</v>
      </c>
      <c r="J1573" s="27">
        <f t="shared" si="2235"/>
        <v>25.513668000000003</v>
      </c>
      <c r="K1573" s="27">
        <f t="shared" si="2235"/>
        <v>39.020904000000002</v>
      </c>
      <c r="L1573" s="27">
        <f t="shared" si="2235"/>
        <v>20.260853999999998</v>
      </c>
      <c r="M1573" s="27">
        <f t="shared" si="2235"/>
        <v>31.641951000000002</v>
      </c>
      <c r="N1573" s="27">
        <f t="shared" si="2235"/>
        <v>185.72449499999999</v>
      </c>
      <c r="O1573" s="27">
        <f t="shared" si="2235"/>
        <v>28.265142000000001</v>
      </c>
      <c r="P1573" s="27">
        <f t="shared" si="2235"/>
        <v>0</v>
      </c>
      <c r="Q1573" s="27">
        <f t="shared" si="2235"/>
        <v>47.275326</v>
      </c>
      <c r="R1573" s="27">
        <f t="shared" si="2235"/>
        <v>22.637127000000003</v>
      </c>
      <c r="S1573" s="27">
        <f t="shared" si="2235"/>
        <v>5.1277470000000012</v>
      </c>
      <c r="T1573" s="27">
        <f t="shared" si="2235"/>
        <v>63.033768000000002</v>
      </c>
      <c r="U1573" s="27">
        <f t="shared" si="2235"/>
        <v>21.886725000000002</v>
      </c>
      <c r="V1573" s="27">
        <f t="shared" si="2235"/>
        <v>45.274254000000006</v>
      </c>
      <c r="W1573" s="27">
        <f t="shared" si="2235"/>
        <v>60.657495000000004</v>
      </c>
      <c r="X1573" s="27">
        <f t="shared" si="2235"/>
        <v>77.041272000000006</v>
      </c>
      <c r="Y1573" s="27">
        <f t="shared" si="2235"/>
        <v>3.1266750000000001</v>
      </c>
      <c r="Z1573" s="27">
        <f t="shared" si="2235"/>
        <v>0</v>
      </c>
      <c r="AA1573" s="27">
        <f t="shared" si="2235"/>
        <v>0.87546900000000005</v>
      </c>
      <c r="AB1573" s="27">
        <f t="shared" si="2235"/>
        <v>0</v>
      </c>
      <c r="AC1573" s="56"/>
      <c r="AD1573" s="23"/>
    </row>
    <row r="1574" spans="1:30" s="14" customFormat="1">
      <c r="A1574" s="194" t="s">
        <v>720</v>
      </c>
      <c r="B1574" s="195">
        <f>30016/2</f>
        <v>15008</v>
      </c>
      <c r="C1574" s="196">
        <f>ROUND(B1574/12,2)</f>
        <v>1250.67</v>
      </c>
      <c r="D1574" s="200"/>
      <c r="E1574" s="201"/>
      <c r="F1574" s="198">
        <v>0.1467</v>
      </c>
      <c r="G1574" s="198"/>
      <c r="H1574" s="202">
        <v>8.1100000000000005E-2</v>
      </c>
      <c r="I1574" s="202"/>
      <c r="J1574" s="202"/>
      <c r="K1574" s="202"/>
      <c r="L1574" s="198"/>
      <c r="M1574" s="202">
        <v>2.1499999999999998E-2</v>
      </c>
      <c r="N1574" s="202">
        <v>0.66090000000000004</v>
      </c>
      <c r="O1574" s="202"/>
      <c r="P1574" s="202"/>
      <c r="Q1574" s="202"/>
      <c r="R1574" s="202"/>
      <c r="S1574" s="202"/>
      <c r="T1574" s="202"/>
      <c r="U1574" s="202"/>
      <c r="V1574" s="202">
        <v>8.9800000000000005E-2</v>
      </c>
      <c r="W1574" s="202"/>
      <c r="X1574" s="202"/>
      <c r="Y1574" s="202"/>
      <c r="Z1574" s="202"/>
      <c r="AA1574" s="202"/>
      <c r="AB1574" s="202"/>
      <c r="AC1574" s="56"/>
      <c r="AD1574" s="23"/>
    </row>
    <row r="1575" spans="1:30" s="14" customFormat="1">
      <c r="A1575" s="47"/>
      <c r="B1575" s="199"/>
      <c r="C1575" s="128"/>
      <c r="D1575" s="27">
        <f>$C1574*D1574</f>
        <v>0</v>
      </c>
      <c r="E1575" s="27">
        <f>$C1574*E1574</f>
        <v>0</v>
      </c>
      <c r="F1575" s="27">
        <f t="shared" ref="F1575:AB1575" si="2236">$C1574*F1574</f>
        <v>183.47328899999999</v>
      </c>
      <c r="G1575" s="27">
        <f t="shared" si="2236"/>
        <v>0</v>
      </c>
      <c r="H1575" s="27">
        <f t="shared" si="2236"/>
        <v>101.42933700000002</v>
      </c>
      <c r="I1575" s="27">
        <f t="shared" si="2236"/>
        <v>0</v>
      </c>
      <c r="J1575" s="27">
        <f t="shared" si="2236"/>
        <v>0</v>
      </c>
      <c r="K1575" s="27">
        <f t="shared" si="2236"/>
        <v>0</v>
      </c>
      <c r="L1575" s="27">
        <f t="shared" si="2236"/>
        <v>0</v>
      </c>
      <c r="M1575" s="27">
        <f t="shared" si="2236"/>
        <v>26.889405</v>
      </c>
      <c r="N1575" s="27">
        <f t="shared" si="2236"/>
        <v>826.56780300000014</v>
      </c>
      <c r="O1575" s="27">
        <f t="shared" si="2236"/>
        <v>0</v>
      </c>
      <c r="P1575" s="27">
        <f t="shared" si="2236"/>
        <v>0</v>
      </c>
      <c r="Q1575" s="27">
        <f t="shared" si="2236"/>
        <v>0</v>
      </c>
      <c r="R1575" s="27">
        <f t="shared" si="2236"/>
        <v>0</v>
      </c>
      <c r="S1575" s="27">
        <f t="shared" si="2236"/>
        <v>0</v>
      </c>
      <c r="T1575" s="27">
        <f t="shared" si="2236"/>
        <v>0</v>
      </c>
      <c r="U1575" s="27">
        <f t="shared" si="2236"/>
        <v>0</v>
      </c>
      <c r="V1575" s="27">
        <f t="shared" si="2236"/>
        <v>112.31016600000001</v>
      </c>
      <c r="W1575" s="27">
        <f t="shared" si="2236"/>
        <v>0</v>
      </c>
      <c r="X1575" s="27">
        <f t="shared" si="2236"/>
        <v>0</v>
      </c>
      <c r="Y1575" s="27">
        <f t="shared" si="2236"/>
        <v>0</v>
      </c>
      <c r="Z1575" s="27">
        <f t="shared" si="2236"/>
        <v>0</v>
      </c>
      <c r="AA1575" s="27">
        <f t="shared" si="2236"/>
        <v>0</v>
      </c>
      <c r="AB1575" s="27">
        <f t="shared" si="2236"/>
        <v>0</v>
      </c>
      <c r="AC1575" s="56"/>
      <c r="AD1575" s="23"/>
    </row>
    <row r="1576" spans="1:30" s="14" customFormat="1">
      <c r="A1576" s="194" t="s">
        <v>721</v>
      </c>
      <c r="B1576" s="195">
        <f>348887/2</f>
        <v>174443.5</v>
      </c>
      <c r="C1576" s="196">
        <f>ROUND(B1576/12,2)</f>
        <v>14536.96</v>
      </c>
      <c r="D1576" s="197">
        <v>1.6299999999999999E-2</v>
      </c>
      <c r="E1576" s="197">
        <v>0.14269999999999999</v>
      </c>
      <c r="F1576" s="197">
        <v>5.8900000000000001E-2</v>
      </c>
      <c r="G1576" s="197">
        <v>7.6200000000000004E-2</v>
      </c>
      <c r="H1576" s="197">
        <v>3.9600000000000003E-2</v>
      </c>
      <c r="I1576" s="197">
        <v>0.12470000000000001</v>
      </c>
      <c r="J1576" s="197">
        <v>2.0400000000000001E-2</v>
      </c>
      <c r="K1576" s="197">
        <v>3.1199999999999999E-2</v>
      </c>
      <c r="L1576" s="197">
        <v>1.6199999999999999E-2</v>
      </c>
      <c r="M1576" s="197">
        <v>2.53E-2</v>
      </c>
      <c r="N1576" s="197">
        <v>0.14849999999999999</v>
      </c>
      <c r="O1576" s="197">
        <v>2.2599999999999999E-2</v>
      </c>
      <c r="P1576" s="197">
        <v>0</v>
      </c>
      <c r="Q1576" s="197">
        <v>3.78E-2</v>
      </c>
      <c r="R1576" s="197">
        <v>1.8100000000000002E-2</v>
      </c>
      <c r="S1576" s="197">
        <v>4.1000000000000003E-3</v>
      </c>
      <c r="T1576" s="197">
        <v>5.04E-2</v>
      </c>
      <c r="U1576" s="197">
        <v>1.7500000000000002E-2</v>
      </c>
      <c r="V1576" s="197">
        <v>3.6200000000000003E-2</v>
      </c>
      <c r="W1576" s="197">
        <v>4.8500000000000001E-2</v>
      </c>
      <c r="X1576" s="197">
        <v>6.1600000000000002E-2</v>
      </c>
      <c r="Y1576" s="197">
        <v>2.5000000000000001E-3</v>
      </c>
      <c r="Z1576" s="198">
        <v>0</v>
      </c>
      <c r="AA1576" s="198">
        <v>6.9999999999999999E-4</v>
      </c>
      <c r="AB1576" s="198">
        <v>0</v>
      </c>
      <c r="AC1576" s="56"/>
      <c r="AD1576" s="23"/>
    </row>
    <row r="1577" spans="1:30" s="14" customFormat="1">
      <c r="A1577" s="47"/>
      <c r="B1577" s="199"/>
      <c r="C1577" s="128"/>
      <c r="D1577" s="27">
        <f>$C1576*D1576</f>
        <v>236.95244799999998</v>
      </c>
      <c r="E1577" s="27">
        <f>$C1576*E1576</f>
        <v>2074.4241919999999</v>
      </c>
      <c r="F1577" s="27">
        <f t="shared" ref="F1577:AB1577" si="2237">$C1576*F1576</f>
        <v>856.226944</v>
      </c>
      <c r="G1577" s="27">
        <f t="shared" si="2237"/>
        <v>1107.7163519999999</v>
      </c>
      <c r="H1577" s="27">
        <f t="shared" si="2237"/>
        <v>575.66361600000005</v>
      </c>
      <c r="I1577" s="27">
        <f t="shared" si="2237"/>
        <v>1812.758912</v>
      </c>
      <c r="J1577" s="27">
        <f t="shared" si="2237"/>
        <v>296.55398400000001</v>
      </c>
      <c r="K1577" s="27">
        <f t="shared" si="2237"/>
        <v>453.55315199999995</v>
      </c>
      <c r="L1577" s="27">
        <f t="shared" si="2237"/>
        <v>235.49875199999997</v>
      </c>
      <c r="M1577" s="27">
        <f t="shared" si="2237"/>
        <v>367.78508799999997</v>
      </c>
      <c r="N1577" s="27">
        <f t="shared" si="2237"/>
        <v>2158.7385599999998</v>
      </c>
      <c r="O1577" s="27">
        <f t="shared" si="2237"/>
        <v>328.53529599999996</v>
      </c>
      <c r="P1577" s="27">
        <f t="shared" si="2237"/>
        <v>0</v>
      </c>
      <c r="Q1577" s="27">
        <f t="shared" si="2237"/>
        <v>549.49708799999996</v>
      </c>
      <c r="R1577" s="27">
        <f t="shared" si="2237"/>
        <v>263.11897600000003</v>
      </c>
      <c r="S1577" s="27">
        <f t="shared" si="2237"/>
        <v>59.601536000000003</v>
      </c>
      <c r="T1577" s="27">
        <f t="shared" si="2237"/>
        <v>732.66278399999999</v>
      </c>
      <c r="U1577" s="27">
        <f t="shared" si="2237"/>
        <v>254.39680000000001</v>
      </c>
      <c r="V1577" s="27">
        <f t="shared" si="2237"/>
        <v>526.23795200000006</v>
      </c>
      <c r="W1577" s="27">
        <f t="shared" si="2237"/>
        <v>705.04255999999998</v>
      </c>
      <c r="X1577" s="27">
        <f t="shared" si="2237"/>
        <v>895.47673599999996</v>
      </c>
      <c r="Y1577" s="27">
        <f t="shared" si="2237"/>
        <v>36.342399999999998</v>
      </c>
      <c r="Z1577" s="27">
        <f t="shared" si="2237"/>
        <v>0</v>
      </c>
      <c r="AA1577" s="27">
        <f t="shared" si="2237"/>
        <v>10.175872</v>
      </c>
      <c r="AB1577" s="27">
        <f t="shared" si="2237"/>
        <v>0</v>
      </c>
      <c r="AC1577" s="56"/>
      <c r="AD1577" s="23"/>
    </row>
    <row r="1578" spans="1:30" s="14" customFormat="1">
      <c r="A1578" s="194" t="s">
        <v>722</v>
      </c>
      <c r="B1578" s="195">
        <f>348887/2</f>
        <v>174443.5</v>
      </c>
      <c r="C1578" s="196">
        <f>ROUND(B1578/12,2)</f>
        <v>14536.96</v>
      </c>
      <c r="D1578" s="200"/>
      <c r="E1578" s="201"/>
      <c r="F1578" s="198"/>
      <c r="G1578" s="198"/>
      <c r="H1578" s="202"/>
      <c r="I1578" s="202"/>
      <c r="J1578" s="202"/>
      <c r="K1578" s="202"/>
      <c r="L1578" s="198"/>
      <c r="M1578" s="202"/>
      <c r="N1578" s="202">
        <v>1</v>
      </c>
      <c r="O1578" s="202"/>
      <c r="P1578" s="202"/>
      <c r="Q1578" s="202"/>
      <c r="R1578" s="202"/>
      <c r="S1578" s="202"/>
      <c r="T1578" s="202"/>
      <c r="U1578" s="202"/>
      <c r="V1578" s="202"/>
      <c r="W1578" s="202"/>
      <c r="X1578" s="202"/>
      <c r="Y1578" s="202"/>
      <c r="Z1578" s="202"/>
      <c r="AA1578" s="202"/>
      <c r="AB1578" s="202"/>
      <c r="AC1578" s="56"/>
      <c r="AD1578" s="23"/>
    </row>
    <row r="1579" spans="1:30" s="14" customFormat="1">
      <c r="A1579" s="47"/>
      <c r="B1579" s="199"/>
      <c r="C1579" s="128"/>
      <c r="D1579" s="27">
        <f>$C1578*D1578</f>
        <v>0</v>
      </c>
      <c r="E1579" s="27">
        <f>$C1578*E1578</f>
        <v>0</v>
      </c>
      <c r="F1579" s="27">
        <f t="shared" ref="F1579:AB1579" si="2238">$C1578*F1578</f>
        <v>0</v>
      </c>
      <c r="G1579" s="27">
        <f t="shared" si="2238"/>
        <v>0</v>
      </c>
      <c r="H1579" s="27">
        <f t="shared" si="2238"/>
        <v>0</v>
      </c>
      <c r="I1579" s="27">
        <f t="shared" si="2238"/>
        <v>0</v>
      </c>
      <c r="J1579" s="27">
        <f t="shared" si="2238"/>
        <v>0</v>
      </c>
      <c r="K1579" s="27">
        <f t="shared" si="2238"/>
        <v>0</v>
      </c>
      <c r="L1579" s="27">
        <f t="shared" si="2238"/>
        <v>0</v>
      </c>
      <c r="M1579" s="27">
        <f t="shared" si="2238"/>
        <v>0</v>
      </c>
      <c r="N1579" s="27">
        <f t="shared" si="2238"/>
        <v>14536.96</v>
      </c>
      <c r="O1579" s="27">
        <f t="shared" si="2238"/>
        <v>0</v>
      </c>
      <c r="P1579" s="27">
        <f t="shared" si="2238"/>
        <v>0</v>
      </c>
      <c r="Q1579" s="27">
        <f t="shared" si="2238"/>
        <v>0</v>
      </c>
      <c r="R1579" s="27">
        <f t="shared" si="2238"/>
        <v>0</v>
      </c>
      <c r="S1579" s="27">
        <f t="shared" si="2238"/>
        <v>0</v>
      </c>
      <c r="T1579" s="27">
        <f t="shared" si="2238"/>
        <v>0</v>
      </c>
      <c r="U1579" s="27">
        <f t="shared" si="2238"/>
        <v>0</v>
      </c>
      <c r="V1579" s="27">
        <f t="shared" si="2238"/>
        <v>0</v>
      </c>
      <c r="W1579" s="27">
        <f t="shared" si="2238"/>
        <v>0</v>
      </c>
      <c r="X1579" s="27">
        <f t="shared" si="2238"/>
        <v>0</v>
      </c>
      <c r="Y1579" s="27">
        <f t="shared" si="2238"/>
        <v>0</v>
      </c>
      <c r="Z1579" s="27">
        <f t="shared" si="2238"/>
        <v>0</v>
      </c>
      <c r="AA1579" s="27">
        <f t="shared" si="2238"/>
        <v>0</v>
      </c>
      <c r="AB1579" s="27">
        <f t="shared" si="2238"/>
        <v>0</v>
      </c>
      <c r="AC1579" s="56"/>
      <c r="AD1579" s="23"/>
    </row>
    <row r="1580" spans="1:30" s="14" customFormat="1">
      <c r="A1580" s="194" t="s">
        <v>723</v>
      </c>
      <c r="B1580" s="195">
        <v>636370</v>
      </c>
      <c r="C1580" s="196">
        <f>ROUND(B1580/12,2)</f>
        <v>53030.83</v>
      </c>
      <c r="D1580" s="197"/>
      <c r="E1580" s="197"/>
      <c r="F1580" s="197"/>
      <c r="G1580" s="197"/>
      <c r="H1580" s="197"/>
      <c r="I1580" s="197"/>
      <c r="J1580" s="197"/>
      <c r="K1580" s="197"/>
      <c r="L1580" s="197"/>
      <c r="M1580" s="197"/>
      <c r="N1580" s="197">
        <v>1</v>
      </c>
      <c r="O1580" s="197"/>
      <c r="P1580" s="197"/>
      <c r="Q1580" s="197"/>
      <c r="R1580" s="197"/>
      <c r="S1580" s="197"/>
      <c r="T1580" s="197"/>
      <c r="U1580" s="197"/>
      <c r="V1580" s="197"/>
      <c r="W1580" s="197"/>
      <c r="X1580" s="197"/>
      <c r="Y1580" s="197"/>
      <c r="Z1580" s="198"/>
      <c r="AA1580" s="198"/>
      <c r="AB1580" s="198"/>
      <c r="AC1580" s="56"/>
      <c r="AD1580" s="23"/>
    </row>
    <row r="1581" spans="1:30" s="14" customFormat="1">
      <c r="A1581" s="47"/>
      <c r="B1581" s="199"/>
      <c r="C1581" s="128"/>
      <c r="D1581" s="27">
        <f>$C1580*D1580</f>
        <v>0</v>
      </c>
      <c r="E1581" s="27">
        <f>$C1580*E1580</f>
        <v>0</v>
      </c>
      <c r="F1581" s="27">
        <f t="shared" ref="F1581:AB1581" si="2239">$C1580*F1580</f>
        <v>0</v>
      </c>
      <c r="G1581" s="27">
        <f t="shared" si="2239"/>
        <v>0</v>
      </c>
      <c r="H1581" s="27">
        <f t="shared" si="2239"/>
        <v>0</v>
      </c>
      <c r="I1581" s="27">
        <f t="shared" si="2239"/>
        <v>0</v>
      </c>
      <c r="J1581" s="27">
        <f t="shared" si="2239"/>
        <v>0</v>
      </c>
      <c r="K1581" s="27">
        <f t="shared" si="2239"/>
        <v>0</v>
      </c>
      <c r="L1581" s="27">
        <f t="shared" si="2239"/>
        <v>0</v>
      </c>
      <c r="M1581" s="27">
        <f t="shared" si="2239"/>
        <v>0</v>
      </c>
      <c r="N1581" s="27">
        <f t="shared" si="2239"/>
        <v>53030.83</v>
      </c>
      <c r="O1581" s="27">
        <f t="shared" si="2239"/>
        <v>0</v>
      </c>
      <c r="P1581" s="27">
        <f t="shared" si="2239"/>
        <v>0</v>
      </c>
      <c r="Q1581" s="27">
        <f t="shared" si="2239"/>
        <v>0</v>
      </c>
      <c r="R1581" s="27">
        <f t="shared" si="2239"/>
        <v>0</v>
      </c>
      <c r="S1581" s="27">
        <f t="shared" si="2239"/>
        <v>0</v>
      </c>
      <c r="T1581" s="27">
        <f t="shared" si="2239"/>
        <v>0</v>
      </c>
      <c r="U1581" s="27">
        <f t="shared" si="2239"/>
        <v>0</v>
      </c>
      <c r="V1581" s="27">
        <f t="shared" si="2239"/>
        <v>0</v>
      </c>
      <c r="W1581" s="27">
        <f t="shared" si="2239"/>
        <v>0</v>
      </c>
      <c r="X1581" s="27">
        <f t="shared" si="2239"/>
        <v>0</v>
      </c>
      <c r="Y1581" s="27">
        <f t="shared" si="2239"/>
        <v>0</v>
      </c>
      <c r="Z1581" s="27">
        <f t="shared" si="2239"/>
        <v>0</v>
      </c>
      <c r="AA1581" s="27">
        <f t="shared" si="2239"/>
        <v>0</v>
      </c>
      <c r="AB1581" s="27">
        <f t="shared" si="2239"/>
        <v>0</v>
      </c>
      <c r="AC1581" s="56"/>
      <c r="AD1581" s="23"/>
    </row>
    <row r="1582" spans="1:30" s="14" customFormat="1">
      <c r="A1582" s="194" t="s">
        <v>724</v>
      </c>
      <c r="B1582" s="195">
        <f>258931/2</f>
        <v>129465.5</v>
      </c>
      <c r="C1582" s="196">
        <f>ROUND(B1582/12,2)</f>
        <v>10788.79</v>
      </c>
      <c r="D1582" s="197">
        <v>1.6299999999999999E-2</v>
      </c>
      <c r="E1582" s="197">
        <v>0.14269999999999999</v>
      </c>
      <c r="F1582" s="197">
        <v>5.8900000000000001E-2</v>
      </c>
      <c r="G1582" s="197">
        <v>7.6200000000000004E-2</v>
      </c>
      <c r="H1582" s="197">
        <v>3.9600000000000003E-2</v>
      </c>
      <c r="I1582" s="197">
        <v>0.12470000000000001</v>
      </c>
      <c r="J1582" s="197">
        <v>2.0400000000000001E-2</v>
      </c>
      <c r="K1582" s="197">
        <v>3.1199999999999999E-2</v>
      </c>
      <c r="L1582" s="197">
        <v>1.6199999999999999E-2</v>
      </c>
      <c r="M1582" s="197">
        <v>2.53E-2</v>
      </c>
      <c r="N1582" s="197">
        <v>0.14849999999999999</v>
      </c>
      <c r="O1582" s="197">
        <v>2.2599999999999999E-2</v>
      </c>
      <c r="P1582" s="197">
        <v>0</v>
      </c>
      <c r="Q1582" s="197">
        <v>3.78E-2</v>
      </c>
      <c r="R1582" s="197">
        <v>1.8100000000000002E-2</v>
      </c>
      <c r="S1582" s="197">
        <v>4.1000000000000003E-3</v>
      </c>
      <c r="T1582" s="197">
        <v>5.04E-2</v>
      </c>
      <c r="U1582" s="197">
        <v>1.7500000000000002E-2</v>
      </c>
      <c r="V1582" s="197">
        <v>3.6200000000000003E-2</v>
      </c>
      <c r="W1582" s="197">
        <v>4.8500000000000001E-2</v>
      </c>
      <c r="X1582" s="197">
        <v>6.1600000000000002E-2</v>
      </c>
      <c r="Y1582" s="197">
        <v>2.5000000000000001E-3</v>
      </c>
      <c r="Z1582" s="198">
        <v>0</v>
      </c>
      <c r="AA1582" s="198">
        <v>6.9999999999999999E-4</v>
      </c>
      <c r="AB1582" s="198">
        <v>0</v>
      </c>
      <c r="AC1582" s="56"/>
      <c r="AD1582" s="23"/>
    </row>
    <row r="1583" spans="1:30" s="14" customFormat="1">
      <c r="A1583" s="47"/>
      <c r="B1583" s="199"/>
      <c r="C1583" s="128"/>
      <c r="D1583" s="27">
        <f>$C1582*D1582</f>
        <v>175.85727700000001</v>
      </c>
      <c r="E1583" s="27">
        <f>$C1582*E1582</f>
        <v>1539.5603330000001</v>
      </c>
      <c r="F1583" s="27">
        <f t="shared" ref="F1583:AB1583" si="2240">$C1582*F1582</f>
        <v>635.45973100000003</v>
      </c>
      <c r="G1583" s="27">
        <f t="shared" si="2240"/>
        <v>822.10579800000016</v>
      </c>
      <c r="H1583" s="27">
        <f t="shared" si="2240"/>
        <v>427.23608400000006</v>
      </c>
      <c r="I1583" s="27">
        <f t="shared" si="2240"/>
        <v>1345.3621130000001</v>
      </c>
      <c r="J1583" s="27">
        <f t="shared" si="2240"/>
        <v>220.09131600000003</v>
      </c>
      <c r="K1583" s="27">
        <f t="shared" si="2240"/>
        <v>336.61024800000001</v>
      </c>
      <c r="L1583" s="27">
        <f t="shared" si="2240"/>
        <v>174.77839800000001</v>
      </c>
      <c r="M1583" s="27">
        <f t="shared" si="2240"/>
        <v>272.95638700000001</v>
      </c>
      <c r="N1583" s="27">
        <f t="shared" si="2240"/>
        <v>1602.135315</v>
      </c>
      <c r="O1583" s="27">
        <f t="shared" si="2240"/>
        <v>243.82665399999999</v>
      </c>
      <c r="P1583" s="27">
        <f t="shared" si="2240"/>
        <v>0</v>
      </c>
      <c r="Q1583" s="27">
        <f t="shared" si="2240"/>
        <v>407.81626200000005</v>
      </c>
      <c r="R1583" s="27">
        <f t="shared" si="2240"/>
        <v>195.27709900000002</v>
      </c>
      <c r="S1583" s="27">
        <f t="shared" si="2240"/>
        <v>44.23403900000001</v>
      </c>
      <c r="T1583" s="27">
        <f t="shared" si="2240"/>
        <v>543.75501600000007</v>
      </c>
      <c r="U1583" s="27">
        <f t="shared" si="2240"/>
        <v>188.80382500000005</v>
      </c>
      <c r="V1583" s="27">
        <f t="shared" si="2240"/>
        <v>390.55419800000004</v>
      </c>
      <c r="W1583" s="27">
        <f t="shared" si="2240"/>
        <v>523.25631500000009</v>
      </c>
      <c r="X1583" s="27">
        <f t="shared" si="2240"/>
        <v>664.58946400000002</v>
      </c>
      <c r="Y1583" s="27">
        <f t="shared" si="2240"/>
        <v>26.971975000000004</v>
      </c>
      <c r="Z1583" s="27">
        <f t="shared" si="2240"/>
        <v>0</v>
      </c>
      <c r="AA1583" s="27">
        <f t="shared" si="2240"/>
        <v>7.5521530000000006</v>
      </c>
      <c r="AB1583" s="27">
        <f t="shared" si="2240"/>
        <v>0</v>
      </c>
      <c r="AC1583" s="56"/>
      <c r="AD1583" s="23"/>
    </row>
    <row r="1584" spans="1:30" s="14" customFormat="1">
      <c r="A1584" s="194" t="s">
        <v>725</v>
      </c>
      <c r="B1584" s="195">
        <f>258931/2</f>
        <v>129465.5</v>
      </c>
      <c r="C1584" s="196">
        <f>ROUND(B1584/12,2)</f>
        <v>10788.79</v>
      </c>
      <c r="D1584" s="197"/>
      <c r="E1584" s="197"/>
      <c r="F1584" s="197">
        <v>9.11E-2</v>
      </c>
      <c r="G1584" s="197"/>
      <c r="H1584" s="197">
        <v>6.4899999999999999E-2</v>
      </c>
      <c r="I1584" s="197"/>
      <c r="J1584" s="197"/>
      <c r="K1584" s="197"/>
      <c r="L1584" s="197"/>
      <c r="M1584" s="197"/>
      <c r="N1584" s="197">
        <v>0.75719999999999998</v>
      </c>
      <c r="O1584" s="197"/>
      <c r="P1584" s="197"/>
      <c r="Q1584" s="197"/>
      <c r="R1584" s="197"/>
      <c r="S1584" s="197"/>
      <c r="T1584" s="197"/>
      <c r="U1584" s="197"/>
      <c r="V1584" s="197">
        <v>8.6800000000000002E-2</v>
      </c>
      <c r="W1584" s="197"/>
      <c r="X1584" s="197"/>
      <c r="Y1584" s="197"/>
      <c r="Z1584" s="198"/>
      <c r="AA1584" s="198"/>
      <c r="AB1584" s="198"/>
      <c r="AC1584" s="56"/>
      <c r="AD1584" s="23"/>
    </row>
    <row r="1585" spans="1:30" s="14" customFormat="1">
      <c r="A1585" s="47"/>
      <c r="B1585" s="199"/>
      <c r="C1585" s="128"/>
      <c r="D1585" s="27">
        <f>$C1584*D1584</f>
        <v>0</v>
      </c>
      <c r="E1585" s="27">
        <f>$C1584*E1584</f>
        <v>0</v>
      </c>
      <c r="F1585" s="27">
        <f t="shared" ref="F1585:AB1585" si="2241">$C1584*F1584</f>
        <v>982.85876900000005</v>
      </c>
      <c r="G1585" s="27">
        <f t="shared" si="2241"/>
        <v>0</v>
      </c>
      <c r="H1585" s="27">
        <f t="shared" si="2241"/>
        <v>700.19247100000007</v>
      </c>
      <c r="I1585" s="27">
        <f t="shared" si="2241"/>
        <v>0</v>
      </c>
      <c r="J1585" s="27">
        <f t="shared" si="2241"/>
        <v>0</v>
      </c>
      <c r="K1585" s="27">
        <f t="shared" si="2241"/>
        <v>0</v>
      </c>
      <c r="L1585" s="27">
        <f t="shared" si="2241"/>
        <v>0</v>
      </c>
      <c r="M1585" s="27">
        <f t="shared" si="2241"/>
        <v>0</v>
      </c>
      <c r="N1585" s="27">
        <f t="shared" si="2241"/>
        <v>8169.2717880000009</v>
      </c>
      <c r="O1585" s="27">
        <f t="shared" si="2241"/>
        <v>0</v>
      </c>
      <c r="P1585" s="27">
        <f t="shared" si="2241"/>
        <v>0</v>
      </c>
      <c r="Q1585" s="27">
        <f t="shared" si="2241"/>
        <v>0</v>
      </c>
      <c r="R1585" s="27">
        <f t="shared" si="2241"/>
        <v>0</v>
      </c>
      <c r="S1585" s="27">
        <f t="shared" si="2241"/>
        <v>0</v>
      </c>
      <c r="T1585" s="27">
        <f t="shared" si="2241"/>
        <v>0</v>
      </c>
      <c r="U1585" s="27">
        <f t="shared" si="2241"/>
        <v>0</v>
      </c>
      <c r="V1585" s="27">
        <f t="shared" si="2241"/>
        <v>936.46697200000006</v>
      </c>
      <c r="W1585" s="27">
        <f t="shared" si="2241"/>
        <v>0</v>
      </c>
      <c r="X1585" s="27">
        <f t="shared" si="2241"/>
        <v>0</v>
      </c>
      <c r="Y1585" s="27">
        <f t="shared" si="2241"/>
        <v>0</v>
      </c>
      <c r="Z1585" s="27">
        <f t="shared" si="2241"/>
        <v>0</v>
      </c>
      <c r="AA1585" s="27">
        <f t="shared" si="2241"/>
        <v>0</v>
      </c>
      <c r="AB1585" s="27">
        <f t="shared" si="2241"/>
        <v>0</v>
      </c>
      <c r="AC1585" s="56"/>
      <c r="AD1585" s="23"/>
    </row>
    <row r="1586" spans="1:30" s="14" customFormat="1">
      <c r="A1586" s="194" t="s">
        <v>726</v>
      </c>
      <c r="B1586" s="195">
        <f>323943/2</f>
        <v>161971.5</v>
      </c>
      <c r="C1586" s="196">
        <f>ROUND(B1586/12,2)</f>
        <v>13497.63</v>
      </c>
      <c r="D1586" s="197">
        <v>1.6299999999999999E-2</v>
      </c>
      <c r="E1586" s="197">
        <v>0.14269999999999999</v>
      </c>
      <c r="F1586" s="197">
        <v>5.8900000000000001E-2</v>
      </c>
      <c r="G1586" s="197">
        <v>7.6200000000000004E-2</v>
      </c>
      <c r="H1586" s="197">
        <v>3.9600000000000003E-2</v>
      </c>
      <c r="I1586" s="197">
        <v>0.12470000000000001</v>
      </c>
      <c r="J1586" s="197">
        <v>2.0400000000000001E-2</v>
      </c>
      <c r="K1586" s="197">
        <v>3.1199999999999999E-2</v>
      </c>
      <c r="L1586" s="197">
        <v>1.6199999999999999E-2</v>
      </c>
      <c r="M1586" s="197">
        <v>2.53E-2</v>
      </c>
      <c r="N1586" s="197">
        <v>0.14849999999999999</v>
      </c>
      <c r="O1586" s="197">
        <v>2.2599999999999999E-2</v>
      </c>
      <c r="P1586" s="197">
        <v>0</v>
      </c>
      <c r="Q1586" s="197">
        <v>3.78E-2</v>
      </c>
      <c r="R1586" s="197">
        <v>1.8100000000000002E-2</v>
      </c>
      <c r="S1586" s="197">
        <v>4.1000000000000003E-3</v>
      </c>
      <c r="T1586" s="197">
        <v>5.04E-2</v>
      </c>
      <c r="U1586" s="197">
        <v>1.7500000000000002E-2</v>
      </c>
      <c r="V1586" s="197">
        <v>3.6200000000000003E-2</v>
      </c>
      <c r="W1586" s="197">
        <v>4.8500000000000001E-2</v>
      </c>
      <c r="X1586" s="197">
        <v>6.1600000000000002E-2</v>
      </c>
      <c r="Y1586" s="197">
        <v>2.5000000000000001E-3</v>
      </c>
      <c r="Z1586" s="198">
        <v>0</v>
      </c>
      <c r="AA1586" s="198">
        <v>6.9999999999999999E-4</v>
      </c>
      <c r="AB1586" s="198">
        <v>0</v>
      </c>
      <c r="AC1586" s="56"/>
      <c r="AD1586" s="23"/>
    </row>
    <row r="1587" spans="1:30" s="14" customFormat="1">
      <c r="A1587" s="47"/>
      <c r="B1587" s="199"/>
      <c r="C1587" s="128"/>
      <c r="D1587" s="27">
        <f>$C1586*D1586</f>
        <v>220.01136899999997</v>
      </c>
      <c r="E1587" s="27">
        <f>$C1586*E1586</f>
        <v>1926.1118009999998</v>
      </c>
      <c r="F1587" s="27">
        <f t="shared" ref="F1587:AB1587" si="2242">$C1586*F1586</f>
        <v>795.01040699999999</v>
      </c>
      <c r="G1587" s="27">
        <f t="shared" si="2242"/>
        <v>1028.5194059999999</v>
      </c>
      <c r="H1587" s="27">
        <f t="shared" si="2242"/>
        <v>534.50614800000005</v>
      </c>
      <c r="I1587" s="27">
        <f t="shared" si="2242"/>
        <v>1683.1544610000001</v>
      </c>
      <c r="J1587" s="27">
        <f t="shared" si="2242"/>
        <v>275.351652</v>
      </c>
      <c r="K1587" s="27">
        <f t="shared" si="2242"/>
        <v>421.12605599999995</v>
      </c>
      <c r="L1587" s="27">
        <f t="shared" si="2242"/>
        <v>218.66160599999998</v>
      </c>
      <c r="M1587" s="27">
        <f t="shared" si="2242"/>
        <v>341.49003899999997</v>
      </c>
      <c r="N1587" s="27">
        <f t="shared" si="2242"/>
        <v>2004.3980549999999</v>
      </c>
      <c r="O1587" s="27">
        <f t="shared" si="2242"/>
        <v>305.04643799999997</v>
      </c>
      <c r="P1587" s="27">
        <f t="shared" si="2242"/>
        <v>0</v>
      </c>
      <c r="Q1587" s="27">
        <f t="shared" si="2242"/>
        <v>510.21041399999996</v>
      </c>
      <c r="R1587" s="27">
        <f t="shared" si="2242"/>
        <v>244.30710300000001</v>
      </c>
      <c r="S1587" s="27">
        <f t="shared" si="2242"/>
        <v>55.340282999999999</v>
      </c>
      <c r="T1587" s="27">
        <f t="shared" si="2242"/>
        <v>680.28055199999994</v>
      </c>
      <c r="U1587" s="27">
        <f t="shared" si="2242"/>
        <v>236.20852500000001</v>
      </c>
      <c r="V1587" s="27">
        <f t="shared" si="2242"/>
        <v>488.61420600000002</v>
      </c>
      <c r="W1587" s="27">
        <f t="shared" si="2242"/>
        <v>654.63505499999997</v>
      </c>
      <c r="X1587" s="27">
        <f t="shared" si="2242"/>
        <v>831.45400799999993</v>
      </c>
      <c r="Y1587" s="27">
        <f t="shared" si="2242"/>
        <v>33.744074999999995</v>
      </c>
      <c r="Z1587" s="27">
        <f t="shared" si="2242"/>
        <v>0</v>
      </c>
      <c r="AA1587" s="27">
        <f t="shared" si="2242"/>
        <v>9.4483409999999992</v>
      </c>
      <c r="AB1587" s="27">
        <f t="shared" si="2242"/>
        <v>0</v>
      </c>
      <c r="AC1587" s="56"/>
      <c r="AD1587" s="23"/>
    </row>
    <row r="1588" spans="1:30" s="14" customFormat="1">
      <c r="A1588" s="194" t="s">
        <v>727</v>
      </c>
      <c r="B1588" s="195">
        <f>323943/2</f>
        <v>161971.5</v>
      </c>
      <c r="C1588" s="196">
        <f>ROUND(B1588/12,2)</f>
        <v>13497.63</v>
      </c>
      <c r="D1588" s="200"/>
      <c r="E1588" s="201"/>
      <c r="F1588" s="198">
        <v>9.11E-2</v>
      </c>
      <c r="G1588" s="198"/>
      <c r="H1588" s="202">
        <v>6.4899999999999999E-2</v>
      </c>
      <c r="I1588" s="202"/>
      <c r="J1588" s="202"/>
      <c r="K1588" s="202"/>
      <c r="L1588" s="198"/>
      <c r="M1588" s="202"/>
      <c r="N1588" s="202">
        <v>0.75719999999999998</v>
      </c>
      <c r="O1588" s="202"/>
      <c r="P1588" s="202"/>
      <c r="Q1588" s="202"/>
      <c r="R1588" s="202"/>
      <c r="S1588" s="202"/>
      <c r="T1588" s="202"/>
      <c r="U1588" s="202"/>
      <c r="V1588" s="202">
        <v>8.6800000000000002E-2</v>
      </c>
      <c r="W1588" s="202"/>
      <c r="X1588" s="202"/>
      <c r="Y1588" s="202"/>
      <c r="Z1588" s="202"/>
      <c r="AA1588" s="202"/>
      <c r="AB1588" s="202"/>
      <c r="AC1588" s="56"/>
      <c r="AD1588" s="23"/>
    </row>
    <row r="1589" spans="1:30" s="14" customFormat="1">
      <c r="A1589" s="47"/>
      <c r="B1589" s="199"/>
      <c r="C1589" s="128"/>
      <c r="D1589" s="27">
        <f>$C1588*D1588</f>
        <v>0</v>
      </c>
      <c r="E1589" s="27">
        <f>$C1588*E1588</f>
        <v>0</v>
      </c>
      <c r="F1589" s="27">
        <f t="shared" ref="F1589:AB1589" si="2243">$C1588*F1588</f>
        <v>1229.6340929999999</v>
      </c>
      <c r="G1589" s="27">
        <f t="shared" si="2243"/>
        <v>0</v>
      </c>
      <c r="H1589" s="27">
        <f t="shared" si="2243"/>
        <v>875.99618699999996</v>
      </c>
      <c r="I1589" s="27">
        <f t="shared" si="2243"/>
        <v>0</v>
      </c>
      <c r="J1589" s="27">
        <f t="shared" si="2243"/>
        <v>0</v>
      </c>
      <c r="K1589" s="27">
        <f t="shared" si="2243"/>
        <v>0</v>
      </c>
      <c r="L1589" s="27">
        <f t="shared" si="2243"/>
        <v>0</v>
      </c>
      <c r="M1589" s="27">
        <f t="shared" si="2243"/>
        <v>0</v>
      </c>
      <c r="N1589" s="27">
        <f t="shared" si="2243"/>
        <v>10220.405435999999</v>
      </c>
      <c r="O1589" s="27">
        <f t="shared" si="2243"/>
        <v>0</v>
      </c>
      <c r="P1589" s="27">
        <f t="shared" si="2243"/>
        <v>0</v>
      </c>
      <c r="Q1589" s="27">
        <f t="shared" si="2243"/>
        <v>0</v>
      </c>
      <c r="R1589" s="27">
        <f t="shared" si="2243"/>
        <v>0</v>
      </c>
      <c r="S1589" s="27">
        <f t="shared" si="2243"/>
        <v>0</v>
      </c>
      <c r="T1589" s="27">
        <f t="shared" si="2243"/>
        <v>0</v>
      </c>
      <c r="U1589" s="27">
        <f t="shared" si="2243"/>
        <v>0</v>
      </c>
      <c r="V1589" s="27">
        <f t="shared" si="2243"/>
        <v>1171.594284</v>
      </c>
      <c r="W1589" s="27">
        <f t="shared" si="2243"/>
        <v>0</v>
      </c>
      <c r="X1589" s="27">
        <f t="shared" si="2243"/>
        <v>0</v>
      </c>
      <c r="Y1589" s="27">
        <f t="shared" si="2243"/>
        <v>0</v>
      </c>
      <c r="Z1589" s="27">
        <f t="shared" si="2243"/>
        <v>0</v>
      </c>
      <c r="AA1589" s="27">
        <f t="shared" si="2243"/>
        <v>0</v>
      </c>
      <c r="AB1589" s="27">
        <f t="shared" si="2243"/>
        <v>0</v>
      </c>
      <c r="AC1589" s="56"/>
      <c r="AD1589" s="23"/>
    </row>
    <row r="1590" spans="1:30" s="14" customFormat="1">
      <c r="A1590" s="194" t="s">
        <v>728</v>
      </c>
      <c r="B1590" s="195">
        <f>848663/2</f>
        <v>424331.5</v>
      </c>
      <c r="C1590" s="196">
        <f>ROUND(B1590/12,2)</f>
        <v>35360.959999999999</v>
      </c>
      <c r="D1590" s="197">
        <v>1.6299999999999999E-2</v>
      </c>
      <c r="E1590" s="197">
        <v>0.14269999999999999</v>
      </c>
      <c r="F1590" s="197">
        <v>5.8900000000000001E-2</v>
      </c>
      <c r="G1590" s="197">
        <v>7.6200000000000004E-2</v>
      </c>
      <c r="H1590" s="197">
        <v>3.9600000000000003E-2</v>
      </c>
      <c r="I1590" s="197">
        <v>0.12470000000000001</v>
      </c>
      <c r="J1590" s="197">
        <v>2.0400000000000001E-2</v>
      </c>
      <c r="K1590" s="197">
        <v>3.1199999999999999E-2</v>
      </c>
      <c r="L1590" s="197">
        <v>1.6199999999999999E-2</v>
      </c>
      <c r="M1590" s="197">
        <v>2.53E-2</v>
      </c>
      <c r="N1590" s="197">
        <v>0.14849999999999999</v>
      </c>
      <c r="O1590" s="197">
        <v>2.2599999999999999E-2</v>
      </c>
      <c r="P1590" s="197">
        <v>0</v>
      </c>
      <c r="Q1590" s="197">
        <v>3.78E-2</v>
      </c>
      <c r="R1590" s="197">
        <v>1.8100000000000002E-2</v>
      </c>
      <c r="S1590" s="197">
        <v>4.1000000000000003E-3</v>
      </c>
      <c r="T1590" s="197">
        <v>5.04E-2</v>
      </c>
      <c r="U1590" s="197">
        <v>1.7500000000000002E-2</v>
      </c>
      <c r="V1590" s="197">
        <v>3.6200000000000003E-2</v>
      </c>
      <c r="W1590" s="197">
        <v>4.8500000000000001E-2</v>
      </c>
      <c r="X1590" s="197">
        <v>6.1600000000000002E-2</v>
      </c>
      <c r="Y1590" s="197">
        <v>2.5000000000000001E-3</v>
      </c>
      <c r="Z1590" s="198">
        <v>0</v>
      </c>
      <c r="AA1590" s="198">
        <v>6.9999999999999999E-4</v>
      </c>
      <c r="AB1590" s="198">
        <v>0</v>
      </c>
      <c r="AC1590" s="56"/>
      <c r="AD1590" s="23"/>
    </row>
    <row r="1591" spans="1:30" s="14" customFormat="1">
      <c r="A1591" s="47"/>
      <c r="B1591" s="199"/>
      <c r="C1591" s="128"/>
      <c r="D1591" s="27">
        <f>$C1590*D1590</f>
        <v>576.38364799999988</v>
      </c>
      <c r="E1591" s="27">
        <f>$C1590*E1590</f>
        <v>5046.008992</v>
      </c>
      <c r="F1591" s="27">
        <f t="shared" ref="F1591:AB1591" si="2244">$C1590*F1590</f>
        <v>2082.7605440000002</v>
      </c>
      <c r="G1591" s="27">
        <f t="shared" si="2244"/>
        <v>2694.5051520000002</v>
      </c>
      <c r="H1591" s="27">
        <f t="shared" si="2244"/>
        <v>1400.2940160000001</v>
      </c>
      <c r="I1591" s="27">
        <f t="shared" si="2244"/>
        <v>4409.5117120000004</v>
      </c>
      <c r="J1591" s="27">
        <f t="shared" si="2244"/>
        <v>721.36358400000006</v>
      </c>
      <c r="K1591" s="27">
        <f t="shared" si="2244"/>
        <v>1103.2619519999998</v>
      </c>
      <c r="L1591" s="27">
        <f t="shared" si="2244"/>
        <v>572.84755199999995</v>
      </c>
      <c r="M1591" s="27">
        <f t="shared" si="2244"/>
        <v>894.63228800000002</v>
      </c>
      <c r="N1591" s="27">
        <f t="shared" si="2244"/>
        <v>5251.1025599999994</v>
      </c>
      <c r="O1591" s="27">
        <f t="shared" si="2244"/>
        <v>799.15769599999987</v>
      </c>
      <c r="P1591" s="27">
        <f t="shared" si="2244"/>
        <v>0</v>
      </c>
      <c r="Q1591" s="27">
        <f t="shared" si="2244"/>
        <v>1336.644288</v>
      </c>
      <c r="R1591" s="27">
        <f t="shared" si="2244"/>
        <v>640.03337600000009</v>
      </c>
      <c r="S1591" s="27">
        <f t="shared" si="2244"/>
        <v>144.97993600000001</v>
      </c>
      <c r="T1591" s="27">
        <f t="shared" si="2244"/>
        <v>1782.1923839999999</v>
      </c>
      <c r="U1591" s="27">
        <f t="shared" si="2244"/>
        <v>618.81680000000006</v>
      </c>
      <c r="V1591" s="27">
        <f t="shared" si="2244"/>
        <v>1280.0667520000002</v>
      </c>
      <c r="W1591" s="27">
        <f t="shared" si="2244"/>
        <v>1715.00656</v>
      </c>
      <c r="X1591" s="27">
        <f t="shared" si="2244"/>
        <v>2178.2351360000002</v>
      </c>
      <c r="Y1591" s="27">
        <f t="shared" si="2244"/>
        <v>88.4024</v>
      </c>
      <c r="Z1591" s="27">
        <f t="shared" si="2244"/>
        <v>0</v>
      </c>
      <c r="AA1591" s="27">
        <f t="shared" si="2244"/>
        <v>24.752672</v>
      </c>
      <c r="AB1591" s="27">
        <f t="shared" si="2244"/>
        <v>0</v>
      </c>
      <c r="AC1591" s="56"/>
      <c r="AD1591" s="23"/>
    </row>
    <row r="1592" spans="1:30" s="14" customFormat="1">
      <c r="A1592" s="194" t="s">
        <v>729</v>
      </c>
      <c r="B1592" s="195">
        <f>848663/2</f>
        <v>424331.5</v>
      </c>
      <c r="C1592" s="196">
        <f>ROUND(B1592/12,2)</f>
        <v>35360.959999999999</v>
      </c>
      <c r="D1592" s="200"/>
      <c r="E1592" s="201"/>
      <c r="F1592" s="198"/>
      <c r="G1592" s="198"/>
      <c r="H1592" s="202"/>
      <c r="I1592" s="202"/>
      <c r="J1592" s="202"/>
      <c r="K1592" s="202"/>
      <c r="L1592" s="198"/>
      <c r="M1592" s="202"/>
      <c r="N1592" s="202">
        <v>0.89710000000000001</v>
      </c>
      <c r="O1592" s="202"/>
      <c r="P1592" s="202"/>
      <c r="Q1592" s="202"/>
      <c r="R1592" s="202"/>
      <c r="S1592" s="202"/>
      <c r="T1592" s="202"/>
      <c r="U1592" s="202"/>
      <c r="V1592" s="202">
        <v>0.10290000000000001</v>
      </c>
      <c r="W1592" s="202"/>
      <c r="X1592" s="202"/>
      <c r="Y1592" s="202"/>
      <c r="Z1592" s="202"/>
      <c r="AA1592" s="202"/>
      <c r="AB1592" s="202"/>
      <c r="AC1592" s="56"/>
      <c r="AD1592" s="23"/>
    </row>
    <row r="1593" spans="1:30" s="14" customFormat="1">
      <c r="A1593" s="47"/>
      <c r="B1593" s="199"/>
      <c r="C1593" s="128"/>
      <c r="D1593" s="27">
        <f>$C1592*D1592</f>
        <v>0</v>
      </c>
      <c r="E1593" s="27">
        <f>$C1592*E1592</f>
        <v>0</v>
      </c>
      <c r="F1593" s="27">
        <f t="shared" ref="F1593:AB1593" si="2245">$C1592*F1592</f>
        <v>0</v>
      </c>
      <c r="G1593" s="27">
        <f t="shared" si="2245"/>
        <v>0</v>
      </c>
      <c r="H1593" s="27">
        <f t="shared" si="2245"/>
        <v>0</v>
      </c>
      <c r="I1593" s="27">
        <f t="shared" si="2245"/>
        <v>0</v>
      </c>
      <c r="J1593" s="27">
        <f t="shared" si="2245"/>
        <v>0</v>
      </c>
      <c r="K1593" s="27">
        <f t="shared" si="2245"/>
        <v>0</v>
      </c>
      <c r="L1593" s="27">
        <f t="shared" si="2245"/>
        <v>0</v>
      </c>
      <c r="M1593" s="27">
        <f t="shared" si="2245"/>
        <v>0</v>
      </c>
      <c r="N1593" s="27">
        <f t="shared" si="2245"/>
        <v>31722.317215999999</v>
      </c>
      <c r="O1593" s="27">
        <f t="shared" si="2245"/>
        <v>0</v>
      </c>
      <c r="P1593" s="27">
        <f t="shared" si="2245"/>
        <v>0</v>
      </c>
      <c r="Q1593" s="27">
        <f t="shared" si="2245"/>
        <v>0</v>
      </c>
      <c r="R1593" s="27">
        <f t="shared" si="2245"/>
        <v>0</v>
      </c>
      <c r="S1593" s="27">
        <f t="shared" si="2245"/>
        <v>0</v>
      </c>
      <c r="T1593" s="27">
        <f t="shared" si="2245"/>
        <v>0</v>
      </c>
      <c r="U1593" s="27">
        <f t="shared" si="2245"/>
        <v>0</v>
      </c>
      <c r="V1593" s="27">
        <f t="shared" si="2245"/>
        <v>3638.6427840000001</v>
      </c>
      <c r="W1593" s="27">
        <f t="shared" si="2245"/>
        <v>0</v>
      </c>
      <c r="X1593" s="27">
        <f t="shared" si="2245"/>
        <v>0</v>
      </c>
      <c r="Y1593" s="27">
        <f t="shared" si="2245"/>
        <v>0</v>
      </c>
      <c r="Z1593" s="27">
        <f t="shared" si="2245"/>
        <v>0</v>
      </c>
      <c r="AA1593" s="27">
        <f t="shared" si="2245"/>
        <v>0</v>
      </c>
      <c r="AB1593" s="27">
        <f t="shared" si="2245"/>
        <v>0</v>
      </c>
      <c r="AC1593" s="56"/>
      <c r="AD1593" s="23"/>
    </row>
    <row r="1594" spans="1:30" s="14" customFormat="1">
      <c r="A1594" s="194" t="s">
        <v>730</v>
      </c>
      <c r="B1594" s="195">
        <v>196342</v>
      </c>
      <c r="C1594" s="196">
        <f>ROUND(B1594/12,2)</f>
        <v>16361.83</v>
      </c>
      <c r="D1594" s="200"/>
      <c r="E1594" s="201"/>
      <c r="F1594" s="198"/>
      <c r="G1594" s="198"/>
      <c r="H1594" s="202"/>
      <c r="I1594" s="202"/>
      <c r="J1594" s="202"/>
      <c r="K1594" s="202"/>
      <c r="L1594" s="198"/>
      <c r="M1594" s="202"/>
      <c r="N1594" s="202">
        <v>1</v>
      </c>
      <c r="O1594" s="202"/>
      <c r="P1594" s="202"/>
      <c r="Q1594" s="202"/>
      <c r="R1594" s="202"/>
      <c r="S1594" s="202"/>
      <c r="T1594" s="202"/>
      <c r="U1594" s="202"/>
      <c r="V1594" s="202"/>
      <c r="W1594" s="202"/>
      <c r="X1594" s="202"/>
      <c r="Y1594" s="202"/>
      <c r="Z1594" s="202"/>
      <c r="AA1594" s="202"/>
      <c r="AB1594" s="202"/>
      <c r="AC1594" s="56"/>
      <c r="AD1594" s="23"/>
    </row>
    <row r="1595" spans="1:30" s="14" customFormat="1">
      <c r="A1595" s="47"/>
      <c r="B1595" s="199"/>
      <c r="C1595" s="128"/>
      <c r="D1595" s="27">
        <f>$C1594*D1594</f>
        <v>0</v>
      </c>
      <c r="E1595" s="27">
        <f>$C1594*E1594</f>
        <v>0</v>
      </c>
      <c r="F1595" s="27">
        <f t="shared" ref="F1595:AB1595" si="2246">$C1594*F1594</f>
        <v>0</v>
      </c>
      <c r="G1595" s="27">
        <f t="shared" si="2246"/>
        <v>0</v>
      </c>
      <c r="H1595" s="27">
        <f t="shared" si="2246"/>
        <v>0</v>
      </c>
      <c r="I1595" s="27">
        <f t="shared" si="2246"/>
        <v>0</v>
      </c>
      <c r="J1595" s="27">
        <f t="shared" si="2246"/>
        <v>0</v>
      </c>
      <c r="K1595" s="27">
        <f t="shared" si="2246"/>
        <v>0</v>
      </c>
      <c r="L1595" s="27">
        <f t="shared" si="2246"/>
        <v>0</v>
      </c>
      <c r="M1595" s="27">
        <f t="shared" si="2246"/>
        <v>0</v>
      </c>
      <c r="N1595" s="27">
        <f t="shared" si="2246"/>
        <v>16361.83</v>
      </c>
      <c r="O1595" s="27">
        <f t="shared" si="2246"/>
        <v>0</v>
      </c>
      <c r="P1595" s="27">
        <f t="shared" si="2246"/>
        <v>0</v>
      </c>
      <c r="Q1595" s="27">
        <f t="shared" si="2246"/>
        <v>0</v>
      </c>
      <c r="R1595" s="27">
        <f t="shared" si="2246"/>
        <v>0</v>
      </c>
      <c r="S1595" s="27">
        <f t="shared" si="2246"/>
        <v>0</v>
      </c>
      <c r="T1595" s="27">
        <f t="shared" si="2246"/>
        <v>0</v>
      </c>
      <c r="U1595" s="27">
        <f t="shared" si="2246"/>
        <v>0</v>
      </c>
      <c r="V1595" s="27">
        <f t="shared" si="2246"/>
        <v>0</v>
      </c>
      <c r="W1595" s="27">
        <f t="shared" si="2246"/>
        <v>0</v>
      </c>
      <c r="X1595" s="27">
        <f t="shared" si="2246"/>
        <v>0</v>
      </c>
      <c r="Y1595" s="27">
        <f t="shared" si="2246"/>
        <v>0</v>
      </c>
      <c r="Z1595" s="27">
        <f t="shared" si="2246"/>
        <v>0</v>
      </c>
      <c r="AA1595" s="27">
        <f t="shared" si="2246"/>
        <v>0</v>
      </c>
      <c r="AB1595" s="27">
        <f t="shared" si="2246"/>
        <v>0</v>
      </c>
      <c r="AC1595" s="56"/>
      <c r="AD1595" s="23"/>
    </row>
    <row r="1596" spans="1:30" s="14" customFormat="1">
      <c r="A1596" s="182" t="s">
        <v>50</v>
      </c>
      <c r="B1596" s="183">
        <f>SUM(B1568:B1594)</f>
        <v>2703183</v>
      </c>
      <c r="C1596" s="184">
        <f>SUM(C1568:C1594)</f>
        <v>225265.25999999998</v>
      </c>
      <c r="D1596" s="184">
        <f>D1569+D1571+D1573+D1575+D1577+D1579+D1581+D1583+D1585+D1587+D1589+D1591+D1593+D1595</f>
        <v>1270.3616899999997</v>
      </c>
      <c r="E1596" s="184">
        <f t="shared" ref="E1596:AB1596" si="2247">E1569+E1571+E1573+E1575+E1577+E1579+E1581+E1583+E1585+E1587+E1589+E1591+E1593+E1595</f>
        <v>11121.51001</v>
      </c>
      <c r="F1596" s="184">
        <f t="shared" si="2247"/>
        <v>7353.3534639999998</v>
      </c>
      <c r="G1596" s="184">
        <f t="shared" si="2247"/>
        <v>5938.7460599999995</v>
      </c>
      <c r="H1596" s="184">
        <f t="shared" si="2247"/>
        <v>4966.750094</v>
      </c>
      <c r="I1596" s="184">
        <f t="shared" si="2247"/>
        <v>9718.6566100000018</v>
      </c>
      <c r="J1596" s="184">
        <f t="shared" si="2247"/>
        <v>1589.9005200000001</v>
      </c>
      <c r="K1596" s="184">
        <f t="shared" si="2247"/>
        <v>2431.6125599999996</v>
      </c>
      <c r="L1596" s="184">
        <f t="shared" si="2247"/>
        <v>1262.5680600000001</v>
      </c>
      <c r="M1596" s="184">
        <f t="shared" si="2247"/>
        <v>2052.4555300000002</v>
      </c>
      <c r="N1596" s="184">
        <f t="shared" si="2247"/>
        <v>148094.825354</v>
      </c>
      <c r="O1596" s="184">
        <f t="shared" si="2247"/>
        <v>1761.3603799999996</v>
      </c>
      <c r="P1596" s="184">
        <f t="shared" si="2247"/>
        <v>0</v>
      </c>
      <c r="Q1596" s="184">
        <f t="shared" si="2247"/>
        <v>2945.9921399999998</v>
      </c>
      <c r="R1596" s="184">
        <f t="shared" si="2247"/>
        <v>1410.6470300000001</v>
      </c>
      <c r="S1596" s="184">
        <f t="shared" si="2247"/>
        <v>319.53883000000002</v>
      </c>
      <c r="T1596" s="184">
        <f t="shared" si="2247"/>
        <v>3927.9895200000001</v>
      </c>
      <c r="U1596" s="184">
        <f t="shared" si="2247"/>
        <v>1363.8852500000003</v>
      </c>
      <c r="V1596" s="184">
        <f t="shared" si="2247"/>
        <v>8904.9241080000011</v>
      </c>
      <c r="W1596" s="184">
        <f t="shared" si="2247"/>
        <v>3779.9105499999996</v>
      </c>
      <c r="X1596" s="184">
        <f t="shared" si="2247"/>
        <v>4800.87608</v>
      </c>
      <c r="Y1596" s="184">
        <f t="shared" si="2247"/>
        <v>194.84075000000001</v>
      </c>
      <c r="Z1596" s="184">
        <f t="shared" si="2247"/>
        <v>0</v>
      </c>
      <c r="AA1596" s="184">
        <f t="shared" si="2247"/>
        <v>54.555409999999995</v>
      </c>
      <c r="AB1596" s="184">
        <f t="shared" si="2247"/>
        <v>0</v>
      </c>
      <c r="AC1596" s="56"/>
      <c r="AD1596" s="23"/>
    </row>
    <row r="1597" spans="1:30" customFormat="1"/>
    <row r="1598" spans="1:30" customFormat="1"/>
    <row r="1599" spans="1:30" s="14" customFormat="1" ht="13.8" thickBot="1">
      <c r="A1599" s="66" t="s">
        <v>731</v>
      </c>
      <c r="B1599" s="65"/>
      <c r="C1599" s="152"/>
      <c r="D1599" s="65"/>
      <c r="E1599" s="65"/>
      <c r="F1599" s="19"/>
      <c r="G1599" s="19"/>
      <c r="H1599" s="19"/>
      <c r="I1599" s="19"/>
      <c r="J1599" s="19"/>
      <c r="K1599" s="19"/>
      <c r="L1599" s="19"/>
      <c r="M1599" s="19"/>
      <c r="N1599" s="19"/>
      <c r="O1599" s="19"/>
      <c r="P1599" s="19"/>
      <c r="Q1599" s="19"/>
      <c r="R1599" s="19"/>
      <c r="S1599" s="19"/>
      <c r="T1599" s="19"/>
      <c r="U1599" s="19"/>
      <c r="V1599" s="19"/>
      <c r="W1599" s="19"/>
      <c r="X1599" s="19"/>
      <c r="Y1599" s="19"/>
      <c r="Z1599" s="19"/>
      <c r="AA1599" s="19"/>
      <c r="AB1599" s="19"/>
      <c r="AC1599" s="56"/>
      <c r="AD1599" s="23"/>
    </row>
    <row r="1600" spans="1:30" s="14" customFormat="1" ht="13.8" thickBot="1">
      <c r="A1600" s="171" t="s">
        <v>1</v>
      </c>
      <c r="B1600" s="172" t="s">
        <v>2</v>
      </c>
      <c r="C1600" s="173" t="s">
        <v>3</v>
      </c>
      <c r="D1600" s="209" t="s">
        <v>4</v>
      </c>
      <c r="E1600" s="210"/>
      <c r="F1600" s="210"/>
      <c r="G1600" s="210"/>
      <c r="H1600" s="210"/>
      <c r="I1600" s="210"/>
      <c r="J1600" s="210"/>
      <c r="K1600" s="210"/>
      <c r="L1600" s="210"/>
      <c r="M1600" s="210"/>
      <c r="N1600" s="210"/>
      <c r="O1600" s="210"/>
      <c r="P1600" s="210"/>
      <c r="Q1600" s="210"/>
      <c r="R1600" s="210"/>
      <c r="S1600" s="210"/>
      <c r="T1600" s="210"/>
      <c r="U1600" s="210"/>
      <c r="V1600" s="210"/>
      <c r="W1600" s="210"/>
      <c r="X1600" s="210"/>
      <c r="Y1600" s="210"/>
      <c r="Z1600" s="174"/>
      <c r="AA1600" s="174"/>
      <c r="AB1600" s="174"/>
      <c r="AC1600" s="56"/>
      <c r="AD1600" s="23"/>
    </row>
    <row r="1601" spans="1:30" s="14" customFormat="1">
      <c r="A1601" s="175" t="s">
        <v>5</v>
      </c>
      <c r="B1601" s="176" t="s">
        <v>6</v>
      </c>
      <c r="C1601" s="126" t="s">
        <v>6</v>
      </c>
      <c r="D1601" s="177"/>
      <c r="E1601" s="178"/>
      <c r="F1601" s="178"/>
      <c r="G1601" s="178"/>
      <c r="H1601" s="178"/>
      <c r="I1601" s="178"/>
      <c r="J1601" s="178"/>
      <c r="K1601" s="178"/>
      <c r="L1601" s="178"/>
      <c r="M1601" s="178"/>
      <c r="N1601" s="178"/>
      <c r="O1601" s="178"/>
      <c r="P1601" s="178"/>
      <c r="Q1601" s="178"/>
      <c r="R1601" s="178"/>
      <c r="S1601" s="178"/>
      <c r="T1601" s="178"/>
      <c r="U1601" s="178"/>
      <c r="V1601" s="178"/>
      <c r="W1601" s="178"/>
      <c r="X1601" s="178"/>
      <c r="Y1601" s="99"/>
      <c r="Z1601" s="176" t="s">
        <v>7</v>
      </c>
      <c r="AA1601" s="176"/>
      <c r="AB1601" s="176"/>
      <c r="AC1601" s="56"/>
      <c r="AD1601" s="23"/>
    </row>
    <row r="1602" spans="1:30" s="14" customFormat="1">
      <c r="A1602" s="175" t="s">
        <v>8</v>
      </c>
      <c r="B1602" s="176" t="s">
        <v>9</v>
      </c>
      <c r="C1602" s="126" t="s">
        <v>9</v>
      </c>
      <c r="D1602" s="179" t="s">
        <v>10</v>
      </c>
      <c r="E1602" s="176" t="s">
        <v>11</v>
      </c>
      <c r="F1602" s="176" t="s">
        <v>12</v>
      </c>
      <c r="G1602" s="176" t="s">
        <v>13</v>
      </c>
      <c r="H1602" s="176" t="s">
        <v>14</v>
      </c>
      <c r="I1602" s="176" t="s">
        <v>15</v>
      </c>
      <c r="J1602" s="176" t="s">
        <v>16</v>
      </c>
      <c r="K1602" s="176" t="s">
        <v>17</v>
      </c>
      <c r="L1602" s="176" t="s">
        <v>18</v>
      </c>
      <c r="M1602" s="176" t="s">
        <v>19</v>
      </c>
      <c r="N1602" s="176" t="s">
        <v>20</v>
      </c>
      <c r="O1602" s="176" t="s">
        <v>169</v>
      </c>
      <c r="P1602" s="176" t="s">
        <v>21</v>
      </c>
      <c r="Q1602" s="176" t="s">
        <v>22</v>
      </c>
      <c r="R1602" s="176" t="s">
        <v>23</v>
      </c>
      <c r="S1602" s="176" t="s">
        <v>24</v>
      </c>
      <c r="T1602" s="176" t="s">
        <v>25</v>
      </c>
      <c r="U1602" s="176" t="s">
        <v>26</v>
      </c>
      <c r="V1602" s="176" t="s">
        <v>27</v>
      </c>
      <c r="W1602" s="176" t="s">
        <v>28</v>
      </c>
      <c r="X1602" s="176" t="s">
        <v>29</v>
      </c>
      <c r="Y1602" s="176" t="s">
        <v>30</v>
      </c>
      <c r="Z1602" s="176" t="s">
        <v>31</v>
      </c>
      <c r="AA1602" s="176" t="s">
        <v>484</v>
      </c>
      <c r="AB1602" s="176" t="s">
        <v>467</v>
      </c>
      <c r="AC1602" s="56"/>
      <c r="AD1602" s="23"/>
    </row>
    <row r="1603" spans="1:30" s="14" customFormat="1">
      <c r="A1603" s="175"/>
      <c r="B1603" s="176"/>
      <c r="C1603" s="126" t="s">
        <v>696</v>
      </c>
      <c r="D1603" s="180"/>
      <c r="E1603" s="181"/>
      <c r="F1603" s="181"/>
      <c r="G1603" s="181"/>
      <c r="H1603" s="181"/>
      <c r="I1603" s="181"/>
      <c r="J1603" s="181"/>
      <c r="K1603" s="181"/>
      <c r="L1603" s="181"/>
      <c r="M1603" s="181"/>
      <c r="N1603" s="181"/>
      <c r="O1603" s="181"/>
      <c r="P1603" s="181"/>
      <c r="Q1603" s="181"/>
      <c r="R1603" s="181"/>
      <c r="S1603" s="181"/>
      <c r="T1603" s="181"/>
      <c r="U1603" s="181"/>
      <c r="V1603" s="181"/>
      <c r="W1603" s="181"/>
      <c r="X1603" s="181"/>
      <c r="Y1603" s="181"/>
      <c r="Z1603" s="181"/>
      <c r="AA1603" s="181"/>
      <c r="AB1603" s="181"/>
      <c r="AC1603" s="56"/>
      <c r="AD1603" s="23"/>
    </row>
    <row r="1604" spans="1:30" s="14" customFormat="1">
      <c r="A1604" s="194" t="s">
        <v>732</v>
      </c>
      <c r="B1604" s="195">
        <f>115740/2</f>
        <v>57870</v>
      </c>
      <c r="C1604" s="196">
        <f>ROUND(B1604/12,2)</f>
        <v>4822.5</v>
      </c>
      <c r="D1604" s="197">
        <v>1.6299999999999999E-2</v>
      </c>
      <c r="E1604" s="197">
        <v>0.14269999999999999</v>
      </c>
      <c r="F1604" s="197">
        <v>5.8900000000000001E-2</v>
      </c>
      <c r="G1604" s="197">
        <v>7.6200000000000004E-2</v>
      </c>
      <c r="H1604" s="197">
        <v>3.9600000000000003E-2</v>
      </c>
      <c r="I1604" s="197">
        <v>0.12470000000000001</v>
      </c>
      <c r="J1604" s="197">
        <v>2.0400000000000001E-2</v>
      </c>
      <c r="K1604" s="197">
        <v>3.1199999999999999E-2</v>
      </c>
      <c r="L1604" s="197">
        <v>1.6199999999999999E-2</v>
      </c>
      <c r="M1604" s="197">
        <v>2.53E-2</v>
      </c>
      <c r="N1604" s="197">
        <v>0.14849999999999999</v>
      </c>
      <c r="O1604" s="197">
        <v>2.2599999999999999E-2</v>
      </c>
      <c r="P1604" s="197">
        <v>0</v>
      </c>
      <c r="Q1604" s="197">
        <v>3.78E-2</v>
      </c>
      <c r="R1604" s="197">
        <v>1.8100000000000002E-2</v>
      </c>
      <c r="S1604" s="197">
        <v>4.1000000000000003E-3</v>
      </c>
      <c r="T1604" s="197">
        <v>5.04E-2</v>
      </c>
      <c r="U1604" s="197">
        <v>1.7500000000000002E-2</v>
      </c>
      <c r="V1604" s="197">
        <v>3.6200000000000003E-2</v>
      </c>
      <c r="W1604" s="197">
        <v>4.8500000000000001E-2</v>
      </c>
      <c r="X1604" s="197">
        <v>6.1600000000000002E-2</v>
      </c>
      <c r="Y1604" s="197">
        <v>2.5000000000000001E-3</v>
      </c>
      <c r="Z1604" s="198">
        <v>0</v>
      </c>
      <c r="AA1604" s="198">
        <v>6.9999999999999999E-4</v>
      </c>
      <c r="AB1604" s="198">
        <v>0</v>
      </c>
      <c r="AC1604" s="56"/>
      <c r="AD1604" s="23"/>
    </row>
    <row r="1605" spans="1:30" s="14" customFormat="1">
      <c r="A1605" s="47"/>
      <c r="B1605" s="199"/>
      <c r="C1605" s="128"/>
      <c r="D1605" s="27">
        <f>$C1604*D1604</f>
        <v>78.606749999999991</v>
      </c>
      <c r="E1605" s="27">
        <f>$C1604*E1604</f>
        <v>688.17075</v>
      </c>
      <c r="F1605" s="27">
        <f t="shared" ref="F1605:AB1605" si="2248">$C1604*F1604</f>
        <v>284.04525000000001</v>
      </c>
      <c r="G1605" s="27">
        <f t="shared" si="2248"/>
        <v>367.47450000000003</v>
      </c>
      <c r="H1605" s="27">
        <f t="shared" si="2248"/>
        <v>190.971</v>
      </c>
      <c r="I1605" s="27">
        <f t="shared" si="2248"/>
        <v>601.36575000000005</v>
      </c>
      <c r="J1605" s="27">
        <f t="shared" si="2248"/>
        <v>98.379000000000005</v>
      </c>
      <c r="K1605" s="27">
        <f t="shared" si="2248"/>
        <v>150.46199999999999</v>
      </c>
      <c r="L1605" s="27">
        <f t="shared" si="2248"/>
        <v>78.124499999999998</v>
      </c>
      <c r="M1605" s="27">
        <f t="shared" si="2248"/>
        <v>122.00924999999999</v>
      </c>
      <c r="N1605" s="27">
        <f t="shared" si="2248"/>
        <v>716.14125000000001</v>
      </c>
      <c r="O1605" s="27">
        <f t="shared" si="2248"/>
        <v>108.98849999999999</v>
      </c>
      <c r="P1605" s="27">
        <f t="shared" si="2248"/>
        <v>0</v>
      </c>
      <c r="Q1605" s="27">
        <f t="shared" si="2248"/>
        <v>182.29050000000001</v>
      </c>
      <c r="R1605" s="27">
        <f t="shared" si="2248"/>
        <v>87.28725</v>
      </c>
      <c r="S1605" s="27">
        <f t="shared" si="2248"/>
        <v>19.772250000000003</v>
      </c>
      <c r="T1605" s="27">
        <f t="shared" si="2248"/>
        <v>243.054</v>
      </c>
      <c r="U1605" s="27">
        <f t="shared" si="2248"/>
        <v>84.393750000000011</v>
      </c>
      <c r="V1605" s="27">
        <f t="shared" si="2248"/>
        <v>174.5745</v>
      </c>
      <c r="W1605" s="27">
        <f t="shared" si="2248"/>
        <v>233.89125000000001</v>
      </c>
      <c r="X1605" s="27">
        <f t="shared" si="2248"/>
        <v>297.06600000000003</v>
      </c>
      <c r="Y1605" s="27">
        <f t="shared" si="2248"/>
        <v>12.05625</v>
      </c>
      <c r="Z1605" s="27">
        <f t="shared" si="2248"/>
        <v>0</v>
      </c>
      <c r="AA1605" s="27">
        <f t="shared" si="2248"/>
        <v>3.37575</v>
      </c>
      <c r="AB1605" s="27">
        <f t="shared" si="2248"/>
        <v>0</v>
      </c>
      <c r="AC1605" s="56"/>
      <c r="AD1605" s="23"/>
    </row>
    <row r="1606" spans="1:30" s="14" customFormat="1">
      <c r="A1606" s="194" t="s">
        <v>733</v>
      </c>
      <c r="B1606" s="195">
        <f>115740/2</f>
        <v>57870</v>
      </c>
      <c r="C1606" s="196">
        <f>ROUND(B1606/12,2)</f>
        <v>4822.5</v>
      </c>
      <c r="D1606" s="200"/>
      <c r="E1606" s="201"/>
      <c r="F1606" s="198">
        <v>0.1467</v>
      </c>
      <c r="G1606" s="198"/>
      <c r="H1606" s="202">
        <v>8.1100000000000005E-2</v>
      </c>
      <c r="I1606" s="202"/>
      <c r="J1606" s="202"/>
      <c r="K1606" s="202"/>
      <c r="L1606" s="198"/>
      <c r="M1606" s="202">
        <v>2.1499999999999998E-2</v>
      </c>
      <c r="N1606" s="202">
        <v>0.66090000000000004</v>
      </c>
      <c r="O1606" s="202"/>
      <c r="P1606" s="202"/>
      <c r="Q1606" s="202"/>
      <c r="R1606" s="202"/>
      <c r="S1606" s="202"/>
      <c r="T1606" s="202"/>
      <c r="U1606" s="202"/>
      <c r="V1606" s="202">
        <v>8.9800000000000005E-2</v>
      </c>
      <c r="W1606" s="202"/>
      <c r="X1606" s="202"/>
      <c r="Y1606" s="202"/>
      <c r="Z1606" s="202"/>
      <c r="AA1606" s="202"/>
      <c r="AB1606" s="202"/>
      <c r="AC1606" s="56"/>
      <c r="AD1606" s="23"/>
    </row>
    <row r="1607" spans="1:30" s="14" customFormat="1">
      <c r="A1607" s="47"/>
      <c r="B1607" s="199"/>
      <c r="C1607" s="128"/>
      <c r="D1607" s="27">
        <f t="shared" ref="D1607:AB1607" si="2249">$C1606*D1606</f>
        <v>0</v>
      </c>
      <c r="E1607" s="27">
        <f t="shared" si="2249"/>
        <v>0</v>
      </c>
      <c r="F1607" s="27">
        <f t="shared" si="2249"/>
        <v>707.46074999999996</v>
      </c>
      <c r="G1607" s="27">
        <f t="shared" si="2249"/>
        <v>0</v>
      </c>
      <c r="H1607" s="27">
        <f t="shared" si="2249"/>
        <v>391.10475000000002</v>
      </c>
      <c r="I1607" s="27">
        <f t="shared" si="2249"/>
        <v>0</v>
      </c>
      <c r="J1607" s="27">
        <f t="shared" si="2249"/>
        <v>0</v>
      </c>
      <c r="K1607" s="27">
        <f t="shared" si="2249"/>
        <v>0</v>
      </c>
      <c r="L1607" s="27">
        <f t="shared" si="2249"/>
        <v>0</v>
      </c>
      <c r="M1607" s="27">
        <f t="shared" si="2249"/>
        <v>103.68374999999999</v>
      </c>
      <c r="N1607" s="27">
        <f t="shared" si="2249"/>
        <v>3187.1902500000001</v>
      </c>
      <c r="O1607" s="27">
        <f t="shared" si="2249"/>
        <v>0</v>
      </c>
      <c r="P1607" s="27">
        <f t="shared" si="2249"/>
        <v>0</v>
      </c>
      <c r="Q1607" s="27">
        <f t="shared" si="2249"/>
        <v>0</v>
      </c>
      <c r="R1607" s="27">
        <f t="shared" si="2249"/>
        <v>0</v>
      </c>
      <c r="S1607" s="27">
        <f t="shared" si="2249"/>
        <v>0</v>
      </c>
      <c r="T1607" s="27">
        <f t="shared" si="2249"/>
        <v>0</v>
      </c>
      <c r="U1607" s="27">
        <f t="shared" si="2249"/>
        <v>0</v>
      </c>
      <c r="V1607" s="27">
        <f t="shared" si="2249"/>
        <v>433.06050000000005</v>
      </c>
      <c r="W1607" s="27">
        <f t="shared" si="2249"/>
        <v>0</v>
      </c>
      <c r="X1607" s="27">
        <f t="shared" si="2249"/>
        <v>0</v>
      </c>
      <c r="Y1607" s="27">
        <f t="shared" si="2249"/>
        <v>0</v>
      </c>
      <c r="Z1607" s="27">
        <f t="shared" si="2249"/>
        <v>0</v>
      </c>
      <c r="AA1607" s="27">
        <f t="shared" si="2249"/>
        <v>0</v>
      </c>
      <c r="AB1607" s="27">
        <f t="shared" si="2249"/>
        <v>0</v>
      </c>
      <c r="AC1607" s="56"/>
      <c r="AD1607" s="23"/>
    </row>
    <row r="1608" spans="1:30" s="14" customFormat="1">
      <c r="A1608" s="194" t="s">
        <v>734</v>
      </c>
      <c r="B1608" s="195">
        <f>559411/2</f>
        <v>279705.5</v>
      </c>
      <c r="C1608" s="196">
        <f>ROUND(B1608/12,2)</f>
        <v>23308.79</v>
      </c>
      <c r="D1608" s="197">
        <v>1.6299999999999999E-2</v>
      </c>
      <c r="E1608" s="197">
        <v>0.14269999999999999</v>
      </c>
      <c r="F1608" s="197">
        <v>5.8900000000000001E-2</v>
      </c>
      <c r="G1608" s="197">
        <v>7.6200000000000004E-2</v>
      </c>
      <c r="H1608" s="197">
        <v>3.9600000000000003E-2</v>
      </c>
      <c r="I1608" s="197">
        <v>0.12470000000000001</v>
      </c>
      <c r="J1608" s="197">
        <v>2.0400000000000001E-2</v>
      </c>
      <c r="K1608" s="197">
        <v>3.1199999999999999E-2</v>
      </c>
      <c r="L1608" s="197">
        <v>1.6199999999999999E-2</v>
      </c>
      <c r="M1608" s="197">
        <v>2.53E-2</v>
      </c>
      <c r="N1608" s="197">
        <v>0.14849999999999999</v>
      </c>
      <c r="O1608" s="197">
        <v>2.2599999999999999E-2</v>
      </c>
      <c r="P1608" s="197">
        <v>0</v>
      </c>
      <c r="Q1608" s="197">
        <v>3.78E-2</v>
      </c>
      <c r="R1608" s="197">
        <v>1.8100000000000002E-2</v>
      </c>
      <c r="S1608" s="197">
        <v>4.1000000000000003E-3</v>
      </c>
      <c r="T1608" s="197">
        <v>5.04E-2</v>
      </c>
      <c r="U1608" s="197">
        <v>1.7500000000000002E-2</v>
      </c>
      <c r="V1608" s="197">
        <v>3.6200000000000003E-2</v>
      </c>
      <c r="W1608" s="197">
        <v>4.8500000000000001E-2</v>
      </c>
      <c r="X1608" s="197">
        <v>6.1600000000000002E-2</v>
      </c>
      <c r="Y1608" s="197">
        <v>2.5000000000000001E-3</v>
      </c>
      <c r="Z1608" s="198">
        <v>0</v>
      </c>
      <c r="AA1608" s="198">
        <v>6.9999999999999999E-4</v>
      </c>
      <c r="AB1608" s="198">
        <v>0</v>
      </c>
      <c r="AC1608" s="56"/>
      <c r="AD1608" s="23"/>
    </row>
    <row r="1609" spans="1:30" s="14" customFormat="1">
      <c r="A1609" s="47"/>
      <c r="B1609" s="199"/>
      <c r="C1609" s="128"/>
      <c r="D1609" s="27">
        <f t="shared" ref="D1609:AB1609" si="2250">$C1608*D1608</f>
        <v>379.93327699999998</v>
      </c>
      <c r="E1609" s="27">
        <f t="shared" si="2250"/>
        <v>3326.1643330000002</v>
      </c>
      <c r="F1609" s="27">
        <f t="shared" si="2250"/>
        <v>1372.887731</v>
      </c>
      <c r="G1609" s="27">
        <f t="shared" si="2250"/>
        <v>1776.1297980000002</v>
      </c>
      <c r="H1609" s="27">
        <f t="shared" si="2250"/>
        <v>923.02808400000015</v>
      </c>
      <c r="I1609" s="27">
        <f t="shared" si="2250"/>
        <v>2906.6061130000003</v>
      </c>
      <c r="J1609" s="27">
        <f t="shared" si="2250"/>
        <v>475.49931600000008</v>
      </c>
      <c r="K1609" s="27">
        <f t="shared" si="2250"/>
        <v>727.23424799999998</v>
      </c>
      <c r="L1609" s="27">
        <f t="shared" si="2250"/>
        <v>377.60239799999999</v>
      </c>
      <c r="M1609" s="27">
        <f t="shared" si="2250"/>
        <v>589.71238700000004</v>
      </c>
      <c r="N1609" s="27">
        <f t="shared" si="2250"/>
        <v>3461.3553149999998</v>
      </c>
      <c r="O1609" s="27">
        <f t="shared" si="2250"/>
        <v>526.77865399999996</v>
      </c>
      <c r="P1609" s="27">
        <f t="shared" si="2250"/>
        <v>0</v>
      </c>
      <c r="Q1609" s="27">
        <f t="shared" si="2250"/>
        <v>881.07226200000002</v>
      </c>
      <c r="R1609" s="27">
        <f t="shared" si="2250"/>
        <v>421.88909900000004</v>
      </c>
      <c r="S1609" s="27">
        <f t="shared" si="2250"/>
        <v>95.566039000000018</v>
      </c>
      <c r="T1609" s="27">
        <f t="shared" si="2250"/>
        <v>1174.7630160000001</v>
      </c>
      <c r="U1609" s="27">
        <f t="shared" si="2250"/>
        <v>407.90382500000004</v>
      </c>
      <c r="V1609" s="27">
        <f t="shared" si="2250"/>
        <v>843.77819800000009</v>
      </c>
      <c r="W1609" s="27">
        <f t="shared" si="2250"/>
        <v>1130.4763150000001</v>
      </c>
      <c r="X1609" s="27">
        <f t="shared" si="2250"/>
        <v>1435.8214640000001</v>
      </c>
      <c r="Y1609" s="27">
        <f t="shared" si="2250"/>
        <v>58.271975000000005</v>
      </c>
      <c r="Z1609" s="27">
        <f t="shared" si="2250"/>
        <v>0</v>
      </c>
      <c r="AA1609" s="27">
        <f t="shared" si="2250"/>
        <v>16.316153</v>
      </c>
      <c r="AB1609" s="27">
        <f t="shared" si="2250"/>
        <v>0</v>
      </c>
      <c r="AC1609" s="56"/>
      <c r="AD1609" s="23"/>
    </row>
    <row r="1610" spans="1:30" s="14" customFormat="1">
      <c r="A1610" s="194" t="s">
        <v>735</v>
      </c>
      <c r="B1610" s="195">
        <f>559411/2</f>
        <v>279705.5</v>
      </c>
      <c r="C1610" s="196">
        <f>ROUND(B1610/12,2)</f>
        <v>23308.79</v>
      </c>
      <c r="D1610" s="200"/>
      <c r="E1610" s="201"/>
      <c r="F1610" s="198">
        <v>0.1467</v>
      </c>
      <c r="G1610" s="198"/>
      <c r="H1610" s="202">
        <v>8.1100000000000005E-2</v>
      </c>
      <c r="I1610" s="202"/>
      <c r="J1610" s="202"/>
      <c r="K1610" s="202"/>
      <c r="L1610" s="198"/>
      <c r="M1610" s="202">
        <v>2.1499999999999998E-2</v>
      </c>
      <c r="N1610" s="202">
        <v>0.66090000000000004</v>
      </c>
      <c r="O1610" s="202"/>
      <c r="P1610" s="202"/>
      <c r="Q1610" s="202"/>
      <c r="R1610" s="202"/>
      <c r="S1610" s="202"/>
      <c r="T1610" s="202"/>
      <c r="U1610" s="202"/>
      <c r="V1610" s="202">
        <v>8.9800000000000005E-2</v>
      </c>
      <c r="W1610" s="202"/>
      <c r="X1610" s="202"/>
      <c r="Y1610" s="202"/>
      <c r="Z1610" s="202"/>
      <c r="AA1610" s="202"/>
      <c r="AB1610" s="202"/>
      <c r="AC1610" s="56"/>
      <c r="AD1610" s="23"/>
    </row>
    <row r="1611" spans="1:30" s="14" customFormat="1">
      <c r="A1611" s="47"/>
      <c r="B1611" s="199"/>
      <c r="C1611" s="128"/>
      <c r="D1611" s="27">
        <f>$C1610*D1610</f>
        <v>0</v>
      </c>
      <c r="E1611" s="27">
        <f>$C1610*E1610</f>
        <v>0</v>
      </c>
      <c r="F1611" s="27">
        <f t="shared" ref="F1611:AB1611" si="2251">$C1610*F1610</f>
        <v>3419.3994929999999</v>
      </c>
      <c r="G1611" s="27">
        <f t="shared" si="2251"/>
        <v>0</v>
      </c>
      <c r="H1611" s="27">
        <f t="shared" si="2251"/>
        <v>1890.3428690000003</v>
      </c>
      <c r="I1611" s="27">
        <f t="shared" si="2251"/>
        <v>0</v>
      </c>
      <c r="J1611" s="27">
        <f t="shared" si="2251"/>
        <v>0</v>
      </c>
      <c r="K1611" s="27">
        <f t="shared" si="2251"/>
        <v>0</v>
      </c>
      <c r="L1611" s="27">
        <f t="shared" si="2251"/>
        <v>0</v>
      </c>
      <c r="M1611" s="27">
        <f t="shared" si="2251"/>
        <v>501.13898499999999</v>
      </c>
      <c r="N1611" s="27">
        <f t="shared" si="2251"/>
        <v>15404.779311000002</v>
      </c>
      <c r="O1611" s="27">
        <f t="shared" si="2251"/>
        <v>0</v>
      </c>
      <c r="P1611" s="27">
        <f t="shared" si="2251"/>
        <v>0</v>
      </c>
      <c r="Q1611" s="27">
        <f t="shared" si="2251"/>
        <v>0</v>
      </c>
      <c r="R1611" s="27">
        <f t="shared" si="2251"/>
        <v>0</v>
      </c>
      <c r="S1611" s="27">
        <f t="shared" si="2251"/>
        <v>0</v>
      </c>
      <c r="T1611" s="27">
        <f t="shared" si="2251"/>
        <v>0</v>
      </c>
      <c r="U1611" s="27">
        <f t="shared" si="2251"/>
        <v>0</v>
      </c>
      <c r="V1611" s="27">
        <f t="shared" si="2251"/>
        <v>2093.1293420000002</v>
      </c>
      <c r="W1611" s="27">
        <f t="shared" si="2251"/>
        <v>0</v>
      </c>
      <c r="X1611" s="27">
        <f t="shared" si="2251"/>
        <v>0</v>
      </c>
      <c r="Y1611" s="27">
        <f t="shared" si="2251"/>
        <v>0</v>
      </c>
      <c r="Z1611" s="27">
        <f t="shared" si="2251"/>
        <v>0</v>
      </c>
      <c r="AA1611" s="27">
        <f t="shared" si="2251"/>
        <v>0</v>
      </c>
      <c r="AB1611" s="27">
        <f t="shared" si="2251"/>
        <v>0</v>
      </c>
      <c r="AC1611" s="56"/>
      <c r="AD1611" s="23"/>
    </row>
    <row r="1612" spans="1:30" s="14" customFormat="1">
      <c r="A1612" s="194" t="s">
        <v>736</v>
      </c>
      <c r="B1612" s="195">
        <f>928891/2</f>
        <v>464445.5</v>
      </c>
      <c r="C1612" s="196">
        <f>ROUND(B1612/12,2)</f>
        <v>38703.79</v>
      </c>
      <c r="D1612" s="197">
        <v>1.6299999999999999E-2</v>
      </c>
      <c r="E1612" s="197">
        <v>0.14269999999999999</v>
      </c>
      <c r="F1612" s="197">
        <v>5.8900000000000001E-2</v>
      </c>
      <c r="G1612" s="197">
        <v>7.6200000000000004E-2</v>
      </c>
      <c r="H1612" s="197">
        <v>3.9600000000000003E-2</v>
      </c>
      <c r="I1612" s="197">
        <v>0.12470000000000001</v>
      </c>
      <c r="J1612" s="197">
        <v>2.0400000000000001E-2</v>
      </c>
      <c r="K1612" s="197">
        <v>3.1199999999999999E-2</v>
      </c>
      <c r="L1612" s="197">
        <v>1.6199999999999999E-2</v>
      </c>
      <c r="M1612" s="197">
        <v>2.53E-2</v>
      </c>
      <c r="N1612" s="197">
        <v>0.14849999999999999</v>
      </c>
      <c r="O1612" s="197">
        <v>2.2599999999999999E-2</v>
      </c>
      <c r="P1612" s="197">
        <v>0</v>
      </c>
      <c r="Q1612" s="197">
        <v>3.78E-2</v>
      </c>
      <c r="R1612" s="197">
        <v>1.8100000000000002E-2</v>
      </c>
      <c r="S1612" s="197">
        <v>4.1000000000000003E-3</v>
      </c>
      <c r="T1612" s="197">
        <v>5.04E-2</v>
      </c>
      <c r="U1612" s="197">
        <v>1.7500000000000002E-2</v>
      </c>
      <c r="V1612" s="197">
        <v>3.6200000000000003E-2</v>
      </c>
      <c r="W1612" s="197">
        <v>4.8500000000000001E-2</v>
      </c>
      <c r="X1612" s="197">
        <v>6.1600000000000002E-2</v>
      </c>
      <c r="Y1612" s="197">
        <v>2.5000000000000001E-3</v>
      </c>
      <c r="Z1612" s="198">
        <v>0</v>
      </c>
      <c r="AA1612" s="198">
        <v>6.9999999999999999E-4</v>
      </c>
      <c r="AB1612" s="198">
        <v>0</v>
      </c>
      <c r="AC1612" s="56"/>
      <c r="AD1612" s="23"/>
    </row>
    <row r="1613" spans="1:30" s="14" customFormat="1">
      <c r="A1613" s="47"/>
      <c r="B1613" s="199"/>
      <c r="C1613" s="128"/>
      <c r="D1613" s="27">
        <f>$C1612*D1612</f>
        <v>630.87177699999995</v>
      </c>
      <c r="E1613" s="27">
        <f>$C1612*E1612</f>
        <v>5523.0308329999998</v>
      </c>
      <c r="F1613" s="27">
        <f t="shared" ref="F1613:AB1613" si="2252">$C1612*F1612</f>
        <v>2279.6532310000002</v>
      </c>
      <c r="G1613" s="27">
        <f t="shared" si="2252"/>
        <v>2949.2287980000001</v>
      </c>
      <c r="H1613" s="27">
        <f t="shared" si="2252"/>
        <v>1532.6700840000001</v>
      </c>
      <c r="I1613" s="27">
        <f t="shared" si="2252"/>
        <v>4826.3626130000002</v>
      </c>
      <c r="J1613" s="27">
        <f t="shared" si="2252"/>
        <v>789.55731600000013</v>
      </c>
      <c r="K1613" s="27">
        <f t="shared" si="2252"/>
        <v>1207.558248</v>
      </c>
      <c r="L1613" s="27">
        <f t="shared" si="2252"/>
        <v>627.00139799999999</v>
      </c>
      <c r="M1613" s="27">
        <f t="shared" si="2252"/>
        <v>979.20588699999996</v>
      </c>
      <c r="N1613" s="27">
        <f t="shared" si="2252"/>
        <v>5747.512815</v>
      </c>
      <c r="O1613" s="27">
        <f t="shared" si="2252"/>
        <v>874.70565399999998</v>
      </c>
      <c r="P1613" s="27">
        <f t="shared" si="2252"/>
        <v>0</v>
      </c>
      <c r="Q1613" s="27">
        <f t="shared" si="2252"/>
        <v>1463.0032619999999</v>
      </c>
      <c r="R1613" s="27">
        <f t="shared" si="2252"/>
        <v>700.53859900000009</v>
      </c>
      <c r="S1613" s="27">
        <f t="shared" si="2252"/>
        <v>158.68553900000001</v>
      </c>
      <c r="T1613" s="27">
        <f t="shared" si="2252"/>
        <v>1950.671016</v>
      </c>
      <c r="U1613" s="27">
        <f t="shared" si="2252"/>
        <v>677.31632500000012</v>
      </c>
      <c r="V1613" s="27">
        <f t="shared" si="2252"/>
        <v>1401.0771980000002</v>
      </c>
      <c r="W1613" s="27">
        <f t="shared" si="2252"/>
        <v>1877.1338150000001</v>
      </c>
      <c r="X1613" s="27">
        <f t="shared" si="2252"/>
        <v>2384.153464</v>
      </c>
      <c r="Y1613" s="27">
        <f t="shared" si="2252"/>
        <v>96.759475000000009</v>
      </c>
      <c r="Z1613" s="27">
        <f t="shared" si="2252"/>
        <v>0</v>
      </c>
      <c r="AA1613" s="27">
        <f t="shared" si="2252"/>
        <v>27.092653000000002</v>
      </c>
      <c r="AB1613" s="27">
        <f t="shared" si="2252"/>
        <v>0</v>
      </c>
      <c r="AC1613" s="56"/>
      <c r="AD1613" s="23"/>
    </row>
    <row r="1614" spans="1:30" s="14" customFormat="1">
      <c r="A1614" s="194" t="s">
        <v>737</v>
      </c>
      <c r="B1614" s="195">
        <f>928891/2</f>
        <v>464445.5</v>
      </c>
      <c r="C1614" s="196">
        <f>ROUND(B1614/12,2)</f>
        <v>38703.79</v>
      </c>
      <c r="D1614" s="200"/>
      <c r="E1614" s="201"/>
      <c r="F1614" s="198">
        <v>0.1467</v>
      </c>
      <c r="G1614" s="198"/>
      <c r="H1614" s="202">
        <v>8.1100000000000005E-2</v>
      </c>
      <c r="I1614" s="202"/>
      <c r="J1614" s="202"/>
      <c r="K1614" s="202"/>
      <c r="L1614" s="198"/>
      <c r="M1614" s="202">
        <v>2.1499999999999998E-2</v>
      </c>
      <c r="N1614" s="202">
        <v>0.66090000000000004</v>
      </c>
      <c r="O1614" s="202"/>
      <c r="P1614" s="202"/>
      <c r="Q1614" s="202"/>
      <c r="R1614" s="202"/>
      <c r="S1614" s="202"/>
      <c r="T1614" s="202"/>
      <c r="U1614" s="202"/>
      <c r="V1614" s="202">
        <v>8.9800000000000005E-2</v>
      </c>
      <c r="W1614" s="202"/>
      <c r="X1614" s="202"/>
      <c r="Y1614" s="202"/>
      <c r="Z1614" s="202"/>
      <c r="AA1614" s="202"/>
      <c r="AB1614" s="202"/>
      <c r="AC1614" s="56"/>
      <c r="AD1614" s="23"/>
    </row>
    <row r="1615" spans="1:30" s="14" customFormat="1">
      <c r="A1615" s="47"/>
      <c r="B1615" s="199"/>
      <c r="C1615" s="128"/>
      <c r="D1615" s="27">
        <f>$C1614*D1614</f>
        <v>0</v>
      </c>
      <c r="E1615" s="27">
        <f>$C1614*E1614</f>
        <v>0</v>
      </c>
      <c r="F1615" s="27">
        <f t="shared" ref="F1615:AB1615" si="2253">$C1614*F1614</f>
        <v>5677.8459929999999</v>
      </c>
      <c r="G1615" s="27">
        <f t="shared" si="2253"/>
        <v>0</v>
      </c>
      <c r="H1615" s="27">
        <f t="shared" si="2253"/>
        <v>3138.8773690000003</v>
      </c>
      <c r="I1615" s="27">
        <f t="shared" si="2253"/>
        <v>0</v>
      </c>
      <c r="J1615" s="27">
        <f t="shared" si="2253"/>
        <v>0</v>
      </c>
      <c r="K1615" s="27">
        <f t="shared" si="2253"/>
        <v>0</v>
      </c>
      <c r="L1615" s="27">
        <f t="shared" si="2253"/>
        <v>0</v>
      </c>
      <c r="M1615" s="27">
        <f t="shared" si="2253"/>
        <v>832.131485</v>
      </c>
      <c r="N1615" s="27">
        <f t="shared" si="2253"/>
        <v>25579.334811000001</v>
      </c>
      <c r="O1615" s="27">
        <f t="shared" si="2253"/>
        <v>0</v>
      </c>
      <c r="P1615" s="27">
        <f t="shared" si="2253"/>
        <v>0</v>
      </c>
      <c r="Q1615" s="27">
        <f t="shared" si="2253"/>
        <v>0</v>
      </c>
      <c r="R1615" s="27">
        <f t="shared" si="2253"/>
        <v>0</v>
      </c>
      <c r="S1615" s="27">
        <f t="shared" si="2253"/>
        <v>0</v>
      </c>
      <c r="T1615" s="27">
        <f t="shared" si="2253"/>
        <v>0</v>
      </c>
      <c r="U1615" s="27">
        <f t="shared" si="2253"/>
        <v>0</v>
      </c>
      <c r="V1615" s="27">
        <f t="shared" si="2253"/>
        <v>3475.6003420000002</v>
      </c>
      <c r="W1615" s="27">
        <f t="shared" si="2253"/>
        <v>0</v>
      </c>
      <c r="X1615" s="27">
        <f t="shared" si="2253"/>
        <v>0</v>
      </c>
      <c r="Y1615" s="27">
        <f t="shared" si="2253"/>
        <v>0</v>
      </c>
      <c r="Z1615" s="27">
        <f t="shared" si="2253"/>
        <v>0</v>
      </c>
      <c r="AA1615" s="27">
        <f t="shared" si="2253"/>
        <v>0</v>
      </c>
      <c r="AB1615" s="27">
        <f t="shared" si="2253"/>
        <v>0</v>
      </c>
      <c r="AC1615" s="56"/>
      <c r="AD1615" s="23"/>
    </row>
    <row r="1616" spans="1:30" s="14" customFormat="1">
      <c r="A1616" s="194" t="s">
        <v>738</v>
      </c>
      <c r="B1616" s="195">
        <f>1223422/2</f>
        <v>611711</v>
      </c>
      <c r="C1616" s="196">
        <f>ROUND(B1616/12,2)</f>
        <v>50975.92</v>
      </c>
      <c r="D1616" s="197">
        <v>1.6299999999999999E-2</v>
      </c>
      <c r="E1616" s="197">
        <v>0.14269999999999999</v>
      </c>
      <c r="F1616" s="197">
        <v>5.8900000000000001E-2</v>
      </c>
      <c r="G1616" s="197">
        <v>7.6200000000000004E-2</v>
      </c>
      <c r="H1616" s="197">
        <v>3.9600000000000003E-2</v>
      </c>
      <c r="I1616" s="197">
        <v>0.12470000000000001</v>
      </c>
      <c r="J1616" s="197">
        <v>2.0400000000000001E-2</v>
      </c>
      <c r="K1616" s="197">
        <v>3.1199999999999999E-2</v>
      </c>
      <c r="L1616" s="197">
        <v>1.6199999999999999E-2</v>
      </c>
      <c r="M1616" s="197">
        <v>2.53E-2</v>
      </c>
      <c r="N1616" s="197">
        <v>0.14849999999999999</v>
      </c>
      <c r="O1616" s="197">
        <v>2.2599999999999999E-2</v>
      </c>
      <c r="P1616" s="197">
        <v>0</v>
      </c>
      <c r="Q1616" s="197">
        <v>3.78E-2</v>
      </c>
      <c r="R1616" s="197">
        <v>1.8100000000000002E-2</v>
      </c>
      <c r="S1616" s="197">
        <v>4.1000000000000003E-3</v>
      </c>
      <c r="T1616" s="197">
        <v>5.04E-2</v>
      </c>
      <c r="U1616" s="197">
        <v>1.7500000000000002E-2</v>
      </c>
      <c r="V1616" s="197">
        <v>3.6200000000000003E-2</v>
      </c>
      <c r="W1616" s="197">
        <v>4.8500000000000001E-2</v>
      </c>
      <c r="X1616" s="197">
        <v>6.1600000000000002E-2</v>
      </c>
      <c r="Y1616" s="197">
        <v>2.5000000000000001E-3</v>
      </c>
      <c r="Z1616" s="198">
        <v>0</v>
      </c>
      <c r="AA1616" s="198">
        <v>6.9999999999999999E-4</v>
      </c>
      <c r="AB1616" s="198">
        <v>0</v>
      </c>
      <c r="AC1616" s="56"/>
      <c r="AD1616" s="23"/>
    </row>
    <row r="1617" spans="1:30" s="14" customFormat="1">
      <c r="A1617" s="47"/>
      <c r="B1617" s="199"/>
      <c r="C1617" s="128"/>
      <c r="D1617" s="27">
        <f>$C1616*D1616</f>
        <v>830.90749599999992</v>
      </c>
      <c r="E1617" s="27">
        <f>$C1616*E1616</f>
        <v>7274.2637839999998</v>
      </c>
      <c r="F1617" s="27">
        <f t="shared" ref="F1617:AB1617" si="2254">$C1616*F1616</f>
        <v>3002.4816879999998</v>
      </c>
      <c r="G1617" s="27">
        <f t="shared" si="2254"/>
        <v>3884.365104</v>
      </c>
      <c r="H1617" s="27">
        <f t="shared" si="2254"/>
        <v>2018.646432</v>
      </c>
      <c r="I1617" s="27">
        <f t="shared" si="2254"/>
        <v>6356.6972240000005</v>
      </c>
      <c r="J1617" s="27">
        <f t="shared" si="2254"/>
        <v>1039.908768</v>
      </c>
      <c r="K1617" s="27">
        <f t="shared" si="2254"/>
        <v>1590.4487039999999</v>
      </c>
      <c r="L1617" s="27">
        <f t="shared" si="2254"/>
        <v>825.80990399999996</v>
      </c>
      <c r="M1617" s="27">
        <f t="shared" si="2254"/>
        <v>1289.6907759999999</v>
      </c>
      <c r="N1617" s="27">
        <f t="shared" si="2254"/>
        <v>7569.9241199999997</v>
      </c>
      <c r="O1617" s="27">
        <f t="shared" si="2254"/>
        <v>1152.0557919999999</v>
      </c>
      <c r="P1617" s="27">
        <f t="shared" si="2254"/>
        <v>0</v>
      </c>
      <c r="Q1617" s="27">
        <f t="shared" si="2254"/>
        <v>1926.889776</v>
      </c>
      <c r="R1617" s="27">
        <f t="shared" si="2254"/>
        <v>922.66415200000006</v>
      </c>
      <c r="S1617" s="27">
        <f t="shared" si="2254"/>
        <v>209.001272</v>
      </c>
      <c r="T1617" s="27">
        <f t="shared" si="2254"/>
        <v>2569.1863680000001</v>
      </c>
      <c r="U1617" s="27">
        <f t="shared" si="2254"/>
        <v>892.07860000000005</v>
      </c>
      <c r="V1617" s="27">
        <f t="shared" si="2254"/>
        <v>1845.3283040000001</v>
      </c>
      <c r="W1617" s="27">
        <f t="shared" si="2254"/>
        <v>2472.33212</v>
      </c>
      <c r="X1617" s="27">
        <f t="shared" si="2254"/>
        <v>3140.1166720000001</v>
      </c>
      <c r="Y1617" s="27">
        <f t="shared" si="2254"/>
        <v>127.43980000000001</v>
      </c>
      <c r="Z1617" s="27">
        <f t="shared" si="2254"/>
        <v>0</v>
      </c>
      <c r="AA1617" s="27">
        <f t="shared" si="2254"/>
        <v>35.683143999999999</v>
      </c>
      <c r="AB1617" s="27">
        <f t="shared" si="2254"/>
        <v>0</v>
      </c>
      <c r="AC1617" s="56"/>
      <c r="AD1617" s="23"/>
    </row>
    <row r="1618" spans="1:30" s="14" customFormat="1">
      <c r="A1618" s="194" t="s">
        <v>739</v>
      </c>
      <c r="B1618" s="195">
        <f>1223422/2</f>
        <v>611711</v>
      </c>
      <c r="C1618" s="196">
        <f>ROUND(B1618/12,2)</f>
        <v>50975.92</v>
      </c>
      <c r="D1618" s="200"/>
      <c r="E1618" s="201"/>
      <c r="F1618" s="198">
        <v>1</v>
      </c>
      <c r="G1618" s="198"/>
      <c r="H1618" s="202"/>
      <c r="I1618" s="202"/>
      <c r="J1618" s="202"/>
      <c r="K1618" s="202"/>
      <c r="L1618" s="198"/>
      <c r="M1618" s="202"/>
      <c r="N1618" s="202"/>
      <c r="O1618" s="202"/>
      <c r="P1618" s="202"/>
      <c r="Q1618" s="202"/>
      <c r="R1618" s="202"/>
      <c r="S1618" s="202"/>
      <c r="T1618" s="202"/>
      <c r="U1618" s="202"/>
      <c r="V1618" s="202"/>
      <c r="W1618" s="202"/>
      <c r="X1618" s="202"/>
      <c r="Y1618" s="202"/>
      <c r="Z1618" s="202"/>
      <c r="AA1618" s="202"/>
      <c r="AB1618" s="202"/>
      <c r="AC1618" s="56"/>
      <c r="AD1618" s="23"/>
    </row>
    <row r="1619" spans="1:30" s="14" customFormat="1">
      <c r="A1619" s="47"/>
      <c r="B1619" s="199"/>
      <c r="C1619" s="128"/>
      <c r="D1619" s="27">
        <f>$C1618*D1618</f>
        <v>0</v>
      </c>
      <c r="E1619" s="27">
        <f>$C1618*E1618</f>
        <v>0</v>
      </c>
      <c r="F1619" s="27">
        <f t="shared" ref="F1619:AB1619" si="2255">$C1618*F1618</f>
        <v>50975.92</v>
      </c>
      <c r="G1619" s="27">
        <f t="shared" si="2255"/>
        <v>0</v>
      </c>
      <c r="H1619" s="27">
        <f t="shared" si="2255"/>
        <v>0</v>
      </c>
      <c r="I1619" s="27">
        <f t="shared" si="2255"/>
        <v>0</v>
      </c>
      <c r="J1619" s="27">
        <f t="shared" si="2255"/>
        <v>0</v>
      </c>
      <c r="K1619" s="27">
        <f t="shared" si="2255"/>
        <v>0</v>
      </c>
      <c r="L1619" s="27">
        <f t="shared" si="2255"/>
        <v>0</v>
      </c>
      <c r="M1619" s="27">
        <f t="shared" si="2255"/>
        <v>0</v>
      </c>
      <c r="N1619" s="27">
        <f t="shared" si="2255"/>
        <v>0</v>
      </c>
      <c r="O1619" s="27">
        <f t="shared" si="2255"/>
        <v>0</v>
      </c>
      <c r="P1619" s="27">
        <f t="shared" si="2255"/>
        <v>0</v>
      </c>
      <c r="Q1619" s="27">
        <f t="shared" si="2255"/>
        <v>0</v>
      </c>
      <c r="R1619" s="27">
        <f t="shared" si="2255"/>
        <v>0</v>
      </c>
      <c r="S1619" s="27">
        <f t="shared" si="2255"/>
        <v>0</v>
      </c>
      <c r="T1619" s="27">
        <f t="shared" si="2255"/>
        <v>0</v>
      </c>
      <c r="U1619" s="27">
        <f t="shared" si="2255"/>
        <v>0</v>
      </c>
      <c r="V1619" s="27">
        <f t="shared" si="2255"/>
        <v>0</v>
      </c>
      <c r="W1619" s="27">
        <f t="shared" si="2255"/>
        <v>0</v>
      </c>
      <c r="X1619" s="27">
        <f t="shared" si="2255"/>
        <v>0</v>
      </c>
      <c r="Y1619" s="27">
        <f t="shared" si="2255"/>
        <v>0</v>
      </c>
      <c r="Z1619" s="27">
        <f t="shared" si="2255"/>
        <v>0</v>
      </c>
      <c r="AA1619" s="27">
        <f t="shared" si="2255"/>
        <v>0</v>
      </c>
      <c r="AB1619" s="27">
        <f t="shared" si="2255"/>
        <v>0</v>
      </c>
      <c r="AC1619" s="56"/>
      <c r="AD1619" s="23"/>
    </row>
    <row r="1620" spans="1:30" s="14" customFormat="1">
      <c r="A1620" s="194" t="s">
        <v>740</v>
      </c>
      <c r="B1620" s="195">
        <f>312634/2</f>
        <v>156317</v>
      </c>
      <c r="C1620" s="196">
        <f>ROUND(B1620/12,2)</f>
        <v>13026.42</v>
      </c>
      <c r="D1620" s="197">
        <v>1.6299999999999999E-2</v>
      </c>
      <c r="E1620" s="197">
        <v>0.14269999999999999</v>
      </c>
      <c r="F1620" s="197">
        <v>5.8900000000000001E-2</v>
      </c>
      <c r="G1620" s="197">
        <v>7.6200000000000004E-2</v>
      </c>
      <c r="H1620" s="197">
        <v>3.9600000000000003E-2</v>
      </c>
      <c r="I1620" s="197">
        <v>0.12470000000000001</v>
      </c>
      <c r="J1620" s="197">
        <v>2.0400000000000001E-2</v>
      </c>
      <c r="K1620" s="197">
        <v>3.1199999999999999E-2</v>
      </c>
      <c r="L1620" s="197">
        <v>1.6199999999999999E-2</v>
      </c>
      <c r="M1620" s="197">
        <v>2.53E-2</v>
      </c>
      <c r="N1620" s="197">
        <v>0.14849999999999999</v>
      </c>
      <c r="O1620" s="197">
        <v>2.2599999999999999E-2</v>
      </c>
      <c r="P1620" s="197">
        <v>0</v>
      </c>
      <c r="Q1620" s="197">
        <v>3.78E-2</v>
      </c>
      <c r="R1620" s="197">
        <v>1.8100000000000002E-2</v>
      </c>
      <c r="S1620" s="197">
        <v>4.1000000000000003E-3</v>
      </c>
      <c r="T1620" s="197">
        <v>5.04E-2</v>
      </c>
      <c r="U1620" s="197">
        <v>1.7500000000000002E-2</v>
      </c>
      <c r="V1620" s="197">
        <v>3.6200000000000003E-2</v>
      </c>
      <c r="W1620" s="197">
        <v>4.8500000000000001E-2</v>
      </c>
      <c r="X1620" s="197">
        <v>6.1600000000000002E-2</v>
      </c>
      <c r="Y1620" s="197">
        <v>2.5000000000000001E-3</v>
      </c>
      <c r="Z1620" s="198">
        <v>0</v>
      </c>
      <c r="AA1620" s="198">
        <v>6.9999999999999999E-4</v>
      </c>
      <c r="AB1620" s="198">
        <v>0</v>
      </c>
      <c r="AC1620" s="56"/>
      <c r="AD1620" s="23"/>
    </row>
    <row r="1621" spans="1:30" s="14" customFormat="1">
      <c r="A1621" s="47"/>
      <c r="B1621" s="199"/>
      <c r="C1621" s="128"/>
      <c r="D1621" s="27">
        <f>$C1620*D1620</f>
        <v>212.33064599999997</v>
      </c>
      <c r="E1621" s="27">
        <f>$C1620*E1620</f>
        <v>1858.870134</v>
      </c>
      <c r="F1621" s="27">
        <f t="shared" ref="F1621:AB1621" si="2256">$C1620*F1620</f>
        <v>767.25613799999996</v>
      </c>
      <c r="G1621" s="27">
        <f t="shared" si="2256"/>
        <v>992.61320400000011</v>
      </c>
      <c r="H1621" s="27">
        <f t="shared" si="2256"/>
        <v>515.8462320000001</v>
      </c>
      <c r="I1621" s="27">
        <f t="shared" si="2256"/>
        <v>1624.3945740000001</v>
      </c>
      <c r="J1621" s="27">
        <f t="shared" si="2256"/>
        <v>265.738968</v>
      </c>
      <c r="K1621" s="27">
        <f t="shared" si="2256"/>
        <v>406.42430400000001</v>
      </c>
      <c r="L1621" s="27">
        <f t="shared" si="2256"/>
        <v>211.02800399999998</v>
      </c>
      <c r="M1621" s="27">
        <f t="shared" si="2256"/>
        <v>329.56842599999999</v>
      </c>
      <c r="N1621" s="27">
        <f t="shared" si="2256"/>
        <v>1934.42337</v>
      </c>
      <c r="O1621" s="27">
        <f t="shared" si="2256"/>
        <v>294.39709199999999</v>
      </c>
      <c r="P1621" s="27">
        <f t="shared" si="2256"/>
        <v>0</v>
      </c>
      <c r="Q1621" s="27">
        <f t="shared" si="2256"/>
        <v>492.39867600000002</v>
      </c>
      <c r="R1621" s="27">
        <f t="shared" si="2256"/>
        <v>235.77820200000002</v>
      </c>
      <c r="S1621" s="27">
        <f t="shared" si="2256"/>
        <v>53.408322000000005</v>
      </c>
      <c r="T1621" s="27">
        <f t="shared" si="2256"/>
        <v>656.53156799999999</v>
      </c>
      <c r="U1621" s="27">
        <f t="shared" si="2256"/>
        <v>227.96235000000001</v>
      </c>
      <c r="V1621" s="27">
        <f t="shared" si="2256"/>
        <v>471.55640400000004</v>
      </c>
      <c r="W1621" s="27">
        <f t="shared" si="2256"/>
        <v>631.78137000000004</v>
      </c>
      <c r="X1621" s="27">
        <f t="shared" si="2256"/>
        <v>802.42747200000008</v>
      </c>
      <c r="Y1621" s="27">
        <f t="shared" si="2256"/>
        <v>32.566050000000004</v>
      </c>
      <c r="Z1621" s="27">
        <f t="shared" si="2256"/>
        <v>0</v>
      </c>
      <c r="AA1621" s="27">
        <f t="shared" si="2256"/>
        <v>9.1184940000000001</v>
      </c>
      <c r="AB1621" s="27">
        <f t="shared" si="2256"/>
        <v>0</v>
      </c>
      <c r="AC1621" s="56"/>
      <c r="AD1621" s="23"/>
    </row>
    <row r="1622" spans="1:30" s="14" customFormat="1">
      <c r="A1622" s="194" t="s">
        <v>741</v>
      </c>
      <c r="B1622" s="195">
        <f>312634/2</f>
        <v>156317</v>
      </c>
      <c r="C1622" s="196">
        <f>ROUND(B1622/12,2)</f>
        <v>13026.42</v>
      </c>
      <c r="D1622" s="200"/>
      <c r="E1622" s="201"/>
      <c r="F1622" s="198">
        <v>0.1467</v>
      </c>
      <c r="G1622" s="198"/>
      <c r="H1622" s="202">
        <v>8.1100000000000005E-2</v>
      </c>
      <c r="I1622" s="202"/>
      <c r="J1622" s="202"/>
      <c r="K1622" s="202"/>
      <c r="L1622" s="198"/>
      <c r="M1622" s="202">
        <v>2.1499999999999998E-2</v>
      </c>
      <c r="N1622" s="202">
        <v>0.66090000000000004</v>
      </c>
      <c r="O1622" s="202"/>
      <c r="P1622" s="202"/>
      <c r="Q1622" s="202"/>
      <c r="R1622" s="202"/>
      <c r="S1622" s="202"/>
      <c r="T1622" s="202"/>
      <c r="U1622" s="202"/>
      <c r="V1622" s="202">
        <v>8.9800000000000005E-2</v>
      </c>
      <c r="W1622" s="202"/>
      <c r="X1622" s="202"/>
      <c r="Y1622" s="202"/>
      <c r="Z1622" s="202"/>
      <c r="AA1622" s="202"/>
      <c r="AB1622" s="202"/>
      <c r="AC1622" s="56"/>
      <c r="AD1622" s="23"/>
    </row>
    <row r="1623" spans="1:30" s="14" customFormat="1">
      <c r="A1623" s="47"/>
      <c r="B1623" s="199"/>
      <c r="C1623" s="128"/>
      <c r="D1623" s="27">
        <f>$C1622*D1622</f>
        <v>0</v>
      </c>
      <c r="E1623" s="27">
        <f>$C1622*E1622</f>
        <v>0</v>
      </c>
      <c r="F1623" s="27">
        <f t="shared" ref="F1623:AB1623" si="2257">$C1622*F1622</f>
        <v>1910.9758139999999</v>
      </c>
      <c r="G1623" s="27">
        <f t="shared" si="2257"/>
        <v>0</v>
      </c>
      <c r="H1623" s="27">
        <f t="shared" si="2257"/>
        <v>1056.4426620000002</v>
      </c>
      <c r="I1623" s="27">
        <f t="shared" si="2257"/>
        <v>0</v>
      </c>
      <c r="J1623" s="27">
        <f t="shared" si="2257"/>
        <v>0</v>
      </c>
      <c r="K1623" s="27">
        <f t="shared" si="2257"/>
        <v>0</v>
      </c>
      <c r="L1623" s="27">
        <f t="shared" si="2257"/>
        <v>0</v>
      </c>
      <c r="M1623" s="27">
        <f t="shared" si="2257"/>
        <v>280.06802999999996</v>
      </c>
      <c r="N1623" s="27">
        <f t="shared" si="2257"/>
        <v>8609.1609779999999</v>
      </c>
      <c r="O1623" s="27">
        <f t="shared" si="2257"/>
        <v>0</v>
      </c>
      <c r="P1623" s="27">
        <f t="shared" si="2257"/>
        <v>0</v>
      </c>
      <c r="Q1623" s="27">
        <f t="shared" si="2257"/>
        <v>0</v>
      </c>
      <c r="R1623" s="27">
        <f t="shared" si="2257"/>
        <v>0</v>
      </c>
      <c r="S1623" s="27">
        <f t="shared" si="2257"/>
        <v>0</v>
      </c>
      <c r="T1623" s="27">
        <f t="shared" si="2257"/>
        <v>0</v>
      </c>
      <c r="U1623" s="27">
        <f t="shared" si="2257"/>
        <v>0</v>
      </c>
      <c r="V1623" s="27">
        <f t="shared" si="2257"/>
        <v>1169.772516</v>
      </c>
      <c r="W1623" s="27">
        <f t="shared" si="2257"/>
        <v>0</v>
      </c>
      <c r="X1623" s="27">
        <f t="shared" si="2257"/>
        <v>0</v>
      </c>
      <c r="Y1623" s="27">
        <f t="shared" si="2257"/>
        <v>0</v>
      </c>
      <c r="Z1623" s="27">
        <f t="shared" si="2257"/>
        <v>0</v>
      </c>
      <c r="AA1623" s="27">
        <f t="shared" si="2257"/>
        <v>0</v>
      </c>
      <c r="AB1623" s="27">
        <f t="shared" si="2257"/>
        <v>0</v>
      </c>
      <c r="AC1623" s="56"/>
      <c r="AD1623" s="23"/>
    </row>
    <row r="1624" spans="1:30" s="14" customFormat="1">
      <c r="A1624" s="182" t="s">
        <v>50</v>
      </c>
      <c r="B1624" s="183">
        <f>SUM(B1604:B1622)</f>
        <v>3140098</v>
      </c>
      <c r="C1624" s="184">
        <f>SUM(C1604:C1622)</f>
        <v>261674.84000000003</v>
      </c>
      <c r="D1624" s="184">
        <f>D1605+D1607+D1609+D1611+D1613+D1615+D1617+D1619+D1621+D1623</f>
        <v>2132.6499459999995</v>
      </c>
      <c r="E1624" s="184">
        <f t="shared" ref="E1624:AB1624" si="2258">E1605+E1607+E1609+E1611+E1613+E1615+E1617+E1619+E1621+E1623</f>
        <v>18670.499833999998</v>
      </c>
      <c r="F1624" s="184">
        <f t="shared" si="2258"/>
        <v>70397.926088000007</v>
      </c>
      <c r="G1624" s="184">
        <f t="shared" si="2258"/>
        <v>9969.811404</v>
      </c>
      <c r="H1624" s="184">
        <f t="shared" si="2258"/>
        <v>11657.929482</v>
      </c>
      <c r="I1624" s="184">
        <f t="shared" si="2258"/>
        <v>16315.426273999999</v>
      </c>
      <c r="J1624" s="184">
        <f t="shared" si="2258"/>
        <v>2669.0833680000001</v>
      </c>
      <c r="K1624" s="184">
        <f t="shared" si="2258"/>
        <v>4082.127504</v>
      </c>
      <c r="L1624" s="184">
        <f t="shared" si="2258"/>
        <v>2119.5662039999997</v>
      </c>
      <c r="M1624" s="184">
        <f t="shared" si="2258"/>
        <v>5027.2089759999999</v>
      </c>
      <c r="N1624" s="184">
        <f t="shared" si="2258"/>
        <v>72209.822220000002</v>
      </c>
      <c r="O1624" s="184">
        <f t="shared" si="2258"/>
        <v>2956.9256919999998</v>
      </c>
      <c r="P1624" s="184">
        <f t="shared" si="2258"/>
        <v>0</v>
      </c>
      <c r="Q1624" s="184">
        <f t="shared" si="2258"/>
        <v>4945.6544759999997</v>
      </c>
      <c r="R1624" s="184">
        <f t="shared" si="2258"/>
        <v>2368.1573020000001</v>
      </c>
      <c r="S1624" s="184">
        <f t="shared" si="2258"/>
        <v>536.43342200000006</v>
      </c>
      <c r="T1624" s="184">
        <f t="shared" si="2258"/>
        <v>6594.2059680000002</v>
      </c>
      <c r="U1624" s="184">
        <f t="shared" si="2258"/>
        <v>2289.6548499999999</v>
      </c>
      <c r="V1624" s="184">
        <f t="shared" si="2258"/>
        <v>11907.877304000001</v>
      </c>
      <c r="W1624" s="184">
        <f t="shared" si="2258"/>
        <v>6345.6148700000003</v>
      </c>
      <c r="X1624" s="184">
        <f t="shared" si="2258"/>
        <v>8059.5850720000008</v>
      </c>
      <c r="Y1624" s="184">
        <f t="shared" si="2258"/>
        <v>327.09355000000005</v>
      </c>
      <c r="Z1624" s="184">
        <f t="shared" si="2258"/>
        <v>0</v>
      </c>
      <c r="AA1624" s="184">
        <f t="shared" si="2258"/>
        <v>91.586194000000006</v>
      </c>
      <c r="AB1624" s="184">
        <f t="shared" si="2258"/>
        <v>0</v>
      </c>
      <c r="AC1624" s="56"/>
      <c r="AD1624" s="23"/>
    </row>
    <row r="1625" spans="1:30" s="14" customFormat="1">
      <c r="A1625" s="72"/>
      <c r="C1625" s="27"/>
      <c r="D1625" s="27"/>
      <c r="E1625" s="27"/>
      <c r="F1625" s="27"/>
      <c r="G1625" s="27"/>
      <c r="H1625" s="27"/>
      <c r="I1625" s="27"/>
      <c r="J1625" s="27"/>
      <c r="K1625" s="27"/>
      <c r="L1625" s="27"/>
      <c r="M1625" s="27"/>
      <c r="N1625" s="27"/>
      <c r="O1625" s="27"/>
      <c r="P1625" s="27"/>
      <c r="Q1625" s="27"/>
      <c r="R1625" s="27"/>
      <c r="S1625" s="27"/>
      <c r="T1625" s="27"/>
      <c r="U1625" s="27"/>
      <c r="V1625" s="27"/>
      <c r="W1625" s="27"/>
      <c r="X1625" s="27"/>
      <c r="Y1625" s="27"/>
      <c r="Z1625" s="27"/>
      <c r="AA1625" s="27"/>
      <c r="AB1625" s="27"/>
      <c r="AC1625" s="56"/>
    </row>
    <row r="1626" spans="1:30">
      <c r="A1626" s="13"/>
      <c r="B1626" s="6"/>
      <c r="C1626" s="138"/>
      <c r="D1626" s="27"/>
      <c r="E1626" s="27"/>
      <c r="F1626" s="27"/>
      <c r="G1626" s="27"/>
      <c r="H1626" s="27"/>
      <c r="I1626" s="27"/>
      <c r="J1626" s="27"/>
      <c r="K1626" s="27"/>
      <c r="L1626" s="27"/>
      <c r="M1626" s="27"/>
      <c r="N1626" s="27"/>
      <c r="O1626" s="27"/>
      <c r="P1626" s="27"/>
      <c r="Q1626" s="27"/>
      <c r="R1626" s="27"/>
      <c r="S1626" s="27"/>
      <c r="T1626" s="27"/>
      <c r="U1626" s="27"/>
      <c r="V1626" s="27"/>
      <c r="W1626" s="27"/>
      <c r="X1626" s="27"/>
      <c r="Y1626" s="27"/>
      <c r="Z1626" s="27"/>
      <c r="AC1626" s="56"/>
    </row>
    <row r="1627" spans="1:30">
      <c r="A1627" s="88" t="s">
        <v>229</v>
      </c>
      <c r="B1627" s="89" t="s">
        <v>231</v>
      </c>
      <c r="C1627" s="157"/>
      <c r="D1627" s="90"/>
      <c r="I1627" s="23"/>
      <c r="AC1627" s="56"/>
    </row>
    <row r="1628" spans="1:30">
      <c r="A1628" s="74" t="s">
        <v>230</v>
      </c>
      <c r="B1628" s="14" t="s">
        <v>232</v>
      </c>
      <c r="C1628" s="158"/>
      <c r="D1628" s="48"/>
      <c r="I1628" s="23"/>
      <c r="AC1628" s="56"/>
    </row>
    <row r="1629" spans="1:30">
      <c r="A1629" s="75" t="s">
        <v>380</v>
      </c>
      <c r="B1629" s="63" t="s">
        <v>501</v>
      </c>
      <c r="C1629" s="159"/>
      <c r="D1629" s="49"/>
      <c r="F1629" s="23"/>
      <c r="AC1629" s="56"/>
    </row>
    <row r="1630" spans="1:30">
      <c r="AC1630" s="56"/>
    </row>
    <row r="1631" spans="1:30">
      <c r="AC1631" s="56"/>
    </row>
    <row r="1632" spans="1:30">
      <c r="AC1632" s="56"/>
    </row>
    <row r="1633" spans="1:29">
      <c r="AC1633" s="56"/>
    </row>
    <row r="1634" spans="1:29">
      <c r="AC1634" s="56"/>
    </row>
    <row r="1635" spans="1:29">
      <c r="A1635" s="76"/>
      <c r="C1635" s="161"/>
      <c r="D1635" s="44"/>
      <c r="E1635" s="32"/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X1635" s="32"/>
      <c r="Y1635" s="32"/>
      <c r="Z1635" s="32"/>
      <c r="AC1635" s="56"/>
    </row>
    <row r="1636" spans="1:29">
      <c r="AC1636" s="56"/>
    </row>
    <row r="1637" spans="1:29">
      <c r="AC1637" s="56"/>
    </row>
    <row r="1638" spans="1:29">
      <c r="AC1638" s="56"/>
    </row>
    <row r="1639" spans="1:29">
      <c r="AC1639" s="56"/>
    </row>
    <row r="1640" spans="1:29">
      <c r="AC1640" s="56"/>
    </row>
    <row r="1641" spans="1:29">
      <c r="AC1641" s="56"/>
    </row>
    <row r="1673" spans="1:26">
      <c r="A1673" s="76"/>
      <c r="C1673" s="161"/>
      <c r="D1673" s="32"/>
      <c r="E1673" s="32"/>
      <c r="F1673" s="32"/>
      <c r="G1673" s="6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X1673" s="32"/>
      <c r="Y1673" s="32"/>
      <c r="Z1673" s="32"/>
    </row>
  </sheetData>
  <mergeCells count="31">
    <mergeCell ref="D1447:Y1447"/>
    <mergeCell ref="D1436:Y1436"/>
    <mergeCell ref="A1:Y1"/>
    <mergeCell ref="D4:Y4"/>
    <mergeCell ref="D172:Y172"/>
    <mergeCell ref="D244:Y244"/>
    <mergeCell ref="D510:Y510"/>
    <mergeCell ref="D794:Y794"/>
    <mergeCell ref="D847:Y847"/>
    <mergeCell ref="D1034:Y1034"/>
    <mergeCell ref="D1174:Y1174"/>
    <mergeCell ref="D1064:Y1064"/>
    <mergeCell ref="D1088:Y1088"/>
    <mergeCell ref="D1136:Y1136"/>
    <mergeCell ref="D1156:Y1156"/>
    <mergeCell ref="D1544:Y1544"/>
    <mergeCell ref="D1564:Y1564"/>
    <mergeCell ref="D1600:Y1600"/>
    <mergeCell ref="D1192:Y1192"/>
    <mergeCell ref="D1260:Y1260"/>
    <mergeCell ref="D1331:Y1331"/>
    <mergeCell ref="D1330:Y1330"/>
    <mergeCell ref="D1534:Y1534"/>
    <mergeCell ref="D1425:Y1425"/>
    <mergeCell ref="D1376:Y1376"/>
    <mergeCell ref="D1356:Y1356"/>
    <mergeCell ref="D1366:Y1366"/>
    <mergeCell ref="D1405:Y1405"/>
    <mergeCell ref="D1395:Y1395"/>
    <mergeCell ref="D1506:Y1506"/>
    <mergeCell ref="D1482:Y148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2"/>
  <sheetViews>
    <sheetView workbookViewId="0">
      <selection activeCell="F4" sqref="F4"/>
    </sheetView>
  </sheetViews>
  <sheetFormatPr defaultRowHeight="13.2"/>
  <cols>
    <col min="1" max="1" width="35.44140625" bestFit="1" customWidth="1"/>
    <col min="2" max="2" width="16.109375" bestFit="1" customWidth="1"/>
    <col min="3" max="4" width="15" bestFit="1" customWidth="1"/>
    <col min="5" max="6" width="14" bestFit="1" customWidth="1"/>
    <col min="7" max="7" width="15" bestFit="1" customWidth="1"/>
    <col min="8" max="8" width="14.88671875" customWidth="1"/>
    <col min="9" max="9" width="16" bestFit="1" customWidth="1"/>
    <col min="10" max="10" width="17.109375" customWidth="1"/>
    <col min="11" max="11" width="14" bestFit="1" customWidth="1"/>
    <col min="12" max="12" width="15" bestFit="1" customWidth="1"/>
    <col min="13" max="13" width="14.109375" bestFit="1" customWidth="1"/>
    <col min="14" max="14" width="14" bestFit="1" customWidth="1"/>
    <col min="15" max="15" width="15.44140625" customWidth="1"/>
    <col min="16" max="19" width="14" bestFit="1" customWidth="1"/>
    <col min="20" max="20" width="15" bestFit="1" customWidth="1"/>
    <col min="21" max="22" width="15.109375" customWidth="1"/>
    <col min="23" max="23" width="14" customWidth="1"/>
    <col min="24" max="24" width="12.33203125" bestFit="1" customWidth="1"/>
    <col min="25" max="25" width="11.33203125" bestFit="1" customWidth="1"/>
  </cols>
  <sheetData>
    <row r="1" spans="1:25">
      <c r="A1" s="91" t="s">
        <v>477</v>
      </c>
      <c r="B1" s="58" t="s">
        <v>10</v>
      </c>
      <c r="C1" s="58" t="s">
        <v>11</v>
      </c>
      <c r="D1" s="58" t="s">
        <v>12</v>
      </c>
      <c r="E1" s="58" t="s">
        <v>13</v>
      </c>
      <c r="F1" s="58" t="s">
        <v>14</v>
      </c>
      <c r="G1" s="58" t="s">
        <v>15</v>
      </c>
      <c r="H1" s="58" t="s">
        <v>16</v>
      </c>
      <c r="I1" s="58" t="s">
        <v>17</v>
      </c>
      <c r="J1" s="58" t="s">
        <v>18</v>
      </c>
      <c r="K1" s="58" t="s">
        <v>19</v>
      </c>
      <c r="L1" s="58" t="s">
        <v>20</v>
      </c>
      <c r="M1" s="58" t="s">
        <v>169</v>
      </c>
      <c r="N1" s="58" t="s">
        <v>22</v>
      </c>
      <c r="O1" s="58" t="s">
        <v>23</v>
      </c>
      <c r="P1" s="58" t="s">
        <v>25</v>
      </c>
      <c r="Q1" s="58" t="s">
        <v>26</v>
      </c>
      <c r="R1" s="58" t="s">
        <v>27</v>
      </c>
      <c r="S1" s="58" t="s">
        <v>28</v>
      </c>
      <c r="T1" s="58" t="s">
        <v>29</v>
      </c>
      <c r="U1" s="58" t="s">
        <v>30</v>
      </c>
      <c r="V1" s="58" t="s">
        <v>484</v>
      </c>
      <c r="W1" s="91"/>
    </row>
    <row r="2" spans="1:25" s="32" customFormat="1">
      <c r="A2" s="76" t="s">
        <v>695</v>
      </c>
      <c r="B2" s="92">
        <v>2709.1</v>
      </c>
      <c r="C2" s="92">
        <v>23710.2</v>
      </c>
      <c r="D2" s="92">
        <v>9791.6</v>
      </c>
      <c r="E2" s="92">
        <v>12658.7</v>
      </c>
      <c r="F2" s="92">
        <v>6584.9</v>
      </c>
      <c r="G2" s="92">
        <v>20713.7</v>
      </c>
      <c r="H2" s="92">
        <v>3396.3</v>
      </c>
      <c r="I2" s="92">
        <v>5189.8999999999996</v>
      </c>
      <c r="J2" s="92">
        <v>2694.5</v>
      </c>
      <c r="K2" s="92">
        <v>4198.3999999999996</v>
      </c>
      <c r="L2" s="92">
        <v>24678.1</v>
      </c>
      <c r="M2" s="92">
        <v>3757.2</v>
      </c>
      <c r="N2" s="92">
        <v>6273.4</v>
      </c>
      <c r="O2" s="92">
        <v>2999.9</v>
      </c>
      <c r="P2" s="92">
        <v>8379.5</v>
      </c>
      <c r="Q2" s="92">
        <v>2908.6</v>
      </c>
      <c r="R2" s="92">
        <v>6015.5</v>
      </c>
      <c r="S2" s="92">
        <v>8057</v>
      </c>
      <c r="T2" s="92">
        <v>10229.5</v>
      </c>
      <c r="U2" s="92">
        <v>422.9</v>
      </c>
      <c r="V2" s="92">
        <v>118</v>
      </c>
    </row>
    <row r="4" spans="1:25">
      <c r="A4" t="s">
        <v>476</v>
      </c>
      <c r="B4" s="59">
        <f>SUM('July 2026'!D168+'July 2026'!D240+'July 2026'!D504+'July 2026'!D790+'July 2026'!D842+'July 2026'!D1029+'July 2026'!D1060+'July 2026'!D1084+'July 2026'!D1132+'July 2026'!D1152+'July 2026'!D1170+'July 2026'!D1188+'July 2026'!D1256+'July 2026'!D1326+'July 2026'!D1352+'July 2026'!D1362+'July 2026'!D1372+'July 2026'!D1391+'July 2026'!D1401+'July 2026'!D1419+'July 2026'!D1431+'July 2026'!D1442+'July 2026'!D1477+'July 2026'!D1502+'July 2026'!D1530+'July 2026'!D1540+'July 2026'!D1560+'July 2026'!D1596+'July 2026'!D1624)</f>
        <v>2053021.4795619994</v>
      </c>
      <c r="C4" s="59">
        <f>SUM('July 2026'!E168+'July 2026'!E240+'July 2026'!E504+'July 2026'!E790+'July 2026'!E842+'July 2026'!E1029+'July 2026'!E1060+'July 2026'!E1084+'July 2026'!E1132+'July 2026'!E1152+'July 2026'!E1170+'July 2026'!E1188+'July 2026'!E1256+'July 2026'!E1326+'July 2026'!E1352+'July 2026'!E1362+'July 2026'!E1372+'July 2026'!E1391+'July 2026'!E1401+'July 2026'!E1419+'July 2026'!E1431+'July 2026'!E1442+'July 2026'!E1477+'July 2026'!E1502+'July 2026'!E1530+'July 2026'!E1540+'July 2026'!E1560+'July 2026'!E1596+'July 2026'!E1624)</f>
        <v>15694978.480368</v>
      </c>
      <c r="D4" s="59">
        <f>SUM('July 2026'!F168+'July 2026'!F240+'July 2026'!F504+'July 2026'!F790+'July 2026'!F842+'July 2026'!F1029+'July 2026'!F1060+'July 2026'!F1084+'July 2026'!F1132+'July 2026'!F1152+'July 2026'!F1170+'July 2026'!F1188+'July 2026'!F1256+'July 2026'!F1326+'July 2026'!F1352+'July 2026'!F1362+'July 2026'!F1372+'July 2026'!F1391+'July 2026'!F1401+'July 2026'!F1419+'July 2026'!F1431+'July 2026'!F1442+'July 2026'!F1477+'July 2026'!F1502+'July 2026'!F1530+'July 2026'!F1540+'July 2026'!F1560+'July 2026'!F1596+'July 2026'!F1624)</f>
        <v>17673822.231522001</v>
      </c>
      <c r="E4" s="59">
        <f>SUM('July 2026'!G168+'July 2026'!G240+'July 2026'!G504+'July 2026'!G790+'July 2026'!G842+'July 2026'!G1029+'July 2026'!G1060+'July 2026'!G1084+'July 2026'!G1132+'July 2026'!G1152+'July 2026'!G1170+'July 2026'!G1188+'July 2026'!G1256+'July 2026'!G1326+'July 2026'!G1352+'July 2026'!G1362+'July 2026'!G1372+'July 2026'!G1391+'July 2026'!G1401+'July 2026'!G1419+'July 2026'!G1431+'July 2026'!G1442+'July 2026'!G1477+'July 2026'!G1502+'July 2026'!G1530+'July 2026'!G1540+'July 2026'!G1560+'July 2026'!G1596+'July 2026'!G1624)</f>
        <v>4879144.8678519996</v>
      </c>
      <c r="F4" s="59">
        <f>SUM('July 2026'!H168+'July 2026'!H240+'July 2026'!H504+'July 2026'!H790+'July 2026'!H842+'July 2026'!H1029+'July 2026'!H1060+'July 2026'!H1084+'July 2026'!H1132+'July 2026'!H1152+'July 2026'!H1170+'July 2026'!H1188+'July 2026'!H1256+'July 2026'!H1326+'July 2026'!H1352+'July 2026'!H1362+'July 2026'!H1372+'July 2026'!H1391+'July 2026'!H1401+'July 2026'!H1419+'July 2026'!H1431+'July 2026'!H1442+'July 2026'!H1477+'July 2026'!H1502+'July 2026'!H1530+'July 2026'!H1540+'July 2026'!H1560+'July 2026'!H1596+'July 2026'!H1624)</f>
        <v>5925844.5253990004</v>
      </c>
      <c r="G4" s="59">
        <f>SUM('July 2026'!I168+'July 2026'!I240+'July 2026'!I504+'July 2026'!I790+'July 2026'!I842+'July 2026'!I1029+'July 2026'!I1060+'July 2026'!I1084+'July 2026'!I1132+'July 2026'!I1152+'July 2026'!I1170+'July 2026'!I1188+'July 2026'!I1256+'July 2026'!I1326+'July 2026'!I1352+'July 2026'!I1362+'July 2026'!I1372+'July 2026'!I1391+'July 2026'!I1401+'July 2026'!I1419+'July 2026'!I1431+'July 2026'!I1442+'July 2026'!I1477+'July 2026'!I1502+'July 2026'!I1530+'July 2026'!I1540+'July 2026'!I1560+'July 2026'!I1596+'July 2026'!I1624)</f>
        <v>8616537.8638100028</v>
      </c>
      <c r="H4" s="59">
        <f>SUM('July 2026'!J168+'July 2026'!J240+'July 2026'!J504+'July 2026'!J790+'July 2026'!J842+'July 2026'!J1029+'July 2026'!J1060+'July 2026'!J1084+'July 2026'!J1132+'July 2026'!J1152+'July 2026'!J1170+'July 2026'!J1188+'July 2026'!J1256+'July 2026'!J1326+'July 2026'!J1352+'July 2026'!J1362+'July 2026'!J1372+'July 2026'!J1391+'July 2026'!J1401+'July 2026'!J1419+'July 2026'!J1431+'July 2026'!J1442+'July 2026'!J1477+'July 2026'!J1502+'July 2026'!J1530+'July 2026'!J1540+'July 2026'!J1560+'July 2026'!J1596+'July 2026'!J1624)</f>
        <v>1462749.3417190001</v>
      </c>
      <c r="I4" s="59">
        <f>SUM('July 2026'!K168+'July 2026'!K240+'July 2026'!K504+'July 2026'!K790+'July 2026'!K842+'July 2026'!K1029+'July 2026'!K1060+'July 2026'!K1084+'July 2026'!K1132+'July 2026'!K1152+'July 2026'!K1170+'July 2026'!K1188+'July 2026'!K1256+'July 2026'!K1326+'July 2026'!K1352+'July 2026'!K1362+'July 2026'!K1372+'July 2026'!K1391+'July 2026'!K1401+'July 2026'!K1419+'July 2026'!K1431+'July 2026'!K1442+'July 2026'!K1477+'July 2026'!K1502+'July 2026'!K1530+'July 2026'!K1540+'July 2026'!K1560+'July 2026'!K1596+'July 2026'!K1624)</f>
        <v>1399073.3251130001</v>
      </c>
      <c r="J4" s="59">
        <f>SUM('July 2026'!L168+'July 2026'!L240+'July 2026'!L504+'July 2026'!L790+'July 2026'!L842+'July 2026'!L1029+'July 2026'!L1060+'July 2026'!L1084+'July 2026'!L1132+'July 2026'!L1152+'July 2026'!L1170+'July 2026'!L1188+'July 2026'!L1256+'July 2026'!L1326+'July 2026'!L1352+'July 2026'!L1362+'July 2026'!L1372+'July 2026'!L1391+'July 2026'!L1401+'July 2026'!L1419+'July 2026'!L1431+'July 2026'!L1442+'July 2026'!L1477+'July 2026'!L1502+'July 2026'!L1530+'July 2026'!L1540+'July 2026'!L1560+'July 2026'!L1596+'July 2026'!L1624)</f>
        <v>3597539.9409339996</v>
      </c>
      <c r="K4" s="59">
        <f>SUM('July 2026'!M168+'July 2026'!M240+'July 2026'!M504+'July 2026'!M790+'July 2026'!M842+'July 2026'!M1029+'July 2026'!M1060+'July 2026'!M1084+'July 2026'!M1132+'July 2026'!M1152+'July 2026'!M1170+'July 2026'!M1188+'July 2026'!M1256+'July 2026'!M1326+'July 2026'!M1352+'July 2026'!M1362+'July 2026'!M1372+'July 2026'!M1391+'July 2026'!M1401+'July 2026'!M1419+'July 2026'!M1431+'July 2026'!M1442+'July 2026'!M1477+'July 2026'!M1502+'July 2026'!M1530+'July 2026'!M1540+'July 2026'!M1560+'July 2026'!M1596+'July 2026'!M1624)</f>
        <v>1821345.6405970007</v>
      </c>
      <c r="L4" s="59">
        <f>SUM('July 2026'!N168+'July 2026'!N240+'July 2026'!N504+'July 2026'!N790+'July 2026'!N842+'July 2026'!N1029+'July 2026'!N1060+'July 2026'!N1084+'July 2026'!N1132+'July 2026'!N1152+'July 2026'!N1170+'July 2026'!N1188+'July 2026'!N1256+'July 2026'!N1326+'July 2026'!N1352+'July 2026'!N1362+'July 2026'!N1372+'July 2026'!N1391+'July 2026'!N1401+'July 2026'!N1419+'July 2026'!N1431+'July 2026'!N1442+'July 2026'!N1477+'July 2026'!N1502+'July 2026'!N1530+'July 2026'!N1540+'July 2026'!N1560+'July 2026'!N1596+'July 2026'!N1624)</f>
        <v>31516162.994780004</v>
      </c>
      <c r="M4" s="59">
        <f>SUM('July 2026'!O168+'July 2026'!O240+'July 2026'!O504+'July 2026'!O790+'July 2026'!O842+'July 2026'!O1029+'July 2026'!O1060+'July 2026'!O1084+'July 2026'!O1132+'July 2026'!O1152+'July 2026'!O1170+'July 2026'!O1188+'July 2026'!O1256+'July 2026'!O1326+'July 2026'!O1352+'July 2026'!O1362+'July 2026'!O1372+'July 2026'!O1391+'July 2026'!O1401+'July 2026'!O1419+'July 2026'!O1431+'July 2026'!O1442+'July 2026'!O1477+'July 2026'!O1502+'July 2026'!O1530+'July 2026'!O1540+'July 2026'!O1560+'July 2026'!O1596+'July 2026'!O1624)</f>
        <v>810803.32402299973</v>
      </c>
      <c r="N4" s="59">
        <f>SUM('July 2026'!Q168+'July 2026'!Q240+'July 2026'!Q504+'July 2026'!Q790+'July 2026'!Q842+'July 2026'!Q1029+'July 2026'!Q1060+'July 2026'!Q1084+'July 2026'!Q1132+'July 2026'!Q1152+'July 2026'!Q1170+'July 2026'!Q1188+'July 2026'!Q1256+'July 2026'!Q1326+'July 2026'!Q1352+'July 2026'!Q1362+'July 2026'!Q1372+'July 2026'!Q1391+'July 2026'!Q1401+'July 2026'!Q1419+'July 2026'!Q1431+'July 2026'!Q1442+'July 2026'!Q1477+'July 2026'!Q1502+'July 2026'!Q1530+'July 2026'!Q1540+'July 2026'!Q1560+'July 2026'!Q1596+'July 2026'!Q1624)</f>
        <v>6610055.6293129995</v>
      </c>
      <c r="O4" s="59">
        <f>SUM('July 2026'!R168+'July 2026'!R240+'July 2026'!R504+'July 2026'!R790+'July 2026'!R842+'July 2026'!R1029+'July 2026'!R1060+'July 2026'!R1084+'July 2026'!R1132+'July 2026'!R1152+'July 2026'!R1170+'July 2026'!R1188+'July 2026'!R1256+'July 2026'!R1326+'July 2026'!R1352+'July 2026'!R1362+'July 2026'!R1372+'July 2026'!R1391+'July 2026'!R1401+'July 2026'!R1419+'July 2026'!R1431+'July 2026'!R1442+'July 2026'!R1477+'July 2026'!R1502+'July 2026'!R1530+'July 2026'!R1540+'July 2026'!R1560+'July 2026'!R1596+'July 2026'!R1624)</f>
        <v>3087596.4866320007</v>
      </c>
      <c r="P4" s="59">
        <f>SUM('July 2026'!T168+'July 2026'!T240+'July 2026'!T504+'July 2026'!T790+'July 2026'!T842+'July 2026'!T1029+'July 2026'!T1060+'July 2026'!T1084+'July 2026'!T1132+'July 2026'!T1152+'July 2026'!T1170+'July 2026'!T1188+'July 2026'!T1256+'July 2026'!T1326+'July 2026'!T1352+'July 2026'!T1362+'July 2026'!T1372+'July 2026'!T1391+'July 2026'!T1401+'July 2026'!T1419+'July 2026'!T1431+'July 2026'!T1442+'July 2026'!T1477+'July 2026'!T1502+'July 2026'!T1530+'July 2026'!T1540+'July 2026'!T1560+'July 2026'!T1596+'July 2026'!T1624)</f>
        <v>7840069.2882590014</v>
      </c>
      <c r="Q4" s="59">
        <f>SUM('July 2026'!U168+'July 2026'!U240+'July 2026'!U504+'July 2026'!U790+'July 2026'!U842+'July 2026'!U1029+'July 2026'!U1060+'July 2026'!U1084+'July 2026'!U1132+'July 2026'!U1152+'July 2026'!U1170+'July 2026'!U1188+'July 2026'!U1256+'July 2026'!U1326+'July 2026'!U1352+'July 2026'!U1362+'July 2026'!U1372+'July 2026'!U1391+'July 2026'!U1401+'July 2026'!U1419+'July 2026'!U1431+'July 2026'!U1442+'July 2026'!U1477+'July 2026'!U1502+'July 2026'!U1530+'July 2026'!U1540+'July 2026'!U1560+'July 2026'!U1596+'July 2026'!U1624)</f>
        <v>2072743.1230859992</v>
      </c>
      <c r="R4" s="59">
        <f>SUM('July 2026'!V168+'July 2026'!V240+'July 2026'!V504+'July 2026'!V790+'July 2026'!V842+'July 2026'!V1029+'July 2026'!V1060+'July 2026'!V1084+'July 2026'!V1132+'July 2026'!V1152+'July 2026'!V1170+'July 2026'!V1188+'July 2026'!V1256+'July 2026'!V1326+'July 2026'!V1352+'July 2026'!V1362+'July 2026'!V1372+'July 2026'!V1391+'July 2026'!V1401+'July 2026'!V1419+'July 2026'!V1431+'July 2026'!V1442+'July 2026'!V1477+'July 2026'!V1502+'July 2026'!V1530+'July 2026'!V1540+'July 2026'!V1560+'July 2026'!V1596+'July 2026'!V1624)</f>
        <v>6195242.579584999</v>
      </c>
      <c r="S4" s="59">
        <f>SUM('July 2026'!W168+'July 2026'!W240+'July 2026'!W504+'July 2026'!W790+'July 2026'!W842+'July 2026'!W1029+'July 2026'!W1060+'July 2026'!W1084+'July 2026'!W1132+'July 2026'!W1152+'July 2026'!W1170+'July 2026'!W1188+'July 2026'!W1256+'July 2026'!W1326+'July 2026'!W1352+'July 2026'!W1362+'July 2026'!W1372+'July 2026'!W1391+'July 2026'!W1401+'July 2026'!W1419+'July 2026'!W1431+'July 2026'!W1442+'July 2026'!W1477+'July 2026'!W1502+'July 2026'!W1530+'July 2026'!W1540+'July 2026'!W1560+'July 2026'!W1596+'July 2026'!W1624)</f>
        <v>2989452.2859629993</v>
      </c>
      <c r="T4" s="59">
        <f>SUM('July 2026'!X168+'July 2026'!X240+'July 2026'!X504+'July 2026'!X790+'July 2026'!X842+'July 2026'!X1029+'July 2026'!X1060+'July 2026'!X1084+'July 2026'!X1132+'July 2026'!X1152+'July 2026'!X1170+'July 2026'!X1188+'July 2026'!X1256+'July 2026'!X1326+'July 2026'!X1352+'July 2026'!X1362+'July 2026'!X1372+'July 2026'!X1391+'July 2026'!X1401+'July 2026'!X1419+'July 2026'!X1431+'July 2026'!X1442+'July 2026'!X1477+'July 2026'!X1502+'July 2026'!X1530+'July 2026'!X1540+'July 2026'!X1560+'July 2026'!X1596+'July 2026'!X1624)</f>
        <v>46198730.185850993</v>
      </c>
      <c r="U4" s="59">
        <f>SUM('July 2026'!Y168+'July 2026'!Y240+'July 2026'!Y504+'July 2026'!Y790+'July 2026'!Y842+'July 2026'!Y1029+'July 2026'!Y1060+'July 2026'!Y1084+'July 2026'!Y1132+'July 2026'!Y1152+'July 2026'!Y1170+'July 2026'!Y1188+'July 2026'!Y1256+'July 2026'!Y1326+'July 2026'!Y1352+'July 2026'!Y1362+'July 2026'!Y1372+'July 2026'!Y1391+'July 2026'!Y1401+'July 2026'!Y1419+'July 2026'!Y1431+'July 2026'!Y1442+'July 2026'!Y1477+'July 2026'!Y1502+'July 2026'!Y1530+'July 2026'!Y1540+'July 2026'!Y1560+'July 2026'!Y1596+'July 2026'!Y1624)</f>
        <v>1728790.7279379999</v>
      </c>
      <c r="V4" s="59">
        <f>SUM('July 2026'!AA168+'July 2026'!AA240+'July 2026'!AA504+'July 2026'!AA790+'July 2026'!AA842+'July 2026'!AA1029+'July 2026'!AA1060+'July 2026'!AA1084+'July 2026'!AA1132+'July 2026'!AA1152+'July 2026'!AA1170+'July 2026'!AA1188+'July 2026'!AA1256+'July 2026'!AA1326+'July 2026'!AA1352+'July 2026'!AA1362+'July 2026'!AA1372+'July 2026'!AA1391+'July 2026'!AA1401+'July 2026'!AA1419+'July 2026'!AA1431+'July 2026'!AA1442+'July 2026'!AA1477+'July 2026'!AA1502+'July 2026'!AA1530+'July 2026'!AA1540+'July 2026'!AA1560+'July 2026'!AA1596+'July 2026'!AA1624)</f>
        <v>26699.406860000006</v>
      </c>
      <c r="W4" s="59"/>
      <c r="X4" s="59"/>
      <c r="Y4" s="59"/>
    </row>
    <row r="5" spans="1:25">
      <c r="A5" t="s">
        <v>478</v>
      </c>
      <c r="B5" s="59">
        <f>B4/B2</f>
        <v>757.82417760953808</v>
      </c>
      <c r="C5" s="59">
        <f t="shared" ref="C5" si="0">C4/C2</f>
        <v>661.95048883467871</v>
      </c>
      <c r="D5" s="59">
        <f t="shared" ref="D5" si="1">D4/D2</f>
        <v>1804.9983895912824</v>
      </c>
      <c r="E5" s="59">
        <f t="shared" ref="E5:V5" si="2">E4/E2</f>
        <v>385.43806772038198</v>
      </c>
      <c r="F5" s="59">
        <f>F4/F2</f>
        <v>899.91412555984152</v>
      </c>
      <c r="G5" s="59">
        <f t="shared" si="2"/>
        <v>415.98255569067828</v>
      </c>
      <c r="H5" s="59">
        <f t="shared" si="2"/>
        <v>430.68908568707121</v>
      </c>
      <c r="I5" s="59">
        <f t="shared" si="2"/>
        <v>269.57616237557568</v>
      </c>
      <c r="J5" s="59">
        <f t="shared" si="2"/>
        <v>1335.1419339150118</v>
      </c>
      <c r="K5" s="59">
        <f t="shared" si="2"/>
        <v>433.81898832817285</v>
      </c>
      <c r="L5" s="59">
        <f t="shared" si="2"/>
        <v>1277.0903349439384</v>
      </c>
      <c r="M5" s="59">
        <f t="shared" si="2"/>
        <v>215.79988396225906</v>
      </c>
      <c r="N5" s="59">
        <f t="shared" si="2"/>
        <v>1053.6639827387062</v>
      </c>
      <c r="O5" s="59">
        <f t="shared" si="2"/>
        <v>1029.233136648555</v>
      </c>
      <c r="P5" s="59">
        <f t="shared" si="2"/>
        <v>935.62495235503332</v>
      </c>
      <c r="Q5" s="59">
        <f t="shared" si="2"/>
        <v>712.62570414838729</v>
      </c>
      <c r="R5" s="59">
        <f t="shared" si="2"/>
        <v>1029.8799068381679</v>
      </c>
      <c r="S5" s="59">
        <f t="shared" si="2"/>
        <v>371.0378907736129</v>
      </c>
      <c r="T5" s="59">
        <f t="shared" si="2"/>
        <v>4516.225640143799</v>
      </c>
      <c r="U5" s="59">
        <f t="shared" si="2"/>
        <v>4087.9421327453297</v>
      </c>
      <c r="V5" s="59">
        <f t="shared" si="2"/>
        <v>226.26615983050854</v>
      </c>
    </row>
    <row r="6" spans="1:25">
      <c r="A6" t="s">
        <v>474</v>
      </c>
      <c r="B6" s="59">
        <f>B5*12</f>
        <v>9093.8901313144561</v>
      </c>
      <c r="C6" s="59">
        <f>C5*12</f>
        <v>7943.4058660161445</v>
      </c>
      <c r="D6" s="59">
        <f t="shared" ref="D6:V6" si="3">D5*12</f>
        <v>21659.980675095387</v>
      </c>
      <c r="E6" s="59">
        <f t="shared" si="3"/>
        <v>4625.256812644584</v>
      </c>
      <c r="F6" s="59">
        <f t="shared" si="3"/>
        <v>10798.969506718098</v>
      </c>
      <c r="G6" s="59">
        <f t="shared" si="3"/>
        <v>4991.7906682881394</v>
      </c>
      <c r="H6" s="59">
        <f t="shared" si="3"/>
        <v>5168.2690282448548</v>
      </c>
      <c r="I6" s="59">
        <f t="shared" si="3"/>
        <v>3234.9139485069081</v>
      </c>
      <c r="J6" s="59">
        <f t="shared" si="3"/>
        <v>16021.703206980143</v>
      </c>
      <c r="K6" s="59">
        <f t="shared" si="3"/>
        <v>5205.8278599380737</v>
      </c>
      <c r="L6" s="59">
        <f t="shared" si="3"/>
        <v>15325.08401932726</v>
      </c>
      <c r="M6" s="59">
        <f t="shared" si="3"/>
        <v>2589.5986075471087</v>
      </c>
      <c r="N6" s="59">
        <f t="shared" si="3"/>
        <v>12643.967792864474</v>
      </c>
      <c r="O6" s="59">
        <f t="shared" si="3"/>
        <v>12350.797639782661</v>
      </c>
      <c r="P6" s="59">
        <f t="shared" si="3"/>
        <v>11227.4994282604</v>
      </c>
      <c r="Q6" s="59">
        <f t="shared" si="3"/>
        <v>8551.5084497806474</v>
      </c>
      <c r="R6" s="59">
        <f t="shared" si="3"/>
        <v>12358.558882058016</v>
      </c>
      <c r="S6" s="59">
        <f t="shared" si="3"/>
        <v>4452.454689283355</v>
      </c>
      <c r="T6" s="59">
        <f t="shared" si="3"/>
        <v>54194.707681725587</v>
      </c>
      <c r="U6" s="59">
        <f t="shared" si="3"/>
        <v>49055.305592943958</v>
      </c>
      <c r="V6" s="59">
        <f t="shared" si="3"/>
        <v>2715.1939179661026</v>
      </c>
    </row>
    <row r="9" spans="1:25">
      <c r="A9" t="s">
        <v>475</v>
      </c>
      <c r="B9" s="59">
        <f>'July 2026'!C1060</f>
        <v>821039.15999999992</v>
      </c>
      <c r="C9" s="60">
        <v>0</v>
      </c>
      <c r="D9" s="60">
        <v>0</v>
      </c>
      <c r="E9" s="60">
        <v>0</v>
      </c>
      <c r="F9" s="59">
        <f>'July 2026'!C240</f>
        <v>3921203.5299999993</v>
      </c>
      <c r="G9" s="59">
        <f>'July 2026'!C1170</f>
        <v>2400235.66</v>
      </c>
      <c r="H9" s="60">
        <v>0</v>
      </c>
      <c r="I9" s="60">
        <f>'July 2026'!C1540</f>
        <v>299631.92</v>
      </c>
      <c r="J9" s="59">
        <f>'July 2026'!C1152</f>
        <v>2163326.25</v>
      </c>
      <c r="K9" s="59">
        <f>'July 2026'!C1084</f>
        <v>352275.57</v>
      </c>
      <c r="L9" s="59">
        <f>'July 2026'!C505</f>
        <v>43110353.769999988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59">
        <f>'July 2026'!C1132</f>
        <v>2510011.44</v>
      </c>
      <c r="S9" s="60">
        <v>0</v>
      </c>
      <c r="T9" s="59">
        <f>'July 2026'!C790</f>
        <v>57745792.969999969</v>
      </c>
      <c r="U9" s="60">
        <v>0</v>
      </c>
      <c r="V9" s="60">
        <v>0</v>
      </c>
    </row>
    <row r="10" spans="1:25">
      <c r="A10" t="s">
        <v>478</v>
      </c>
      <c r="B10" s="59">
        <f>B9/B2</f>
        <v>303.06712930493518</v>
      </c>
      <c r="C10" s="60">
        <v>0</v>
      </c>
      <c r="D10" s="60">
        <v>0</v>
      </c>
      <c r="E10" s="60">
        <v>0</v>
      </c>
      <c r="F10" s="59">
        <f>F9/F2</f>
        <v>595.48414250785879</v>
      </c>
      <c r="G10" s="59">
        <f>G9/G2</f>
        <v>115.87672216938549</v>
      </c>
      <c r="H10" s="60">
        <v>0</v>
      </c>
      <c r="I10" s="60">
        <v>0</v>
      </c>
      <c r="J10" s="59">
        <f>J9/J2</f>
        <v>802.86741510484319</v>
      </c>
      <c r="K10" s="59">
        <f>K9/K2</f>
        <v>83.907100323932937</v>
      </c>
      <c r="L10" s="59">
        <f>L9/L2</f>
        <v>1746.9073295756152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59">
        <f>R9/R2</f>
        <v>417.2573252431219</v>
      </c>
      <c r="S10" s="60">
        <v>0</v>
      </c>
      <c r="T10" s="59">
        <f>T9/T2</f>
        <v>5645.0259514150221</v>
      </c>
      <c r="U10" s="60">
        <v>0</v>
      </c>
      <c r="V10" s="60">
        <v>0</v>
      </c>
    </row>
    <row r="11" spans="1:25">
      <c r="A11" t="s">
        <v>474</v>
      </c>
      <c r="B11" s="59">
        <f>B10*12</f>
        <v>3636.8055516592221</v>
      </c>
      <c r="C11" s="60">
        <v>0</v>
      </c>
      <c r="D11" s="60">
        <v>0</v>
      </c>
      <c r="E11" s="60">
        <v>0</v>
      </c>
      <c r="F11" s="59">
        <f>F10*12</f>
        <v>7145.809710094305</v>
      </c>
      <c r="G11" s="59">
        <f>G10*12</f>
        <v>1390.5206660326257</v>
      </c>
      <c r="H11" s="60">
        <v>0</v>
      </c>
      <c r="I11" s="60">
        <v>0</v>
      </c>
      <c r="J11" s="59">
        <f>J10*12</f>
        <v>9634.4089812581187</v>
      </c>
      <c r="K11" s="59">
        <f>K10*12</f>
        <v>1006.8852038871953</v>
      </c>
      <c r="L11" s="59">
        <f>L10*12</f>
        <v>20962.887954907383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59">
        <f>R10*12</f>
        <v>5007.087902917463</v>
      </c>
      <c r="S11" s="60">
        <v>0</v>
      </c>
      <c r="T11" s="59">
        <f>T10*12</f>
        <v>67740.311416980257</v>
      </c>
      <c r="U11" s="60">
        <v>0</v>
      </c>
      <c r="V11" s="60">
        <v>0</v>
      </c>
    </row>
    <row r="13" spans="1:25">
      <c r="A13" t="s">
        <v>479</v>
      </c>
      <c r="L13" s="59"/>
      <c r="M13" s="59"/>
    </row>
    <row r="14" spans="1:25">
      <c r="L14" s="59"/>
      <c r="M14" s="59"/>
    </row>
    <row r="22" spans="1:13">
      <c r="A22" s="58"/>
      <c r="B22" s="60"/>
      <c r="C22" s="60"/>
      <c r="L22" s="59"/>
      <c r="M22" s="59"/>
    </row>
    <row r="23" spans="1:13">
      <c r="A23" s="58"/>
      <c r="B23" s="60"/>
      <c r="C23" s="60"/>
      <c r="L23" s="59"/>
      <c r="M23" s="59"/>
    </row>
    <row r="24" spans="1:13">
      <c r="A24" s="58"/>
      <c r="B24" s="60"/>
      <c r="C24" s="60"/>
      <c r="L24" s="59"/>
      <c r="M24" s="59"/>
    </row>
    <row r="25" spans="1:13">
      <c r="A25" s="58"/>
      <c r="B25" s="60"/>
      <c r="C25" s="60"/>
      <c r="L25" s="59"/>
      <c r="M25" s="59"/>
    </row>
    <row r="26" spans="1:13">
      <c r="A26" s="58"/>
      <c r="B26" s="60"/>
      <c r="C26" s="60"/>
      <c r="L26" s="59"/>
      <c r="M26" s="59"/>
    </row>
    <row r="27" spans="1:13">
      <c r="A27" s="58"/>
      <c r="B27" s="60"/>
      <c r="C27" s="60"/>
      <c r="L27" s="59"/>
      <c r="M27" s="59"/>
    </row>
    <row r="28" spans="1:13">
      <c r="A28" s="58"/>
      <c r="B28" s="60"/>
      <c r="C28" s="60"/>
      <c r="L28" s="59"/>
      <c r="M28" s="59"/>
    </row>
    <row r="29" spans="1:13">
      <c r="A29" s="58"/>
      <c r="B29" s="60"/>
      <c r="C29" s="60"/>
      <c r="L29" s="59"/>
      <c r="M29" s="59"/>
    </row>
    <row r="30" spans="1:13">
      <c r="A30" s="58"/>
      <c r="B30" s="60"/>
      <c r="C30" s="60"/>
      <c r="L30" s="59"/>
      <c r="M30" s="59"/>
    </row>
    <row r="31" spans="1:13">
      <c r="A31" s="58"/>
      <c r="B31" s="60"/>
      <c r="C31" s="60"/>
    </row>
    <row r="32" spans="1:13">
      <c r="A32" s="58"/>
      <c r="B32" s="60"/>
      <c r="C32" s="6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 2026</vt:lpstr>
      <vt:lpstr>TEC_Rates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2022-01-26T15:23:01Z</dcterms:created>
  <dcterms:modified xsi:type="dcterms:W3CDTF">2026-08-24T12:16:51Z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37be2d-9a50-473d-b372-9d2e4491f364_Enabled">
    <vt:lpwstr>true</vt:lpwstr>
  </property>
  <property fmtid="{D5CDD505-2E9C-101B-9397-08002B2CF9AE}" pid="3" name="MSIP_Label_4b37be2d-9a50-473d-b372-9d2e4491f364_SetDate">
    <vt:lpwstr>2026-08-13T15:10:47Z</vt:lpwstr>
  </property>
  <property fmtid="{D5CDD505-2E9C-101B-9397-08002B2CF9AE}" pid="4" name="MSIP_Label_4b37be2d-9a50-473d-b372-9d2e4491f364_Method">
    <vt:lpwstr>Standard</vt:lpwstr>
  </property>
  <property fmtid="{D5CDD505-2E9C-101B-9397-08002B2CF9AE}" pid="5" name="MSIP_Label_4b37be2d-9a50-473d-b372-9d2e4491f364_Name">
    <vt:lpwstr>Confidential - PJM Personnel Only</vt:lpwstr>
  </property>
  <property fmtid="{D5CDD505-2E9C-101B-9397-08002B2CF9AE}" pid="6" name="MSIP_Label_4b37be2d-9a50-473d-b372-9d2e4491f364_SiteId">
    <vt:lpwstr>2ca508d6-9abf-4628-bb63-2a491e2be6f9</vt:lpwstr>
  </property>
  <property fmtid="{D5CDD505-2E9C-101B-9397-08002B2CF9AE}" pid="7" name="MSIP_Label_4b37be2d-9a50-473d-b372-9d2e4491f364_ActionId">
    <vt:lpwstr>d877a57f-c3ce-4f3d-912d-13637d16c46a</vt:lpwstr>
  </property>
  <property fmtid="{D5CDD505-2E9C-101B-9397-08002B2CF9AE}" pid="8" name="MSIP_Label_4b37be2d-9a50-473d-b372-9d2e4491f364_ContentBits">
    <vt:lpwstr>0</vt:lpwstr>
  </property>
  <property fmtid="{D5CDD505-2E9C-101B-9397-08002B2CF9AE}" pid="9" name="MSIP_Label_4b37be2d-9a50-473d-b372-9d2e4491f364_Tag">
    <vt:lpwstr>10, 3, 0, 1</vt:lpwstr>
  </property>
</Properties>
</file>