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3855" yWindow="15" windowWidth="15345" windowHeight="12255" activeTab="5"/>
  </bookViews>
  <sheets>
    <sheet name="CETL" sheetId="5" r:id="rId1"/>
    <sheet name="Gross CONE" sheetId="7" r:id="rId2"/>
    <sheet name="EAS" sheetId="8" r:id="rId3"/>
    <sheet name="Load" sheetId="12" r:id="rId4"/>
    <sheet name="Rel Req" sheetId="10" r:id="rId5"/>
    <sheet name="Supply" sheetId="11" r:id="rId6"/>
  </sheets>
  <definedNames>
    <definedName name="_xlnm.Print_Area" localSheetId="5">Supply!$B$4:$V$46</definedName>
  </definedNames>
  <calcPr calcId="145621"/>
</workbook>
</file>

<file path=xl/calcChain.xml><?xml version="1.0" encoding="utf-8"?>
<calcChain xmlns="http://schemas.openxmlformats.org/spreadsheetml/2006/main">
  <c r="U13" i="11" l="1"/>
  <c r="O2" i="8" l="1"/>
  <c r="O23" i="8"/>
  <c r="O17" i="8"/>
  <c r="O19" i="8"/>
  <c r="O18" i="8"/>
  <c r="O15" i="8"/>
  <c r="O8" i="8"/>
  <c r="O9" i="8"/>
  <c r="O10" i="8"/>
  <c r="O11" i="8"/>
  <c r="O12" i="8"/>
  <c r="O13" i="8"/>
  <c r="O14" i="8"/>
  <c r="O16" i="8"/>
  <c r="O20" i="8"/>
  <c r="O21" i="8"/>
  <c r="O22" i="8"/>
  <c r="O7" i="8"/>
  <c r="O29" i="11"/>
  <c r="O22" i="11"/>
  <c r="O30" i="11"/>
  <c r="O28" i="11"/>
  <c r="O27" i="11"/>
  <c r="O16" i="11"/>
  <c r="O15" i="11"/>
  <c r="O14" i="11"/>
  <c r="O13" i="11"/>
  <c r="O23" i="11"/>
  <c r="O21" i="11"/>
  <c r="O20" i="11"/>
  <c r="O19" i="11"/>
  <c r="U21" i="12" l="1"/>
  <c r="U20" i="12"/>
  <c r="Z10" i="12"/>
  <c r="AB9" i="12"/>
  <c r="AB10" i="12" s="1"/>
  <c r="AB11" i="12" s="1"/>
  <c r="AB12" i="12" s="1"/>
  <c r="AB13" i="12" s="1"/>
  <c r="AB14" i="12" s="1"/>
  <c r="Z9" i="12"/>
  <c r="AA9" i="12" s="1"/>
  <c r="AD9" i="12" s="1"/>
  <c r="AD8" i="12"/>
  <c r="AC8" i="12"/>
  <c r="AE8" i="12" s="1"/>
  <c r="AA8" i="12"/>
  <c r="AC10" i="12" l="1"/>
  <c r="AE10" i="12" s="1"/>
  <c r="AC9" i="12"/>
  <c r="AE9" i="12" s="1"/>
  <c r="AA10" i="12"/>
  <c r="AD10" i="12" s="1"/>
  <c r="Z11" i="12"/>
  <c r="AA11" i="12" l="1"/>
  <c r="AD11" i="12" s="1"/>
  <c r="Z12" i="12"/>
  <c r="AC11" i="12"/>
  <c r="AE11" i="12" l="1"/>
  <c r="AC12" i="12"/>
  <c r="AE12" i="12" s="1"/>
  <c r="Z13" i="12"/>
  <c r="AA12" i="12"/>
  <c r="AD12" i="12" s="1"/>
  <c r="AA13" i="12" l="1"/>
  <c r="AD13" i="12" s="1"/>
  <c r="AC13" i="12"/>
  <c r="AE13" i="12" s="1"/>
  <c r="Z14" i="12"/>
  <c r="AC14" i="12" l="1"/>
  <c r="AA14" i="12"/>
  <c r="AD14" i="12" s="1"/>
  <c r="AE14" i="12" l="1"/>
  <c r="AE2" i="12" s="1"/>
  <c r="F56" i="11" l="1"/>
  <c r="F61" i="11"/>
  <c r="F55" i="11"/>
  <c r="A62" i="11"/>
  <c r="A63" i="11" s="1"/>
  <c r="F63" i="11" s="1"/>
  <c r="A57" i="11"/>
  <c r="F57" i="11" s="1"/>
  <c r="A58" i="11" l="1"/>
  <c r="A59" i="11" s="1"/>
  <c r="F62" i="11"/>
  <c r="A64" i="11"/>
  <c r="B41" i="11"/>
  <c r="B42" i="11" s="1"/>
  <c r="B43" i="11" s="1"/>
  <c r="B44" i="11" s="1"/>
  <c r="B45" i="11" s="1"/>
  <c r="B46" i="11" s="1"/>
  <c r="B47" i="11" s="1"/>
  <c r="U30" i="11"/>
  <c r="S30" i="11"/>
  <c r="R30" i="11"/>
  <c r="N30" i="11"/>
  <c r="Q30" i="11" s="1"/>
  <c r="A30" i="11"/>
  <c r="U29" i="11"/>
  <c r="R63" i="11" s="1"/>
  <c r="S63" i="11" s="1"/>
  <c r="N29" i="11"/>
  <c r="Q29" i="11" s="1"/>
  <c r="A29" i="11"/>
  <c r="U28" i="11"/>
  <c r="R62" i="11" s="1"/>
  <c r="R28" i="11"/>
  <c r="N28" i="11"/>
  <c r="Q28" i="11" s="1"/>
  <c r="A28" i="11"/>
  <c r="U27" i="11"/>
  <c r="R61" i="11" s="1"/>
  <c r="S61" i="11" s="1"/>
  <c r="K61" i="11"/>
  <c r="J61" i="11"/>
  <c r="N27" i="11"/>
  <c r="I61" i="11" s="1"/>
  <c r="A27" i="11"/>
  <c r="U23" i="11"/>
  <c r="S23" i="11"/>
  <c r="R23" i="11"/>
  <c r="N23" i="11"/>
  <c r="Q23" i="11" s="1"/>
  <c r="A23" i="11"/>
  <c r="U22" i="11"/>
  <c r="S22" i="11"/>
  <c r="R22" i="11"/>
  <c r="N22" i="11"/>
  <c r="Q22" i="11" s="1"/>
  <c r="A22" i="11"/>
  <c r="U21" i="11"/>
  <c r="S21" i="11"/>
  <c r="R21" i="11"/>
  <c r="N21" i="11"/>
  <c r="Q21" i="11" s="1"/>
  <c r="A21" i="11"/>
  <c r="U20" i="11"/>
  <c r="R57" i="11" s="1"/>
  <c r="S57" i="11" s="1"/>
  <c r="N20" i="11"/>
  <c r="A20" i="11"/>
  <c r="E57" i="11" s="1"/>
  <c r="U19" i="11"/>
  <c r="R56" i="11" s="1"/>
  <c r="S56" i="11" s="1"/>
  <c r="N19" i="11"/>
  <c r="I56" i="11" s="1"/>
  <c r="A19" i="11"/>
  <c r="E56" i="11" s="1"/>
  <c r="N16" i="11"/>
  <c r="Q16" i="11" s="1"/>
  <c r="A16" i="11"/>
  <c r="S15" i="11"/>
  <c r="R15" i="11"/>
  <c r="N15" i="11"/>
  <c r="Q15" i="11" s="1"/>
  <c r="A15" i="11"/>
  <c r="N14" i="11"/>
  <c r="Q14" i="11" s="1"/>
  <c r="A14" i="11"/>
  <c r="R55" i="11"/>
  <c r="S55" i="11" s="1"/>
  <c r="N13" i="11"/>
  <c r="A13" i="11"/>
  <c r="E55" i="11" s="1"/>
  <c r="O9" i="11"/>
  <c r="P9" i="11" s="1"/>
  <c r="Q9" i="11" s="1"/>
  <c r="R9" i="11" s="1"/>
  <c r="S9" i="11" s="1"/>
  <c r="U9" i="11" s="1"/>
  <c r="E58" i="11" l="1"/>
  <c r="R58" i="11"/>
  <c r="F58" i="11"/>
  <c r="S58" i="11" s="1"/>
  <c r="E59" i="11"/>
  <c r="S62" i="11"/>
  <c r="K58" i="11"/>
  <c r="Q13" i="11"/>
  <c r="I55" i="11"/>
  <c r="N55" i="11" s="1"/>
  <c r="S20" i="11"/>
  <c r="K57" i="11"/>
  <c r="P57" i="11" s="1"/>
  <c r="J64" i="11"/>
  <c r="F64" i="11"/>
  <c r="I64" i="11"/>
  <c r="K64" i="11"/>
  <c r="R64" i="11"/>
  <c r="J58" i="11"/>
  <c r="R13" i="11"/>
  <c r="J55" i="11"/>
  <c r="O55" i="11" s="1"/>
  <c r="N56" i="11"/>
  <c r="E62" i="11"/>
  <c r="E61" i="11"/>
  <c r="O61" i="11" s="1"/>
  <c r="S28" i="11"/>
  <c r="K62" i="11"/>
  <c r="I58" i="11"/>
  <c r="J62" i="11"/>
  <c r="S19" i="11"/>
  <c r="K56" i="11"/>
  <c r="P56" i="11" s="1"/>
  <c r="R20" i="11"/>
  <c r="J57" i="11"/>
  <c r="O57" i="11" s="1"/>
  <c r="S13" i="11"/>
  <c r="K55" i="11"/>
  <c r="P55" i="11" s="1"/>
  <c r="R19" i="11"/>
  <c r="J56" i="11"/>
  <c r="O56" i="11" s="1"/>
  <c r="Q20" i="11"/>
  <c r="I57" i="11"/>
  <c r="N57" i="11" s="1"/>
  <c r="E63" i="11"/>
  <c r="A60" i="11"/>
  <c r="I59" i="11"/>
  <c r="F59" i="11"/>
  <c r="R59" i="11"/>
  <c r="J59" i="11"/>
  <c r="K59" i="11"/>
  <c r="I62" i="11"/>
  <c r="I63" i="11"/>
  <c r="N63" i="11" s="1"/>
  <c r="E64" i="11"/>
  <c r="N24" i="11"/>
  <c r="O24" i="11"/>
  <c r="N31" i="11"/>
  <c r="Q19" i="11"/>
  <c r="P24" i="11"/>
  <c r="R27" i="11"/>
  <c r="S27" i="11"/>
  <c r="Q27" i="11"/>
  <c r="Q31" i="11" s="1"/>
  <c r="R24" i="11" l="1"/>
  <c r="P58" i="11"/>
  <c r="N58" i="11"/>
  <c r="O58" i="11"/>
  <c r="Q24" i="11"/>
  <c r="N62" i="11"/>
  <c r="O64" i="11"/>
  <c r="P59" i="11"/>
  <c r="N59" i="11"/>
  <c r="S24" i="11"/>
  <c r="N61" i="11"/>
  <c r="O59" i="11"/>
  <c r="P61" i="11"/>
  <c r="P62" i="11"/>
  <c r="S64" i="11"/>
  <c r="J60" i="11"/>
  <c r="F60" i="11"/>
  <c r="K60" i="11"/>
  <c r="R60" i="11"/>
  <c r="I60" i="11"/>
  <c r="P64" i="11"/>
  <c r="S59" i="11"/>
  <c r="O62" i="11"/>
  <c r="N64" i="11"/>
  <c r="E60" i="11"/>
  <c r="P60" i="11" l="1"/>
  <c r="N60" i="11"/>
  <c r="O60" i="11"/>
  <c r="S60" i="11"/>
  <c r="R14" i="11"/>
  <c r="R16" i="11" l="1"/>
  <c r="S16" i="11" l="1"/>
  <c r="S14" i="11"/>
  <c r="J63" i="11" l="1"/>
  <c r="O63" i="11" s="1"/>
  <c r="R29" i="11" l="1"/>
  <c r="R31" i="11" s="1"/>
  <c r="O31" i="11"/>
  <c r="K63" i="11"/>
  <c r="P63" i="11" s="1"/>
  <c r="S29" i="11" l="1"/>
  <c r="S31" i="11" s="1"/>
  <c r="P31" i="11"/>
  <c r="AE6" i="10" l="1"/>
  <c r="O19" i="10"/>
  <c r="N19" i="10"/>
  <c r="K19" i="10"/>
  <c r="J19" i="10"/>
  <c r="I19" i="10"/>
  <c r="H19" i="10"/>
  <c r="G19" i="10"/>
  <c r="F19" i="10"/>
  <c r="E19" i="10"/>
  <c r="D19" i="10"/>
  <c r="C19" i="10"/>
  <c r="B19" i="10"/>
  <c r="O18" i="10"/>
  <c r="N18" i="10"/>
  <c r="K18" i="10"/>
  <c r="J18" i="10"/>
  <c r="I18" i="10"/>
  <c r="H18" i="10"/>
  <c r="G18" i="10"/>
  <c r="F18" i="10"/>
  <c r="E18" i="10"/>
  <c r="D18" i="10"/>
  <c r="C18" i="10"/>
  <c r="B18" i="10"/>
  <c r="O17" i="10"/>
  <c r="N17" i="10"/>
  <c r="K17" i="10"/>
  <c r="J17" i="10"/>
  <c r="I17" i="10"/>
  <c r="H17" i="10"/>
  <c r="G17" i="10"/>
  <c r="F17" i="10"/>
  <c r="E17" i="10"/>
  <c r="D17" i="10"/>
  <c r="C17" i="10"/>
  <c r="B17" i="10"/>
  <c r="J15" i="10"/>
  <c r="I15" i="10"/>
  <c r="H15" i="10"/>
  <c r="G15" i="10"/>
  <c r="F15" i="10"/>
  <c r="E15" i="10"/>
  <c r="D15" i="10"/>
  <c r="C15" i="10"/>
  <c r="M15" i="10" s="1" a="1"/>
  <c r="M15" i="10" s="1"/>
  <c r="B15" i="10"/>
  <c r="I14" i="10"/>
  <c r="H14" i="10"/>
  <c r="G14" i="10"/>
  <c r="F14" i="10"/>
  <c r="E14" i="10"/>
  <c r="D14" i="10"/>
  <c r="C14" i="10"/>
  <c r="B14" i="10"/>
  <c r="G13" i="10"/>
  <c r="F13" i="10"/>
  <c r="E13" i="10"/>
  <c r="D13" i="10"/>
  <c r="C13" i="10"/>
  <c r="B13" i="10"/>
  <c r="F12" i="10"/>
  <c r="D12" i="10"/>
  <c r="C12" i="10"/>
  <c r="B12" i="10"/>
  <c r="M12" i="10" s="1" a="1"/>
  <c r="M12" i="10" s="1"/>
  <c r="F11" i="10"/>
  <c r="E11" i="10"/>
  <c r="D11" i="10"/>
  <c r="C11" i="10"/>
  <c r="B11" i="10"/>
  <c r="F10" i="10"/>
  <c r="E10" i="10"/>
  <c r="D10" i="10"/>
  <c r="C10" i="10"/>
  <c r="B10" i="10"/>
  <c r="F9" i="10"/>
  <c r="E9" i="10"/>
  <c r="D9" i="10"/>
  <c r="C9" i="10"/>
  <c r="B9" i="10"/>
  <c r="M9" i="10" s="1" a="1"/>
  <c r="M9" i="10" s="1"/>
  <c r="F8" i="10"/>
  <c r="E8" i="10"/>
  <c r="D8" i="10"/>
  <c r="C8" i="10"/>
  <c r="B8" i="10"/>
  <c r="F7" i="10"/>
  <c r="E7" i="10"/>
  <c r="D7" i="10"/>
  <c r="C7" i="10"/>
  <c r="M7" i="10" s="1" a="1"/>
  <c r="M7" i="10" s="1"/>
  <c r="B7" i="10"/>
  <c r="Z6" i="10"/>
  <c r="AN6" i="10" s="1"/>
  <c r="U6" i="10"/>
  <c r="AI6" i="10" s="1"/>
  <c r="R6" i="10"/>
  <c r="AF6" i="10" s="1"/>
  <c r="M6" i="10" a="1"/>
  <c r="M6" i="10" s="1"/>
  <c r="Y6" i="10" s="1"/>
  <c r="AM6" i="10" s="1"/>
  <c r="Y7" i="10" l="1"/>
  <c r="AM7" i="10" s="1"/>
  <c r="U7" i="10"/>
  <c r="AI7" i="10" s="1"/>
  <c r="Q7" i="10"/>
  <c r="Z7" i="10"/>
  <c r="AN7" i="10" s="1"/>
  <c r="V7" i="10"/>
  <c r="AJ7" i="10" s="1"/>
  <c r="AA7" i="10"/>
  <c r="AO7" i="10" s="1"/>
  <c r="W7" i="10"/>
  <c r="AK7" i="10" s="1"/>
  <c r="T7" i="10"/>
  <c r="AH7" i="10" s="1"/>
  <c r="X7" i="10"/>
  <c r="AL7" i="10" s="1"/>
  <c r="AR7" i="10"/>
  <c r="Z12" i="10"/>
  <c r="AN12" i="10" s="1"/>
  <c r="V12" i="10"/>
  <c r="AJ12" i="10" s="1"/>
  <c r="AR12" i="10"/>
  <c r="AA12" i="10"/>
  <c r="AO12" i="10" s="1"/>
  <c r="W12" i="10"/>
  <c r="AK12" i="10" s="1"/>
  <c r="Y12" i="10"/>
  <c r="AM12" i="10" s="1"/>
  <c r="Q12" i="10"/>
  <c r="T12" i="10"/>
  <c r="AH12" i="10" s="1"/>
  <c r="X12" i="10"/>
  <c r="AL12" i="10" s="1"/>
  <c r="U12" i="10"/>
  <c r="AI12" i="10" s="1"/>
  <c r="X9" i="10"/>
  <c r="AL9" i="10" s="1"/>
  <c r="AA9" i="10"/>
  <c r="AO9" i="10" s="1"/>
  <c r="V9" i="10"/>
  <c r="AJ9" i="10" s="1"/>
  <c r="W9" i="10"/>
  <c r="AK9" i="10" s="1"/>
  <c r="Y9" i="10"/>
  <c r="AM9" i="10" s="1"/>
  <c r="S9" i="10"/>
  <c r="AG9" i="10" s="1"/>
  <c r="AR9" i="10"/>
  <c r="Z9" i="10"/>
  <c r="AN9" i="10" s="1"/>
  <c r="U9" i="10"/>
  <c r="AI9" i="10" s="1"/>
  <c r="X15" i="10"/>
  <c r="AL15" i="10" s="1"/>
  <c r="T15" i="10"/>
  <c r="AH15" i="10" s="1"/>
  <c r="AA15" i="10"/>
  <c r="AO15" i="10" s="1"/>
  <c r="S15" i="10"/>
  <c r="AG15" i="10" s="1"/>
  <c r="Z15" i="10"/>
  <c r="AN15" i="10" s="1"/>
  <c r="W15" i="10"/>
  <c r="AK15" i="10" s="1"/>
  <c r="AR15" i="10"/>
  <c r="U13" i="10"/>
  <c r="AI13" i="10" s="1"/>
  <c r="S7" i="10"/>
  <c r="AG7" i="10" s="1"/>
  <c r="M13" i="10" a="1"/>
  <c r="M13" i="10" s="1"/>
  <c r="Q13" i="10"/>
  <c r="M18" i="10" a="1"/>
  <c r="M18" i="10" s="1"/>
  <c r="R19" i="10"/>
  <c r="AF19" i="10" s="1"/>
  <c r="V19" i="10"/>
  <c r="AJ19" i="10" s="1"/>
  <c r="T10" i="10"/>
  <c r="AH10" i="10" s="1"/>
  <c r="X17" i="10"/>
  <c r="AL17" i="10" s="1"/>
  <c r="Q6" i="10"/>
  <c r="M11" i="10" a="1"/>
  <c r="M11" i="10" s="1"/>
  <c r="U11" i="10"/>
  <c r="AI11" i="10" s="1"/>
  <c r="T13" i="10"/>
  <c r="AH13" i="10" s="1"/>
  <c r="R7" i="10"/>
  <c r="AF7" i="10" s="1"/>
  <c r="Q9" i="10"/>
  <c r="S10" i="10"/>
  <c r="AG10" i="10" s="1"/>
  <c r="M8" i="10" a="1"/>
  <c r="M8" i="10" s="1"/>
  <c r="R9" i="10"/>
  <c r="AF9" i="10" s="1"/>
  <c r="V13" i="10"/>
  <c r="AJ13" i="10" s="1"/>
  <c r="V14" i="10"/>
  <c r="AJ14" i="10" s="1"/>
  <c r="R15" i="10"/>
  <c r="AF15" i="10" s="1"/>
  <c r="V15" i="10"/>
  <c r="AJ15" i="10" s="1"/>
  <c r="AA6" i="10"/>
  <c r="AO6" i="10" s="1"/>
  <c r="W6" i="10"/>
  <c r="AK6" i="10" s="1"/>
  <c r="S6" i="10"/>
  <c r="AG6" i="10" s="1"/>
  <c r="X6" i="10"/>
  <c r="AL6" i="10" s="1"/>
  <c r="T6" i="10"/>
  <c r="AH6" i="10" s="1"/>
  <c r="V6" i="10"/>
  <c r="AJ6" i="10" s="1"/>
  <c r="T9" i="10"/>
  <c r="AH9" i="10" s="1"/>
  <c r="R10" i="10"/>
  <c r="AF10" i="10" s="1"/>
  <c r="M10" i="10" a="1"/>
  <c r="M10" i="10" s="1"/>
  <c r="T11" i="10"/>
  <c r="AH11" i="10" s="1"/>
  <c r="S12" i="10"/>
  <c r="AG12" i="10" s="1"/>
  <c r="S13" i="10"/>
  <c r="AG13" i="10" s="1"/>
  <c r="M14" i="10" a="1"/>
  <c r="M14" i="10" s="1"/>
  <c r="Q15" i="10"/>
  <c r="U15" i="10"/>
  <c r="AI15" i="10" s="1"/>
  <c r="Y15" i="10"/>
  <c r="AM15" i="10" s="1"/>
  <c r="M17" i="10" a="1"/>
  <c r="M17" i="10" s="1"/>
  <c r="Q19" i="10"/>
  <c r="M19" i="10" a="1"/>
  <c r="M19" i="10" s="1"/>
  <c r="U19" i="10"/>
  <c r="AI19" i="10" s="1"/>
  <c r="Y19" i="10"/>
  <c r="AM19" i="10" s="1"/>
  <c r="S14" i="10"/>
  <c r="AG14" i="10" s="1"/>
  <c r="W14" i="10"/>
  <c r="AK14" i="10" s="1"/>
  <c r="R12" i="10"/>
  <c r="AF12" i="10" s="1"/>
  <c r="AE19" i="10" l="1"/>
  <c r="AR18" i="10"/>
  <c r="AA18" i="10"/>
  <c r="AO18" i="10" s="1"/>
  <c r="U18" i="10"/>
  <c r="AI18" i="10" s="1"/>
  <c r="X18" i="10"/>
  <c r="AL18" i="10" s="1"/>
  <c r="T18" i="10"/>
  <c r="AH18" i="10" s="1"/>
  <c r="Q18" i="10"/>
  <c r="Y18" i="10"/>
  <c r="AM18" i="10" s="1"/>
  <c r="AC7" i="10" a="1"/>
  <c r="AC7" i="10" s="1"/>
  <c r="AB7" i="10" a="1"/>
  <c r="AB7" i="10" s="1"/>
  <c r="AE7" i="10"/>
  <c r="W18" i="10"/>
  <c r="AK18" i="10" s="1"/>
  <c r="AR17" i="10"/>
  <c r="AA17" i="10"/>
  <c r="AO17" i="10" s="1"/>
  <c r="V17" i="10"/>
  <c r="AJ17" i="10" s="1"/>
  <c r="U17" i="10"/>
  <c r="AI17" i="10" s="1"/>
  <c r="Y17" i="10"/>
  <c r="AM17" i="10" s="1"/>
  <c r="Q17" i="10"/>
  <c r="R17" i="10"/>
  <c r="AF17" i="10" s="1"/>
  <c r="Z17" i="10"/>
  <c r="AN17" i="10" s="1"/>
  <c r="AE9" i="10"/>
  <c r="AB9" i="10" a="1"/>
  <c r="AB9" i="10" s="1"/>
  <c r="AC9" i="10" a="1"/>
  <c r="AC9" i="10" s="1"/>
  <c r="T17" i="10"/>
  <c r="AH17" i="10" s="1"/>
  <c r="R18" i="10"/>
  <c r="AF18" i="10" s="1"/>
  <c r="S18" i="10"/>
  <c r="AG18" i="10" s="1"/>
  <c r="W17" i="10"/>
  <c r="AK17" i="10" s="1"/>
  <c r="AE15" i="10"/>
  <c r="AB15" i="10" a="1"/>
  <c r="AB15" i="10" s="1"/>
  <c r="AC15" i="10" a="1"/>
  <c r="AC15" i="10" s="1"/>
  <c r="AA8" i="10"/>
  <c r="AO8" i="10" s="1"/>
  <c r="W8" i="10"/>
  <c r="AK8" i="10" s="1"/>
  <c r="S8" i="10"/>
  <c r="AG8" i="10" s="1"/>
  <c r="AR8" i="10"/>
  <c r="X8" i="10"/>
  <c r="AL8" i="10" s="1"/>
  <c r="V8" i="10"/>
  <c r="AJ8" i="10" s="1"/>
  <c r="Z8" i="10"/>
  <c r="AN8" i="10" s="1"/>
  <c r="R8" i="10"/>
  <c r="AF8" i="10" s="1"/>
  <c r="Y8" i="10"/>
  <c r="AM8" i="10" s="1"/>
  <c r="U8" i="10"/>
  <c r="AI8" i="10" s="1"/>
  <c r="T8" i="10"/>
  <c r="AH8" i="10" s="1"/>
  <c r="AR11" i="10"/>
  <c r="AA11" i="10"/>
  <c r="AO11" i="10" s="1"/>
  <c r="W11" i="10"/>
  <c r="AK11" i="10" s="1"/>
  <c r="S11" i="10"/>
  <c r="AG11" i="10" s="1"/>
  <c r="X11" i="10"/>
  <c r="AL11" i="10" s="1"/>
  <c r="Z11" i="10"/>
  <c r="AN11" i="10" s="1"/>
  <c r="Q11" i="10"/>
  <c r="Y11" i="10"/>
  <c r="AM11" i="10" s="1"/>
  <c r="V11" i="10"/>
  <c r="AJ11" i="10" s="1"/>
  <c r="Z18" i="10"/>
  <c r="AN18" i="10" s="1"/>
  <c r="AE13" i="10"/>
  <c r="Q8" i="10"/>
  <c r="AC12" i="10" a="1"/>
  <c r="AC12" i="10" s="1"/>
  <c r="AB12" i="10" a="1"/>
  <c r="AB12" i="10" s="1"/>
  <c r="AE12" i="10"/>
  <c r="X19" i="10"/>
  <c r="AL19" i="10" s="1"/>
  <c r="AA19" i="10"/>
  <c r="AO19" i="10" s="1"/>
  <c r="S19" i="10"/>
  <c r="AG19" i="10" s="1"/>
  <c r="AR19" i="10"/>
  <c r="W19" i="10"/>
  <c r="AK19" i="10" s="1"/>
  <c r="T19" i="10"/>
  <c r="AH19" i="10" s="1"/>
  <c r="S17" i="10"/>
  <c r="AG17" i="10" s="1"/>
  <c r="Z14" i="10"/>
  <c r="AN14" i="10" s="1"/>
  <c r="AR14" i="10"/>
  <c r="AA14" i="10"/>
  <c r="AO14" i="10" s="1"/>
  <c r="U14" i="10"/>
  <c r="AI14" i="10" s="1"/>
  <c r="T14" i="10"/>
  <c r="AH14" i="10" s="1"/>
  <c r="X14" i="10"/>
  <c r="AL14" i="10" s="1"/>
  <c r="Y14" i="10"/>
  <c r="AM14" i="10" s="1"/>
  <c r="Q14" i="10"/>
  <c r="Z10" i="10"/>
  <c r="AN10" i="10" s="1"/>
  <c r="V10" i="10"/>
  <c r="AJ10" i="10" s="1"/>
  <c r="X10" i="10"/>
  <c r="AL10" i="10" s="1"/>
  <c r="AR10" i="10"/>
  <c r="Y10" i="10"/>
  <c r="AM10" i="10" s="1"/>
  <c r="Q10" i="10"/>
  <c r="AA10" i="10"/>
  <c r="AO10" i="10" s="1"/>
  <c r="W10" i="10"/>
  <c r="AK10" i="10" s="1"/>
  <c r="U10" i="10"/>
  <c r="AI10" i="10" s="1"/>
  <c r="R14" i="10"/>
  <c r="AF14" i="10" s="1"/>
  <c r="R11" i="10"/>
  <c r="AF11" i="10" s="1"/>
  <c r="AB6" i="10" a="1"/>
  <c r="AB6" i="10" s="1"/>
  <c r="AC6" i="10" a="1"/>
  <c r="AC6" i="10" s="1"/>
  <c r="Z19" i="10"/>
  <c r="AN19" i="10" s="1"/>
  <c r="V18" i="10"/>
  <c r="AJ18" i="10" s="1"/>
  <c r="AR13" i="10"/>
  <c r="AA13" i="10"/>
  <c r="AO13" i="10" s="1"/>
  <c r="W13" i="10"/>
  <c r="AK13" i="10" s="1"/>
  <c r="X13" i="10"/>
  <c r="AL13" i="10" s="1"/>
  <c r="Y13" i="10"/>
  <c r="AM13" i="10" s="1"/>
  <c r="R13" i="10"/>
  <c r="AF13" i="10" s="1"/>
  <c r="Z13" i="10"/>
  <c r="AN13" i="10" s="1"/>
  <c r="AP6" i="10" l="1" a="1"/>
  <c r="AP6" i="10" s="1"/>
  <c r="AQ6" i="10" a="1"/>
  <c r="AQ6" i="10" s="1"/>
  <c r="AR6" i="10" s="1"/>
  <c r="AC14" i="10" a="1"/>
  <c r="AC14" i="10" s="1"/>
  <c r="AE14" i="10"/>
  <c r="AB14" i="10" a="1"/>
  <c r="AB14" i="10" s="1"/>
  <c r="AB13" i="10" a="1"/>
  <c r="AB13" i="10" s="1"/>
  <c r="AP9" i="10" a="1"/>
  <c r="AP9" i="10" s="1"/>
  <c r="AQ9" i="10" a="1"/>
  <c r="AQ9" i="10" s="1"/>
  <c r="AB19" i="10" a="1"/>
  <c r="AB19" i="10" s="1"/>
  <c r="AP13" i="10" a="1"/>
  <c r="AP13" i="10" s="1"/>
  <c r="AQ13" i="10" a="1"/>
  <c r="AQ13" i="10" s="1"/>
  <c r="AE11" i="10"/>
  <c r="AB11" i="10" a="1"/>
  <c r="AB11" i="10" s="1"/>
  <c r="AC11" i="10" a="1"/>
  <c r="AC11" i="10" s="1"/>
  <c r="AQ15" i="10" a="1"/>
  <c r="AQ15" i="10" s="1"/>
  <c r="AP15" i="10" a="1"/>
  <c r="AP15" i="10" s="1"/>
  <c r="AQ19" i="10" a="1"/>
  <c r="AQ19" i="10" s="1"/>
  <c r="AP19" i="10" a="1"/>
  <c r="AP19" i="10" s="1"/>
  <c r="AC10" i="10" a="1"/>
  <c r="AC10" i="10" s="1"/>
  <c r="AB10" i="10" a="1"/>
  <c r="AB10" i="10" s="1"/>
  <c r="AE10" i="10"/>
  <c r="AE8" i="10"/>
  <c r="AB8" i="10" a="1"/>
  <c r="AB8" i="10" s="1"/>
  <c r="AC8" i="10" a="1"/>
  <c r="AC8" i="10" s="1"/>
  <c r="AQ7" i="10" a="1"/>
  <c r="AQ7" i="10" s="1"/>
  <c r="AP7" i="10" a="1"/>
  <c r="AP7" i="10" s="1"/>
  <c r="AC18" i="10" a="1"/>
  <c r="AC18" i="10" s="1"/>
  <c r="AE18" i="10"/>
  <c r="AB18" i="10" a="1"/>
  <c r="AB18" i="10" s="1"/>
  <c r="AC19" i="10" a="1"/>
  <c r="AC19" i="10" s="1"/>
  <c r="AP12" i="10" a="1"/>
  <c r="AP12" i="10" s="1"/>
  <c r="AQ12" i="10" a="1"/>
  <c r="AQ12" i="10" s="1"/>
  <c r="AC13" i="10" a="1"/>
  <c r="AC13" i="10" s="1"/>
  <c r="AE17" i="10"/>
  <c r="AB17" i="10" a="1"/>
  <c r="AB17" i="10" s="1"/>
  <c r="AC17" i="10" a="1"/>
  <c r="AC17" i="10" s="1"/>
  <c r="AP18" i="10" l="1" a="1"/>
  <c r="AP18" i="10" s="1"/>
  <c r="AQ18" i="10" a="1"/>
  <c r="AQ18" i="10" s="1"/>
  <c r="AP11" i="10" a="1"/>
  <c r="AP11" i="10" s="1"/>
  <c r="AQ11" i="10" a="1"/>
  <c r="AQ11" i="10" s="1"/>
  <c r="AQ22" i="10" s="1"/>
  <c r="AP14" i="10" a="1"/>
  <c r="AP14" i="10" s="1"/>
  <c r="AQ14" i="10" a="1"/>
  <c r="AQ14" i="10" s="1"/>
  <c r="AP17" i="10" a="1"/>
  <c r="AP17" i="10" s="1"/>
  <c r="AQ17" i="10" a="1"/>
  <c r="AQ17" i="10" s="1"/>
  <c r="AQ8" i="10" a="1"/>
  <c r="AQ8" i="10" s="1"/>
  <c r="AP8" i="10" a="1"/>
  <c r="AP8" i="10" s="1"/>
  <c r="AQ10" i="10" a="1"/>
  <c r="AQ10" i="10" s="1"/>
  <c r="AP10" i="10" a="1"/>
  <c r="AP10" i="10" s="1"/>
  <c r="AQ21" i="10" l="1"/>
  <c r="C24" i="7" l="1" a="1"/>
  <c r="D24" i="7" l="1"/>
  <c r="C24" i="7"/>
  <c r="C19" i="7" l="1"/>
  <c r="C15" i="7"/>
  <c r="C11" i="7"/>
  <c r="C18" i="7"/>
  <c r="C14" i="7"/>
  <c r="C10" i="7"/>
  <c r="C21" i="7"/>
  <c r="C17" i="7"/>
  <c r="C13" i="7"/>
  <c r="C12" i="7"/>
  <c r="C16" i="7"/>
  <c r="C20" i="7"/>
  <c r="D16" i="7" l="1"/>
  <c r="E16" i="7"/>
  <c r="D21" i="7"/>
  <c r="E21" i="7"/>
  <c r="D12" i="7"/>
  <c r="E12" i="7"/>
  <c r="E10" i="7"/>
  <c r="D10" i="7"/>
  <c r="D15" i="7"/>
  <c r="E15" i="7"/>
  <c r="D19" i="7"/>
  <c r="E19" i="7"/>
  <c r="E13" i="7"/>
  <c r="D13" i="7"/>
  <c r="E14" i="7"/>
  <c r="D14" i="7"/>
  <c r="D20" i="7"/>
  <c r="E20" i="7"/>
  <c r="E17" i="7"/>
  <c r="D17" i="7"/>
  <c r="D18" i="7"/>
  <c r="E18" i="7"/>
  <c r="D11" i="7"/>
  <c r="E11" i="7"/>
  <c r="D5" i="7" l="1"/>
  <c r="D4" i="7"/>
  <c r="D9" i="5" l="1" a="1"/>
  <c r="D9" i="5" s="1"/>
  <c r="E12" i="5"/>
  <c r="F12" i="5" s="1"/>
  <c r="E13" i="5"/>
  <c r="F13" i="5" s="1"/>
  <c r="E14" i="5"/>
  <c r="F14" i="5" s="1"/>
  <c r="E15" i="5"/>
  <c r="F15" i="5" s="1"/>
  <c r="E16" i="5"/>
  <c r="F16" i="5" s="1"/>
  <c r="E17" i="5"/>
  <c r="F17" i="5" s="1"/>
  <c r="E18" i="5"/>
  <c r="F18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30" i="5"/>
  <c r="F30" i="5" s="1"/>
  <c r="E31" i="5"/>
  <c r="F31" i="5" s="1"/>
  <c r="E32" i="5"/>
  <c r="F32" i="5" s="1"/>
  <c r="E33" i="5"/>
  <c r="F33" i="5" s="1"/>
  <c r="E34" i="5"/>
  <c r="F34" i="5" s="1"/>
  <c r="E35" i="5"/>
  <c r="F35" i="5" s="1"/>
  <c r="E37" i="5"/>
  <c r="F37" i="5" s="1"/>
  <c r="E39" i="5"/>
  <c r="F39" i="5" s="1"/>
  <c r="E40" i="5"/>
  <c r="F40" i="5" s="1"/>
  <c r="E42" i="5"/>
  <c r="F42" i="5" s="1"/>
  <c r="E43" i="5"/>
  <c r="F43" i="5" s="1"/>
  <c r="E44" i="5"/>
  <c r="F44" i="5" s="1"/>
  <c r="E45" i="5"/>
  <c r="F45" i="5" s="1"/>
  <c r="E47" i="5"/>
  <c r="F47" i="5" s="1"/>
  <c r="E48" i="5"/>
  <c r="F48" i="5" s="1"/>
  <c r="E49" i="5"/>
  <c r="F49" i="5" s="1"/>
  <c r="E51" i="5"/>
  <c r="F51" i="5" s="1"/>
  <c r="E52" i="5"/>
  <c r="F52" i="5" s="1"/>
  <c r="E53" i="5"/>
  <c r="F53" i="5" s="1"/>
  <c r="E60" i="5"/>
  <c r="F60" i="5" s="1"/>
  <c r="E61" i="5"/>
  <c r="F61" i="5" s="1"/>
  <c r="E62" i="5"/>
  <c r="F62" i="5" s="1"/>
  <c r="E70" i="5"/>
  <c r="F70" i="5" s="1"/>
  <c r="E71" i="5"/>
  <c r="F71" i="5" s="1"/>
  <c r="E79" i="5"/>
  <c r="F79" i="5" s="1"/>
  <c r="E80" i="5"/>
  <c r="F80" i="5" s="1"/>
  <c r="E89" i="5"/>
  <c r="F89" i="5" s="1"/>
  <c r="E9" i="5"/>
  <c r="F9" i="5" s="1"/>
  <c r="D14" i="5" l="1" a="1"/>
  <c r="D14" i="5" s="1"/>
  <c r="D22" i="5" a="1"/>
  <c r="D22" i="5" s="1"/>
  <c r="D31" i="5" a="1"/>
  <c r="D31" i="5" s="1"/>
  <c r="D39" i="5" a="1"/>
  <c r="D39" i="5" s="1"/>
  <c r="D47" i="5" a="1"/>
  <c r="D47" i="5" s="1"/>
  <c r="D55" i="5" a="1"/>
  <c r="D55" i="5" s="1"/>
  <c r="E55" i="5" s="1"/>
  <c r="F55" i="5" s="1"/>
  <c r="D63" i="5" a="1"/>
  <c r="D63" i="5" s="1"/>
  <c r="E63" i="5" s="1"/>
  <c r="F63" i="5" s="1"/>
  <c r="D71" i="5" a="1"/>
  <c r="D71" i="5" s="1"/>
  <c r="D79" i="5" a="1"/>
  <c r="D79" i="5" s="1"/>
  <c r="D87" i="5" a="1"/>
  <c r="D87" i="5" s="1"/>
  <c r="E87" i="5" s="1"/>
  <c r="F87" i="5" s="1"/>
  <c r="D95" i="5" a="1"/>
  <c r="D95" i="5" s="1"/>
  <c r="E95" i="5" s="1"/>
  <c r="F95" i="5" s="1"/>
  <c r="D100" i="5" a="1"/>
  <c r="D100" i="5" s="1"/>
  <c r="E100" i="5" s="1"/>
  <c r="F100" i="5" s="1"/>
  <c r="D104" i="5" a="1"/>
  <c r="D104" i="5" s="1"/>
  <c r="E104" i="5" s="1"/>
  <c r="F104" i="5" s="1"/>
  <c r="D30" i="5" a="1"/>
  <c r="D30" i="5" s="1"/>
  <c r="D17" i="5" a="1"/>
  <c r="D17" i="5" s="1"/>
  <c r="D25" i="5" a="1"/>
  <c r="D25" i="5" s="1"/>
  <c r="D32" i="5" a="1"/>
  <c r="D32" i="5" s="1"/>
  <c r="D40" i="5" a="1"/>
  <c r="D40" i="5" s="1"/>
  <c r="D48" i="5" a="1"/>
  <c r="D48" i="5" s="1"/>
  <c r="D56" i="5" a="1"/>
  <c r="D56" i="5" s="1"/>
  <c r="E56" i="5" s="1"/>
  <c r="F56" i="5" s="1"/>
  <c r="D64" i="5" a="1"/>
  <c r="D64" i="5" s="1"/>
  <c r="E64" i="5" s="1"/>
  <c r="F64" i="5" s="1"/>
  <c r="D72" i="5" a="1"/>
  <c r="D72" i="5" s="1"/>
  <c r="E72" i="5" s="1"/>
  <c r="F72" i="5" s="1"/>
  <c r="D80" i="5" a="1"/>
  <c r="D80" i="5" s="1"/>
  <c r="D88" i="5" a="1"/>
  <c r="D88" i="5" s="1"/>
  <c r="E88" i="5" s="1"/>
  <c r="F88" i="5" s="1"/>
  <c r="D96" i="5" a="1"/>
  <c r="D96" i="5" s="1"/>
  <c r="E96" i="5" s="1"/>
  <c r="F96" i="5" s="1"/>
  <c r="D101" i="5" a="1"/>
  <c r="D101" i="5" s="1"/>
  <c r="E101" i="5" s="1"/>
  <c r="F101" i="5" s="1"/>
  <c r="D106" i="5" a="1"/>
  <c r="D106" i="5" s="1"/>
  <c r="E106" i="5" s="1"/>
  <c r="F106" i="5" s="1"/>
  <c r="D10" i="5" a="1"/>
  <c r="D10" i="5" s="1"/>
  <c r="E10" i="5" s="1"/>
  <c r="F10" i="5" s="1"/>
  <c r="D18" i="5" a="1"/>
  <c r="D18" i="5" s="1"/>
  <c r="D26" i="5" a="1"/>
  <c r="D26" i="5" s="1"/>
  <c r="D35" i="5" a="1"/>
  <c r="D35" i="5" s="1"/>
  <c r="D43" i="5" a="1"/>
  <c r="D43" i="5" s="1"/>
  <c r="D51" i="5" a="1"/>
  <c r="D51" i="5" s="1"/>
  <c r="D59" i="5" a="1"/>
  <c r="D59" i="5" s="1"/>
  <c r="E59" i="5" s="1"/>
  <c r="F59" i="5" s="1"/>
  <c r="D67" i="5" a="1"/>
  <c r="D67" i="5" s="1"/>
  <c r="E67" i="5" s="1"/>
  <c r="F67" i="5" s="1"/>
  <c r="D75" i="5" a="1"/>
  <c r="D75" i="5" s="1"/>
  <c r="E75" i="5" s="1"/>
  <c r="F75" i="5" s="1"/>
  <c r="D83" i="5" a="1"/>
  <c r="D83" i="5" s="1"/>
  <c r="E83" i="5" s="1"/>
  <c r="F83" i="5" s="1"/>
  <c r="D91" i="5" a="1"/>
  <c r="D91" i="5" s="1"/>
  <c r="E91" i="5" s="1"/>
  <c r="F91" i="5" s="1"/>
  <c r="D98" i="5" a="1"/>
  <c r="D98" i="5" s="1"/>
  <c r="E98" i="5" s="1"/>
  <c r="F98" i="5" s="1"/>
  <c r="D107" i="5" a="1"/>
  <c r="D107" i="5" s="1"/>
  <c r="E107" i="5" s="1"/>
  <c r="F107" i="5" s="1"/>
  <c r="D13" i="5" a="1"/>
  <c r="D13" i="5" s="1"/>
  <c r="D21" i="5" a="1"/>
  <c r="D21" i="5" s="1"/>
  <c r="D29" i="5" a="1"/>
  <c r="D29" i="5" s="1"/>
  <c r="E29" i="5" s="1"/>
  <c r="F29" i="5" s="1"/>
  <c r="D36" i="5" a="1"/>
  <c r="D36" i="5" s="1"/>
  <c r="E36" i="5" s="1"/>
  <c r="F36" i="5" s="1"/>
  <c r="D44" i="5" a="1"/>
  <c r="D44" i="5" s="1"/>
  <c r="D52" i="5" a="1"/>
  <c r="D52" i="5" s="1"/>
  <c r="D60" i="5" a="1"/>
  <c r="D60" i="5" s="1"/>
  <c r="D68" i="5" a="1"/>
  <c r="D68" i="5" s="1"/>
  <c r="E68" i="5" s="1"/>
  <c r="F68" i="5" s="1"/>
  <c r="D76" i="5" a="1"/>
  <c r="D76" i="5" s="1"/>
  <c r="E76" i="5" s="1"/>
  <c r="F76" i="5" s="1"/>
  <c r="D84" i="5" a="1"/>
  <c r="D84" i="5" s="1"/>
  <c r="E84" i="5" s="1"/>
  <c r="F84" i="5" s="1"/>
  <c r="D92" i="5" a="1"/>
  <c r="D92" i="5" s="1"/>
  <c r="E92" i="5" s="1"/>
  <c r="F92" i="5" s="1"/>
  <c r="D99" i="5" a="1"/>
  <c r="D99" i="5" s="1"/>
  <c r="E99" i="5" s="1"/>
  <c r="F99" i="5" s="1"/>
  <c r="D103" i="5" a="1"/>
  <c r="D103" i="5" s="1"/>
  <c r="E103" i="5" s="1"/>
  <c r="F103" i="5" s="1"/>
  <c r="D105" i="5" a="1"/>
  <c r="D105" i="5" s="1"/>
  <c r="E105" i="5" s="1"/>
  <c r="F105" i="5" s="1"/>
  <c r="D102" i="5" a="1"/>
  <c r="D102" i="5" s="1"/>
  <c r="E102" i="5" s="1"/>
  <c r="F102" i="5" s="1"/>
  <c r="D97" i="5" a="1"/>
  <c r="D97" i="5" s="1"/>
  <c r="E97" i="5" s="1"/>
  <c r="F97" i="5" s="1"/>
  <c r="D94" i="5" a="1"/>
  <c r="D94" i="5" s="1"/>
  <c r="E94" i="5" s="1"/>
  <c r="F94" i="5" s="1"/>
  <c r="D89" i="5" a="1"/>
  <c r="D89" i="5" s="1"/>
  <c r="D86" i="5" a="1"/>
  <c r="D86" i="5" s="1"/>
  <c r="E86" i="5" s="1"/>
  <c r="F86" i="5" s="1"/>
  <c r="D81" i="5" a="1"/>
  <c r="D81" i="5" s="1"/>
  <c r="E81" i="5" s="1"/>
  <c r="F81" i="5" s="1"/>
  <c r="D78" i="5" a="1"/>
  <c r="D78" i="5" s="1"/>
  <c r="E78" i="5" s="1"/>
  <c r="F78" i="5" s="1"/>
  <c r="D73" i="5" a="1"/>
  <c r="D73" i="5" s="1"/>
  <c r="E73" i="5" s="1"/>
  <c r="F73" i="5" s="1"/>
  <c r="D70" i="5" a="1"/>
  <c r="D70" i="5" s="1"/>
  <c r="D65" i="5" a="1"/>
  <c r="D65" i="5" s="1"/>
  <c r="E65" i="5" s="1"/>
  <c r="F65" i="5" s="1"/>
  <c r="D62" i="5" a="1"/>
  <c r="D62" i="5" s="1"/>
  <c r="D57" i="5" a="1"/>
  <c r="D57" i="5" s="1"/>
  <c r="E57" i="5" s="1"/>
  <c r="F57" i="5" s="1"/>
  <c r="D54" i="5" a="1"/>
  <c r="D54" i="5" s="1"/>
  <c r="E54" i="5" s="1"/>
  <c r="F54" i="5" s="1"/>
  <c r="D49" i="5" a="1"/>
  <c r="D49" i="5" s="1"/>
  <c r="D46" i="5" a="1"/>
  <c r="D46" i="5" s="1"/>
  <c r="E46" i="5" s="1"/>
  <c r="F46" i="5" s="1"/>
  <c r="D41" i="5" a="1"/>
  <c r="D41" i="5" s="1"/>
  <c r="E41" i="5" s="1"/>
  <c r="F41" i="5" s="1"/>
  <c r="D38" i="5" a="1"/>
  <c r="D38" i="5" s="1"/>
  <c r="E38" i="5" s="1"/>
  <c r="F38" i="5" s="1"/>
  <c r="D33" i="5" a="1"/>
  <c r="D33" i="5" s="1"/>
  <c r="D27" i="5" a="1"/>
  <c r="D27" i="5" s="1"/>
  <c r="D24" i="5" a="1"/>
  <c r="D24" i="5" s="1"/>
  <c r="D19" i="5" a="1"/>
  <c r="D19" i="5" s="1"/>
  <c r="E19" i="5" s="1"/>
  <c r="F19" i="5" s="1"/>
  <c r="D16" i="5" a="1"/>
  <c r="D16" i="5" s="1"/>
  <c r="D11" i="5" a="1"/>
  <c r="D11" i="5" s="1"/>
  <c r="E11" i="5" s="1"/>
  <c r="F11" i="5" s="1"/>
  <c r="D93" i="5" a="1"/>
  <c r="D93" i="5" s="1"/>
  <c r="E93" i="5" s="1"/>
  <c r="F93" i="5" s="1"/>
  <c r="D90" i="5" a="1"/>
  <c r="D90" i="5" s="1"/>
  <c r="E90" i="5" s="1"/>
  <c r="F90" i="5" s="1"/>
  <c r="D85" i="5" a="1"/>
  <c r="D85" i="5" s="1"/>
  <c r="E85" i="5" s="1"/>
  <c r="F85" i="5" s="1"/>
  <c r="D82" i="5" a="1"/>
  <c r="D82" i="5" s="1"/>
  <c r="E82" i="5" s="1"/>
  <c r="F82" i="5" s="1"/>
  <c r="D77" i="5" a="1"/>
  <c r="D77" i="5" s="1"/>
  <c r="E77" i="5" s="1"/>
  <c r="F77" i="5" s="1"/>
  <c r="D74" i="5" a="1"/>
  <c r="D74" i="5" s="1"/>
  <c r="E74" i="5" s="1"/>
  <c r="F74" i="5" s="1"/>
  <c r="D69" i="5" a="1"/>
  <c r="D69" i="5" s="1"/>
  <c r="E69" i="5" s="1"/>
  <c r="F69" i="5" s="1"/>
  <c r="D66" i="5" a="1"/>
  <c r="D66" i="5" s="1"/>
  <c r="E66" i="5" s="1"/>
  <c r="F66" i="5" s="1"/>
  <c r="D61" i="5" a="1"/>
  <c r="D61" i="5" s="1"/>
  <c r="D58" i="5" a="1"/>
  <c r="D58" i="5" s="1"/>
  <c r="E58" i="5" s="1"/>
  <c r="F58" i="5" s="1"/>
  <c r="D53" i="5" a="1"/>
  <c r="D53" i="5" s="1"/>
  <c r="D50" i="5" a="1"/>
  <c r="D50" i="5" s="1"/>
  <c r="E50" i="5" s="1"/>
  <c r="F50" i="5" s="1"/>
  <c r="D45" i="5" a="1"/>
  <c r="D45" i="5" s="1"/>
  <c r="D42" i="5" a="1"/>
  <c r="D42" i="5" s="1"/>
  <c r="D37" i="5" a="1"/>
  <c r="D37" i="5" s="1"/>
  <c r="D34" i="5" a="1"/>
  <c r="D34" i="5" s="1"/>
  <c r="D28" i="5" a="1"/>
  <c r="D28" i="5" s="1"/>
  <c r="E28" i="5" s="1"/>
  <c r="F28" i="5" s="1"/>
  <c r="D23" i="5" a="1"/>
  <c r="D23" i="5" s="1"/>
  <c r="D20" i="5" a="1"/>
  <c r="D20" i="5" s="1"/>
  <c r="E20" i="5" s="1"/>
  <c r="F20" i="5" s="1"/>
  <c r="D15" i="5" a="1"/>
  <c r="D15" i="5" s="1"/>
  <c r="D12" i="5" a="1"/>
  <c r="D12" i="5" s="1"/>
  <c r="F3" i="5" l="1"/>
</calcChain>
</file>

<file path=xl/sharedStrings.xml><?xml version="1.0" encoding="utf-8"?>
<sst xmlns="http://schemas.openxmlformats.org/spreadsheetml/2006/main" count="408" uniqueCount="132">
  <si>
    <t>RTO</t>
  </si>
  <si>
    <t>MAAC</t>
  </si>
  <si>
    <t>EMAAC</t>
  </si>
  <si>
    <t>SWMAAC</t>
  </si>
  <si>
    <t>PSEG</t>
  </si>
  <si>
    <t>PS-North</t>
  </si>
  <si>
    <t>DPL-South</t>
  </si>
  <si>
    <t>PEPCO</t>
  </si>
  <si>
    <t>ATSI</t>
  </si>
  <si>
    <t>ATSI-C</t>
  </si>
  <si>
    <t>COMED</t>
  </si>
  <si>
    <t>BGE</t>
  </si>
  <si>
    <t>PL</t>
  </si>
  <si>
    <t>For 2011: No zones were modeled, but CETL was calculated for two.</t>
  </si>
  <si>
    <t>Data Source: PJM Planning Parameters, Available at: http://www.pjm.com/markets-and-operations/rpm/rpm-auction-user-info.aspx</t>
  </si>
  <si>
    <t>Average</t>
  </si>
  <si>
    <t>n/a</t>
  </si>
  <si>
    <t>LDA</t>
  </si>
  <si>
    <t>Year</t>
  </si>
  <si>
    <t>Percentage Delta</t>
  </si>
  <si>
    <t>(MW)</t>
  </si>
  <si>
    <t>(%)</t>
  </si>
  <si>
    <t>ATSI-Cleveland</t>
  </si>
  <si>
    <t xml:space="preserve">CETL Average Across Years in LDA </t>
  </si>
  <si>
    <t>CETL in that Year</t>
  </si>
  <si>
    <t>Calculate CETL Shock</t>
  </si>
  <si>
    <t>Absolute Delta of CETL from Average</t>
  </si>
  <si>
    <r>
      <t xml:space="preserve">Notes - From PJM Manual 18: Handy Whitman Index (HWI) for a Delivery Year is the most recently published </t>
    </r>
    <r>
      <rPr>
        <b/>
        <sz val="11"/>
        <color theme="1"/>
        <rFont val="Calibri"/>
        <family val="2"/>
        <scheme val="minor"/>
      </rPr>
      <t>twelve-month change in Total Other Plant Production Plant Index</t>
    </r>
    <r>
      <rPr>
        <sz val="11"/>
        <color theme="1"/>
        <rFont val="Calibri"/>
        <family val="2"/>
        <scheme val="minor"/>
      </rPr>
      <t xml:space="preserve"> shown in the </t>
    </r>
    <r>
      <rPr>
        <b/>
        <sz val="11"/>
        <color theme="1"/>
        <rFont val="Calibri"/>
        <family val="2"/>
        <scheme val="minor"/>
      </rPr>
      <t>Handy Whitman Index (HWI) of Public Utility Construction Costs</t>
    </r>
    <r>
      <rPr>
        <sz val="11"/>
        <color theme="1"/>
        <rFont val="Calibri"/>
        <family val="2"/>
        <scheme val="minor"/>
      </rPr>
      <t xml:space="preserve">. The </t>
    </r>
    <r>
      <rPr>
        <b/>
        <sz val="11"/>
        <color theme="1"/>
        <rFont val="Calibri"/>
        <family val="2"/>
        <scheme val="minor"/>
      </rPr>
      <t>North Atlantic Region</t>
    </r>
    <r>
      <rPr>
        <sz val="11"/>
        <color theme="1"/>
        <rFont val="Calibri"/>
        <family val="2"/>
        <scheme val="minor"/>
      </rPr>
      <t xml:space="preserve"> HWI is used for the PJM Region and for CONE Areas 1, 2, and 4.</t>
    </r>
  </si>
  <si>
    <t>From 2001 onwards the July HW index is considered.</t>
  </si>
  <si>
    <t>Average&gt;&gt;</t>
  </si>
  <si>
    <t>Delta from Trendline (after 2002)</t>
  </si>
  <si>
    <t>Error Bars</t>
  </si>
  <si>
    <t>H-W Cost Index Number</t>
  </si>
  <si>
    <t xml:space="preserve">Regression Value </t>
  </si>
  <si>
    <t>StDev (Gross CONE Shock)&gt;&gt;</t>
  </si>
  <si>
    <t>ZONE_NAME</t>
  </si>
  <si>
    <t>St Dev</t>
  </si>
  <si>
    <t>AECO</t>
  </si>
  <si>
    <t>DPL</t>
  </si>
  <si>
    <t>JCPL</t>
  </si>
  <si>
    <t>PECO</t>
  </si>
  <si>
    <t>RECO</t>
  </si>
  <si>
    <t>AEP</t>
  </si>
  <si>
    <t>APS</t>
  </si>
  <si>
    <t>DAY</t>
  </si>
  <si>
    <t>DUQ</t>
  </si>
  <si>
    <t>METED</t>
  </si>
  <si>
    <t>PENELEC</t>
  </si>
  <si>
    <t>PPL</t>
  </si>
  <si>
    <t>DOM</t>
  </si>
  <si>
    <t>Notes:</t>
  </si>
  <si>
    <t>CT Residuals: % Above (Below) Linear Trend in CT Energy Margins Across Years</t>
  </si>
  <si>
    <t>Starting point was PJM confidential data on zonal E&amp;AS estimates for a CT.</t>
  </si>
  <si>
    <t>Standard Deviation (CETL Shock) &gt;&gt;</t>
  </si>
  <si>
    <t>Ave of St Devs (EAS Shock)&gt;&gt;</t>
  </si>
  <si>
    <t>Fitted a linear trend across years (one for each zone), and calculated the residual as a % of estimated value.</t>
  </si>
  <si>
    <t>Source: PJM Planning Parameters available at http://www.pjm.com/markets-and-operations/rpm/rpm-auction-user-info.aspx</t>
  </si>
  <si>
    <t>Delivery Year&gt;&gt;</t>
  </si>
  <si>
    <t>StDev</t>
  </si>
  <si>
    <t>(absolute)</t>
  </si>
  <si>
    <t>(% of average)</t>
  </si>
  <si>
    <t>Modeled</t>
  </si>
  <si>
    <t>PS-N</t>
  </si>
  <si>
    <t>DPL-S</t>
  </si>
  <si>
    <t>Slope</t>
  </si>
  <si>
    <t>Intercept</t>
  </si>
  <si>
    <t>Reliability Requirement or FRP by Planning Year</t>
  </si>
  <si>
    <t>(% PL)</t>
  </si>
  <si>
    <t>Delta from Average Rel Req (RR - Average RR)</t>
  </si>
  <si>
    <t>Delta as Percent of Average Reliability Requirement</t>
  </si>
  <si>
    <t>StDev (Rel Req. Shock)</t>
  </si>
  <si>
    <t xml:space="preserve">2016/17 Supply Offer </t>
  </si>
  <si>
    <t>I Total Offers</t>
  </si>
  <si>
    <t>II Yr 2 Offer minus 
Yr 1 Offer</t>
  </si>
  <si>
    <t>III Deviation from Trend</t>
  </si>
  <si>
    <t>RTO No Adj</t>
  </si>
  <si>
    <t>Total Supply Offered by Delivery Year</t>
  </si>
  <si>
    <t>Standard Deviation of Historical "Shocks"</t>
  </si>
  <si>
    <t>St Dev. Of Shocks</t>
  </si>
  <si>
    <t>Total Offers</t>
  </si>
  <si>
    <t>Annual Change in Offer</t>
  </si>
  <si>
    <t>Diff. from Trend</t>
  </si>
  <si>
    <t xml:space="preserve">Model Input Value </t>
  </si>
  <si>
    <t>Model Output in 1,000 Draws</t>
  </si>
  <si>
    <t>RTO Including Subzones</t>
  </si>
  <si>
    <t>Total Offered (No Adjustments)</t>
  </si>
  <si>
    <t>Adjust for Expansions Only</t>
  </si>
  <si>
    <t>[A]</t>
  </si>
  <si>
    <t>Adjust for FRR Only</t>
  </si>
  <si>
    <t>[B]</t>
  </si>
  <si>
    <t>Adjust for Expansions and FRR</t>
  </si>
  <si>
    <t>[C]</t>
  </si>
  <si>
    <t>Parent LDAs Including Sub-LDAs</t>
  </si>
  <si>
    <t>Average LDA Shock</t>
  </si>
  <si>
    <t>Smallest LDAs</t>
  </si>
  <si>
    <t>[A]:</t>
  </si>
  <si>
    <t>Supply located in ATSI, DEOK, and EKPC zones are subtracted from Rest of RTO Supply.</t>
  </si>
  <si>
    <t>[B]:</t>
  </si>
  <si>
    <t xml:space="preserve">Supply from FRR is subtracted from Rest of RTO Supply in 2015/16.  Supply from FRR is assumed to be equal to the decrease in the FRR obligation </t>
  </si>
  <si>
    <t>between 2014/14 and 2015/16.</t>
  </si>
  <si>
    <t>[C]:</t>
  </si>
  <si>
    <t>The adjustmens from [1] and [2] are combined.  For the FRR, adjustment, the portion of the decrease in FRR obligation due to DEOK is not included.</t>
  </si>
  <si>
    <t>Standard deviation of total supply offers by delivery year.</t>
  </si>
  <si>
    <t>Standard deviation of year to year delta in total supply offer.</t>
  </si>
  <si>
    <t>Standard deviation of MW difference from a linear time trend of total supply offer.</t>
  </si>
  <si>
    <t>Column [1] divided by average total historical supply offer.</t>
  </si>
  <si>
    <t>Column [2] divided by average total historical supply offer.</t>
  </si>
  <si>
    <t>Column [3] divided by average total historical supply offer.</t>
  </si>
  <si>
    <t>Realized standard deviation from [7] over 1,000 draws after Monte Carlo implementation (may differ slightly at finite number of draws).</t>
  </si>
  <si>
    <t>Plot Data for Comparison</t>
  </si>
  <si>
    <t xml:space="preserve">Historical Shock Standard Deviations </t>
  </si>
  <si>
    <t>Supply Offers</t>
  </si>
  <si>
    <t>Average Across Years</t>
  </si>
  <si>
    <t>Modeled Shocks</t>
  </si>
  <si>
    <t>Absolute</t>
  </si>
  <si>
    <t>Percent of 2016/17</t>
  </si>
  <si>
    <t>Supply Shocks</t>
  </si>
  <si>
    <t>StDev in Shocks (System LF Shock)</t>
  </si>
  <si>
    <t xml:space="preserve">RTO (Without Expansions) Load Forecast </t>
  </si>
  <si>
    <t>Calculate Shocks</t>
  </si>
  <si>
    <t>Forecast Year 2</t>
  </si>
  <si>
    <t>Forecast Year 1</t>
  </si>
  <si>
    <t>Delivery Year</t>
  </si>
  <si>
    <t>Forecast 2</t>
  </si>
  <si>
    <t>Forecast 1</t>
  </si>
  <si>
    <t>Shock Size</t>
  </si>
  <si>
    <t>Forecast Year</t>
  </si>
  <si>
    <t>(Yr)</t>
  </si>
  <si>
    <t>Dots</t>
  </si>
  <si>
    <t>a=</t>
  </si>
  <si>
    <t>b=</t>
  </si>
  <si>
    <t>Exponential formula of column [6] and average total historical supply offer. (y=a*e^bx)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</si>
</sst>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E+00"/>
    <numFmt numFmtId="165" formatCode="_(* #,##0_);_(* \(#,##0\);_(* &quot;-&quot;??_);_(@_)"/>
    <numFmt numFmtId="166" formatCode="0.000"/>
    <numFmt numFmtId="167" formatCode="0.0%"/>
    <numFmt numFmtId="168" formatCode="&quot;[&quot;#&quot;]&quot;"/>
    <numFmt numFmtId="169" formatCode="&quot;[&quot;#&quot;]:&quot;"/>
    <numFmt numFmtId="170" formatCode="0_);\(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2" tint="0.3999755851924192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7B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0000FF"/>
      <name val="Calibri"/>
      <family val="2"/>
    </font>
    <font>
      <sz val="10"/>
      <name val="Calibri"/>
      <family val="2"/>
    </font>
    <font>
      <sz val="10"/>
      <name val="Cambria"/>
      <family val="2"/>
      <scheme val="major"/>
    </font>
    <font>
      <i/>
      <sz val="10"/>
      <name val="Cambria"/>
      <family val="2"/>
      <scheme val="major"/>
    </font>
    <font>
      <sz val="10"/>
      <color rgb="FF7030A0"/>
      <name val="Calibri"/>
      <family val="2"/>
    </font>
    <font>
      <sz val="10"/>
      <color rgb="FF008000"/>
      <name val="Calibri"/>
      <family val="2"/>
    </font>
    <font>
      <i/>
      <sz val="10"/>
      <name val="Calibri"/>
      <family val="2"/>
    </font>
    <font>
      <b/>
      <sz val="10"/>
      <name val="Cambria"/>
      <family val="2"/>
      <scheme val="major"/>
    </font>
    <font>
      <b/>
      <sz val="10"/>
      <color rgb="FF0000FF"/>
      <name val="Calibri"/>
      <family val="2"/>
    </font>
    <font>
      <sz val="10"/>
      <color theme="0"/>
      <name val="Arial"/>
      <family val="2"/>
    </font>
    <font>
      <sz val="10"/>
      <color theme="7"/>
      <name val="Calibri"/>
      <family val="2"/>
    </font>
    <font>
      <sz val="11"/>
      <color rgb="FF7030A0"/>
      <name val="Calibri"/>
      <family val="2"/>
      <scheme val="minor"/>
    </font>
    <font>
      <sz val="11"/>
      <color rgb="FF007B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indexed="9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908444471571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9" fontId="10" fillId="0" borderId="0" applyFont="0" applyFill="0" applyBorder="0" applyAlignment="0" applyProtection="0"/>
    <xf numFmtId="4" fontId="16" fillId="9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6" fillId="9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5" fontId="16" fillId="9" borderId="0" applyFont="0" applyFill="0" applyBorder="0" applyAlignment="0" applyProtection="0"/>
    <xf numFmtId="0" fontId="16" fillId="9" borderId="0" applyFont="0" applyFill="0" applyBorder="0" applyAlignment="0" applyProtection="0"/>
    <xf numFmtId="2" fontId="16" fillId="9" borderId="0" applyFont="0" applyFill="0" applyBorder="0" applyAlignment="0" applyProtection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0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43" fontId="10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right"/>
    </xf>
    <xf numFmtId="0" fontId="6" fillId="3" borderId="0" xfId="0" applyFont="1" applyFill="1"/>
    <xf numFmtId="3" fontId="6" fillId="3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Fill="1"/>
    <xf numFmtId="3" fontId="7" fillId="0" borderId="0" xfId="0" applyNumberFormat="1" applyFont="1" applyFill="1"/>
    <xf numFmtId="0" fontId="5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2" fillId="2" borderId="0" xfId="0" applyNumberFormat="1" applyFont="1" applyFill="1"/>
    <xf numFmtId="0" fontId="8" fillId="0" borderId="0" xfId="0" applyFont="1" applyAlignment="1">
      <alignment horizontal="centerContinuous"/>
    </xf>
    <xf numFmtId="0" fontId="2" fillId="0" borderId="0" xfId="0" applyFont="1" applyBorder="1"/>
    <xf numFmtId="0" fontId="0" fillId="0" borderId="0" xfId="0" applyFill="1"/>
    <xf numFmtId="0" fontId="2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3" fontId="1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Fill="1" applyAlignment="1">
      <alignment vertical="top"/>
    </xf>
    <xf numFmtId="1" fontId="12" fillId="0" borderId="0" xfId="0" applyNumberFormat="1" applyFont="1" applyAlignment="1">
      <alignment vertical="top"/>
    </xf>
    <xf numFmtId="167" fontId="12" fillId="0" borderId="0" xfId="1" applyNumberFormat="1" applyFont="1" applyAlignment="1">
      <alignment vertical="top"/>
    </xf>
    <xf numFmtId="1" fontId="12" fillId="0" borderId="0" xfId="1" applyNumberFormat="1" applyFont="1" applyAlignment="1">
      <alignment vertical="top"/>
    </xf>
    <xf numFmtId="1" fontId="9" fillId="0" borderId="0" xfId="0" applyNumberFormat="1" applyFont="1" applyFill="1" applyAlignment="1">
      <alignment vertical="top"/>
    </xf>
    <xf numFmtId="0" fontId="0" fillId="0" borderId="0" xfId="0" applyFill="1" applyAlignment="1">
      <alignment vertical="top"/>
    </xf>
    <xf numFmtId="1" fontId="12" fillId="0" borderId="0" xfId="0" applyNumberFormat="1" applyFont="1" applyFill="1" applyAlignment="1">
      <alignment vertical="top"/>
    </xf>
    <xf numFmtId="167" fontId="12" fillId="0" borderId="0" xfId="1" applyNumberFormat="1" applyFont="1" applyFill="1" applyAlignment="1">
      <alignment vertical="top"/>
    </xf>
    <xf numFmtId="1" fontId="12" fillId="0" borderId="0" xfId="1" applyNumberFormat="1" applyFont="1" applyFill="1" applyAlignment="1">
      <alignment vertical="top"/>
    </xf>
    <xf numFmtId="0" fontId="0" fillId="4" borderId="0" xfId="0" applyFill="1" applyAlignment="1">
      <alignment vertical="top"/>
    </xf>
    <xf numFmtId="167" fontId="12" fillId="0" borderId="0" xfId="0" applyNumberFormat="1" applyFont="1" applyFill="1" applyAlignment="1">
      <alignment vertical="top"/>
    </xf>
    <xf numFmtId="167" fontId="12" fillId="4" borderId="0" xfId="0" applyNumberFormat="1" applyFont="1" applyFill="1" applyAlignment="1">
      <alignment vertical="top"/>
    </xf>
    <xf numFmtId="0" fontId="0" fillId="0" borderId="0" xfId="0" applyFill="1" applyAlignment="1">
      <alignment horizontal="right" vertical="top"/>
    </xf>
    <xf numFmtId="3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167" fontId="5" fillId="4" borderId="0" xfId="0" applyNumberFormat="1" applyFont="1" applyFill="1"/>
    <xf numFmtId="9" fontId="12" fillId="4" borderId="0" xfId="0" applyNumberFormat="1" applyFont="1" applyFill="1"/>
    <xf numFmtId="0" fontId="0" fillId="0" borderId="0" xfId="0" applyAlignment="1">
      <alignment horizontal="centerContinuous"/>
    </xf>
    <xf numFmtId="0" fontId="15" fillId="0" borderId="0" xfId="0" applyFont="1"/>
    <xf numFmtId="0" fontId="15" fillId="0" borderId="0" xfId="0" applyFont="1" applyFill="1"/>
    <xf numFmtId="167" fontId="18" fillId="0" borderId="0" xfId="1" applyNumberFormat="1" applyFont="1" applyFill="1"/>
    <xf numFmtId="167" fontId="5" fillId="0" borderId="0" xfId="1" applyNumberFormat="1" applyFont="1" applyFill="1"/>
    <xf numFmtId="9" fontId="5" fillId="0" borderId="0" xfId="1" applyFont="1" applyFill="1"/>
    <xf numFmtId="9" fontId="0" fillId="0" borderId="0" xfId="0" applyNumberFormat="1" applyFill="1"/>
    <xf numFmtId="167" fontId="2" fillId="0" borderId="0" xfId="1" applyNumberFormat="1" applyFont="1" applyFill="1"/>
    <xf numFmtId="0" fontId="0" fillId="2" borderId="0" xfId="0" applyFill="1" applyAlignment="1">
      <alignment horizontal="left" indent="1"/>
    </xf>
    <xf numFmtId="1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167" fontId="0" fillId="0" borderId="0" xfId="0" applyNumberFormat="1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2" fontId="2" fillId="0" borderId="0" xfId="0" applyNumberFormat="1" applyFont="1" applyBorder="1"/>
    <xf numFmtId="2" fontId="4" fillId="0" borderId="0" xfId="1" applyNumberFormat="1" applyFont="1" applyBorder="1"/>
    <xf numFmtId="10" fontId="2" fillId="0" borderId="0" xfId="1" applyNumberFormat="1" applyFont="1" applyBorder="1"/>
    <xf numFmtId="167" fontId="2" fillId="0" borderId="0" xfId="1" applyNumberFormat="1" applyFont="1" applyBorder="1"/>
    <xf numFmtId="2" fontId="5" fillId="0" borderId="0" xfId="1" applyNumberFormat="1" applyFont="1" applyBorder="1"/>
    <xf numFmtId="167" fontId="5" fillId="0" borderId="0" xfId="1" applyNumberFormat="1" applyFont="1" applyBorder="1"/>
    <xf numFmtId="167" fontId="4" fillId="0" borderId="0" xfId="1" applyNumberFormat="1" applyFont="1" applyBorder="1"/>
    <xf numFmtId="10" fontId="4" fillId="0" borderId="0" xfId="1" applyNumberFormat="1" applyFont="1" applyBorder="1"/>
    <xf numFmtId="0" fontId="5" fillId="0" borderId="0" xfId="0" applyFont="1" applyBorder="1"/>
    <xf numFmtId="166" fontId="5" fillId="0" borderId="0" xfId="0" applyNumberFormat="1" applyFont="1" applyBorder="1"/>
    <xf numFmtId="10" fontId="5" fillId="0" borderId="0" xfId="0" applyNumberFormat="1" applyFont="1" applyBorder="1"/>
    <xf numFmtId="0" fontId="2" fillId="10" borderId="0" xfId="0" applyFont="1" applyFill="1" applyBorder="1"/>
    <xf numFmtId="0" fontId="19" fillId="10" borderId="0" xfId="0" applyFont="1" applyFill="1" applyBorder="1" applyAlignment="1">
      <alignment horizontal="centerContinuous"/>
    </xf>
    <xf numFmtId="0" fontId="2" fillId="10" borderId="0" xfId="0" applyFont="1" applyFill="1" applyBorder="1" applyAlignment="1">
      <alignment horizontal="centerContinuous"/>
    </xf>
    <xf numFmtId="167" fontId="18" fillId="4" borderId="0" xfId="1" applyNumberFormat="1" applyFont="1" applyFill="1" applyBorder="1"/>
    <xf numFmtId="167" fontId="5" fillId="4" borderId="0" xfId="1" applyNumberFormat="1" applyFont="1" applyFill="1" applyBorder="1"/>
    <xf numFmtId="0" fontId="5" fillId="4" borderId="0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9" fillId="0" borderId="0" xfId="0" applyFont="1" applyBorder="1"/>
    <xf numFmtId="0" fontId="19" fillId="10" borderId="0" xfId="0" applyFont="1" applyFill="1" applyAlignment="1">
      <alignment horizontal="centerContinuous"/>
    </xf>
    <xf numFmtId="0" fontId="20" fillId="2" borderId="0" xfId="23" applyFont="1" applyFill="1" applyAlignment="1">
      <alignment vertical="top"/>
    </xf>
    <xf numFmtId="0" fontId="20" fillId="0" borderId="0" xfId="23" applyFont="1" applyFill="1" applyAlignment="1">
      <alignment vertical="top"/>
    </xf>
    <xf numFmtId="0" fontId="20" fillId="0" borderId="0" xfId="23" applyFont="1" applyFill="1" applyAlignment="1">
      <alignment horizontal="right" vertical="top"/>
    </xf>
    <xf numFmtId="0" fontId="24" fillId="0" borderId="0" xfId="23" applyFont="1" applyFill="1" applyAlignment="1">
      <alignment horizontal="right" vertical="top"/>
    </xf>
    <xf numFmtId="3" fontId="28" fillId="0" borderId="0" xfId="23" applyNumberFormat="1" applyFont="1" applyFill="1" applyAlignment="1">
      <alignment vertical="top"/>
    </xf>
    <xf numFmtId="9" fontId="28" fillId="0" borderId="0" xfId="24" applyFont="1" applyFill="1" applyAlignment="1">
      <alignment vertical="top"/>
    </xf>
    <xf numFmtId="0" fontId="24" fillId="0" borderId="2" xfId="23" applyFont="1" applyBorder="1" applyAlignment="1">
      <alignment vertical="top"/>
    </xf>
    <xf numFmtId="0" fontId="24" fillId="0" borderId="2" xfId="23" applyFont="1" applyBorder="1" applyAlignment="1">
      <alignment horizontal="left" vertical="top"/>
    </xf>
    <xf numFmtId="0" fontId="24" fillId="0" borderId="0" xfId="23" applyFont="1" applyBorder="1" applyAlignment="1">
      <alignment vertical="top"/>
    </xf>
    <xf numFmtId="0" fontId="20" fillId="0" borderId="0" xfId="23" applyFont="1" applyAlignment="1">
      <alignment vertical="top"/>
    </xf>
    <xf numFmtId="0" fontId="24" fillId="0" borderId="0" xfId="23" applyFont="1" applyAlignment="1">
      <alignment vertical="top"/>
    </xf>
    <xf numFmtId="0" fontId="24" fillId="0" borderId="0" xfId="23" applyFont="1" applyAlignment="1">
      <alignment horizontal="left" vertical="top"/>
    </xf>
    <xf numFmtId="0" fontId="21" fillId="0" borderId="3" xfId="23" applyFont="1" applyBorder="1" applyAlignment="1">
      <alignment horizontal="centerContinuous" vertical="top"/>
    </xf>
    <xf numFmtId="0" fontId="24" fillId="0" borderId="3" xfId="23" applyFont="1" applyBorder="1" applyAlignment="1">
      <alignment horizontal="centerContinuous" vertical="top"/>
    </xf>
    <xf numFmtId="0" fontId="29" fillId="0" borderId="0" xfId="23" applyFont="1" applyBorder="1" applyAlignment="1">
      <alignment horizontal="left" vertical="top"/>
    </xf>
    <xf numFmtId="0" fontId="21" fillId="0" borderId="3" xfId="23" applyFont="1" applyBorder="1" applyAlignment="1">
      <alignment horizontal="centerContinuous" vertical="top" wrapText="1"/>
    </xf>
    <xf numFmtId="0" fontId="24" fillId="0" borderId="3" xfId="23" applyFont="1" applyBorder="1" applyAlignment="1">
      <alignment horizontal="centerContinuous" vertical="top" wrapText="1"/>
    </xf>
    <xf numFmtId="0" fontId="21" fillId="0" borderId="1" xfId="23" applyFont="1" applyBorder="1" applyAlignment="1">
      <alignment horizontal="centerContinuous" vertical="top" wrapText="1"/>
    </xf>
    <xf numFmtId="0" fontId="24" fillId="0" borderId="1" xfId="23" applyFont="1" applyBorder="1" applyAlignment="1">
      <alignment horizontal="centerContinuous" vertical="top" wrapText="1"/>
    </xf>
    <xf numFmtId="0" fontId="24" fillId="0" borderId="0" xfId="23" applyFont="1" applyAlignment="1">
      <alignment horizontal="right" vertical="top"/>
    </xf>
    <xf numFmtId="0" fontId="24" fillId="0" borderId="0" xfId="23" applyFont="1" applyAlignment="1">
      <alignment horizontal="center" vertical="top" wrapText="1"/>
    </xf>
    <xf numFmtId="0" fontId="20" fillId="2" borderId="0" xfId="23" applyFont="1" applyFill="1" applyAlignment="1">
      <alignment horizontal="center" vertical="top"/>
    </xf>
    <xf numFmtId="0" fontId="24" fillId="0" borderId="0" xfId="23" applyFont="1" applyBorder="1" applyAlignment="1">
      <alignment horizontal="center" vertical="top"/>
    </xf>
    <xf numFmtId="0" fontId="29" fillId="0" borderId="0" xfId="23" applyFont="1" applyBorder="1" applyAlignment="1">
      <alignment horizontal="right" vertical="top"/>
    </xf>
    <xf numFmtId="0" fontId="29" fillId="0" borderId="0" xfId="23" applyFont="1" applyBorder="1" applyAlignment="1">
      <alignment horizontal="center" vertical="top"/>
    </xf>
    <xf numFmtId="0" fontId="29" fillId="0" borderId="0" xfId="23" applyFont="1" applyBorder="1" applyAlignment="1">
      <alignment horizontal="center" vertical="top" wrapText="1"/>
    </xf>
    <xf numFmtId="0" fontId="20" fillId="0" borderId="0" xfId="23" applyFont="1" applyAlignment="1">
      <alignment horizontal="center" vertical="top"/>
    </xf>
    <xf numFmtId="168" fontId="25" fillId="0" borderId="0" xfId="23" applyNumberFormat="1" applyFont="1" applyAlignment="1">
      <alignment horizontal="center" vertical="top"/>
    </xf>
    <xf numFmtId="0" fontId="21" fillId="0" borderId="3" xfId="23" applyFont="1" applyBorder="1" applyAlignment="1">
      <alignment horizontal="center" vertical="top" wrapText="1"/>
    </xf>
    <xf numFmtId="0" fontId="21" fillId="0" borderId="3" xfId="23" applyFont="1" applyBorder="1" applyAlignment="1">
      <alignment horizontal="left" vertical="top" wrapText="1"/>
    </xf>
    <xf numFmtId="0" fontId="29" fillId="0" borderId="0" xfId="23" applyFont="1" applyBorder="1" applyAlignment="1">
      <alignment horizontal="right" vertical="top" wrapText="1"/>
    </xf>
    <xf numFmtId="0" fontId="21" fillId="0" borderId="0" xfId="23" applyFont="1" applyBorder="1" applyAlignment="1">
      <alignment horizontal="center" vertical="top" wrapText="1"/>
    </xf>
    <xf numFmtId="0" fontId="21" fillId="0" borderId="0" xfId="23" applyFont="1" applyBorder="1"/>
    <xf numFmtId="0" fontId="21" fillId="0" borderId="0" xfId="23" applyFont="1" applyFill="1" applyBorder="1" applyAlignment="1">
      <alignment horizontal="center" vertical="top" wrapText="1"/>
    </xf>
    <xf numFmtId="0" fontId="25" fillId="0" borderId="0" xfId="23" applyFont="1" applyAlignment="1">
      <alignment horizontal="left" vertical="top" indent="1"/>
    </xf>
    <xf numFmtId="3" fontId="24" fillId="0" borderId="0" xfId="23" applyNumberFormat="1" applyFont="1" applyAlignment="1">
      <alignment vertical="top"/>
    </xf>
    <xf numFmtId="3" fontId="24" fillId="0" borderId="0" xfId="23" applyNumberFormat="1" applyFont="1" applyFill="1" applyAlignment="1">
      <alignment vertical="top"/>
    </xf>
    <xf numFmtId="3" fontId="23" fillId="4" borderId="0" xfId="23" applyNumberFormat="1" applyFont="1" applyFill="1" applyAlignment="1">
      <alignment vertical="top"/>
    </xf>
    <xf numFmtId="3" fontId="24" fillId="0" borderId="0" xfId="23" applyNumberFormat="1" applyFont="1" applyAlignment="1">
      <alignment horizontal="right" vertical="top"/>
    </xf>
    <xf numFmtId="9" fontId="24" fillId="0" borderId="0" xfId="23" applyNumberFormat="1" applyFont="1" applyFill="1" applyAlignment="1">
      <alignment horizontal="right" vertical="top"/>
    </xf>
    <xf numFmtId="0" fontId="24" fillId="0" borderId="0" xfId="23" applyFont="1" applyFill="1" applyAlignment="1">
      <alignment vertical="top"/>
    </xf>
    <xf numFmtId="0" fontId="25" fillId="0" borderId="0" xfId="23" applyFont="1" applyAlignment="1">
      <alignment horizontal="left" vertical="top"/>
    </xf>
    <xf numFmtId="3" fontId="24" fillId="0" borderId="0" xfId="23" applyNumberFormat="1" applyFont="1" applyAlignment="1">
      <alignment horizontal="left" vertical="top"/>
    </xf>
    <xf numFmtId="9" fontId="24" fillId="0" borderId="0" xfId="23" applyNumberFormat="1" applyFont="1" applyFill="1" applyAlignment="1">
      <alignment vertical="top"/>
    </xf>
    <xf numFmtId="0" fontId="30" fillId="0" borderId="0" xfId="23" applyFont="1" applyAlignment="1">
      <alignment horizontal="left" vertical="top"/>
    </xf>
    <xf numFmtId="3" fontId="24" fillId="0" borderId="0" xfId="23" applyNumberFormat="1" applyFont="1" applyBorder="1" applyAlignment="1">
      <alignment horizontal="right" vertical="top"/>
    </xf>
    <xf numFmtId="0" fontId="30" fillId="0" borderId="0" xfId="23" applyFont="1" applyBorder="1" applyAlignment="1">
      <alignment horizontal="left" vertical="top" indent="1"/>
    </xf>
    <xf numFmtId="3" fontId="31" fillId="0" borderId="0" xfId="23" applyNumberFormat="1" applyFont="1" applyFill="1" applyAlignment="1">
      <alignment vertical="top"/>
    </xf>
    <xf numFmtId="3" fontId="21" fillId="0" borderId="0" xfId="23" applyNumberFormat="1" applyFont="1" applyFill="1" applyAlignment="1">
      <alignment vertical="top"/>
    </xf>
    <xf numFmtId="0" fontId="25" fillId="0" borderId="0" xfId="23" applyFont="1" applyBorder="1" applyAlignment="1">
      <alignment horizontal="left" vertical="top" indent="1"/>
    </xf>
    <xf numFmtId="0" fontId="25" fillId="0" borderId="0" xfId="23" applyFont="1" applyBorder="1" applyAlignment="1">
      <alignment horizontal="left" vertical="top"/>
    </xf>
    <xf numFmtId="168" fontId="25" fillId="0" borderId="0" xfId="23" applyNumberFormat="1" applyFont="1" applyAlignment="1">
      <alignment horizontal="right" vertical="top"/>
    </xf>
    <xf numFmtId="168" fontId="25" fillId="0" borderId="0" xfId="23" applyNumberFormat="1" applyFont="1" applyAlignment="1">
      <alignment horizontal="left" vertical="top"/>
    </xf>
    <xf numFmtId="0" fontId="2" fillId="0" borderId="0" xfId="26" applyFont="1" applyFill="1" applyAlignment="1">
      <alignment horizontal="left" vertical="top" indent="1"/>
    </xf>
    <xf numFmtId="169" fontId="25" fillId="0" borderId="0" xfId="23" applyNumberFormat="1" applyFont="1" applyAlignment="1">
      <alignment horizontal="right" vertical="top"/>
    </xf>
    <xf numFmtId="0" fontId="21" fillId="0" borderId="0" xfId="23" applyFont="1" applyAlignment="1">
      <alignment vertical="top"/>
    </xf>
    <xf numFmtId="0" fontId="2" fillId="0" borderId="0" xfId="26" applyFont="1" applyAlignment="1">
      <alignment horizontal="left" vertical="top" indent="1"/>
    </xf>
    <xf numFmtId="0" fontId="2" fillId="0" borderId="0" xfId="26" applyFont="1" applyBorder="1" applyAlignment="1">
      <alignment horizontal="left" vertical="top" indent="1"/>
    </xf>
    <xf numFmtId="0" fontId="20" fillId="0" borderId="0" xfId="23" applyFont="1" applyBorder="1" applyAlignment="1">
      <alignment vertical="top"/>
    </xf>
    <xf numFmtId="11" fontId="23" fillId="0" borderId="0" xfId="23" applyNumberFormat="1" applyFont="1" applyAlignment="1">
      <alignment vertical="top"/>
    </xf>
    <xf numFmtId="3" fontId="23" fillId="0" borderId="0" xfId="23" applyNumberFormat="1" applyFont="1" applyAlignment="1">
      <alignment vertical="top"/>
    </xf>
    <xf numFmtId="164" fontId="28" fillId="0" borderId="0" xfId="23" applyNumberFormat="1" applyFont="1" applyAlignment="1">
      <alignment vertical="top"/>
    </xf>
    <xf numFmtId="3" fontId="28" fillId="0" borderId="0" xfId="23" applyNumberFormat="1" applyFont="1" applyAlignment="1">
      <alignment vertical="top"/>
    </xf>
    <xf numFmtId="0" fontId="28" fillId="0" borderId="0" xfId="23" applyFont="1" applyAlignment="1">
      <alignment vertical="top"/>
    </xf>
    <xf numFmtId="0" fontId="20" fillId="0" borderId="0" xfId="23" applyFont="1" applyAlignment="1">
      <alignment horizontal="left" vertical="top"/>
    </xf>
    <xf numFmtId="0" fontId="23" fillId="2" borderId="0" xfId="23" applyFont="1" applyFill="1" applyAlignment="1">
      <alignment vertical="top"/>
    </xf>
    <xf numFmtId="3" fontId="23" fillId="2" borderId="0" xfId="23" applyNumberFormat="1" applyFont="1" applyFill="1" applyAlignment="1">
      <alignment vertical="top"/>
    </xf>
    <xf numFmtId="11" fontId="23" fillId="0" borderId="0" xfId="23" applyNumberFormat="1" applyFont="1" applyFill="1" applyAlignment="1">
      <alignment vertical="top"/>
    </xf>
    <xf numFmtId="3" fontId="23" fillId="0" borderId="0" xfId="23" applyNumberFormat="1" applyFont="1" applyFill="1" applyAlignment="1">
      <alignment vertical="top"/>
    </xf>
    <xf numFmtId="164" fontId="28" fillId="0" borderId="0" xfId="23" applyNumberFormat="1" applyFont="1" applyFill="1" applyAlignment="1">
      <alignment vertical="top"/>
    </xf>
    <xf numFmtId="0" fontId="20" fillId="0" borderId="0" xfId="23" applyFont="1" applyFill="1" applyAlignment="1">
      <alignment horizontal="center" vertical="top" wrapText="1"/>
    </xf>
    <xf numFmtId="0" fontId="24" fillId="0" borderId="0" xfId="23" applyFont="1" applyFill="1" applyAlignment="1">
      <alignment horizontal="center" vertical="top" wrapText="1"/>
    </xf>
    <xf numFmtId="0" fontId="20" fillId="0" borderId="0" xfId="23" applyFont="1" applyFill="1" applyAlignment="1">
      <alignment horizontal="left" vertical="top"/>
    </xf>
    <xf numFmtId="168" fontId="26" fillId="0" borderId="0" xfId="23" applyNumberFormat="1" applyFont="1" applyFill="1" applyAlignment="1">
      <alignment horizontal="right" vertical="top"/>
    </xf>
    <xf numFmtId="0" fontId="28" fillId="0" borderId="0" xfId="23" applyFont="1" applyFill="1" applyAlignment="1">
      <alignment vertical="top"/>
    </xf>
    <xf numFmtId="3" fontId="27" fillId="0" borderId="0" xfId="23" applyNumberFormat="1" applyFont="1" applyFill="1" applyAlignment="1">
      <alignment horizontal="right" vertical="top"/>
    </xf>
    <xf numFmtId="9" fontId="27" fillId="0" borderId="0" xfId="23" applyNumberFormat="1" applyFont="1" applyFill="1" applyAlignment="1">
      <alignment horizontal="right" vertical="top"/>
    </xf>
    <xf numFmtId="0" fontId="22" fillId="0" borderId="0" xfId="23" applyFont="1" applyFill="1" applyAlignment="1">
      <alignment vertical="top"/>
    </xf>
    <xf numFmtId="0" fontId="20" fillId="11" borderId="0" xfId="23" applyFont="1" applyFill="1" applyAlignment="1">
      <alignment vertical="top"/>
    </xf>
    <xf numFmtId="0" fontId="22" fillId="11" borderId="0" xfId="23" applyFont="1" applyFill="1" applyAlignment="1">
      <alignment vertical="top"/>
    </xf>
    <xf numFmtId="0" fontId="20" fillId="11" borderId="0" xfId="23" applyFont="1" applyFill="1" applyAlignment="1">
      <alignment horizontal="right" vertical="top"/>
    </xf>
    <xf numFmtId="0" fontId="24" fillId="11" borderId="0" xfId="23" applyFont="1" applyFill="1" applyAlignment="1">
      <alignment horizontal="right" vertical="top"/>
    </xf>
    <xf numFmtId="3" fontId="28" fillId="11" borderId="0" xfId="23" applyNumberFormat="1" applyFont="1" applyFill="1" applyAlignment="1">
      <alignment vertical="top"/>
    </xf>
    <xf numFmtId="9" fontId="28" fillId="11" borderId="0" xfId="24" applyFont="1" applyFill="1" applyAlignment="1">
      <alignment vertical="top"/>
    </xf>
    <xf numFmtId="0" fontId="22" fillId="11" borderId="0" xfId="23" applyFont="1" applyFill="1" applyBorder="1" applyAlignment="1">
      <alignment vertical="top"/>
    </xf>
    <xf numFmtId="0" fontId="20" fillId="11" borderId="0" xfId="23" applyFont="1" applyFill="1" applyBorder="1" applyAlignment="1">
      <alignment vertical="top"/>
    </xf>
    <xf numFmtId="0" fontId="24" fillId="11" borderId="0" xfId="23" applyFont="1" applyFill="1" applyBorder="1" applyAlignment="1">
      <alignment vertical="top"/>
    </xf>
    <xf numFmtId="0" fontId="24" fillId="11" borderId="0" xfId="23" applyFont="1" applyFill="1" applyBorder="1" applyAlignment="1">
      <alignment horizontal="left" vertical="top"/>
    </xf>
    <xf numFmtId="11" fontId="23" fillId="11" borderId="0" xfId="23" applyNumberFormat="1" applyFont="1" applyFill="1" applyBorder="1" applyAlignment="1">
      <alignment vertical="top"/>
    </xf>
    <xf numFmtId="3" fontId="23" fillId="11" borderId="0" xfId="23" applyNumberFormat="1" applyFont="1" applyFill="1" applyBorder="1" applyAlignment="1">
      <alignment vertical="top"/>
    </xf>
    <xf numFmtId="0" fontId="20" fillId="0" borderId="1" xfId="23" applyFont="1" applyFill="1" applyBorder="1" applyAlignment="1">
      <alignment vertical="top"/>
    </xf>
    <xf numFmtId="0" fontId="20" fillId="0" borderId="0" xfId="23" applyFont="1" applyFill="1" applyAlignment="1">
      <alignment horizontal="center" vertical="top"/>
    </xf>
    <xf numFmtId="0" fontId="22" fillId="0" borderId="1" xfId="23" applyFont="1" applyFill="1" applyBorder="1" applyAlignment="1">
      <alignment horizontal="centerContinuous" vertical="top"/>
    </xf>
    <xf numFmtId="0" fontId="24" fillId="0" borderId="1" xfId="23" applyFont="1" applyFill="1" applyBorder="1" applyAlignment="1">
      <alignment horizontal="centerContinuous" vertical="top"/>
    </xf>
    <xf numFmtId="0" fontId="20" fillId="0" borderId="1" xfId="23" applyFont="1" applyFill="1" applyBorder="1" applyAlignment="1">
      <alignment horizontal="centerContinuous" vertical="top"/>
    </xf>
    <xf numFmtId="165" fontId="27" fillId="0" borderId="0" xfId="31" applyNumberFormat="1" applyFont="1" applyFill="1" applyAlignment="1">
      <alignment vertical="top"/>
    </xf>
    <xf numFmtId="167" fontId="20" fillId="0" borderId="0" xfId="1" applyNumberFormat="1" applyFont="1" applyAlignment="1">
      <alignment vertical="top"/>
    </xf>
    <xf numFmtId="9" fontId="20" fillId="0" borderId="0" xfId="1" applyNumberFormat="1" applyFont="1" applyAlignment="1">
      <alignment vertical="top"/>
    </xf>
    <xf numFmtId="9" fontId="23" fillId="0" borderId="0" xfId="23" applyNumberFormat="1" applyFont="1" applyFill="1" applyAlignment="1">
      <alignment horizontal="right" vertical="top"/>
    </xf>
    <xf numFmtId="3" fontId="27" fillId="0" borderId="0" xfId="23" applyNumberFormat="1" applyFont="1" applyFill="1" applyAlignment="1">
      <alignment vertical="top"/>
    </xf>
    <xf numFmtId="9" fontId="23" fillId="0" borderId="0" xfId="1" applyFont="1" applyFill="1" applyAlignment="1">
      <alignment vertical="top"/>
    </xf>
    <xf numFmtId="164" fontId="28" fillId="11" borderId="0" xfId="23" applyNumberFormat="1" applyFont="1" applyFill="1" applyBorder="1" applyAlignment="1">
      <alignment vertical="top"/>
    </xf>
    <xf numFmtId="3" fontId="31" fillId="0" borderId="0" xfId="23" applyNumberFormat="1" applyFont="1" applyAlignment="1">
      <alignment vertical="top"/>
    </xf>
    <xf numFmtId="0" fontId="23" fillId="0" borderId="0" xfId="23" applyFont="1" applyAlignment="1">
      <alignment vertical="top"/>
    </xf>
    <xf numFmtId="9" fontId="23" fillId="0" borderId="0" xfId="23" applyNumberFormat="1" applyFont="1" applyAlignment="1">
      <alignment horizontal="center" vertical="top"/>
    </xf>
    <xf numFmtId="9" fontId="31" fillId="0" borderId="0" xfId="23" applyNumberFormat="1" applyFont="1" applyBorder="1" applyAlignment="1">
      <alignment horizontal="center" vertical="top"/>
    </xf>
    <xf numFmtId="9" fontId="31" fillId="0" borderId="0" xfId="23" applyNumberFormat="1" applyFont="1" applyFill="1" applyBorder="1" applyAlignment="1">
      <alignment horizontal="center" vertical="top"/>
    </xf>
    <xf numFmtId="9" fontId="23" fillId="0" borderId="0" xfId="23" applyNumberFormat="1" applyFont="1" applyFill="1" applyAlignment="1">
      <alignment horizontal="center" vertical="top"/>
    </xf>
    <xf numFmtId="3" fontId="33" fillId="0" borderId="0" xfId="23" applyNumberFormat="1" applyFont="1" applyAlignment="1">
      <alignment vertical="top"/>
    </xf>
    <xf numFmtId="0" fontId="0" fillId="0" borderId="0" xfId="0" applyAlignment="1">
      <alignment horizontal="right" vertical="top"/>
    </xf>
    <xf numFmtId="167" fontId="12" fillId="4" borderId="0" xfId="1" applyNumberFormat="1" applyFont="1" applyFill="1" applyAlignment="1">
      <alignment vertical="top"/>
    </xf>
    <xf numFmtId="0" fontId="0" fillId="12" borderId="0" xfId="0" applyFill="1" applyAlignment="1">
      <alignment horizontal="centerContinuous" vertical="top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top"/>
    </xf>
    <xf numFmtId="3" fontId="9" fillId="13" borderId="0" xfId="0" applyNumberFormat="1" applyFont="1" applyFill="1" applyAlignment="1">
      <alignment vertical="top"/>
    </xf>
    <xf numFmtId="3" fontId="9" fillId="14" borderId="0" xfId="0" applyNumberFormat="1" applyFont="1" applyFill="1" applyAlignment="1">
      <alignment vertical="top"/>
    </xf>
    <xf numFmtId="3" fontId="12" fillId="0" borderId="0" xfId="0" applyNumberFormat="1" applyFont="1" applyAlignment="1">
      <alignment vertical="top"/>
    </xf>
    <xf numFmtId="0" fontId="9" fillId="14" borderId="0" xfId="0" applyFont="1" applyFill="1" applyAlignment="1">
      <alignment vertical="top"/>
    </xf>
    <xf numFmtId="170" fontId="10" fillId="0" borderId="0" xfId="31" applyNumberFormat="1" applyFont="1" applyAlignment="1">
      <alignment vertical="top"/>
    </xf>
    <xf numFmtId="37" fontId="34" fillId="0" borderId="0" xfId="31" applyNumberFormat="1" applyFont="1" applyAlignment="1">
      <alignment vertical="top"/>
    </xf>
    <xf numFmtId="3" fontId="35" fillId="0" borderId="0" xfId="0" applyNumberFormat="1" applyFont="1" applyAlignment="1">
      <alignment vertical="top"/>
    </xf>
    <xf numFmtId="165" fontId="20" fillId="0" borderId="0" xfId="31" applyNumberFormat="1" applyFont="1" applyFill="1" applyAlignment="1">
      <alignment vertical="top"/>
    </xf>
    <xf numFmtId="11" fontId="20" fillId="0" borderId="0" xfId="23" applyNumberFormat="1" applyFont="1" applyFill="1" applyAlignment="1">
      <alignment vertical="top"/>
    </xf>
    <xf numFmtId="0" fontId="20" fillId="0" borderId="4" xfId="23" applyFont="1" applyFill="1" applyBorder="1" applyAlignment="1">
      <alignment vertical="top"/>
    </xf>
    <xf numFmtId="0" fontId="20" fillId="4" borderId="4" xfId="23" applyFont="1" applyFill="1" applyBorder="1" applyAlignment="1">
      <alignment vertical="top"/>
    </xf>
    <xf numFmtId="11" fontId="20" fillId="4" borderId="4" xfId="23" applyNumberFormat="1" applyFont="1" applyFill="1" applyBorder="1" applyAlignment="1">
      <alignment vertical="top"/>
    </xf>
    <xf numFmtId="165" fontId="24" fillId="0" borderId="4" xfId="25" applyNumberFormat="1" applyFont="1" applyFill="1" applyBorder="1" applyAlignment="1">
      <alignment horizontal="right" vertical="top"/>
    </xf>
  </cellXfs>
  <cellStyles count="32">
    <cellStyle name="Accent1 2" xfId="27"/>
    <cellStyle name="Accent2 2" xfId="28"/>
    <cellStyle name="Accent3 2" xfId="29"/>
    <cellStyle name="Accent6 2" xfId="30"/>
    <cellStyle name="Comma" xfId="31" builtinId="3"/>
    <cellStyle name="Comma 2" xfId="2"/>
    <cellStyle name="Comma 3" xfId="3"/>
    <cellStyle name="Comma 4" xfId="4"/>
    <cellStyle name="Comma 5" xfId="25"/>
    <cellStyle name="Comma0" xfId="5"/>
    <cellStyle name="Currency 2" xfId="6"/>
    <cellStyle name="Currency 3" xfId="7"/>
    <cellStyle name="Currency 4" xfId="8"/>
    <cellStyle name="Currency0" xfId="9"/>
    <cellStyle name="Date" xfId="10"/>
    <cellStyle name="Fixed" xfId="11"/>
    <cellStyle name="Normal" xfId="0" builtinId="0"/>
    <cellStyle name="Normal 2" xfId="12"/>
    <cellStyle name="Normal 2 2" xfId="13"/>
    <cellStyle name="Normal 3" xfId="14"/>
    <cellStyle name="Normal 3 2" xfId="15"/>
    <cellStyle name="Normal 4" xfId="16"/>
    <cellStyle name="Normal 4 2" xfId="26"/>
    <cellStyle name="Normal 4 3" xfId="17"/>
    <cellStyle name="Normal 5" xfId="18"/>
    <cellStyle name="Normal 6" xfId="19"/>
    <cellStyle name="Normal 7" xfId="23"/>
    <cellStyle name="Percent" xfId="1" builtinId="5"/>
    <cellStyle name="Percent 2" xfId="20"/>
    <cellStyle name="Percent 3" xfId="21"/>
    <cellStyle name="Percent 4" xfId="22"/>
    <cellStyle name="Percent 5" xfId="24"/>
  </cellStyles>
  <dxfs count="1">
    <dxf>
      <font>
        <color theme="0" tint="-0.24994659260841701"/>
      </font>
    </dxf>
  </dxfs>
  <tableStyles count="0" defaultTableStyle="TableStyleMedium2" defaultPivotStyle="PivotStyleMedium9"/>
  <colors>
    <mruColors>
      <color rgb="FF0000FF"/>
      <color rgb="FF00467F"/>
      <color rgb="FF00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19161082518316"/>
          <c:y val="3.0246372693556761E-2"/>
          <c:w val="0.83371838296749223"/>
          <c:h val="0.860370339185059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'Gross CONE'!$B$7</c:f>
              <c:strCache>
                <c:ptCount val="1"/>
                <c:pt idx="0">
                  <c:v>H-W Cost Index Number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exp"/>
            <c:dispRSqr val="0"/>
            <c:dispEq val="0"/>
          </c:trendline>
          <c:errBars>
            <c:errDir val="y"/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'Gross CONE'!$E$10:$E$21</c:f>
                <c:numCache>
                  <c:formatCode>General</c:formatCode>
                  <c:ptCount val="12"/>
                  <c:pt idx="0">
                    <c:v>34.327464310023231</c:v>
                  </c:pt>
                  <c:pt idx="1">
                    <c:v>14.454982877074713</c:v>
                  </c:pt>
                  <c:pt idx="2">
                    <c:v>-11.210842264122448</c:v>
                  </c:pt>
                  <c:pt idx="3">
                    <c:v>-38.789690483854258</c:v>
                  </c:pt>
                  <c:pt idx="4">
                    <c:v>-50.409227993749937</c:v>
                  </c:pt>
                  <c:pt idx="5">
                    <c:v>-13.544719174041234</c:v>
                  </c:pt>
                  <c:pt idx="6">
                    <c:v>22.675796465924577</c:v>
                  </c:pt>
                  <c:pt idx="7">
                    <c:v>34.080114540738805</c:v>
                  </c:pt>
                  <c:pt idx="8">
                    <c:v>24.842002022325801</c:v>
                  </c:pt>
                  <c:pt idx="9">
                    <c:v>-3.2148845464926126</c:v>
                  </c:pt>
                  <c:pt idx="10">
                    <c:v>12.721343039662884</c:v>
                  </c:pt>
                  <c:pt idx="11">
                    <c:v>-15.549980715063157</c:v>
                  </c:pt>
                </c:numCache>
              </c:numRef>
            </c:minus>
            <c:spPr>
              <a:ln w="19050">
                <a:solidFill>
                  <a:srgbClr val="EF4623"/>
                </a:solidFill>
              </a:ln>
            </c:spPr>
          </c:errBars>
          <c:xVal>
            <c:numRef>
              <c:f>'Gross CONE'!$A$10:$A$21</c:f>
              <c:numCache>
                <c:formatCode>General</c:formatCode>
                <c:ptCount val="1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xVal>
          <c:yVal>
            <c:numRef>
              <c:f>'Gross CONE'!$B$10:$B$21</c:f>
              <c:numCache>
                <c:formatCode>General</c:formatCode>
                <c:ptCount val="12"/>
                <c:pt idx="0">
                  <c:v>437</c:v>
                </c:pt>
                <c:pt idx="1">
                  <c:v>444</c:v>
                </c:pt>
                <c:pt idx="2">
                  <c:v>447</c:v>
                </c:pt>
                <c:pt idx="3">
                  <c:v>450</c:v>
                </c:pt>
                <c:pt idx="4">
                  <c:v>471</c:v>
                </c:pt>
                <c:pt idx="5" formatCode="0">
                  <c:v>542.66092167717193</c:v>
                </c:pt>
                <c:pt idx="6" formatCode="0">
                  <c:v>616</c:v>
                </c:pt>
                <c:pt idx="7" formatCode="0">
                  <c:v>667</c:v>
                </c:pt>
                <c:pt idx="8" formatCode="0">
                  <c:v>700</c:v>
                </c:pt>
                <c:pt idx="9" formatCode="0">
                  <c:v>717</c:v>
                </c:pt>
                <c:pt idx="10" formatCode="0">
                  <c:v>781</c:v>
                </c:pt>
                <c:pt idx="11" formatCode="0">
                  <c:v>804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859136"/>
        <c:axId val="166860672"/>
      </c:scatterChart>
      <c:valAx>
        <c:axId val="166859136"/>
        <c:scaling>
          <c:orientation val="minMax"/>
          <c:min val="200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6860672"/>
        <c:crosses val="autoZero"/>
        <c:crossBetween val="midCat"/>
      </c:valAx>
      <c:valAx>
        <c:axId val="166860672"/>
        <c:scaling>
          <c:orientation val="minMax"/>
          <c:min val="0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Handy-Whitman Index </a:t>
                </a:r>
              </a:p>
            </c:rich>
          </c:tx>
          <c:layout>
            <c:manualLayout>
              <c:xMode val="edge"/>
              <c:yMode val="edge"/>
              <c:x val="0"/>
              <c:y val="0.238679205006481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668591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32938168974231"/>
          <c:y val="3.9024815099506491E-2"/>
          <c:w val="0.79916752041682515"/>
          <c:h val="0.8183952909070715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Load!$A$7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</a:ln>
          </c:spPr>
          <c:marker>
            <c:symbol val="diamond"/>
            <c:size val="4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xVal>
            <c:numRef>
              <c:f>Load!$B$5:$X$5</c:f>
              <c:numCache>
                <c:formatCode>General</c:formatCod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numCache>
            </c:numRef>
          </c:xVal>
          <c:yVal>
            <c:numRef>
              <c:f>Load!$B$7:$X$7</c:f>
              <c:numCache>
                <c:formatCode>#,##0</c:formatCode>
                <c:ptCount val="23"/>
                <c:pt idx="0">
                  <c:v>136961</c:v>
                </c:pt>
                <c:pt idx="1">
                  <c:v>139342</c:v>
                </c:pt>
                <c:pt idx="2">
                  <c:v>141710</c:v>
                </c:pt>
                <c:pt idx="3">
                  <c:v>144082</c:v>
                </c:pt>
                <c:pt idx="4">
                  <c:v>146404</c:v>
                </c:pt>
                <c:pt idx="5">
                  <c:v>148687</c:v>
                </c:pt>
                <c:pt idx="6">
                  <c:v>150866</c:v>
                </c:pt>
                <c:pt idx="7">
                  <c:v>153081</c:v>
                </c:pt>
                <c:pt idx="8">
                  <c:v>155290</c:v>
                </c:pt>
                <c:pt idx="9">
                  <c:v>157450</c:v>
                </c:pt>
                <c:pt idx="10">
                  <c:v>159822</c:v>
                </c:pt>
                <c:pt idx="11">
                  <c:v>162024</c:v>
                </c:pt>
                <c:pt idx="12">
                  <c:v>164355</c:v>
                </c:pt>
                <c:pt idx="13">
                  <c:v>166616</c:v>
                </c:pt>
                <c:pt idx="14">
                  <c:v>168900</c:v>
                </c:pt>
                <c:pt idx="15">
                  <c:v>171295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Load!$A$8</c:f>
              <c:strCache>
                <c:ptCount val="1"/>
                <c:pt idx="0">
                  <c:v>2008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</a:ln>
          </c:spPr>
          <c:marker>
            <c:symbol val="diamond"/>
            <c:size val="3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xVal>
            <c:numRef>
              <c:f>Load!$B$5:$X$5</c:f>
              <c:numCache>
                <c:formatCode>General</c:formatCod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numCache>
            </c:numRef>
          </c:xVal>
          <c:yVal>
            <c:numRef>
              <c:f>Load!$B$8:$X$8</c:f>
              <c:numCache>
                <c:formatCode>#,##0</c:formatCode>
                <c:ptCount val="23"/>
                <c:pt idx="1">
                  <c:v>137948</c:v>
                </c:pt>
                <c:pt idx="2">
                  <c:v>140407</c:v>
                </c:pt>
                <c:pt idx="3">
                  <c:v>142884</c:v>
                </c:pt>
                <c:pt idx="4">
                  <c:v>145061</c:v>
                </c:pt>
                <c:pt idx="5">
                  <c:v>147183</c:v>
                </c:pt>
                <c:pt idx="6">
                  <c:v>149495</c:v>
                </c:pt>
                <c:pt idx="7">
                  <c:v>151675</c:v>
                </c:pt>
                <c:pt idx="8">
                  <c:v>153933</c:v>
                </c:pt>
                <c:pt idx="9">
                  <c:v>156030</c:v>
                </c:pt>
                <c:pt idx="10">
                  <c:v>158176</c:v>
                </c:pt>
                <c:pt idx="11">
                  <c:v>160107</c:v>
                </c:pt>
                <c:pt idx="12">
                  <c:v>162132</c:v>
                </c:pt>
                <c:pt idx="13">
                  <c:v>164209</c:v>
                </c:pt>
                <c:pt idx="14">
                  <c:v>166179</c:v>
                </c:pt>
                <c:pt idx="15">
                  <c:v>168258</c:v>
                </c:pt>
                <c:pt idx="16">
                  <c:v>170367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Load!$A$9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</a:ln>
          </c:spPr>
          <c:marker>
            <c:symbol val="diamond"/>
            <c:size val="4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xVal>
            <c:numRef>
              <c:f>Load!$B$5:$X$5</c:f>
              <c:numCache>
                <c:formatCode>General</c:formatCod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numCache>
            </c:numRef>
          </c:xVal>
          <c:yVal>
            <c:numRef>
              <c:f>Load!$B$9:$X$9</c:f>
              <c:numCache>
                <c:formatCode>General</c:formatCode>
                <c:ptCount val="23"/>
                <c:pt idx="2" formatCode="#,##0">
                  <c:v>134428</c:v>
                </c:pt>
                <c:pt idx="3" formatCode="#,##0">
                  <c:v>136038</c:v>
                </c:pt>
                <c:pt idx="4" formatCode="#,##0">
                  <c:v>140132</c:v>
                </c:pt>
                <c:pt idx="5" formatCode="#,##0">
                  <c:v>144613</c:v>
                </c:pt>
                <c:pt idx="6" formatCode="#,##0">
                  <c:v>147442</c:v>
                </c:pt>
                <c:pt idx="7" formatCode="#,##0">
                  <c:v>149497</c:v>
                </c:pt>
                <c:pt idx="8" formatCode="#,##0">
                  <c:v>151410</c:v>
                </c:pt>
                <c:pt idx="9" formatCode="#,##0">
                  <c:v>153189</c:v>
                </c:pt>
                <c:pt idx="10" formatCode="#,##0">
                  <c:v>155042</c:v>
                </c:pt>
                <c:pt idx="11" formatCode="#,##0">
                  <c:v>156822</c:v>
                </c:pt>
                <c:pt idx="12" formatCode="#,##0">
                  <c:v>158617</c:v>
                </c:pt>
                <c:pt idx="13" formatCode="#,##0">
                  <c:v>160357</c:v>
                </c:pt>
                <c:pt idx="14" formatCode="#,##0">
                  <c:v>161954</c:v>
                </c:pt>
                <c:pt idx="15" formatCode="#,##0">
                  <c:v>163433</c:v>
                </c:pt>
                <c:pt idx="16" formatCode="#,##0">
                  <c:v>165006</c:v>
                </c:pt>
                <c:pt idx="17" formatCode="#,##0">
                  <c:v>166581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Load!$A$10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</a:ln>
          </c:spPr>
          <c:marker>
            <c:symbol val="diamond"/>
            <c:size val="3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xVal>
            <c:numRef>
              <c:f>Load!$B$5:$X$5</c:f>
              <c:numCache>
                <c:formatCode>General</c:formatCod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numCache>
            </c:numRef>
          </c:xVal>
          <c:yVal>
            <c:numRef>
              <c:f>Load!$B$10:$X$10</c:f>
              <c:numCache>
                <c:formatCode>General</c:formatCode>
                <c:ptCount val="23"/>
                <c:pt idx="3" formatCode="#,##0">
                  <c:v>135752</c:v>
                </c:pt>
                <c:pt idx="4" formatCode="#,##0">
                  <c:v>139396</c:v>
                </c:pt>
                <c:pt idx="5" formatCode="#,##0">
                  <c:v>144099</c:v>
                </c:pt>
                <c:pt idx="6" formatCode="#,##0">
                  <c:v>147270</c:v>
                </c:pt>
                <c:pt idx="7" formatCode="#,##0">
                  <c:v>149573</c:v>
                </c:pt>
                <c:pt idx="8" formatCode="#,##0">
                  <c:v>151737</c:v>
                </c:pt>
                <c:pt idx="9" formatCode="#,##0">
                  <c:v>153631</c:v>
                </c:pt>
                <c:pt idx="10" formatCode="#,##0">
                  <c:v>155424</c:v>
                </c:pt>
                <c:pt idx="11" formatCode="#,##0">
                  <c:v>157122</c:v>
                </c:pt>
                <c:pt idx="12" formatCode="#,##0">
                  <c:v>158850</c:v>
                </c:pt>
                <c:pt idx="13" formatCode="#,##0">
                  <c:v>160641</c:v>
                </c:pt>
                <c:pt idx="14" formatCode="#,##0">
                  <c:v>162243</c:v>
                </c:pt>
                <c:pt idx="15" formatCode="#,##0">
                  <c:v>163722</c:v>
                </c:pt>
                <c:pt idx="16" formatCode="#,##0">
                  <c:v>165166</c:v>
                </c:pt>
                <c:pt idx="17" formatCode="#,##0">
                  <c:v>166683</c:v>
                </c:pt>
                <c:pt idx="18" formatCode="#,##0">
                  <c:v>168355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Load!$A$11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</a:ln>
          </c:spPr>
          <c:marker>
            <c:symbol val="diamond"/>
            <c:size val="4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xVal>
            <c:numRef>
              <c:f>Load!$B$5:$X$5</c:f>
              <c:numCache>
                <c:formatCode>General</c:formatCod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numCache>
            </c:numRef>
          </c:xVal>
          <c:yVal>
            <c:numRef>
              <c:f>Load!$B$11:$X$11</c:f>
              <c:numCache>
                <c:formatCode>General</c:formatCode>
                <c:ptCount val="23"/>
                <c:pt idx="4" formatCode="#,##0">
                  <c:v>136289</c:v>
                </c:pt>
                <c:pt idx="5" formatCode="#,##0">
                  <c:v>140016</c:v>
                </c:pt>
                <c:pt idx="6" formatCode="#,##0">
                  <c:v>143406</c:v>
                </c:pt>
                <c:pt idx="7" formatCode="#,##0">
                  <c:v>145404</c:v>
                </c:pt>
                <c:pt idx="8" formatCode="#,##0">
                  <c:v>146993</c:v>
                </c:pt>
                <c:pt idx="9" formatCode="#,##0">
                  <c:v>148249</c:v>
                </c:pt>
                <c:pt idx="10" formatCode="#,##0">
                  <c:v>149733</c:v>
                </c:pt>
                <c:pt idx="11" formatCode="#,##0">
                  <c:v>151246</c:v>
                </c:pt>
                <c:pt idx="12" formatCode="#,##0">
                  <c:v>152853</c:v>
                </c:pt>
                <c:pt idx="13" formatCode="#,##0">
                  <c:v>154425</c:v>
                </c:pt>
                <c:pt idx="14" formatCode="#,##0">
                  <c:v>155947</c:v>
                </c:pt>
                <c:pt idx="15" formatCode="#,##0">
                  <c:v>157261</c:v>
                </c:pt>
                <c:pt idx="16" formatCode="#,##0">
                  <c:v>158605</c:v>
                </c:pt>
                <c:pt idx="17" formatCode="#,##0">
                  <c:v>159853</c:v>
                </c:pt>
                <c:pt idx="18" formatCode="#,##0">
                  <c:v>161159</c:v>
                </c:pt>
                <c:pt idx="19" formatCode="#,##0">
                  <c:v>162578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Load!$A$12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bg2"/>
              </a:solidFill>
            </a:ln>
          </c:spPr>
          <c:marker>
            <c:symbol val="diamond"/>
            <c:size val="4"/>
            <c:spPr>
              <a:solidFill>
                <a:schemeClr val="bg2"/>
              </a:solidFill>
              <a:ln>
                <a:noFill/>
              </a:ln>
            </c:spPr>
          </c:marker>
          <c:xVal>
            <c:numRef>
              <c:f>Load!$B$5:$X$5</c:f>
              <c:numCache>
                <c:formatCode>General</c:formatCod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numCache>
            </c:numRef>
          </c:xVal>
          <c:yVal>
            <c:numRef>
              <c:f>Load!$B$12:$X$12</c:f>
              <c:numCache>
                <c:formatCode>General</c:formatCode>
                <c:ptCount val="23"/>
                <c:pt idx="5" formatCode="#,##0">
                  <c:v>135716</c:v>
                </c:pt>
                <c:pt idx="6" formatCode="#,##0">
                  <c:v>137961</c:v>
                </c:pt>
                <c:pt idx="7" formatCode="#,##0">
                  <c:v>141196</c:v>
                </c:pt>
                <c:pt idx="8" formatCode="#,##0">
                  <c:v>144222</c:v>
                </c:pt>
                <c:pt idx="9" formatCode="#,##0">
                  <c:v>146530</c:v>
                </c:pt>
                <c:pt idx="10" formatCode="#,##0">
                  <c:v>148119</c:v>
                </c:pt>
                <c:pt idx="11" formatCode="#,##0">
                  <c:v>149588</c:v>
                </c:pt>
                <c:pt idx="12" formatCode="#,##0">
                  <c:v>151264</c:v>
                </c:pt>
                <c:pt idx="13" formatCode="#,##0">
                  <c:v>153036</c:v>
                </c:pt>
                <c:pt idx="14" formatCode="#,##0">
                  <c:v>154729</c:v>
                </c:pt>
                <c:pt idx="15" formatCode="#,##0">
                  <c:v>156359</c:v>
                </c:pt>
                <c:pt idx="16" formatCode="#,##0">
                  <c:v>157961</c:v>
                </c:pt>
                <c:pt idx="17" formatCode="#,##0">
                  <c:v>159473</c:v>
                </c:pt>
                <c:pt idx="18" formatCode="#,##0">
                  <c:v>161143</c:v>
                </c:pt>
                <c:pt idx="19" formatCode="#,##0">
                  <c:v>162848</c:v>
                </c:pt>
                <c:pt idx="20" formatCode="#,##0">
                  <c:v>164477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Load!$A$13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/>
              </a:solidFill>
            </a:ln>
          </c:spPr>
          <c:marker>
            <c:symbol val="diamond"/>
            <c:size val="4"/>
            <c:spPr>
              <a:solidFill>
                <a:schemeClr val="bg2"/>
              </a:solidFill>
              <a:ln>
                <a:noFill/>
              </a:ln>
            </c:spPr>
          </c:marker>
          <c:xVal>
            <c:numRef>
              <c:f>Load!$B$5:$X$5</c:f>
              <c:numCache>
                <c:formatCode>General</c:formatCod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numCache>
            </c:numRef>
          </c:xVal>
          <c:yVal>
            <c:numRef>
              <c:f>Load!$B$13:$X$13</c:f>
              <c:numCache>
                <c:formatCode>General</c:formatCode>
                <c:ptCount val="23"/>
                <c:pt idx="6" formatCode="#,##0">
                  <c:v>135721</c:v>
                </c:pt>
                <c:pt idx="7" formatCode="#,##0">
                  <c:v>138571</c:v>
                </c:pt>
                <c:pt idx="8" formatCode="#,##0">
                  <c:v>141709</c:v>
                </c:pt>
                <c:pt idx="9" formatCode="#,##0">
                  <c:v>144351</c:v>
                </c:pt>
                <c:pt idx="10" formatCode="#,##0">
                  <c:v>146246</c:v>
                </c:pt>
                <c:pt idx="11" formatCode="#,##0">
                  <c:v>147697</c:v>
                </c:pt>
                <c:pt idx="12" formatCode="#,##0">
                  <c:v>149252</c:v>
                </c:pt>
                <c:pt idx="13" formatCode="#,##0">
                  <c:v>150902</c:v>
                </c:pt>
                <c:pt idx="14" formatCode="#,##0">
                  <c:v>152542</c:v>
                </c:pt>
                <c:pt idx="15" formatCode="#,##0">
                  <c:v>154008</c:v>
                </c:pt>
                <c:pt idx="16" formatCode="#,##0">
                  <c:v>155506</c:v>
                </c:pt>
                <c:pt idx="17" formatCode="#,##0">
                  <c:v>156950</c:v>
                </c:pt>
                <c:pt idx="18" formatCode="#,##0">
                  <c:v>158402</c:v>
                </c:pt>
                <c:pt idx="19" formatCode="#,##0">
                  <c:v>159977</c:v>
                </c:pt>
                <c:pt idx="20" formatCode="#,##0">
                  <c:v>161489</c:v>
                </c:pt>
                <c:pt idx="21" formatCode="#,##0">
                  <c:v>162926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Load!$A$14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</a:ln>
          </c:spPr>
          <c:marker>
            <c:symbol val="diamond"/>
            <c:size val="4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xVal>
            <c:numRef>
              <c:f>Load!$B$5:$X$5</c:f>
              <c:numCache>
                <c:formatCode>General</c:formatCode>
                <c:ptCount val="2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  <c:pt idx="19">
                  <c:v>2026</c:v>
                </c:pt>
                <c:pt idx="20">
                  <c:v>2027</c:v>
                </c:pt>
                <c:pt idx="21">
                  <c:v>2028</c:v>
                </c:pt>
                <c:pt idx="22">
                  <c:v>2029</c:v>
                </c:pt>
              </c:numCache>
            </c:numRef>
          </c:xVal>
          <c:yVal>
            <c:numRef>
              <c:f>Load!$B$14:$X$14</c:f>
              <c:numCache>
                <c:formatCode>General</c:formatCode>
                <c:ptCount val="23"/>
                <c:pt idx="7" formatCode="#,##0">
                  <c:v>137347</c:v>
                </c:pt>
                <c:pt idx="8" formatCode="#,##0">
                  <c:v>140060</c:v>
                </c:pt>
                <c:pt idx="9" formatCode="#,##0">
                  <c:v>142125</c:v>
                </c:pt>
                <c:pt idx="10" formatCode="#,##0">
                  <c:v>143719</c:v>
                </c:pt>
                <c:pt idx="11" formatCode="#,##0">
                  <c:v>144927</c:v>
                </c:pt>
                <c:pt idx="12" formatCode="#,##0">
                  <c:v>146241</c:v>
                </c:pt>
                <c:pt idx="13" formatCode="#,##0">
                  <c:v>147781</c:v>
                </c:pt>
                <c:pt idx="14" formatCode="#,##0">
                  <c:v>149113</c:v>
                </c:pt>
                <c:pt idx="15" formatCode="#,##0">
                  <c:v>150230</c:v>
                </c:pt>
                <c:pt idx="16" formatCode="#,##0">
                  <c:v>151454</c:v>
                </c:pt>
                <c:pt idx="17" formatCode="#,##0">
                  <c:v>152554</c:v>
                </c:pt>
                <c:pt idx="18" formatCode="#,##0">
                  <c:v>153771</c:v>
                </c:pt>
                <c:pt idx="19" formatCode="#,##0">
                  <c:v>154963</c:v>
                </c:pt>
                <c:pt idx="20" formatCode="#,##0">
                  <c:v>156149</c:v>
                </c:pt>
                <c:pt idx="21" formatCode="#,##0">
                  <c:v>157214</c:v>
                </c:pt>
                <c:pt idx="22" formatCode="#,##0">
                  <c:v>158309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Load!$T$19</c:f>
              <c:strCache>
                <c:ptCount val="1"/>
                <c:pt idx="0">
                  <c:v>Dots</c:v>
                </c:pt>
              </c:strCache>
            </c:strRef>
          </c:tx>
          <c:spPr>
            <a:ln>
              <a:solidFill>
                <a:srgbClr val="EF4623"/>
              </a:solidFill>
            </a:ln>
          </c:spPr>
          <c:marker>
            <c:symbol val="none"/>
          </c:marker>
          <c:xVal>
            <c:numRef>
              <c:f>Load!$T$20:$T$21</c:f>
              <c:numCache>
                <c:formatCode>General</c:formatCode>
                <c:ptCount val="2"/>
                <c:pt idx="0">
                  <c:v>2016</c:v>
                </c:pt>
                <c:pt idx="1">
                  <c:v>2016</c:v>
                </c:pt>
              </c:numCache>
            </c:numRef>
          </c:xVal>
          <c:yVal>
            <c:numRef>
              <c:f>Load!$U$20:$U$21</c:f>
              <c:numCache>
                <c:formatCode>#,##0</c:formatCode>
                <c:ptCount val="2"/>
                <c:pt idx="0">
                  <c:v>146530</c:v>
                </c:pt>
                <c:pt idx="1">
                  <c:v>144351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57504"/>
        <c:axId val="173959424"/>
      </c:scatterChart>
      <c:valAx>
        <c:axId val="173957504"/>
        <c:scaling>
          <c:orientation val="minMax"/>
          <c:max val="2029"/>
          <c:min val="2007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Delivery Year</a:t>
                </a:r>
              </a:p>
            </c:rich>
          </c:tx>
          <c:layout>
            <c:manualLayout>
              <c:xMode val="edge"/>
              <c:yMode val="edge"/>
              <c:x val="0.45076310628457689"/>
              <c:y val="0.934812132186509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73959424"/>
        <c:crosses val="autoZero"/>
        <c:crossBetween val="midCat"/>
      </c:valAx>
      <c:valAx>
        <c:axId val="173959424"/>
        <c:scaling>
          <c:orientation val="minMax"/>
          <c:min val="120000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Load Forecast (MW)</a:t>
                </a:r>
              </a:p>
            </c:rich>
          </c:tx>
          <c:layout>
            <c:manualLayout>
              <c:xMode val="edge"/>
              <c:yMode val="edge"/>
              <c:x val="2.4783147459727386E-3"/>
              <c:y val="0.2411695224167690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739575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0183106546979"/>
          <c:y val="5.1400554097404488E-2"/>
          <c:w val="0.82157397875687077"/>
          <c:h val="0.803628028810834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'Rel Req'!$AH$3</c:f>
              <c:strCache>
                <c:ptCount val="1"/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strRef>
                  <c:f>'Rel Req'!$A$7</c:f>
                  <c:strCache>
                    <c:ptCount val="1"/>
                    <c:pt idx="0">
                      <c:v>MAAC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947949277424658E-2"/>
                  <c:y val="4.1761520316289574E-2"/>
                </c:manualLayout>
              </c:layout>
              <c:tx>
                <c:strRef>
                  <c:f>'Rel Req'!$A$8</c:f>
                  <c:strCache>
                    <c:ptCount val="1"/>
                    <c:pt idx="0">
                      <c:v>EMAAC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'Rel Req'!$A$9</c:f>
                  <c:strCache>
                    <c:ptCount val="1"/>
                    <c:pt idx="0">
                      <c:v>SWMAAC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'Rel Req'!$A$10</c:f>
                  <c:strCache>
                    <c:ptCount val="1"/>
                    <c:pt idx="0">
                      <c:v>PSEG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7777883186288468E-2"/>
                  <c:y val="-5.1065483903119706E-2"/>
                </c:manualLayout>
              </c:layout>
              <c:tx>
                <c:strRef>
                  <c:f>'Rel Req'!$A$11</c:f>
                  <c:strCache>
                    <c:ptCount val="1"/>
                    <c:pt idx="0">
                      <c:v>PS-N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'Rel Req'!$A$12</c:f>
                  <c:strCache>
                    <c:ptCount val="1"/>
                    <c:pt idx="0">
                      <c:v>DPL-S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768459665433387E-2"/>
                  <c:y val="-4.2626665337718861E-2"/>
                </c:manualLayout>
              </c:layout>
              <c:tx>
                <c:strRef>
                  <c:f>'Rel Req'!$A$13</c:f>
                  <c:strCache>
                    <c:ptCount val="1"/>
                    <c:pt idx="0">
                      <c:v>PEPCO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19828394944608E-2"/>
                  <c:y val="-3.4187846772318016E-2"/>
                </c:manualLayout>
              </c:layout>
              <c:tx>
                <c:strRef>
                  <c:f>'Rel Req'!$A$14</c:f>
                  <c:strCache>
                    <c:ptCount val="1"/>
                    <c:pt idx="0">
                      <c:v>ATSI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'Rel Req'!$A$15</c:f>
                  <c:strCache>
                    <c:ptCount val="1"/>
                    <c:pt idx="0">
                      <c:v>ATSI-C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'Rel Req'!$M$7:$M$15</c:f>
              <c:numCache>
                <c:formatCode>0.00</c:formatCode>
                <c:ptCount val="9"/>
                <c:pt idx="0">
                  <c:v>1.1740563931511556</c:v>
                </c:pt>
                <c:pt idx="1">
                  <c:v>1.1857224621089932</c:v>
                </c:pt>
                <c:pt idx="2">
                  <c:v>1.2114709733887381</c:v>
                </c:pt>
                <c:pt idx="3">
                  <c:v>1.2074479298659602</c:v>
                </c:pt>
                <c:pt idx="4">
                  <c:v>1.2561143611496493</c:v>
                </c:pt>
                <c:pt idx="5">
                  <c:v>1.2852761633775993</c:v>
                </c:pt>
                <c:pt idx="6">
                  <c:v>1.3080434899588247</c:v>
                </c:pt>
                <c:pt idx="7">
                  <c:v>1.2220506875172352</c:v>
                </c:pt>
                <c:pt idx="8">
                  <c:v>1.371589562371232</c:v>
                </c:pt>
              </c:numCache>
            </c:numRef>
          </c:xVal>
          <c:yVal>
            <c:numRef>
              <c:f>'Rel Req'!$AQ$7:$AQ$15</c:f>
              <c:numCache>
                <c:formatCode>0.00%</c:formatCode>
                <c:ptCount val="9"/>
                <c:pt idx="0">
                  <c:v>5.144340058811466E-3</c:v>
                </c:pt>
                <c:pt idx="1">
                  <c:v>4.3888722003614968E-3</c:v>
                </c:pt>
                <c:pt idx="2">
                  <c:v>1.0812287674575132E-2</c:v>
                </c:pt>
                <c:pt idx="3">
                  <c:v>6.4264316444881129E-3</c:v>
                </c:pt>
                <c:pt idx="4">
                  <c:v>1.1220027991926496E-2</c:v>
                </c:pt>
                <c:pt idx="5">
                  <c:v>1.722403568036663E-2</c:v>
                </c:pt>
                <c:pt idx="6">
                  <c:v>1.6262060864895577E-2</c:v>
                </c:pt>
                <c:pt idx="7">
                  <c:v>1.6043804588237126E-3</c:v>
                </c:pt>
                <c:pt idx="8">
                  <c:v>2.1154220909880405E-2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16160"/>
        <c:axId val="173483136"/>
      </c:scatterChart>
      <c:valAx>
        <c:axId val="173916160"/>
        <c:scaling>
          <c:orientation val="minMax"/>
          <c:min val="1.1000000000000001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Reliability Requirement</a:t>
                </a:r>
                <a:r>
                  <a:rPr lang="en-US" sz="1200" baseline="0"/>
                  <a:t> (%)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30696600258990858"/>
              <c:y val="0.9370915341737224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73483136"/>
        <c:crosses val="autoZero"/>
        <c:crossBetween val="midCat"/>
      </c:valAx>
      <c:valAx>
        <c:axId val="17348313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StDev of Reliability</a:t>
                </a:r>
                <a:r>
                  <a:rPr lang="en-US" sz="1200" baseline="0"/>
                  <a:t> Requirement (% of Peak)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"/>
              <c:y val="7.1161261438790729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739161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34973753280839"/>
          <c:y val="5.1400554097404488E-2"/>
          <c:w val="0.7924628171478566"/>
          <c:h val="0.86431685622630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'Rel Req'!$R$3</c:f>
              <c:strCache>
                <c:ptCount val="1"/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2654184271783686E-2"/>
                  <c:y val="-6.1549447951261355E-2"/>
                </c:manualLayout>
              </c:layout>
              <c:tx>
                <c:strRef>
                  <c:f>'Rel Req'!$A$6</c:f>
                  <c:strCache>
                    <c:ptCount val="1"/>
                    <c:pt idx="0">
                      <c:v>RTO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389722876212281E-2"/>
                  <c:y val="-6.1549447951261355E-2"/>
                </c:manualLayout>
              </c:layout>
              <c:tx>
                <c:strRef>
                  <c:f>'Rel Req'!$A$7</c:f>
                  <c:strCache>
                    <c:ptCount val="1"/>
                    <c:pt idx="0">
                      <c:v>MAAC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0339746220472829E-2"/>
                  <c:y val="-6.1549447951261355E-2"/>
                </c:manualLayout>
              </c:layout>
              <c:tx>
                <c:strRef>
                  <c:f>'Rel Req'!$A$8</c:f>
                  <c:strCache>
                    <c:ptCount val="1"/>
                    <c:pt idx="0">
                      <c:v>EMAAC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1688089110276293E-2"/>
                  <c:y val="-6.1549447951261355E-2"/>
                </c:manualLayout>
              </c:layout>
              <c:tx>
                <c:strRef>
                  <c:f>'Rel Req'!$A$9</c:f>
                  <c:strCache>
                    <c:ptCount val="1"/>
                    <c:pt idx="0">
                      <c:v>SWMAAC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204743287902025E-2"/>
                  <c:y val="-6.1549447951261355E-2"/>
                </c:manualLayout>
              </c:layout>
              <c:tx>
                <c:strRef>
                  <c:f>'Rel Req'!$A$10</c:f>
                  <c:strCache>
                    <c:ptCount val="1"/>
                    <c:pt idx="0">
                      <c:v>PSEG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5235835184535966E-2"/>
                  <c:y val="-6.1549447951261355E-2"/>
                </c:manualLayout>
              </c:layout>
              <c:tx>
                <c:strRef>
                  <c:f>'Rel Req'!$A$11</c:f>
                  <c:strCache>
                    <c:ptCount val="1"/>
                    <c:pt idx="0">
                      <c:v>PS-N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1678352642885985E-2"/>
                  <c:y val="-6.1549447951261355E-2"/>
                </c:manualLayout>
              </c:layout>
              <c:tx>
                <c:strRef>
                  <c:f>'Rel Req'!$A$12</c:f>
                  <c:strCache>
                    <c:ptCount val="1"/>
                    <c:pt idx="0">
                      <c:v>DPL-S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158963614522295E-2"/>
                  <c:y val="-6.1549447951261355E-2"/>
                </c:manualLayout>
              </c:layout>
              <c:tx>
                <c:strRef>
                  <c:f>'Rel Req'!$A$13</c:f>
                  <c:strCache>
                    <c:ptCount val="1"/>
                    <c:pt idx="0">
                      <c:v>PEPCO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3775290307895011E-2"/>
                  <c:y val="-6.1549447951261355E-2"/>
                </c:manualLayout>
              </c:layout>
              <c:tx>
                <c:strRef>
                  <c:f>'Rel Req'!$A$14</c:f>
                  <c:strCache>
                    <c:ptCount val="1"/>
                    <c:pt idx="0">
                      <c:v>ATSI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019989665387855E-2"/>
                  <c:y val="-6.1549447951261355E-2"/>
                </c:manualLayout>
              </c:layout>
              <c:tx>
                <c:strRef>
                  <c:f>'Rel Req'!$A$15</c:f>
                  <c:strCache>
                    <c:ptCount val="1"/>
                    <c:pt idx="0">
                      <c:v>ATSI-C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1"/>
            <c:dispEq val="1"/>
            <c:trendlineLbl>
              <c:layout>
                <c:manualLayout>
                  <c:x val="-0.46205830748295701"/>
                  <c:y val="-0.12088300305716233"/>
                </c:manualLayout>
              </c:layout>
              <c:numFmt formatCode="General" sourceLinked="0"/>
            </c:trendlineLbl>
          </c:trendline>
          <c:xVal>
            <c:numRef>
              <c:f>'Rel Req'!$M$6:$M$15</c:f>
              <c:numCache>
                <c:formatCode>0.00</c:formatCode>
                <c:ptCount val="10"/>
                <c:pt idx="0">
                  <c:v>1.0837181818181818</c:v>
                </c:pt>
                <c:pt idx="1">
                  <c:v>1.1740563931511556</c:v>
                </c:pt>
                <c:pt idx="2">
                  <c:v>1.1857224621089932</c:v>
                </c:pt>
                <c:pt idx="3">
                  <c:v>1.2114709733887381</c:v>
                </c:pt>
                <c:pt idx="4">
                  <c:v>1.2074479298659602</c:v>
                </c:pt>
                <c:pt idx="5">
                  <c:v>1.2561143611496493</c:v>
                </c:pt>
                <c:pt idx="6">
                  <c:v>1.2852761633775993</c:v>
                </c:pt>
                <c:pt idx="7">
                  <c:v>1.3080434899588247</c:v>
                </c:pt>
                <c:pt idx="8">
                  <c:v>1.2220506875172352</c:v>
                </c:pt>
                <c:pt idx="9">
                  <c:v>1.371589562371232</c:v>
                </c:pt>
              </c:numCache>
            </c:numRef>
          </c:xVal>
          <c:yVal>
            <c:numRef>
              <c:f>'Rel Req'!$AC$6:$AC$15</c:f>
              <c:numCache>
                <c:formatCode>0.00</c:formatCode>
                <c:ptCount val="10"/>
                <c:pt idx="0">
                  <c:v>4.4422557742251293E-3</c:v>
                </c:pt>
                <c:pt idx="1">
                  <c:v>6.0397453345911933E-3</c:v>
                </c:pt>
                <c:pt idx="2">
                  <c:v>5.2039843512943487E-3</c:v>
                </c:pt>
                <c:pt idx="3">
                  <c:v>1.309877267367659E-2</c:v>
                </c:pt>
                <c:pt idx="4">
                  <c:v>7.7595815855622703E-3</c:v>
                </c:pt>
                <c:pt idx="5">
                  <c:v>1.4093638293159932E-2</c:v>
                </c:pt>
                <c:pt idx="6">
                  <c:v>2.2137642497140501E-2</c:v>
                </c:pt>
                <c:pt idx="7">
                  <c:v>2.1271482847640834E-2</c:v>
                </c:pt>
                <c:pt idx="8">
                  <c:v>1.9606342427447351E-3</c:v>
                </c:pt>
                <c:pt idx="9">
                  <c:v>2.9014908600087232E-2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30496"/>
        <c:axId val="173557248"/>
      </c:scatterChart>
      <c:valAx>
        <c:axId val="173530496"/>
        <c:scaling>
          <c:orientation val="minMax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Zone FPR</a:t>
                </a:r>
              </a:p>
            </c:rich>
          </c:tx>
          <c:layout>
            <c:manualLayout>
              <c:xMode val="edge"/>
              <c:yMode val="edge"/>
              <c:x val="0.43956764934096076"/>
              <c:y val="0.929606225394241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73557248"/>
        <c:crosses val="autoZero"/>
        <c:crossBetween val="midCat"/>
      </c:valAx>
      <c:valAx>
        <c:axId val="173557248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StDev of Absolute Delta</a:t>
                </a:r>
                <a:r>
                  <a:rPr lang="en-US" baseline="0"/>
                  <a:t> from Average FPR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842392180254E-3"/>
              <c:y val="8.6527385246442462E-2"/>
            </c:manualLayout>
          </c:layout>
          <c:overlay val="0"/>
        </c:title>
        <c:numFmt formatCode="0.000" sourceLinked="0"/>
        <c:majorTickMark val="out"/>
        <c:minorTickMark val="none"/>
        <c:tickLblPos val="nextTo"/>
        <c:crossAx val="1735304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46358662998451"/>
          <c:y val="5.1400554097404488E-2"/>
          <c:w val="0.79792534969273421"/>
          <c:h val="0.866074952656234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'Rel Req'!$AG$3</c:f>
              <c:strCache>
                <c:ptCount val="1"/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3.6526157121926023E-3"/>
                  <c:y val="-1.1576796571314661E-2"/>
                </c:manualLayout>
              </c:layout>
              <c:numFmt formatCode="General" sourceLinked="0"/>
            </c:trendlineLbl>
          </c:trendline>
          <c:xVal>
            <c:numRef>
              <c:f>'Rel Req'!$M$6:$M$15</c:f>
              <c:numCache>
                <c:formatCode>0.00</c:formatCode>
                <c:ptCount val="10"/>
                <c:pt idx="0">
                  <c:v>1.0837181818181818</c:v>
                </c:pt>
                <c:pt idx="1">
                  <c:v>1.1740563931511556</c:v>
                </c:pt>
                <c:pt idx="2">
                  <c:v>1.1857224621089932</c:v>
                </c:pt>
                <c:pt idx="3">
                  <c:v>1.2114709733887381</c:v>
                </c:pt>
                <c:pt idx="4">
                  <c:v>1.2074479298659602</c:v>
                </c:pt>
                <c:pt idx="5">
                  <c:v>1.2561143611496493</c:v>
                </c:pt>
                <c:pt idx="6">
                  <c:v>1.2852761633775993</c:v>
                </c:pt>
                <c:pt idx="7">
                  <c:v>1.3080434899588247</c:v>
                </c:pt>
                <c:pt idx="8">
                  <c:v>1.2220506875172352</c:v>
                </c:pt>
                <c:pt idx="9">
                  <c:v>1.371589562371232</c:v>
                </c:pt>
              </c:numCache>
            </c:numRef>
          </c:xVal>
          <c:yVal>
            <c:numRef>
              <c:f>'Rel Req'!$AQ$6:$AQ$15</c:f>
              <c:numCache>
                <c:formatCode>0.00%</c:formatCode>
                <c:ptCount val="10"/>
                <c:pt idx="0">
                  <c:v>4.0990876122168982E-3</c:v>
                </c:pt>
                <c:pt idx="1">
                  <c:v>5.144340058811466E-3</c:v>
                </c:pt>
                <c:pt idx="2">
                  <c:v>4.3888722003614968E-3</c:v>
                </c:pt>
                <c:pt idx="3">
                  <c:v>1.0812287674575132E-2</c:v>
                </c:pt>
                <c:pt idx="4">
                  <c:v>6.4264316444881129E-3</c:v>
                </c:pt>
                <c:pt idx="5">
                  <c:v>1.1220027991926496E-2</c:v>
                </c:pt>
                <c:pt idx="6">
                  <c:v>1.722403568036663E-2</c:v>
                </c:pt>
                <c:pt idx="7">
                  <c:v>1.6262060864895577E-2</c:v>
                </c:pt>
                <c:pt idx="8">
                  <c:v>1.6043804588237126E-3</c:v>
                </c:pt>
                <c:pt idx="9">
                  <c:v>2.1154220909880405E-2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86304"/>
        <c:axId val="173592576"/>
      </c:scatterChart>
      <c:valAx>
        <c:axId val="173586304"/>
        <c:scaling>
          <c:orientation val="minMax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Zone FPR</a:t>
                </a:r>
              </a:p>
            </c:rich>
          </c:tx>
          <c:layout>
            <c:manualLayout>
              <c:xMode val="edge"/>
              <c:yMode val="edge"/>
              <c:x val="0.43691776027996498"/>
              <c:y val="0.92960629921259841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73592576"/>
        <c:crosses val="autoZero"/>
        <c:crossBetween val="midCat"/>
      </c:valAx>
      <c:valAx>
        <c:axId val="17359257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StDev of Pecentage Delta from Average FPR</a:t>
                </a:r>
              </a:p>
            </c:rich>
          </c:tx>
          <c:layout>
            <c:manualLayout>
              <c:xMode val="edge"/>
              <c:yMode val="edge"/>
              <c:x val="0"/>
              <c:y val="8.6035651793525805E-2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1735863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34973753280839"/>
          <c:y val="5.1400554097404488E-2"/>
          <c:w val="0.79510052985656154"/>
          <c:h val="0.82503690863703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'Rel Req'!$R$3</c:f>
              <c:strCache>
                <c:ptCount val="1"/>
              </c:strCache>
            </c:strRef>
          </c:tx>
          <c:spPr>
            <a:ln w="28575">
              <a:noFill/>
            </a:ln>
          </c:spPr>
          <c:dLbls>
            <c:dLbl>
              <c:idx val="0"/>
              <c:tx>
                <c:strRef>
                  <c:f>'Rel Req'!$A$6</c:f>
                  <c:strCache>
                    <c:ptCount val="1"/>
                    <c:pt idx="0">
                      <c:v>RTO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'Rel Req'!$A$7</c:f>
                  <c:strCache>
                    <c:ptCount val="1"/>
                    <c:pt idx="0">
                      <c:v>MAAC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'Rel Req'!$A$8</c:f>
                  <c:strCache>
                    <c:ptCount val="1"/>
                    <c:pt idx="0">
                      <c:v>EMAAC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'Rel Req'!$A$9</c:f>
                  <c:strCache>
                    <c:ptCount val="1"/>
                    <c:pt idx="0">
                      <c:v>SWMAAC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'Rel Req'!$A$10</c:f>
                  <c:strCache>
                    <c:ptCount val="1"/>
                    <c:pt idx="0">
                      <c:v>PSEG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'Rel Req'!$A$11</c:f>
                  <c:strCache>
                    <c:ptCount val="1"/>
                    <c:pt idx="0">
                      <c:v>PS-N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'Rel Req'!$A$12</c:f>
                  <c:strCache>
                    <c:ptCount val="1"/>
                    <c:pt idx="0">
                      <c:v>DPL-S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'Rel Req'!$A$13</c:f>
                  <c:strCache>
                    <c:ptCount val="1"/>
                    <c:pt idx="0">
                      <c:v>PEPCO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'Rel Req'!$A$14</c:f>
                  <c:strCache>
                    <c:ptCount val="1"/>
                    <c:pt idx="0">
                      <c:v>ATSI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'Rel Req'!$A$15</c:f>
                  <c:strCache>
                    <c:ptCount val="1"/>
                    <c:pt idx="0">
                      <c:v>ATSI-C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000" b="0" i="0" strike="noStrike">
                      <a:latin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34031466567862012"/>
                  <c:y val="-2.1039297732421317E-2"/>
                </c:manualLayout>
              </c:layout>
              <c:numFmt formatCode="General" sourceLinked="0"/>
            </c:trendlineLbl>
          </c:trendline>
          <c:xVal>
            <c:numRef>
              <c:f>'Rel Req'!$M$6:$M$15</c:f>
              <c:numCache>
                <c:formatCode>0.00</c:formatCode>
                <c:ptCount val="10"/>
                <c:pt idx="0">
                  <c:v>1.0837181818181818</c:v>
                </c:pt>
                <c:pt idx="1">
                  <c:v>1.1740563931511556</c:v>
                </c:pt>
                <c:pt idx="2">
                  <c:v>1.1857224621089932</c:v>
                </c:pt>
                <c:pt idx="3">
                  <c:v>1.2114709733887381</c:v>
                </c:pt>
                <c:pt idx="4">
                  <c:v>1.2074479298659602</c:v>
                </c:pt>
                <c:pt idx="5">
                  <c:v>1.2561143611496493</c:v>
                </c:pt>
                <c:pt idx="6">
                  <c:v>1.2852761633775993</c:v>
                </c:pt>
                <c:pt idx="7">
                  <c:v>1.3080434899588247</c:v>
                </c:pt>
                <c:pt idx="8">
                  <c:v>1.2220506875172352</c:v>
                </c:pt>
                <c:pt idx="9">
                  <c:v>1.371589562371232</c:v>
                </c:pt>
              </c:numCache>
            </c:numRef>
          </c:xVal>
          <c:yVal>
            <c:numRef>
              <c:f>'Rel Req'!$AC$6:$AC$15</c:f>
              <c:numCache>
                <c:formatCode>0.00</c:formatCode>
                <c:ptCount val="10"/>
                <c:pt idx="0">
                  <c:v>4.4422557742251293E-3</c:v>
                </c:pt>
                <c:pt idx="1">
                  <c:v>6.0397453345911933E-3</c:v>
                </c:pt>
                <c:pt idx="2">
                  <c:v>5.2039843512943487E-3</c:v>
                </c:pt>
                <c:pt idx="3">
                  <c:v>1.309877267367659E-2</c:v>
                </c:pt>
                <c:pt idx="4">
                  <c:v>7.7595815855622703E-3</c:v>
                </c:pt>
                <c:pt idx="5">
                  <c:v>1.4093638293159932E-2</c:v>
                </c:pt>
                <c:pt idx="6">
                  <c:v>2.2137642497140501E-2</c:v>
                </c:pt>
                <c:pt idx="7">
                  <c:v>2.1271482847640834E-2</c:v>
                </c:pt>
                <c:pt idx="8">
                  <c:v>1.9606342427447351E-3</c:v>
                </c:pt>
                <c:pt idx="9">
                  <c:v>2.9014908600087232E-2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56288"/>
        <c:axId val="174558208"/>
      </c:scatterChart>
      <c:valAx>
        <c:axId val="174556288"/>
        <c:scaling>
          <c:orientation val="minMax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 Zone FPR</a:t>
                </a:r>
              </a:p>
            </c:rich>
          </c:tx>
          <c:layout>
            <c:manualLayout>
              <c:xMode val="edge"/>
              <c:yMode val="edge"/>
              <c:x val="0.42374173604868892"/>
              <c:y val="0.929606225394241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74558208"/>
        <c:crosses val="autoZero"/>
        <c:crossBetween val="midCat"/>
      </c:valAx>
      <c:valAx>
        <c:axId val="174558208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StDev of Absolute Delta</a:t>
                </a:r>
                <a:r>
                  <a:rPr lang="en-US" baseline="0"/>
                  <a:t> from Average FPR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842392180254E-3"/>
              <c:y val="8.6527385246442462E-2"/>
            </c:manualLayout>
          </c:layout>
          <c:overlay val="0"/>
        </c:title>
        <c:numFmt formatCode="0.000" sourceLinked="0"/>
        <c:majorTickMark val="out"/>
        <c:minorTickMark val="none"/>
        <c:tickLblPos val="nextTo"/>
        <c:crossAx val="174556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03934180579312"/>
          <c:y val="5.5915817253962059E-2"/>
          <c:w val="0.81535089083343937"/>
          <c:h val="0.80724076642384912"/>
        </c:manualLayout>
      </c:layout>
      <c:scatterChart>
        <c:scatterStyle val="lineMarker"/>
        <c:varyColors val="0"/>
        <c:ser>
          <c:idx val="0"/>
          <c:order val="0"/>
          <c:tx>
            <c:strRef>
              <c:f>Supply!$I$51</c:f>
              <c:strCache>
                <c:ptCount val="1"/>
                <c:pt idx="0">
                  <c:v>I Total Offers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</c:marker>
          <c:trendline>
            <c:spPr>
              <a:ln w="9525">
                <a:solidFill>
                  <a:srgbClr val="00467F"/>
                </a:solidFill>
              </a:ln>
            </c:spPr>
            <c:trendlineType val="exp"/>
            <c:dispRSqr val="0"/>
            <c:dispEq val="0"/>
          </c:trendline>
          <c:xVal>
            <c:numRef>
              <c:f>Supply!$E$55:$E$64</c:f>
              <c:numCache>
                <c:formatCode>#,##0</c:formatCode>
                <c:ptCount val="10"/>
                <c:pt idx="0">
                  <c:v>154261.17499999999</c:v>
                </c:pt>
                <c:pt idx="1">
                  <c:v>68289.712500000023</c:v>
                </c:pt>
                <c:pt idx="2">
                  <c:v>33351.450000000019</c:v>
                </c:pt>
                <c:pt idx="3">
                  <c:v>11827.587500000003</c:v>
                </c:pt>
                <c:pt idx="4">
                  <c:v>12645.700000000004</c:v>
                </c:pt>
                <c:pt idx="5">
                  <c:v>7622.0249999999987</c:v>
                </c:pt>
                <c:pt idx="6">
                  <c:v>5642.3125000000009</c:v>
                </c:pt>
                <c:pt idx="7">
                  <c:v>4065.2124999999996</c:v>
                </c:pt>
                <c:pt idx="8">
                  <c:v>2276.0500000000002</c:v>
                </c:pt>
                <c:pt idx="9">
                  <c:v>1607.8499999999992</c:v>
                </c:pt>
              </c:numCache>
            </c:numRef>
          </c:xVal>
          <c:yVal>
            <c:numRef>
              <c:f>Supply!$N$55:$N$64</c:f>
              <c:numCache>
                <c:formatCode>0%</c:formatCode>
                <c:ptCount val="10"/>
                <c:pt idx="0">
                  <c:v>0.12991241024618494</c:v>
                </c:pt>
                <c:pt idx="1">
                  <c:v>5.626308988061527E-2</c:v>
                </c:pt>
                <c:pt idx="2">
                  <c:v>5.8145719656928295E-2</c:v>
                </c:pt>
                <c:pt idx="3">
                  <c:v>7.1263993834451242E-2</c:v>
                </c:pt>
                <c:pt idx="4">
                  <c:v>5.1084303361438897E-2</c:v>
                </c:pt>
                <c:pt idx="5">
                  <c:v>9.5079673657409963E-2</c:v>
                </c:pt>
                <c:pt idx="6">
                  <c:v>7.3041656683616146E-2</c:v>
                </c:pt>
                <c:pt idx="7">
                  <c:v>0.10728944368800052</c:v>
                </c:pt>
                <c:pt idx="8">
                  <c:v>0.21937291295245659</c:v>
                </c:pt>
                <c:pt idx="9">
                  <c:v>6.6955306092718894E-2</c:v>
                </c:pt>
              </c:numCache>
            </c:numRef>
          </c:yVal>
          <c:smooth val="0"/>
        </c:ser>
        <c:ser>
          <c:idx val="1"/>
          <c:order val="1"/>
          <c:tx>
            <c:v>II Yr 2 - Yr 1</c:v>
          </c:tx>
          <c:spPr>
            <a:ln w="28575">
              <a:noFill/>
            </a:ln>
          </c:spPr>
          <c:marker>
            <c:symbol val="square"/>
            <c:size val="6"/>
          </c:marker>
          <c:trendline>
            <c:spPr>
              <a:ln w="9525">
                <a:solidFill>
                  <a:srgbClr val="7FB9C2">
                    <a:lumMod val="75000"/>
                  </a:srgbClr>
                </a:solidFill>
              </a:ln>
            </c:spPr>
            <c:trendlineType val="exp"/>
            <c:dispRSqr val="0"/>
            <c:dispEq val="0"/>
          </c:trendline>
          <c:xVal>
            <c:numRef>
              <c:f>Supply!$E$55:$E$64</c:f>
              <c:numCache>
                <c:formatCode>#,##0</c:formatCode>
                <c:ptCount val="10"/>
                <c:pt idx="0">
                  <c:v>154261.17499999999</c:v>
                </c:pt>
                <c:pt idx="1">
                  <c:v>68289.712500000023</c:v>
                </c:pt>
                <c:pt idx="2">
                  <c:v>33351.450000000019</c:v>
                </c:pt>
                <c:pt idx="3">
                  <c:v>11827.587500000003</c:v>
                </c:pt>
                <c:pt idx="4">
                  <c:v>12645.700000000004</c:v>
                </c:pt>
                <c:pt idx="5">
                  <c:v>7622.0249999999987</c:v>
                </c:pt>
                <c:pt idx="6">
                  <c:v>5642.3125000000009</c:v>
                </c:pt>
                <c:pt idx="7">
                  <c:v>4065.2124999999996</c:v>
                </c:pt>
                <c:pt idx="8">
                  <c:v>2276.0500000000002</c:v>
                </c:pt>
                <c:pt idx="9">
                  <c:v>1607.8499999999992</c:v>
                </c:pt>
              </c:numCache>
            </c:numRef>
          </c:xVal>
          <c:yVal>
            <c:numRef>
              <c:f>Supply!$O$55:$O$64</c:f>
              <c:numCache>
                <c:formatCode>0%</c:formatCode>
                <c:ptCount val="10"/>
                <c:pt idx="0">
                  <c:v>4.6859019704007916E-2</c:v>
                </c:pt>
                <c:pt idx="1">
                  <c:v>3.0293784725307832E-2</c:v>
                </c:pt>
                <c:pt idx="2">
                  <c:v>5.4828654125334594E-2</c:v>
                </c:pt>
                <c:pt idx="3">
                  <c:v>4.750981031297502E-2</c:v>
                </c:pt>
                <c:pt idx="4">
                  <c:v>8.2446850018006404E-2</c:v>
                </c:pt>
                <c:pt idx="5">
                  <c:v>0.12948820074451772</c:v>
                </c:pt>
                <c:pt idx="6">
                  <c:v>5.7603878885912278E-2</c:v>
                </c:pt>
                <c:pt idx="7">
                  <c:v>0.14419473472477728</c:v>
                </c:pt>
                <c:pt idx="8">
                  <c:v>0.41984539815356248</c:v>
                </c:pt>
                <c:pt idx="9">
                  <c:v>5.2033755517497067E-2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Supply!$P$51</c:f>
              <c:strCache>
                <c:ptCount val="1"/>
                <c:pt idx="0">
                  <c:v>III Deviation from Trend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</c:marker>
          <c:trendline>
            <c:spPr>
              <a:ln w="15875">
                <a:solidFill>
                  <a:srgbClr val="6A7277"/>
                </a:solidFill>
              </a:ln>
            </c:spPr>
            <c:trendlineType val="exp"/>
            <c:dispRSqr val="0"/>
            <c:dispEq val="0"/>
          </c:trendline>
          <c:xVal>
            <c:numRef>
              <c:f>Supply!$E$55:$E$64</c:f>
              <c:numCache>
                <c:formatCode>#,##0</c:formatCode>
                <c:ptCount val="10"/>
                <c:pt idx="0">
                  <c:v>154261.17499999999</c:v>
                </c:pt>
                <c:pt idx="1">
                  <c:v>68289.712500000023</c:v>
                </c:pt>
                <c:pt idx="2">
                  <c:v>33351.450000000019</c:v>
                </c:pt>
                <c:pt idx="3">
                  <c:v>11827.587500000003</c:v>
                </c:pt>
                <c:pt idx="4">
                  <c:v>12645.700000000004</c:v>
                </c:pt>
                <c:pt idx="5">
                  <c:v>7622.0249999999987</c:v>
                </c:pt>
                <c:pt idx="6">
                  <c:v>5642.3125000000009</c:v>
                </c:pt>
                <c:pt idx="7">
                  <c:v>4065.2124999999996</c:v>
                </c:pt>
                <c:pt idx="8">
                  <c:v>2276.0500000000002</c:v>
                </c:pt>
                <c:pt idx="9">
                  <c:v>1607.8499999999992</c:v>
                </c:pt>
              </c:numCache>
            </c:numRef>
          </c:xVal>
          <c:yVal>
            <c:numRef>
              <c:f>Supply!$P$55:$P$64</c:f>
              <c:numCache>
                <c:formatCode>0%</c:formatCode>
                <c:ptCount val="10"/>
                <c:pt idx="0">
                  <c:v>3.1222537758242068E-2</c:v>
                </c:pt>
                <c:pt idx="1">
                  <c:v>1.7998789824640576E-2</c:v>
                </c:pt>
                <c:pt idx="2">
                  <c:v>3.3049086285015475E-2</c:v>
                </c:pt>
                <c:pt idx="3">
                  <c:v>3.4547729958073252E-2</c:v>
                </c:pt>
                <c:pt idx="4">
                  <c:v>4.4053282161166815E-2</c:v>
                </c:pt>
                <c:pt idx="5">
                  <c:v>8.6249599611292735E-2</c:v>
                </c:pt>
                <c:pt idx="6">
                  <c:v>4.1384755064016635E-2</c:v>
                </c:pt>
                <c:pt idx="7">
                  <c:v>8.3244708329706374E-2</c:v>
                </c:pt>
                <c:pt idx="8">
                  <c:v>0.20776152948043866</c:v>
                </c:pt>
                <c:pt idx="9">
                  <c:v>4.3493356829064793E-2</c:v>
                </c:pt>
              </c:numCache>
            </c:numRef>
          </c:yVal>
          <c:smooth val="0"/>
        </c:ser>
        <c:ser>
          <c:idx val="3"/>
          <c:order val="3"/>
          <c:tx>
            <c:v>Shocks Used</c:v>
          </c:tx>
          <c:spPr>
            <a:ln w="28575">
              <a:solidFill>
                <a:srgbClr val="EF4623"/>
              </a:solidFill>
            </a:ln>
          </c:spPr>
          <c:marker>
            <c:symbol val="square"/>
            <c:size val="8"/>
            <c:spPr>
              <a:solidFill>
                <a:srgbClr val="EF4623"/>
              </a:solidFill>
              <a:ln>
                <a:noFill/>
              </a:ln>
            </c:spPr>
          </c:marker>
          <c:trendline>
            <c:spPr>
              <a:ln>
                <a:solidFill>
                  <a:srgbClr val="EF4623"/>
                </a:solidFill>
              </a:ln>
            </c:spPr>
            <c:trendlineType val="exp"/>
            <c:dispRSqr val="0"/>
            <c:dispEq val="0"/>
          </c:trendline>
          <c:xVal>
            <c:numRef>
              <c:f>Supply!$F$55:$F$64</c:f>
              <c:numCache>
                <c:formatCode>_(* #,##0_);_(* \(#,##0\);_(* "-"??_);_(@_)</c:formatCode>
                <c:ptCount val="10"/>
                <c:pt idx="0">
                  <c:v>184380</c:v>
                </c:pt>
                <c:pt idx="1">
                  <c:v>71608.299999999945</c:v>
                </c:pt>
                <c:pt idx="2">
                  <c:v>34139.899999999972</c:v>
                </c:pt>
                <c:pt idx="3">
                  <c:v>12386.000000000004</c:v>
                </c:pt>
                <c:pt idx="4">
                  <c:v>12791.300000000003</c:v>
                </c:pt>
                <c:pt idx="5">
                  <c:v>6784.2999999999975</c:v>
                </c:pt>
                <c:pt idx="6">
                  <c:v>6126.1000000000031</c:v>
                </c:pt>
                <c:pt idx="7">
                  <c:v>4181.5999999999995</c:v>
                </c:pt>
                <c:pt idx="8">
                  <c:v>2874.2999999999993</c:v>
                </c:pt>
                <c:pt idx="9">
                  <c:v>1764.3999999999985</c:v>
                </c:pt>
              </c:numCache>
            </c:numRef>
          </c:xVal>
          <c:yVal>
            <c:numRef>
              <c:f>Supply!$S$55:$S$64</c:f>
              <c:numCache>
                <c:formatCode>0%</c:formatCode>
                <c:ptCount val="10"/>
                <c:pt idx="0">
                  <c:v>2.239403290369945E-2</c:v>
                </c:pt>
                <c:pt idx="1">
                  <c:v>3.9356180807472836E-2</c:v>
                </c:pt>
                <c:pt idx="2">
                  <c:v>4.7465115710882071E-2</c:v>
                </c:pt>
                <c:pt idx="3">
                  <c:v>5.2919110734440923E-2</c:v>
                </c:pt>
                <c:pt idx="4">
                  <c:v>5.2811978744689451E-2</c:v>
                </c:pt>
                <c:pt idx="5">
                  <c:v>5.4422247689857921E-2</c:v>
                </c:pt>
                <c:pt idx="6">
                  <c:v>5.4601646345575794E-2</c:v>
                </c:pt>
                <c:pt idx="7">
                  <c:v>5.5135099901126895E-2</c:v>
                </c:pt>
                <c:pt idx="8">
                  <c:v>5.5496670898675778E-2</c:v>
                </c:pt>
                <c:pt idx="9">
                  <c:v>5.5805505820931106E-2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52416"/>
        <c:axId val="174650880"/>
      </c:scatterChart>
      <c:valAx>
        <c:axId val="17465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Supply Offer (MW)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302F35"/>
            </a:solidFill>
            <a:prstDash val="sysDot"/>
          </a:ln>
        </c:spPr>
        <c:txPr>
          <a:bodyPr/>
          <a:lstStyle/>
          <a:p>
            <a:pPr>
              <a:defRPr sz="1200">
                <a:latin typeface="+mj-lt"/>
              </a:defRPr>
            </a:pPr>
            <a:endParaRPr lang="en-US"/>
          </a:p>
        </c:txPr>
        <c:crossAx val="174650880"/>
        <c:crosses val="autoZero"/>
        <c:crossBetween val="midCat"/>
      </c:valAx>
      <c:valAx>
        <c:axId val="17465088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CAC9CF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>
                    <a:latin typeface="+mj-lt"/>
                  </a:defRPr>
                </a:pPr>
                <a:r>
                  <a:rPr lang="en-US"/>
                  <a:t>Shock St. Dev (% of MW Offered)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>
            <a:solidFill>
              <a:srgbClr val="302F35"/>
            </a:solidFill>
          </a:ln>
        </c:spPr>
        <c:txPr>
          <a:bodyPr/>
          <a:lstStyle/>
          <a:p>
            <a:pPr>
              <a:defRPr sz="1200">
                <a:latin typeface="+mj-lt"/>
              </a:defRPr>
            </a:pPr>
            <a:endParaRPr lang="en-US"/>
          </a:p>
        </c:txPr>
        <c:crossAx val="174652416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4042974879486569"/>
          <c:y val="8.1959596679374344E-2"/>
          <c:w val="0.32845116084008347"/>
          <c:h val="0.17243073122647001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240243</xdr:colOff>
      <xdr:row>3</xdr:row>
      <xdr:rowOff>151345</xdr:rowOff>
    </xdr:from>
    <xdr:to>
      <xdr:col>13</xdr:col>
      <xdr:colOff>433916</xdr:colOff>
      <xdr:row>19</xdr:row>
      <xdr:rowOff>105836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31753</xdr:colOff>
      <xdr:row>9</xdr:row>
      <xdr:rowOff>148167</xdr:rowOff>
    </xdr:from>
    <xdr:to>
      <xdr:col>12</xdr:col>
      <xdr:colOff>74085</xdr:colOff>
      <xdr:row>13</xdr:row>
      <xdr:rowOff>74082</xdr:rowOff>
    </xdr:to>
    <xdr:sp macro="" textlink="">
      <xdr:nvSpPr>
        <xdr:cNvPr id="14" name="TextBox 13"/>
        <xdr:cNvSpPr txBox="1"/>
      </xdr:nvSpPr>
      <xdr:spPr>
        <a:xfrm>
          <a:off x="6127753" y="2201334"/>
          <a:ext cx="1883832" cy="687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accent4"/>
              </a:solidFill>
            </a:rPr>
            <a:t>Historical</a:t>
          </a:r>
          <a:r>
            <a:rPr lang="en-US" sz="1200" b="1" baseline="0">
              <a:solidFill>
                <a:schemeClr val="accent4"/>
              </a:solidFill>
            </a:rPr>
            <a:t> Gross CONE "Shock" as H-W Deviation from Expected Value</a:t>
          </a:r>
          <a:endParaRPr lang="en-US" sz="1200" b="1">
            <a:solidFill>
              <a:schemeClr val="accent4"/>
            </a:solidFill>
          </a:endParaRPr>
        </a:p>
      </xdr:txBody>
    </xdr:sp>
    <xdr:clientData/>
  </xdr:twoCellAnchor>
  <xdr:twoCellAnchor>
    <xdr:from>
      <xdr:col>8</xdr:col>
      <xdr:colOff>423336</xdr:colOff>
      <xdr:row>9</xdr:row>
      <xdr:rowOff>52917</xdr:rowOff>
    </xdr:from>
    <xdr:to>
      <xdr:col>9</xdr:col>
      <xdr:colOff>116420</xdr:colOff>
      <xdr:row>10</xdr:row>
      <xdr:rowOff>52917</xdr:rowOff>
    </xdr:to>
    <xdr:cxnSp macro="">
      <xdr:nvCxnSpPr>
        <xdr:cNvPr id="15" name="Straight Connector 14"/>
        <xdr:cNvCxnSpPr/>
      </xdr:nvCxnSpPr>
      <xdr:spPr>
        <a:xfrm>
          <a:off x="5905503" y="2106084"/>
          <a:ext cx="306917" cy="190500"/>
        </a:xfrm>
        <a:prstGeom prst="line">
          <a:avLst/>
        </a:prstGeom>
        <a:ln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15</xdr:row>
      <xdr:rowOff>0</xdr:rowOff>
    </xdr:from>
    <xdr:to>
      <xdr:col>18</xdr:col>
      <xdr:colOff>342900</xdr:colOff>
      <xdr:row>30</xdr:row>
      <xdr:rowOff>104769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0.50557</cdr:x>
      <cdr:y>0.09646</cdr:y>
    </cdr:from>
    <cdr:to>
      <cdr:x>0.69888</cdr:x>
      <cdr:y>0.17363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90775" y="285751"/>
          <a:ext cx="990608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>
                  <a:lumMod val="65000"/>
                </a:schemeClr>
              </a:solidFill>
            </a:rPr>
            <a:t>2007 Forecast</a:t>
          </a:r>
        </a:p>
      </cdr:txBody>
    </cdr:sp>
  </cdr:relSizeAnchor>
  <cdr:relSizeAnchor xmlns:cdr="http://schemas.openxmlformats.org/drawingml/2006/chartDrawing">
    <cdr:from>
      <cdr:x>0.86308</cdr:x>
      <cdr:y>0.3612</cdr:y>
    </cdr:from>
    <cdr:to>
      <cdr:x>0.96654</cdr:x>
      <cdr:y>0.43408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422802" y="1069980"/>
          <a:ext cx="530198" cy="215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1">
                  <a:lumMod val="65000"/>
                </a:schemeClr>
              </a:solidFill>
            </a:rPr>
            <a:t>2014</a:t>
          </a:r>
        </a:p>
      </cdr:txBody>
    </cdr:sp>
  </cdr:relSizeAnchor>
  <cdr:relSizeAnchor xmlns:cdr="http://schemas.openxmlformats.org/drawingml/2006/chartDrawing">
    <cdr:from>
      <cdr:x>0.84263</cdr:x>
      <cdr:y>0.17149</cdr:y>
    </cdr:from>
    <cdr:to>
      <cdr:x>0.94238</cdr:x>
      <cdr:y>0.24116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317999" y="507999"/>
          <a:ext cx="511176" cy="206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2"/>
              </a:solidFill>
            </a:rPr>
            <a:t>2012 </a:t>
          </a:r>
        </a:p>
      </cdr:txBody>
    </cdr:sp>
  </cdr:relSizeAnchor>
  <cdr:relSizeAnchor xmlns:cdr="http://schemas.openxmlformats.org/drawingml/2006/chartDrawing">
    <cdr:from>
      <cdr:x>0.90025</cdr:x>
      <cdr:y>0.194</cdr:y>
    </cdr:from>
    <cdr:to>
      <cdr:x>1</cdr:x>
      <cdr:y>0.26367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613274" y="574675"/>
          <a:ext cx="511176" cy="206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2"/>
              </a:solidFill>
            </a:rPr>
            <a:t>2013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411690</xdr:colOff>
      <xdr:row>23</xdr:row>
      <xdr:rowOff>34923</xdr:rowOff>
    </xdr:from>
    <xdr:to>
      <xdr:col>42</xdr:col>
      <xdr:colOff>455083</xdr:colOff>
      <xdr:row>45</xdr:row>
      <xdr:rowOff>137583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242887</xdr:colOff>
      <xdr:row>67</xdr:row>
      <xdr:rowOff>0</xdr:rowOff>
    </xdr:from>
    <xdr:to>
      <xdr:col>27</xdr:col>
      <xdr:colOff>171450</xdr:colOff>
      <xdr:row>84</xdr:row>
      <xdr:rowOff>157163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67</xdr:row>
      <xdr:rowOff>4763</xdr:rowOff>
    </xdr:from>
    <xdr:to>
      <xdr:col>40</xdr:col>
      <xdr:colOff>257175</xdr:colOff>
      <xdr:row>85</xdr:row>
      <xdr:rowOff>100013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88</xdr:row>
      <xdr:rowOff>100013</xdr:rowOff>
    </xdr:from>
    <xdr:to>
      <xdr:col>26</xdr:col>
      <xdr:colOff>376238</xdr:colOff>
      <xdr:row>106</xdr:row>
      <xdr:rowOff>95251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400050</xdr:colOff>
      <xdr:row>49</xdr:row>
      <xdr:rowOff>142875</xdr:rowOff>
    </xdr:from>
    <xdr:to>
      <xdr:col>28</xdr:col>
      <xdr:colOff>9525</xdr:colOff>
      <xdr:row>67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0.62328</cdr:x>
      <cdr:y>0.54795</cdr:y>
    </cdr:from>
    <cdr:to>
      <cdr:x>0.87443</cdr:x>
      <cdr:y>0.60864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76675" y="2493870"/>
          <a:ext cx="15621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Brattle Theme">
      <a:dk1>
        <a:srgbClr val="302F35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Brattle Theme">
    <a:dk1>
      <a:srgbClr val="302F35"/>
    </a:dk1>
    <a:lt1>
      <a:srgbClr val="FFFFFF"/>
    </a:lt1>
    <a:dk2>
      <a:srgbClr val="FFFFFF"/>
    </a:dk2>
    <a:lt2>
      <a:srgbClr val="00467F"/>
    </a:lt2>
    <a:accent1>
      <a:srgbClr val="002B54"/>
    </a:accent1>
    <a:accent2>
      <a:srgbClr val="7FB9C2"/>
    </a:accent2>
    <a:accent3>
      <a:srgbClr val="6A7277"/>
    </a:accent3>
    <a:accent4>
      <a:srgbClr val="EF4623"/>
    </a:accent4>
    <a:accent5>
      <a:srgbClr val="00467F"/>
    </a:accent5>
    <a:accent6>
      <a:srgbClr val="CCCDC3"/>
    </a:accent6>
    <a:hlink>
      <a:srgbClr val="7FB9C2"/>
    </a:hlink>
    <a:folHlink>
      <a:srgbClr val="00467F"/>
    </a:folHlink>
  </a:clrScheme>
  <a:fontScheme name="Extended Fonts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J231"/>
  <sheetViews>
    <sheetView zoomScaleNormal="100" workbookViewId="0">
      <pane ySplit="8" topLeftCell="A9" activePane="bottomLeft" state="frozen"/>
      <selection activeCell="N39" sqref="N39"/>
      <selection pane="bottomLeft" activeCell="I6" sqref="I6"/>
    </sheetView>
  </sheetViews>
  <sheetFormatPr defaultRowHeight="12.75" x14ac:dyDescent="0.2"/>
  <cols>
    <col min="1" max="2" width="9.28515625" style="3" customWidth="1"/>
    <col min="3" max="4" width="9.28515625" style="12" customWidth="1"/>
    <col min="5" max="5" width="9.28515625" style="3" customWidth="1"/>
    <col min="6" max="6" width="11.140625" style="3" customWidth="1"/>
    <col min="7" max="16384" width="9.140625" style="1"/>
  </cols>
  <sheetData>
    <row r="1" spans="1:6" s="2" customFormat="1" x14ac:dyDescent="0.2">
      <c r="A1" s="2" t="s">
        <v>14</v>
      </c>
      <c r="C1" s="16"/>
      <c r="D1" s="16"/>
    </row>
    <row r="2" spans="1:6" s="2" customFormat="1" x14ac:dyDescent="0.2">
      <c r="A2" s="2" t="s">
        <v>13</v>
      </c>
      <c r="C2" s="16"/>
      <c r="D2" s="16"/>
    </row>
    <row r="3" spans="1:6" s="3" customFormat="1" x14ac:dyDescent="0.2">
      <c r="C3" s="12"/>
      <c r="D3" s="12"/>
      <c r="E3" s="10" t="s">
        <v>53</v>
      </c>
      <c r="F3" s="52">
        <f>STDEV(F9:F107)</f>
        <v>0.12221208420178729</v>
      </c>
    </row>
    <row r="5" spans="1:6" s="4" customFormat="1" x14ac:dyDescent="0.2">
      <c r="A5" s="8" t="s">
        <v>25</v>
      </c>
      <c r="B5" s="9"/>
      <c r="C5" s="9"/>
      <c r="D5" s="9"/>
      <c r="E5" s="9"/>
      <c r="F5" s="9"/>
    </row>
    <row r="6" spans="1:6" s="20" customFormat="1" ht="63.75" x14ac:dyDescent="0.25">
      <c r="A6" s="27" t="s">
        <v>17</v>
      </c>
      <c r="B6" s="27" t="s">
        <v>18</v>
      </c>
      <c r="C6" s="28" t="s">
        <v>24</v>
      </c>
      <c r="D6" s="28" t="s">
        <v>23</v>
      </c>
      <c r="E6" s="27" t="s">
        <v>26</v>
      </c>
      <c r="F6" s="27" t="s">
        <v>19</v>
      </c>
    </row>
    <row r="7" spans="1:6" s="24" customFormat="1" x14ac:dyDescent="0.25">
      <c r="A7" s="23"/>
      <c r="B7" s="25"/>
      <c r="C7" s="26" t="s">
        <v>20</v>
      </c>
      <c r="D7" s="26" t="s">
        <v>20</v>
      </c>
      <c r="E7" s="26" t="s">
        <v>20</v>
      </c>
      <c r="F7" s="25" t="s">
        <v>21</v>
      </c>
    </row>
    <row r="8" spans="1:6" s="20" customFormat="1" ht="5.25" customHeight="1" x14ac:dyDescent="0.25">
      <c r="A8" s="21"/>
      <c r="B8" s="21"/>
      <c r="C8" s="22"/>
      <c r="D8" s="22"/>
      <c r="E8" s="21"/>
      <c r="F8" s="21"/>
    </row>
    <row r="9" spans="1:6" x14ac:dyDescent="0.2">
      <c r="A9" s="11" t="s">
        <v>1</v>
      </c>
      <c r="B9" s="5">
        <v>2007</v>
      </c>
      <c r="C9" s="6" t="s">
        <v>16</v>
      </c>
      <c r="D9" s="49">
        <f t="array" ref="D9">AVERAGE(IF($A$9:$A$107=A9,$C$9:$C$107))</f>
        <v>6155.4285714285716</v>
      </c>
      <c r="E9" s="50" t="str">
        <f>IF(ISNUMBER(C9),C9-D9,"n/a")</f>
        <v>n/a</v>
      </c>
      <c r="F9" s="51" t="str">
        <f>IF(ISNUMBER(E9),E9/D9,"n/a")</f>
        <v>n/a</v>
      </c>
    </row>
    <row r="10" spans="1:6" x14ac:dyDescent="0.2">
      <c r="A10" s="11" t="s">
        <v>2</v>
      </c>
      <c r="B10" s="5">
        <v>2007</v>
      </c>
      <c r="C10" s="6">
        <v>5845</v>
      </c>
      <c r="D10" s="49">
        <f t="array" ref="D10">AVERAGE(IF($A$9:$A$107=A10,$C$9:$C$107))</f>
        <v>8285.5</v>
      </c>
      <c r="E10" s="50">
        <f t="shared" ref="E10:E73" si="0">IF(ISNUMBER(C10),C10-D10,"n/a")</f>
        <v>-2440.5</v>
      </c>
      <c r="F10" s="51">
        <f t="shared" ref="F10:F73" si="1">IF(ISNUMBER(E10),E10/D10,"n/a")</f>
        <v>-0.29455072113933983</v>
      </c>
    </row>
    <row r="11" spans="1:6" x14ac:dyDescent="0.2">
      <c r="A11" s="11" t="s">
        <v>3</v>
      </c>
      <c r="B11" s="5">
        <v>2007</v>
      </c>
      <c r="C11" s="6">
        <v>5699</v>
      </c>
      <c r="D11" s="49">
        <f t="array" ref="D11">AVERAGE(IF($A$9:$A$107=A11,$C$9:$C$107))</f>
        <v>7139.8399999999992</v>
      </c>
      <c r="E11" s="50">
        <f t="shared" si="0"/>
        <v>-1440.8399999999992</v>
      </c>
      <c r="F11" s="51">
        <f t="shared" si="1"/>
        <v>-0.20180284152025807</v>
      </c>
    </row>
    <row r="12" spans="1:6" x14ac:dyDescent="0.2">
      <c r="A12" s="11" t="s">
        <v>4</v>
      </c>
      <c r="B12" s="5">
        <v>2007</v>
      </c>
      <c r="C12" s="6" t="s">
        <v>16</v>
      </c>
      <c r="D12" s="49">
        <f t="array" ref="D12">AVERAGE(IF($A$9:$A$107=A12,$C$9:$C$107))</f>
        <v>6241.0166666666664</v>
      </c>
      <c r="E12" s="50" t="str">
        <f t="shared" si="0"/>
        <v>n/a</v>
      </c>
      <c r="F12" s="51" t="str">
        <f t="shared" si="1"/>
        <v>n/a</v>
      </c>
    </row>
    <row r="13" spans="1:6" x14ac:dyDescent="0.2">
      <c r="A13" s="11" t="s">
        <v>5</v>
      </c>
      <c r="B13" s="5">
        <v>2007</v>
      </c>
      <c r="C13" s="6" t="s">
        <v>16</v>
      </c>
      <c r="D13" s="49">
        <f t="array" ref="D13">AVERAGE(IF($A$9:$A$107=A13,$C$9:$C$107))</f>
        <v>2733.3333333333335</v>
      </c>
      <c r="E13" s="50" t="str">
        <f t="shared" si="0"/>
        <v>n/a</v>
      </c>
      <c r="F13" s="51" t="str">
        <f t="shared" si="1"/>
        <v>n/a</v>
      </c>
    </row>
    <row r="14" spans="1:6" x14ac:dyDescent="0.2">
      <c r="A14" s="11" t="s">
        <v>6</v>
      </c>
      <c r="B14" s="5">
        <v>2007</v>
      </c>
      <c r="C14" s="6" t="s">
        <v>16</v>
      </c>
      <c r="D14" s="49">
        <f t="array" ref="D14">AVERAGE(IF($A$9:$A$107=A14,$C$9:$C$107))</f>
        <v>1836.25</v>
      </c>
      <c r="E14" s="50" t="str">
        <f t="shared" si="0"/>
        <v>n/a</v>
      </c>
      <c r="F14" s="51" t="str">
        <f t="shared" si="1"/>
        <v>n/a</v>
      </c>
    </row>
    <row r="15" spans="1:6" x14ac:dyDescent="0.2">
      <c r="A15" s="11" t="s">
        <v>7</v>
      </c>
      <c r="B15" s="5">
        <v>2007</v>
      </c>
      <c r="C15" s="6" t="s">
        <v>16</v>
      </c>
      <c r="D15" s="49">
        <f t="array" ref="D15">AVERAGE(IF($A$9:$A$107=A15,$C$9:$C$107))</f>
        <v>5733.0599999999995</v>
      </c>
      <c r="E15" s="50" t="str">
        <f t="shared" si="0"/>
        <v>n/a</v>
      </c>
      <c r="F15" s="51" t="str">
        <f t="shared" si="1"/>
        <v>n/a</v>
      </c>
    </row>
    <row r="16" spans="1:6" x14ac:dyDescent="0.2">
      <c r="A16" s="11" t="s">
        <v>8</v>
      </c>
      <c r="B16" s="5">
        <v>2007</v>
      </c>
      <c r="C16" s="6" t="s">
        <v>16</v>
      </c>
      <c r="D16" s="49">
        <f t="array" ref="D16">AVERAGE(IF($A$9:$A$107=A16,$C$9:$C$107))</f>
        <v>7256.2666666666664</v>
      </c>
      <c r="E16" s="50" t="str">
        <f t="shared" si="0"/>
        <v>n/a</v>
      </c>
      <c r="F16" s="51" t="str">
        <f t="shared" si="1"/>
        <v>n/a</v>
      </c>
    </row>
    <row r="17" spans="1:10" x14ac:dyDescent="0.2">
      <c r="A17" s="11" t="s">
        <v>9</v>
      </c>
      <c r="B17" s="5">
        <v>2007</v>
      </c>
      <c r="C17" s="6" t="s">
        <v>16</v>
      </c>
      <c r="D17" s="49">
        <f t="array" ref="D17">AVERAGE(IF($A$9:$A$107=A17,$C$9:$C$107))</f>
        <v>5092.5</v>
      </c>
      <c r="E17" s="50" t="str">
        <f t="shared" si="0"/>
        <v>n/a</v>
      </c>
      <c r="F17" s="51" t="str">
        <f t="shared" si="1"/>
        <v>n/a</v>
      </c>
    </row>
    <row r="18" spans="1:10" x14ac:dyDescent="0.2">
      <c r="A18" s="12" t="s">
        <v>1</v>
      </c>
      <c r="B18" s="5">
        <v>2008</v>
      </c>
      <c r="C18" s="6" t="s">
        <v>16</v>
      </c>
      <c r="D18" s="49">
        <f t="array" ref="D18">AVERAGE(IF($A$9:$A$107=A18,$C$9:$C$107))</f>
        <v>6155.4285714285716</v>
      </c>
      <c r="E18" s="50" t="str">
        <f t="shared" si="0"/>
        <v>n/a</v>
      </c>
      <c r="F18" s="51" t="str">
        <f t="shared" si="1"/>
        <v>n/a</v>
      </c>
    </row>
    <row r="19" spans="1:10" x14ac:dyDescent="0.2">
      <c r="A19" s="12" t="s">
        <v>2</v>
      </c>
      <c r="B19" s="5">
        <v>2008</v>
      </c>
      <c r="C19" s="6">
        <v>7930</v>
      </c>
      <c r="D19" s="49">
        <f t="array" ref="D19">AVERAGE(IF($A$9:$A$107=A19,$C$9:$C$107))</f>
        <v>8285.5</v>
      </c>
      <c r="E19" s="50">
        <f t="shared" si="0"/>
        <v>-355.5</v>
      </c>
      <c r="F19" s="51">
        <f t="shared" si="1"/>
        <v>-4.2906282059018766E-2</v>
      </c>
    </row>
    <row r="20" spans="1:10" x14ac:dyDescent="0.2">
      <c r="A20" s="12" t="s">
        <v>3</v>
      </c>
      <c r="B20" s="5">
        <v>2008</v>
      </c>
      <c r="C20" s="6">
        <v>5610</v>
      </c>
      <c r="D20" s="49">
        <f t="array" ref="D20">AVERAGE(IF($A$9:$A$107=A20,$C$9:$C$107))</f>
        <v>7139.8399999999992</v>
      </c>
      <c r="E20" s="50">
        <f t="shared" si="0"/>
        <v>-1529.8399999999992</v>
      </c>
      <c r="F20" s="51">
        <f t="shared" si="1"/>
        <v>-0.21426810684833264</v>
      </c>
    </row>
    <row r="21" spans="1:10" x14ac:dyDescent="0.2">
      <c r="A21" s="12" t="s">
        <v>4</v>
      </c>
      <c r="B21" s="5">
        <v>2008</v>
      </c>
      <c r="C21" s="6" t="s">
        <v>16</v>
      </c>
      <c r="D21" s="49">
        <f t="array" ref="D21">AVERAGE(IF($A$9:$A$107=A21,$C$9:$C$107))</f>
        <v>6241.0166666666664</v>
      </c>
      <c r="E21" s="50" t="str">
        <f t="shared" si="0"/>
        <v>n/a</v>
      </c>
      <c r="F21" s="51" t="str">
        <f t="shared" si="1"/>
        <v>n/a</v>
      </c>
      <c r="J21" s="29"/>
    </row>
    <row r="22" spans="1:10" x14ac:dyDescent="0.2">
      <c r="A22" s="12" t="s">
        <v>5</v>
      </c>
      <c r="B22" s="5">
        <v>2008</v>
      </c>
      <c r="C22" s="6" t="s">
        <v>16</v>
      </c>
      <c r="D22" s="49">
        <f t="array" ref="D22">AVERAGE(IF($A$9:$A$107=A22,$C$9:$C$107))</f>
        <v>2733.3333333333335</v>
      </c>
      <c r="E22" s="50" t="str">
        <f t="shared" si="0"/>
        <v>n/a</v>
      </c>
      <c r="F22" s="51" t="str">
        <f t="shared" si="1"/>
        <v>n/a</v>
      </c>
    </row>
    <row r="23" spans="1:10" x14ac:dyDescent="0.2">
      <c r="A23" s="12" t="s">
        <v>6</v>
      </c>
      <c r="B23" s="5">
        <v>2008</v>
      </c>
      <c r="C23" s="6" t="s">
        <v>16</v>
      </c>
      <c r="D23" s="49">
        <f t="array" ref="D23">AVERAGE(IF($A$9:$A$107=A23,$C$9:$C$107))</f>
        <v>1836.25</v>
      </c>
      <c r="E23" s="50" t="str">
        <f t="shared" si="0"/>
        <v>n/a</v>
      </c>
      <c r="F23" s="51" t="str">
        <f t="shared" si="1"/>
        <v>n/a</v>
      </c>
    </row>
    <row r="24" spans="1:10" x14ac:dyDescent="0.2">
      <c r="A24" s="12" t="s">
        <v>7</v>
      </c>
      <c r="B24" s="5">
        <v>2008</v>
      </c>
      <c r="C24" s="6" t="s">
        <v>16</v>
      </c>
      <c r="D24" s="49">
        <f t="array" ref="D24">AVERAGE(IF($A$9:$A$107=A24,$C$9:$C$107))</f>
        <v>5733.0599999999995</v>
      </c>
      <c r="E24" s="50" t="str">
        <f t="shared" si="0"/>
        <v>n/a</v>
      </c>
      <c r="F24" s="51" t="str">
        <f t="shared" si="1"/>
        <v>n/a</v>
      </c>
    </row>
    <row r="25" spans="1:10" x14ac:dyDescent="0.2">
      <c r="A25" s="12" t="s">
        <v>8</v>
      </c>
      <c r="B25" s="5">
        <v>2008</v>
      </c>
      <c r="C25" s="6" t="s">
        <v>16</v>
      </c>
      <c r="D25" s="49">
        <f t="array" ref="D25">AVERAGE(IF($A$9:$A$107=A25,$C$9:$C$107))</f>
        <v>7256.2666666666664</v>
      </c>
      <c r="E25" s="50" t="str">
        <f t="shared" si="0"/>
        <v>n/a</v>
      </c>
      <c r="F25" s="51" t="str">
        <f t="shared" si="1"/>
        <v>n/a</v>
      </c>
    </row>
    <row r="26" spans="1:10" x14ac:dyDescent="0.2">
      <c r="A26" s="12" t="s">
        <v>9</v>
      </c>
      <c r="B26" s="5">
        <v>2008</v>
      </c>
      <c r="C26" s="6" t="s">
        <v>16</v>
      </c>
      <c r="D26" s="49">
        <f t="array" ref="D26">AVERAGE(IF($A$9:$A$107=A26,$C$9:$C$107))</f>
        <v>5092.5</v>
      </c>
      <c r="E26" s="50" t="str">
        <f t="shared" si="0"/>
        <v>n/a</v>
      </c>
      <c r="F26" s="51" t="str">
        <f t="shared" si="1"/>
        <v>n/a</v>
      </c>
    </row>
    <row r="27" spans="1:10" x14ac:dyDescent="0.2">
      <c r="A27" s="12" t="s">
        <v>1</v>
      </c>
      <c r="B27" s="5">
        <v>2009</v>
      </c>
      <c r="C27" s="6" t="s">
        <v>16</v>
      </c>
      <c r="D27" s="49">
        <f t="array" ref="D27">AVERAGE(IF($A$9:$A$107=A27,$C$9:$C$107))</f>
        <v>6155.4285714285716</v>
      </c>
      <c r="E27" s="50" t="str">
        <f t="shared" si="0"/>
        <v>n/a</v>
      </c>
      <c r="F27" s="51" t="str">
        <f t="shared" si="1"/>
        <v>n/a</v>
      </c>
    </row>
    <row r="28" spans="1:10" x14ac:dyDescent="0.2">
      <c r="A28" s="12" t="s">
        <v>2</v>
      </c>
      <c r="B28" s="5">
        <v>2009</v>
      </c>
      <c r="C28" s="6">
        <v>8505</v>
      </c>
      <c r="D28" s="49">
        <f t="array" ref="D28">AVERAGE(IF($A$9:$A$107=A28,$C$9:$C$107))</f>
        <v>8285.5</v>
      </c>
      <c r="E28" s="50">
        <f t="shared" si="0"/>
        <v>219.5</v>
      </c>
      <c r="F28" s="51">
        <f t="shared" si="1"/>
        <v>2.6492064449942673E-2</v>
      </c>
    </row>
    <row r="29" spans="1:10" x14ac:dyDescent="0.2">
      <c r="A29" s="12" t="s">
        <v>3</v>
      </c>
      <c r="B29" s="5">
        <v>2009</v>
      </c>
      <c r="C29" s="6">
        <v>6391</v>
      </c>
      <c r="D29" s="49">
        <f t="array" ref="D29">AVERAGE(IF($A$9:$A$107=A29,$C$9:$C$107))</f>
        <v>7139.8399999999992</v>
      </c>
      <c r="E29" s="50">
        <f t="shared" si="0"/>
        <v>-748.83999999999924</v>
      </c>
      <c r="F29" s="51">
        <f t="shared" si="1"/>
        <v>-0.10488190211545347</v>
      </c>
    </row>
    <row r="30" spans="1:10" x14ac:dyDescent="0.2">
      <c r="A30" s="12" t="s">
        <v>4</v>
      </c>
      <c r="B30" s="5">
        <v>2009</v>
      </c>
      <c r="C30" s="6" t="s">
        <v>16</v>
      </c>
      <c r="D30" s="49">
        <f t="array" ref="D30">AVERAGE(IF($A$9:$A$107=A30,$C$9:$C$107))</f>
        <v>6241.0166666666664</v>
      </c>
      <c r="E30" s="50" t="str">
        <f t="shared" si="0"/>
        <v>n/a</v>
      </c>
      <c r="F30" s="51" t="str">
        <f t="shared" si="1"/>
        <v>n/a</v>
      </c>
    </row>
    <row r="31" spans="1:10" x14ac:dyDescent="0.2">
      <c r="A31" s="12" t="s">
        <v>5</v>
      </c>
      <c r="B31" s="5">
        <v>2009</v>
      </c>
      <c r="C31" s="6" t="s">
        <v>16</v>
      </c>
      <c r="D31" s="49">
        <f t="array" ref="D31">AVERAGE(IF($A$9:$A$107=A31,$C$9:$C$107))</f>
        <v>2733.3333333333335</v>
      </c>
      <c r="E31" s="50" t="str">
        <f t="shared" si="0"/>
        <v>n/a</v>
      </c>
      <c r="F31" s="51" t="str">
        <f t="shared" si="1"/>
        <v>n/a</v>
      </c>
    </row>
    <row r="32" spans="1:10" x14ac:dyDescent="0.2">
      <c r="A32" s="12" t="s">
        <v>6</v>
      </c>
      <c r="B32" s="5">
        <v>2009</v>
      </c>
      <c r="C32" s="6" t="s">
        <v>16</v>
      </c>
      <c r="D32" s="49">
        <f t="array" ref="D32">AVERAGE(IF($A$9:$A$107=A32,$C$9:$C$107))</f>
        <v>1836.25</v>
      </c>
      <c r="E32" s="50" t="str">
        <f t="shared" si="0"/>
        <v>n/a</v>
      </c>
      <c r="F32" s="51" t="str">
        <f t="shared" si="1"/>
        <v>n/a</v>
      </c>
    </row>
    <row r="33" spans="1:7" x14ac:dyDescent="0.2">
      <c r="A33" s="12" t="s">
        <v>7</v>
      </c>
      <c r="B33" s="5">
        <v>2009</v>
      </c>
      <c r="C33" s="6" t="s">
        <v>16</v>
      </c>
      <c r="D33" s="49">
        <f t="array" ref="D33">AVERAGE(IF($A$9:$A$107=A33,$C$9:$C$107))</f>
        <v>5733.0599999999995</v>
      </c>
      <c r="E33" s="50" t="str">
        <f t="shared" si="0"/>
        <v>n/a</v>
      </c>
      <c r="F33" s="51" t="str">
        <f t="shared" si="1"/>
        <v>n/a</v>
      </c>
    </row>
    <row r="34" spans="1:7" s="3" customFormat="1" x14ac:dyDescent="0.2">
      <c r="A34" s="12" t="s">
        <v>8</v>
      </c>
      <c r="B34" s="5">
        <v>2009</v>
      </c>
      <c r="C34" s="6" t="s">
        <v>16</v>
      </c>
      <c r="D34" s="49">
        <f t="array" ref="D34">AVERAGE(IF($A$9:$A$107=A34,$C$9:$C$107))</f>
        <v>7256.2666666666664</v>
      </c>
      <c r="E34" s="50" t="str">
        <f t="shared" si="0"/>
        <v>n/a</v>
      </c>
      <c r="F34" s="51" t="str">
        <f t="shared" si="1"/>
        <v>n/a</v>
      </c>
      <c r="G34" s="1"/>
    </row>
    <row r="35" spans="1:7" s="3" customFormat="1" x14ac:dyDescent="0.2">
      <c r="A35" s="12" t="s">
        <v>9</v>
      </c>
      <c r="B35" s="5">
        <v>2009</v>
      </c>
      <c r="C35" s="6" t="s">
        <v>16</v>
      </c>
      <c r="D35" s="49">
        <f t="array" ref="D35">AVERAGE(IF($A$9:$A$107=A35,$C$9:$C$107))</f>
        <v>5092.5</v>
      </c>
      <c r="E35" s="50" t="str">
        <f t="shared" si="0"/>
        <v>n/a</v>
      </c>
      <c r="F35" s="51" t="str">
        <f t="shared" si="1"/>
        <v>n/a</v>
      </c>
      <c r="G35" s="1"/>
    </row>
    <row r="36" spans="1:7" s="3" customFormat="1" x14ac:dyDescent="0.2">
      <c r="A36" s="12" t="s">
        <v>1</v>
      </c>
      <c r="B36" s="5">
        <v>2010</v>
      </c>
      <c r="C36" s="6">
        <v>6645</v>
      </c>
      <c r="D36" s="49">
        <f t="array" ref="D36">AVERAGE(IF($A$9:$A$107=A36,$C$9:$C$107))</f>
        <v>6155.4285714285716</v>
      </c>
      <c r="E36" s="50">
        <f t="shared" si="0"/>
        <v>489.57142857142844</v>
      </c>
      <c r="F36" s="51">
        <f t="shared" si="1"/>
        <v>7.9534905310063103E-2</v>
      </c>
      <c r="G36" s="1"/>
    </row>
    <row r="37" spans="1:7" s="3" customFormat="1" x14ac:dyDescent="0.2">
      <c r="A37" s="12" t="s">
        <v>2</v>
      </c>
      <c r="B37" s="5">
        <v>2010</v>
      </c>
      <c r="C37" s="6" t="s">
        <v>16</v>
      </c>
      <c r="D37" s="49">
        <f t="array" ref="D37">AVERAGE(IF($A$9:$A$107=A37,$C$9:$C$107))</f>
        <v>8285.5</v>
      </c>
      <c r="E37" s="50" t="str">
        <f t="shared" si="0"/>
        <v>n/a</v>
      </c>
      <c r="F37" s="51" t="str">
        <f t="shared" si="1"/>
        <v>n/a</v>
      </c>
      <c r="G37" s="1"/>
    </row>
    <row r="38" spans="1:7" s="3" customFormat="1" x14ac:dyDescent="0.2">
      <c r="A38" s="12" t="s">
        <v>3</v>
      </c>
      <c r="B38" s="5">
        <v>2010</v>
      </c>
      <c r="C38" s="6">
        <v>6667</v>
      </c>
      <c r="D38" s="49">
        <f t="array" ref="D38">AVERAGE(IF($A$9:$A$107=A38,$C$9:$C$107))</f>
        <v>7139.8399999999992</v>
      </c>
      <c r="E38" s="50">
        <f t="shared" si="0"/>
        <v>-472.83999999999924</v>
      </c>
      <c r="F38" s="51">
        <f t="shared" si="1"/>
        <v>-6.6225573682323319E-2</v>
      </c>
      <c r="G38" s="1"/>
    </row>
    <row r="39" spans="1:7" s="3" customFormat="1" x14ac:dyDescent="0.2">
      <c r="A39" s="12" t="s">
        <v>4</v>
      </c>
      <c r="B39" s="5">
        <v>2010</v>
      </c>
      <c r="C39" s="6" t="s">
        <v>16</v>
      </c>
      <c r="D39" s="49">
        <f t="array" ref="D39">AVERAGE(IF($A$9:$A$107=A39,$C$9:$C$107))</f>
        <v>6241.0166666666664</v>
      </c>
      <c r="E39" s="50" t="str">
        <f t="shared" si="0"/>
        <v>n/a</v>
      </c>
      <c r="F39" s="51" t="str">
        <f t="shared" si="1"/>
        <v>n/a</v>
      </c>
      <c r="G39" s="1"/>
    </row>
    <row r="40" spans="1:7" s="3" customFormat="1" x14ac:dyDescent="0.2">
      <c r="A40" s="12" t="s">
        <v>5</v>
      </c>
      <c r="B40" s="5">
        <v>2010</v>
      </c>
      <c r="C40" s="6" t="s">
        <v>16</v>
      </c>
      <c r="D40" s="49">
        <f t="array" ref="D40">AVERAGE(IF($A$9:$A$107=A40,$C$9:$C$107))</f>
        <v>2733.3333333333335</v>
      </c>
      <c r="E40" s="50" t="str">
        <f t="shared" si="0"/>
        <v>n/a</v>
      </c>
      <c r="F40" s="51" t="str">
        <f t="shared" si="1"/>
        <v>n/a</v>
      </c>
      <c r="G40" s="1"/>
    </row>
    <row r="41" spans="1:7" s="3" customFormat="1" x14ac:dyDescent="0.2">
      <c r="A41" s="12" t="s">
        <v>6</v>
      </c>
      <c r="B41" s="5">
        <v>2010</v>
      </c>
      <c r="C41" s="6">
        <v>1447</v>
      </c>
      <c r="D41" s="49">
        <f t="array" ref="D41">AVERAGE(IF($A$9:$A$107=A41,$C$9:$C$107))</f>
        <v>1836.25</v>
      </c>
      <c r="E41" s="50">
        <f t="shared" si="0"/>
        <v>-389.25</v>
      </c>
      <c r="F41" s="51">
        <f t="shared" si="1"/>
        <v>-0.21198093941456772</v>
      </c>
      <c r="G41" s="1"/>
    </row>
    <row r="42" spans="1:7" s="3" customFormat="1" x14ac:dyDescent="0.2">
      <c r="A42" s="12" t="s">
        <v>7</v>
      </c>
      <c r="B42" s="5">
        <v>2010</v>
      </c>
      <c r="C42" s="6" t="s">
        <v>16</v>
      </c>
      <c r="D42" s="49">
        <f t="array" ref="D42">AVERAGE(IF($A$9:$A$107=A42,$C$9:$C$107))</f>
        <v>5733.0599999999995</v>
      </c>
      <c r="E42" s="50" t="str">
        <f t="shared" si="0"/>
        <v>n/a</v>
      </c>
      <c r="F42" s="51" t="str">
        <f t="shared" si="1"/>
        <v>n/a</v>
      </c>
      <c r="G42" s="1"/>
    </row>
    <row r="43" spans="1:7" s="3" customFormat="1" x14ac:dyDescent="0.2">
      <c r="A43" s="12" t="s">
        <v>8</v>
      </c>
      <c r="B43" s="5">
        <v>2010</v>
      </c>
      <c r="C43" s="6" t="s">
        <v>16</v>
      </c>
      <c r="D43" s="49">
        <f t="array" ref="D43">AVERAGE(IF($A$9:$A$107=A43,$C$9:$C$107))</f>
        <v>7256.2666666666664</v>
      </c>
      <c r="E43" s="50" t="str">
        <f t="shared" si="0"/>
        <v>n/a</v>
      </c>
      <c r="F43" s="51" t="str">
        <f t="shared" si="1"/>
        <v>n/a</v>
      </c>
      <c r="G43" s="1"/>
    </row>
    <row r="44" spans="1:7" s="3" customFormat="1" x14ac:dyDescent="0.2">
      <c r="A44" s="12" t="s">
        <v>9</v>
      </c>
      <c r="B44" s="5">
        <v>2010</v>
      </c>
      <c r="C44" s="6" t="s">
        <v>16</v>
      </c>
      <c r="D44" s="49">
        <f t="array" ref="D44">AVERAGE(IF($A$9:$A$107=A44,$C$9:$C$107))</f>
        <v>5092.5</v>
      </c>
      <c r="E44" s="50" t="str">
        <f t="shared" si="0"/>
        <v>n/a</v>
      </c>
      <c r="F44" s="51" t="str">
        <f t="shared" si="1"/>
        <v>n/a</v>
      </c>
      <c r="G44" s="1"/>
    </row>
    <row r="45" spans="1:7" s="3" customFormat="1" x14ac:dyDescent="0.2">
      <c r="A45" s="12" t="s">
        <v>1</v>
      </c>
      <c r="B45" s="5">
        <v>2011</v>
      </c>
      <c r="C45" s="6" t="s">
        <v>16</v>
      </c>
      <c r="D45" s="49">
        <f t="array" ref="D45">AVERAGE(IF($A$9:$A$107=A45,$C$9:$C$107))</f>
        <v>6155.4285714285716</v>
      </c>
      <c r="E45" s="50" t="str">
        <f t="shared" si="0"/>
        <v>n/a</v>
      </c>
      <c r="F45" s="51" t="str">
        <f t="shared" si="1"/>
        <v>n/a</v>
      </c>
      <c r="G45" s="1"/>
    </row>
    <row r="46" spans="1:7" s="3" customFormat="1" x14ac:dyDescent="0.2">
      <c r="A46" s="12" t="s">
        <v>2</v>
      </c>
      <c r="B46" s="5">
        <v>2011</v>
      </c>
      <c r="C46" s="6">
        <v>8804</v>
      </c>
      <c r="D46" s="49">
        <f t="array" ref="D46">AVERAGE(IF($A$9:$A$107=A46,$C$9:$C$107))</f>
        <v>8285.5</v>
      </c>
      <c r="E46" s="50">
        <f t="shared" si="0"/>
        <v>518.5</v>
      </c>
      <c r="F46" s="51">
        <f t="shared" si="1"/>
        <v>6.257920463460262E-2</v>
      </c>
      <c r="G46" s="1"/>
    </row>
    <row r="47" spans="1:7" s="3" customFormat="1" x14ac:dyDescent="0.2">
      <c r="A47" s="12" t="s">
        <v>3</v>
      </c>
      <c r="B47" s="5">
        <v>2011</v>
      </c>
      <c r="C47" s="6" t="s">
        <v>16</v>
      </c>
      <c r="D47" s="49">
        <f t="array" ref="D47">AVERAGE(IF($A$9:$A$107=A47,$C$9:$C$107))</f>
        <v>7139.8399999999992</v>
      </c>
      <c r="E47" s="50" t="str">
        <f t="shared" si="0"/>
        <v>n/a</v>
      </c>
      <c r="F47" s="51" t="str">
        <f t="shared" si="1"/>
        <v>n/a</v>
      </c>
      <c r="G47" s="1"/>
    </row>
    <row r="48" spans="1:7" s="3" customFormat="1" x14ac:dyDescent="0.2">
      <c r="A48" s="12" t="s">
        <v>4</v>
      </c>
      <c r="B48" s="5">
        <v>2011</v>
      </c>
      <c r="C48" s="6" t="s">
        <v>16</v>
      </c>
      <c r="D48" s="49">
        <f t="array" ref="D48">AVERAGE(IF($A$9:$A$107=A48,$C$9:$C$107))</f>
        <v>6241.0166666666664</v>
      </c>
      <c r="E48" s="50" t="str">
        <f t="shared" si="0"/>
        <v>n/a</v>
      </c>
      <c r="F48" s="51" t="str">
        <f t="shared" si="1"/>
        <v>n/a</v>
      </c>
      <c r="G48" s="1"/>
    </row>
    <row r="49" spans="1:7" s="3" customFormat="1" x14ac:dyDescent="0.2">
      <c r="A49" s="12" t="s">
        <v>5</v>
      </c>
      <c r="B49" s="5">
        <v>2011</v>
      </c>
      <c r="C49" s="6" t="s">
        <v>16</v>
      </c>
      <c r="D49" s="49">
        <f t="array" ref="D49">AVERAGE(IF($A$9:$A$107=A49,$C$9:$C$107))</f>
        <v>2733.3333333333335</v>
      </c>
      <c r="E49" s="50" t="str">
        <f t="shared" si="0"/>
        <v>n/a</v>
      </c>
      <c r="F49" s="51" t="str">
        <f t="shared" si="1"/>
        <v>n/a</v>
      </c>
      <c r="G49" s="1"/>
    </row>
    <row r="50" spans="1:7" x14ac:dyDescent="0.2">
      <c r="A50" s="12" t="s">
        <v>6</v>
      </c>
      <c r="B50" s="5">
        <v>2011</v>
      </c>
      <c r="C50" s="6">
        <v>1857</v>
      </c>
      <c r="D50" s="49">
        <f t="array" ref="D50">AVERAGE(IF($A$9:$A$107=A50,$C$9:$C$107))</f>
        <v>1836.25</v>
      </c>
      <c r="E50" s="50">
        <f t="shared" si="0"/>
        <v>20.75</v>
      </c>
      <c r="F50" s="51">
        <f t="shared" si="1"/>
        <v>1.1300204220558203E-2</v>
      </c>
    </row>
    <row r="51" spans="1:7" x14ac:dyDescent="0.2">
      <c r="A51" s="12" t="s">
        <v>7</v>
      </c>
      <c r="B51" s="5">
        <v>2011</v>
      </c>
      <c r="C51" s="6" t="s">
        <v>16</v>
      </c>
      <c r="D51" s="49">
        <f t="array" ref="D51">AVERAGE(IF($A$9:$A$107=A51,$C$9:$C$107))</f>
        <v>5733.0599999999995</v>
      </c>
      <c r="E51" s="50" t="str">
        <f t="shared" si="0"/>
        <v>n/a</v>
      </c>
      <c r="F51" s="51" t="str">
        <f t="shared" si="1"/>
        <v>n/a</v>
      </c>
    </row>
    <row r="52" spans="1:7" x14ac:dyDescent="0.2">
      <c r="A52" s="12" t="s">
        <v>8</v>
      </c>
      <c r="B52" s="5">
        <v>2011</v>
      </c>
      <c r="C52" s="6" t="s">
        <v>16</v>
      </c>
      <c r="D52" s="49">
        <f t="array" ref="D52">AVERAGE(IF($A$9:$A$107=A52,$C$9:$C$107))</f>
        <v>7256.2666666666664</v>
      </c>
      <c r="E52" s="50" t="str">
        <f t="shared" si="0"/>
        <v>n/a</v>
      </c>
      <c r="F52" s="51" t="str">
        <f t="shared" si="1"/>
        <v>n/a</v>
      </c>
    </row>
    <row r="53" spans="1:7" x14ac:dyDescent="0.2">
      <c r="A53" s="12" t="s">
        <v>9</v>
      </c>
      <c r="B53" s="5">
        <v>2011</v>
      </c>
      <c r="C53" s="6" t="s">
        <v>16</v>
      </c>
      <c r="D53" s="49">
        <f t="array" ref="D53">AVERAGE(IF($A$9:$A$107=A53,$C$9:$C$107))</f>
        <v>5092.5</v>
      </c>
      <c r="E53" s="50" t="str">
        <f t="shared" si="0"/>
        <v>n/a</v>
      </c>
      <c r="F53" s="51" t="str">
        <f t="shared" si="1"/>
        <v>n/a</v>
      </c>
    </row>
    <row r="54" spans="1:7" x14ac:dyDescent="0.2">
      <c r="A54" s="12" t="s">
        <v>1</v>
      </c>
      <c r="B54" s="5">
        <v>2012</v>
      </c>
      <c r="C54" s="6">
        <v>6377</v>
      </c>
      <c r="D54" s="49">
        <f t="array" ref="D54">AVERAGE(IF($A$9:$A$107=A54,$C$9:$C$107))</f>
        <v>6155.4285714285716</v>
      </c>
      <c r="E54" s="50">
        <f t="shared" si="0"/>
        <v>221.57142857142844</v>
      </c>
      <c r="F54" s="51">
        <f t="shared" si="1"/>
        <v>3.5996101002599312E-2</v>
      </c>
    </row>
    <row r="55" spans="1:7" x14ac:dyDescent="0.2">
      <c r="A55" s="12" t="s">
        <v>2</v>
      </c>
      <c r="B55" s="5">
        <v>2012</v>
      </c>
      <c r="C55" s="6">
        <v>9079</v>
      </c>
      <c r="D55" s="49">
        <f t="array" ref="D55">AVERAGE(IF($A$9:$A$107=A55,$C$9:$C$107))</f>
        <v>8285.5</v>
      </c>
      <c r="E55" s="50">
        <f t="shared" si="0"/>
        <v>793.5</v>
      </c>
      <c r="F55" s="51">
        <f t="shared" si="1"/>
        <v>9.5769718182366792E-2</v>
      </c>
    </row>
    <row r="56" spans="1:7" x14ac:dyDescent="0.2">
      <c r="A56" s="12" t="s">
        <v>3</v>
      </c>
      <c r="B56" s="5">
        <v>2012</v>
      </c>
      <c r="C56" s="6">
        <v>7400</v>
      </c>
      <c r="D56" s="49">
        <f t="array" ref="D56">AVERAGE(IF($A$9:$A$107=A56,$C$9:$C$107))</f>
        <v>7139.8399999999992</v>
      </c>
      <c r="E56" s="50">
        <f t="shared" si="0"/>
        <v>260.16000000000076</v>
      </c>
      <c r="F56" s="51">
        <f t="shared" si="1"/>
        <v>3.6437791323054969E-2</v>
      </c>
    </row>
    <row r="57" spans="1:7" x14ac:dyDescent="0.2">
      <c r="A57" s="12" t="s">
        <v>4</v>
      </c>
      <c r="B57" s="5">
        <v>2012</v>
      </c>
      <c r="C57" s="6">
        <v>6356</v>
      </c>
      <c r="D57" s="49">
        <f t="array" ref="D57">AVERAGE(IF($A$9:$A$107=A57,$C$9:$C$107))</f>
        <v>6241.0166666666664</v>
      </c>
      <c r="E57" s="50">
        <f t="shared" si="0"/>
        <v>114.98333333333358</v>
      </c>
      <c r="F57" s="51">
        <f t="shared" si="1"/>
        <v>1.8423814496035675E-2</v>
      </c>
    </row>
    <row r="58" spans="1:7" x14ac:dyDescent="0.2">
      <c r="A58" s="12" t="s">
        <v>5</v>
      </c>
      <c r="B58" s="5">
        <v>2012</v>
      </c>
      <c r="C58" s="6">
        <v>2755</v>
      </c>
      <c r="D58" s="49">
        <f t="array" ref="D58">AVERAGE(IF($A$9:$A$107=A58,$C$9:$C$107))</f>
        <v>2733.3333333333335</v>
      </c>
      <c r="E58" s="50">
        <f t="shared" si="0"/>
        <v>21.666666666666515</v>
      </c>
      <c r="F58" s="51">
        <f t="shared" si="1"/>
        <v>7.9268292682926275E-3</v>
      </c>
    </row>
    <row r="59" spans="1:7" x14ac:dyDescent="0.2">
      <c r="A59" s="12" t="s">
        <v>6</v>
      </c>
      <c r="B59" s="5">
        <v>2012</v>
      </c>
      <c r="C59" s="6">
        <v>1746</v>
      </c>
      <c r="D59" s="49">
        <f t="array" ref="D59">AVERAGE(IF($A$9:$A$107=A59,$C$9:$C$107))</f>
        <v>1836.25</v>
      </c>
      <c r="E59" s="50">
        <f t="shared" si="0"/>
        <v>-90.25</v>
      </c>
      <c r="F59" s="51">
        <f t="shared" si="1"/>
        <v>-4.9149081007488084E-2</v>
      </c>
    </row>
    <row r="60" spans="1:7" x14ac:dyDescent="0.2">
      <c r="A60" s="12" t="s">
        <v>7</v>
      </c>
      <c r="B60" s="5">
        <v>2012</v>
      </c>
      <c r="C60" s="6" t="s">
        <v>16</v>
      </c>
      <c r="D60" s="49">
        <f t="array" ref="D60">AVERAGE(IF($A$9:$A$107=A60,$C$9:$C$107))</f>
        <v>5733.0599999999995</v>
      </c>
      <c r="E60" s="50" t="str">
        <f t="shared" si="0"/>
        <v>n/a</v>
      </c>
      <c r="F60" s="51" t="str">
        <f t="shared" si="1"/>
        <v>n/a</v>
      </c>
    </row>
    <row r="61" spans="1:7" x14ac:dyDescent="0.2">
      <c r="A61" s="12" t="s">
        <v>8</v>
      </c>
      <c r="B61" s="5">
        <v>2012</v>
      </c>
      <c r="C61" s="6" t="s">
        <v>16</v>
      </c>
      <c r="D61" s="49">
        <f t="array" ref="D61">AVERAGE(IF($A$9:$A$107=A61,$C$9:$C$107))</f>
        <v>7256.2666666666664</v>
      </c>
      <c r="E61" s="50" t="str">
        <f t="shared" si="0"/>
        <v>n/a</v>
      </c>
      <c r="F61" s="51" t="str">
        <f t="shared" si="1"/>
        <v>n/a</v>
      </c>
    </row>
    <row r="62" spans="1:7" x14ac:dyDescent="0.2">
      <c r="A62" s="12" t="s">
        <v>9</v>
      </c>
      <c r="B62" s="5">
        <v>2012</v>
      </c>
      <c r="C62" s="6" t="s">
        <v>16</v>
      </c>
      <c r="D62" s="49">
        <f t="array" ref="D62">AVERAGE(IF($A$9:$A$107=A62,$C$9:$C$107))</f>
        <v>5092.5</v>
      </c>
      <c r="E62" s="50" t="str">
        <f t="shared" si="0"/>
        <v>n/a</v>
      </c>
      <c r="F62" s="51" t="str">
        <f t="shared" si="1"/>
        <v>n/a</v>
      </c>
    </row>
    <row r="63" spans="1:7" x14ac:dyDescent="0.2">
      <c r="A63" s="12" t="s">
        <v>1</v>
      </c>
      <c r="B63" s="5">
        <v>2013</v>
      </c>
      <c r="C63" s="6">
        <v>4460</v>
      </c>
      <c r="D63" s="49">
        <f t="array" ref="D63">AVERAGE(IF($A$9:$A$107=A63,$C$9:$C$107))</f>
        <v>6155.4285714285716</v>
      </c>
      <c r="E63" s="50">
        <f t="shared" si="0"/>
        <v>-1695.4285714285716</v>
      </c>
      <c r="F63" s="51">
        <f t="shared" si="1"/>
        <v>-0.27543631637578908</v>
      </c>
    </row>
    <row r="64" spans="1:7" x14ac:dyDescent="0.2">
      <c r="A64" s="12" t="s">
        <v>2</v>
      </c>
      <c r="B64" s="5">
        <v>2013</v>
      </c>
      <c r="C64" s="6">
        <v>7095</v>
      </c>
      <c r="D64" s="49">
        <f t="array" ref="D64">AVERAGE(IF($A$9:$A$107=A64,$C$9:$C$107))</f>
        <v>8285.5</v>
      </c>
      <c r="E64" s="50">
        <f t="shared" si="0"/>
        <v>-1190.5</v>
      </c>
      <c r="F64" s="51">
        <f t="shared" si="1"/>
        <v>-0.1436847504676845</v>
      </c>
    </row>
    <row r="65" spans="1:6" x14ac:dyDescent="0.2">
      <c r="A65" s="12" t="s">
        <v>3</v>
      </c>
      <c r="B65" s="5">
        <v>2013</v>
      </c>
      <c r="C65" s="6">
        <v>6724.9</v>
      </c>
      <c r="D65" s="49">
        <f t="array" ref="D65">AVERAGE(IF($A$9:$A$107=A65,$C$9:$C$107))</f>
        <v>7139.8399999999992</v>
      </c>
      <c r="E65" s="50">
        <f t="shared" si="0"/>
        <v>-414.9399999999996</v>
      </c>
      <c r="F65" s="51">
        <f t="shared" si="1"/>
        <v>-5.8116148261025409E-2</v>
      </c>
    </row>
    <row r="66" spans="1:6" x14ac:dyDescent="0.2">
      <c r="A66" s="12" t="s">
        <v>4</v>
      </c>
      <c r="B66" s="5">
        <v>2013</v>
      </c>
      <c r="C66" s="6">
        <v>5868.4</v>
      </c>
      <c r="D66" s="49">
        <f t="array" ref="D66">AVERAGE(IF($A$9:$A$107=A66,$C$9:$C$107))</f>
        <v>6241.0166666666664</v>
      </c>
      <c r="E66" s="50">
        <f t="shared" si="0"/>
        <v>-372.61666666666679</v>
      </c>
      <c r="F66" s="51">
        <f t="shared" si="1"/>
        <v>-5.9704481908663405E-2</v>
      </c>
    </row>
    <row r="67" spans="1:6" x14ac:dyDescent="0.2">
      <c r="A67" s="12" t="s">
        <v>5</v>
      </c>
      <c r="B67" s="5">
        <v>2013</v>
      </c>
      <c r="C67" s="6">
        <v>2570</v>
      </c>
      <c r="D67" s="49">
        <f t="array" ref="D67">AVERAGE(IF($A$9:$A$107=A67,$C$9:$C$107))</f>
        <v>2733.3333333333335</v>
      </c>
      <c r="E67" s="50">
        <f t="shared" si="0"/>
        <v>-163.33333333333348</v>
      </c>
      <c r="F67" s="51">
        <f t="shared" si="1"/>
        <v>-5.9756097560975663E-2</v>
      </c>
    </row>
    <row r="68" spans="1:6" x14ac:dyDescent="0.2">
      <c r="A68" s="12" t="s">
        <v>6</v>
      </c>
      <c r="B68" s="5">
        <v>2013</v>
      </c>
      <c r="C68" s="6">
        <v>2123</v>
      </c>
      <c r="D68" s="49">
        <f t="array" ref="D68">AVERAGE(IF($A$9:$A$107=A68,$C$9:$C$107))</f>
        <v>1836.25</v>
      </c>
      <c r="E68" s="50">
        <f t="shared" si="0"/>
        <v>286.75</v>
      </c>
      <c r="F68" s="51">
        <f t="shared" si="1"/>
        <v>0.15616065350578626</v>
      </c>
    </row>
    <row r="69" spans="1:6" x14ac:dyDescent="0.2">
      <c r="A69" s="12" t="s">
        <v>7</v>
      </c>
      <c r="B69" s="5">
        <v>2013</v>
      </c>
      <c r="C69" s="6">
        <v>4483</v>
      </c>
      <c r="D69" s="49">
        <f t="array" ref="D69">AVERAGE(IF($A$9:$A$107=A69,$C$9:$C$107))</f>
        <v>5733.0599999999995</v>
      </c>
      <c r="E69" s="50">
        <f t="shared" si="0"/>
        <v>-1250.0599999999995</v>
      </c>
      <c r="F69" s="51">
        <f t="shared" si="1"/>
        <v>-0.21804411605669566</v>
      </c>
    </row>
    <row r="70" spans="1:6" x14ac:dyDescent="0.2">
      <c r="A70" s="12" t="s">
        <v>8</v>
      </c>
      <c r="B70" s="5">
        <v>2013</v>
      </c>
      <c r="C70" s="6" t="s">
        <v>16</v>
      </c>
      <c r="D70" s="49">
        <f t="array" ref="D70">AVERAGE(IF($A$9:$A$107=A70,$C$9:$C$107))</f>
        <v>7256.2666666666664</v>
      </c>
      <c r="E70" s="50" t="str">
        <f t="shared" si="0"/>
        <v>n/a</v>
      </c>
      <c r="F70" s="51" t="str">
        <f t="shared" si="1"/>
        <v>n/a</v>
      </c>
    </row>
    <row r="71" spans="1:6" x14ac:dyDescent="0.2">
      <c r="A71" s="12" t="s">
        <v>9</v>
      </c>
      <c r="B71" s="5">
        <v>2013</v>
      </c>
      <c r="C71" s="6" t="s">
        <v>16</v>
      </c>
      <c r="D71" s="49">
        <f t="array" ref="D71">AVERAGE(IF($A$9:$A$107=A71,$C$9:$C$107))</f>
        <v>5092.5</v>
      </c>
      <c r="E71" s="50" t="str">
        <f t="shared" si="0"/>
        <v>n/a</v>
      </c>
      <c r="F71" s="51" t="str">
        <f t="shared" si="1"/>
        <v>n/a</v>
      </c>
    </row>
    <row r="72" spans="1:6" x14ac:dyDescent="0.2">
      <c r="A72" s="12" t="s">
        <v>1</v>
      </c>
      <c r="B72" s="5">
        <v>2014</v>
      </c>
      <c r="C72" s="6">
        <v>5694</v>
      </c>
      <c r="D72" s="49">
        <f t="array" ref="D72">AVERAGE(IF($A$9:$A$107=A72,$C$9:$C$107))</f>
        <v>6155.4285714285716</v>
      </c>
      <c r="E72" s="50">
        <f t="shared" si="0"/>
        <v>-461.42857142857156</v>
      </c>
      <c r="F72" s="51">
        <f t="shared" si="1"/>
        <v>-7.4962866691422228E-2</v>
      </c>
    </row>
    <row r="73" spans="1:6" x14ac:dyDescent="0.2">
      <c r="A73" s="12" t="s">
        <v>2</v>
      </c>
      <c r="B73" s="5">
        <v>2014</v>
      </c>
      <c r="C73" s="6">
        <v>8189</v>
      </c>
      <c r="D73" s="49">
        <f t="array" ref="D73">AVERAGE(IF($A$9:$A$107=A73,$C$9:$C$107))</f>
        <v>8285.5</v>
      </c>
      <c r="E73" s="50">
        <f t="shared" si="0"/>
        <v>-96.5</v>
      </c>
      <c r="F73" s="51">
        <f t="shared" si="1"/>
        <v>-1.1646852935851789E-2</v>
      </c>
    </row>
    <row r="74" spans="1:6" x14ac:dyDescent="0.2">
      <c r="A74" s="12" t="s">
        <v>3</v>
      </c>
      <c r="B74" s="5">
        <v>2014</v>
      </c>
      <c r="C74" s="6">
        <v>7718.5</v>
      </c>
      <c r="D74" s="49">
        <f t="array" ref="D74">AVERAGE(IF($A$9:$A$107=A74,$C$9:$C$107))</f>
        <v>7139.8399999999992</v>
      </c>
      <c r="E74" s="50">
        <f t="shared" ref="E74:E107" si="2">IF(ISNUMBER(C74),C74-D74,"n/a")</f>
        <v>578.66000000000076</v>
      </c>
      <c r="F74" s="51">
        <f t="shared" ref="F74:F107" si="3">IF(ISNUMBER(E74),E74/D74,"n/a")</f>
        <v>8.1046634098243212E-2</v>
      </c>
    </row>
    <row r="75" spans="1:6" x14ac:dyDescent="0.2">
      <c r="A75" s="12" t="s">
        <v>4</v>
      </c>
      <c r="B75" s="5">
        <v>2014</v>
      </c>
      <c r="C75" s="6">
        <v>5720.7</v>
      </c>
      <c r="D75" s="49">
        <f t="array" ref="D75">AVERAGE(IF($A$9:$A$107=A75,$C$9:$C$107))</f>
        <v>6241.0166666666664</v>
      </c>
      <c r="E75" s="50">
        <f t="shared" si="2"/>
        <v>-520.31666666666661</v>
      </c>
      <c r="F75" s="51">
        <f t="shared" si="3"/>
        <v>-8.3370497862260681E-2</v>
      </c>
    </row>
    <row r="76" spans="1:6" x14ac:dyDescent="0.2">
      <c r="A76" s="12" t="s">
        <v>5</v>
      </c>
      <c r="B76" s="5">
        <v>2014</v>
      </c>
      <c r="C76" s="6">
        <v>2372</v>
      </c>
      <c r="D76" s="49">
        <f t="array" ref="D76">AVERAGE(IF($A$9:$A$107=A76,$C$9:$C$107))</f>
        <v>2733.3333333333335</v>
      </c>
      <c r="E76" s="50">
        <f t="shared" si="2"/>
        <v>-361.33333333333348</v>
      </c>
      <c r="F76" s="51">
        <f t="shared" si="3"/>
        <v>-0.13219512195121957</v>
      </c>
    </row>
    <row r="77" spans="1:6" x14ac:dyDescent="0.2">
      <c r="A77" s="12" t="s">
        <v>6</v>
      </c>
      <c r="B77" s="5">
        <v>2014</v>
      </c>
      <c r="C77" s="6">
        <v>1925</v>
      </c>
      <c r="D77" s="49">
        <f t="array" ref="D77">AVERAGE(IF($A$9:$A$107=A77,$C$9:$C$107))</f>
        <v>1836.25</v>
      </c>
      <c r="E77" s="50">
        <f t="shared" si="2"/>
        <v>88.75</v>
      </c>
      <c r="F77" s="51">
        <f t="shared" si="3"/>
        <v>4.8332198774676649E-2</v>
      </c>
    </row>
    <row r="78" spans="1:6" x14ac:dyDescent="0.2">
      <c r="A78" s="12" t="s">
        <v>7</v>
      </c>
      <c r="B78" s="5">
        <v>2014</v>
      </c>
      <c r="C78" s="6">
        <v>5606.3</v>
      </c>
      <c r="D78" s="49">
        <f t="array" ref="D78">AVERAGE(IF($A$9:$A$107=A78,$C$9:$C$107))</f>
        <v>5733.0599999999995</v>
      </c>
      <c r="E78" s="50">
        <f t="shared" si="2"/>
        <v>-126.75999999999931</v>
      </c>
      <c r="F78" s="51">
        <f t="shared" si="3"/>
        <v>-2.2110356423968931E-2</v>
      </c>
    </row>
    <row r="79" spans="1:6" x14ac:dyDescent="0.2">
      <c r="A79" s="12" t="s">
        <v>8</v>
      </c>
      <c r="B79" s="5">
        <v>2014</v>
      </c>
      <c r="C79" s="6" t="s">
        <v>16</v>
      </c>
      <c r="D79" s="49">
        <f t="array" ref="D79">AVERAGE(IF($A$9:$A$107=A79,$C$9:$C$107))</f>
        <v>7256.2666666666664</v>
      </c>
      <c r="E79" s="50" t="str">
        <f t="shared" si="2"/>
        <v>n/a</v>
      </c>
      <c r="F79" s="51" t="str">
        <f t="shared" si="3"/>
        <v>n/a</v>
      </c>
    </row>
    <row r="80" spans="1:6" x14ac:dyDescent="0.2">
      <c r="A80" s="12" t="s">
        <v>9</v>
      </c>
      <c r="B80" s="5">
        <v>2014</v>
      </c>
      <c r="C80" s="6" t="s">
        <v>16</v>
      </c>
      <c r="D80" s="49">
        <f t="array" ref="D80">AVERAGE(IF($A$9:$A$107=A80,$C$9:$C$107))</f>
        <v>5092.5</v>
      </c>
      <c r="E80" s="50" t="str">
        <f t="shared" si="2"/>
        <v>n/a</v>
      </c>
      <c r="F80" s="51" t="str">
        <f t="shared" si="3"/>
        <v>n/a</v>
      </c>
    </row>
    <row r="81" spans="1:6" x14ac:dyDescent="0.2">
      <c r="A81" s="12" t="s">
        <v>1</v>
      </c>
      <c r="B81" s="5">
        <v>2015</v>
      </c>
      <c r="C81" s="6">
        <v>6156</v>
      </c>
      <c r="D81" s="49">
        <f t="array" ref="D81">AVERAGE(IF($A$9:$A$107=A81,$C$9:$C$107))</f>
        <v>6155.4285714285716</v>
      </c>
      <c r="E81" s="50">
        <f t="shared" si="2"/>
        <v>0.5714285714284415</v>
      </c>
      <c r="F81" s="51">
        <f t="shared" si="3"/>
        <v>9.28332714444646E-5</v>
      </c>
    </row>
    <row r="82" spans="1:6" x14ac:dyDescent="0.2">
      <c r="A82" s="12" t="s">
        <v>2</v>
      </c>
      <c r="B82" s="5">
        <v>2015</v>
      </c>
      <c r="C82" s="6">
        <v>9177</v>
      </c>
      <c r="D82" s="49">
        <f t="array" ref="D82">AVERAGE(IF($A$9:$A$107=A82,$C$9:$C$107))</f>
        <v>8285.5</v>
      </c>
      <c r="E82" s="50">
        <f t="shared" si="2"/>
        <v>891.5</v>
      </c>
      <c r="F82" s="51">
        <f t="shared" si="3"/>
        <v>0.10759761028302456</v>
      </c>
    </row>
    <row r="83" spans="1:6" x14ac:dyDescent="0.2">
      <c r="A83" s="12" t="s">
        <v>3</v>
      </c>
      <c r="B83" s="5">
        <v>2015</v>
      </c>
      <c r="C83" s="6">
        <v>8373</v>
      </c>
      <c r="D83" s="49">
        <f t="array" ref="D83">AVERAGE(IF($A$9:$A$107=A83,$C$9:$C$107))</f>
        <v>7139.8399999999992</v>
      </c>
      <c r="E83" s="50">
        <f t="shared" si="2"/>
        <v>1233.1600000000008</v>
      </c>
      <c r="F83" s="51">
        <f t="shared" si="3"/>
        <v>0.17271535496593773</v>
      </c>
    </row>
    <row r="84" spans="1:6" x14ac:dyDescent="0.2">
      <c r="A84" s="12" t="s">
        <v>4</v>
      </c>
      <c r="B84" s="5">
        <v>2015</v>
      </c>
      <c r="C84" s="6">
        <v>6220</v>
      </c>
      <c r="D84" s="49">
        <f t="array" ref="D84">AVERAGE(IF($A$9:$A$107=A84,$C$9:$C$107))</f>
        <v>6241.0166666666664</v>
      </c>
      <c r="E84" s="50">
        <f t="shared" si="2"/>
        <v>-21.016666666666424</v>
      </c>
      <c r="F84" s="51">
        <f t="shared" si="3"/>
        <v>-3.3675068965793114E-3</v>
      </c>
    </row>
    <row r="85" spans="1:6" x14ac:dyDescent="0.2">
      <c r="A85" s="12" t="s">
        <v>5</v>
      </c>
      <c r="B85" s="5">
        <v>2015</v>
      </c>
      <c r="C85" s="6">
        <v>2972</v>
      </c>
      <c r="D85" s="49">
        <f t="array" ref="D85">AVERAGE(IF($A$9:$A$107=A85,$C$9:$C$107))</f>
        <v>2733.3333333333335</v>
      </c>
      <c r="E85" s="50">
        <f t="shared" si="2"/>
        <v>238.66666666666652</v>
      </c>
      <c r="F85" s="51">
        <f t="shared" si="3"/>
        <v>8.7317073170731646E-2</v>
      </c>
    </row>
    <row r="86" spans="1:6" x14ac:dyDescent="0.2">
      <c r="A86" s="12" t="s">
        <v>6</v>
      </c>
      <c r="B86" s="5">
        <v>2015</v>
      </c>
      <c r="C86" s="6">
        <v>1822</v>
      </c>
      <c r="D86" s="49">
        <f t="array" ref="D86">AVERAGE(IF($A$9:$A$107=A86,$C$9:$C$107))</f>
        <v>1836.25</v>
      </c>
      <c r="E86" s="50">
        <f t="shared" si="2"/>
        <v>-14.25</v>
      </c>
      <c r="F86" s="51">
        <f t="shared" si="3"/>
        <v>-7.7603812117086456E-3</v>
      </c>
    </row>
    <row r="87" spans="1:6" x14ac:dyDescent="0.2">
      <c r="A87" s="12" t="s">
        <v>7</v>
      </c>
      <c r="B87" s="5">
        <v>2015</v>
      </c>
      <c r="C87" s="6">
        <v>6522</v>
      </c>
      <c r="D87" s="49">
        <f t="array" ref="D87">AVERAGE(IF($A$9:$A$107=A87,$C$9:$C$107))</f>
        <v>5733.0599999999995</v>
      </c>
      <c r="E87" s="50">
        <f t="shared" si="2"/>
        <v>788.94000000000051</v>
      </c>
      <c r="F87" s="51">
        <f t="shared" si="3"/>
        <v>0.13761237454343764</v>
      </c>
    </row>
    <row r="88" spans="1:6" x14ac:dyDescent="0.2">
      <c r="A88" s="12" t="s">
        <v>8</v>
      </c>
      <c r="B88" s="5">
        <v>2015</v>
      </c>
      <c r="C88" s="6">
        <v>5417.8</v>
      </c>
      <c r="D88" s="49">
        <f t="array" ref="D88">AVERAGE(IF($A$9:$A$107=A88,$C$9:$C$107))</f>
        <v>7256.2666666666664</v>
      </c>
      <c r="E88" s="50">
        <f t="shared" si="2"/>
        <v>-1838.4666666666662</v>
      </c>
      <c r="F88" s="51">
        <f t="shared" si="3"/>
        <v>-0.25336261070890442</v>
      </c>
    </row>
    <row r="89" spans="1:6" x14ac:dyDescent="0.2">
      <c r="A89" s="12" t="s">
        <v>9</v>
      </c>
      <c r="B89" s="5">
        <v>2015</v>
      </c>
      <c r="C89" s="6" t="s">
        <v>16</v>
      </c>
      <c r="D89" s="49">
        <f t="array" ref="D89">AVERAGE(IF($A$9:$A$107=A89,$C$9:$C$107))</f>
        <v>5092.5</v>
      </c>
      <c r="E89" s="50" t="str">
        <f t="shared" si="2"/>
        <v>n/a</v>
      </c>
      <c r="F89" s="51" t="str">
        <f t="shared" si="3"/>
        <v>n/a</v>
      </c>
    </row>
    <row r="90" spans="1:6" x14ac:dyDescent="0.2">
      <c r="A90" s="12" t="s">
        <v>1</v>
      </c>
      <c r="B90" s="5">
        <v>2016</v>
      </c>
      <c r="C90" s="6">
        <v>6495</v>
      </c>
      <c r="D90" s="49">
        <f t="array" ref="D90">AVERAGE(IF($A$9:$A$107=A90,$C$9:$C$107))</f>
        <v>6155.4285714285716</v>
      </c>
      <c r="E90" s="50">
        <f t="shared" si="2"/>
        <v>339.57142857142844</v>
      </c>
      <c r="F90" s="51">
        <f t="shared" si="3"/>
        <v>5.5166171555885608E-2</v>
      </c>
    </row>
    <row r="91" spans="1:6" x14ac:dyDescent="0.2">
      <c r="A91" s="12" t="s">
        <v>2</v>
      </c>
      <c r="B91" s="5">
        <v>2016</v>
      </c>
      <c r="C91" s="6">
        <v>8916</v>
      </c>
      <c r="D91" s="49">
        <f t="array" ref="D91">AVERAGE(IF($A$9:$A$107=A91,$C$9:$C$107))</f>
        <v>8285.5</v>
      </c>
      <c r="E91" s="50">
        <f t="shared" si="2"/>
        <v>630.5</v>
      </c>
      <c r="F91" s="51">
        <f t="shared" si="3"/>
        <v>7.6096795606782938E-2</v>
      </c>
    </row>
    <row r="92" spans="1:6" x14ac:dyDescent="0.2">
      <c r="A92" s="12" t="s">
        <v>3</v>
      </c>
      <c r="B92" s="5">
        <v>2016</v>
      </c>
      <c r="C92" s="6">
        <v>8786</v>
      </c>
      <c r="D92" s="49">
        <f t="array" ref="D92">AVERAGE(IF($A$9:$A$107=A92,$C$9:$C$107))</f>
        <v>7139.8399999999992</v>
      </c>
      <c r="E92" s="50">
        <f t="shared" si="2"/>
        <v>1646.1600000000008</v>
      </c>
      <c r="F92" s="51">
        <f t="shared" si="3"/>
        <v>0.23055978845464337</v>
      </c>
    </row>
    <row r="93" spans="1:6" x14ac:dyDescent="0.2">
      <c r="A93" s="12" t="s">
        <v>4</v>
      </c>
      <c r="B93" s="5">
        <v>2016</v>
      </c>
      <c r="C93" s="6">
        <v>6581</v>
      </c>
      <c r="D93" s="49">
        <f t="array" ref="D93">AVERAGE(IF($A$9:$A$107=A93,$C$9:$C$107))</f>
        <v>6241.0166666666664</v>
      </c>
      <c r="E93" s="50">
        <f t="shared" si="2"/>
        <v>339.98333333333358</v>
      </c>
      <c r="F93" s="51">
        <f t="shared" si="3"/>
        <v>5.4475632976464877E-2</v>
      </c>
    </row>
    <row r="94" spans="1:6" x14ac:dyDescent="0.2">
      <c r="A94" s="12" t="s">
        <v>5</v>
      </c>
      <c r="B94" s="5">
        <v>2016</v>
      </c>
      <c r="C94" s="6">
        <v>2936</v>
      </c>
      <c r="D94" s="49">
        <f t="array" ref="D94">AVERAGE(IF($A$9:$A$107=A94,$C$9:$C$107))</f>
        <v>2733.3333333333335</v>
      </c>
      <c r="E94" s="50">
        <f t="shared" si="2"/>
        <v>202.66666666666652</v>
      </c>
      <c r="F94" s="51">
        <f t="shared" si="3"/>
        <v>7.4146341463414575E-2</v>
      </c>
    </row>
    <row r="95" spans="1:6" x14ac:dyDescent="0.2">
      <c r="A95" s="12" t="s">
        <v>6</v>
      </c>
      <c r="B95" s="5">
        <v>2016</v>
      </c>
      <c r="C95" s="6">
        <v>1901</v>
      </c>
      <c r="D95" s="49">
        <f t="array" ref="D95">AVERAGE(IF($A$9:$A$107=A95,$C$9:$C$107))</f>
        <v>1836.25</v>
      </c>
      <c r="E95" s="50">
        <f t="shared" si="2"/>
        <v>64.75</v>
      </c>
      <c r="F95" s="51">
        <f t="shared" si="3"/>
        <v>3.5262083049693672E-2</v>
      </c>
    </row>
    <row r="96" spans="1:6" x14ac:dyDescent="0.2">
      <c r="A96" s="12" t="s">
        <v>7</v>
      </c>
      <c r="B96" s="5">
        <v>2016</v>
      </c>
      <c r="C96" s="6">
        <v>6846</v>
      </c>
      <c r="D96" s="49">
        <f t="array" ref="D96">AVERAGE(IF($A$9:$A$107=A96,$C$9:$C$107))</f>
        <v>5733.0599999999995</v>
      </c>
      <c r="E96" s="50">
        <f t="shared" si="2"/>
        <v>1112.9400000000005</v>
      </c>
      <c r="F96" s="51">
        <f t="shared" si="3"/>
        <v>0.19412669673786784</v>
      </c>
    </row>
    <row r="97" spans="1:7" x14ac:dyDescent="0.2">
      <c r="A97" s="12" t="s">
        <v>8</v>
      </c>
      <c r="B97" s="5">
        <v>2016</v>
      </c>
      <c r="C97" s="6">
        <v>7881</v>
      </c>
      <c r="D97" s="49">
        <f t="array" ref="D97">AVERAGE(IF($A$9:$A$107=A97,$C$9:$C$107))</f>
        <v>7256.2666666666664</v>
      </c>
      <c r="E97" s="50">
        <f t="shared" si="2"/>
        <v>624.73333333333358</v>
      </c>
      <c r="F97" s="51">
        <f t="shared" si="3"/>
        <v>8.6095696593289514E-2</v>
      </c>
    </row>
    <row r="98" spans="1:7" s="3" customFormat="1" x14ac:dyDescent="0.2">
      <c r="A98" s="12" t="s">
        <v>9</v>
      </c>
      <c r="B98" s="5">
        <v>2016</v>
      </c>
      <c r="C98" s="6">
        <v>5245</v>
      </c>
      <c r="D98" s="49">
        <f t="array" ref="D98">AVERAGE(IF($A$9:$A$107=A98,$C$9:$C$107))</f>
        <v>5092.5</v>
      </c>
      <c r="E98" s="50">
        <f t="shared" si="2"/>
        <v>152.5</v>
      </c>
      <c r="F98" s="51">
        <f t="shared" si="3"/>
        <v>2.9945999018163968E-2</v>
      </c>
      <c r="G98" s="1"/>
    </row>
    <row r="99" spans="1:7" s="3" customFormat="1" x14ac:dyDescent="0.2">
      <c r="A99" s="12" t="s">
        <v>1</v>
      </c>
      <c r="B99" s="5">
        <v>2017</v>
      </c>
      <c r="C99" s="6">
        <v>7261</v>
      </c>
      <c r="D99" s="49">
        <f t="array" ref="D99">AVERAGE(IF($A$9:$A$107=A99,$C$9:$C$107))</f>
        <v>6155.4285714285716</v>
      </c>
      <c r="E99" s="50">
        <f t="shared" si="2"/>
        <v>1105.5714285714284</v>
      </c>
      <c r="F99" s="51">
        <f t="shared" si="3"/>
        <v>0.1796091719272187</v>
      </c>
      <c r="G99" s="1"/>
    </row>
    <row r="100" spans="1:7" s="3" customFormat="1" x14ac:dyDescent="0.2">
      <c r="A100" s="12" t="s">
        <v>2</v>
      </c>
      <c r="B100" s="5">
        <v>2017</v>
      </c>
      <c r="C100" s="6">
        <v>9315</v>
      </c>
      <c r="D100" s="49">
        <f t="array" ref="D100">AVERAGE(IF($A$9:$A$107=A100,$C$9:$C$107))</f>
        <v>8285.5</v>
      </c>
      <c r="E100" s="50">
        <f t="shared" si="2"/>
        <v>1029.5</v>
      </c>
      <c r="F100" s="51">
        <f t="shared" si="3"/>
        <v>0.1242532134451753</v>
      </c>
      <c r="G100" s="1"/>
    </row>
    <row r="101" spans="1:7" s="3" customFormat="1" x14ac:dyDescent="0.2">
      <c r="A101" s="12" t="s">
        <v>3</v>
      </c>
      <c r="B101" s="5">
        <v>2017</v>
      </c>
      <c r="C101" s="6">
        <v>8029</v>
      </c>
      <c r="D101" s="49">
        <f t="array" ref="D101">AVERAGE(IF($A$9:$A$107=A101,$C$9:$C$107))</f>
        <v>7139.8399999999992</v>
      </c>
      <c r="E101" s="50">
        <f t="shared" si="2"/>
        <v>889.16000000000076</v>
      </c>
      <c r="F101" s="51">
        <f t="shared" si="3"/>
        <v>0.12453500358551464</v>
      </c>
      <c r="G101" s="1"/>
    </row>
    <row r="102" spans="1:7" s="3" customFormat="1" x14ac:dyDescent="0.2">
      <c r="A102" s="12" t="s">
        <v>4</v>
      </c>
      <c r="B102" s="5">
        <v>2017</v>
      </c>
      <c r="C102" s="6">
        <v>6700</v>
      </c>
      <c r="D102" s="49">
        <f t="array" ref="D102">AVERAGE(IF($A$9:$A$107=A102,$C$9:$C$107))</f>
        <v>6241.0166666666664</v>
      </c>
      <c r="E102" s="50">
        <f t="shared" si="2"/>
        <v>458.98333333333358</v>
      </c>
      <c r="F102" s="51">
        <f t="shared" si="3"/>
        <v>7.354303919500299E-2</v>
      </c>
      <c r="G102" s="1"/>
    </row>
    <row r="103" spans="1:7" s="3" customFormat="1" x14ac:dyDescent="0.2">
      <c r="A103" s="12" t="s">
        <v>5</v>
      </c>
      <c r="B103" s="5">
        <v>2017</v>
      </c>
      <c r="C103" s="6">
        <v>2795</v>
      </c>
      <c r="D103" s="49">
        <f t="array" ref="D103">AVERAGE(IF($A$9:$A$107=A103,$C$9:$C$107))</f>
        <v>2733.3333333333335</v>
      </c>
      <c r="E103" s="50">
        <f t="shared" si="2"/>
        <v>61.666666666666515</v>
      </c>
      <c r="F103" s="51">
        <f t="shared" si="3"/>
        <v>2.2560975609756041E-2</v>
      </c>
      <c r="G103" s="1"/>
    </row>
    <row r="104" spans="1:7" s="3" customFormat="1" x14ac:dyDescent="0.2">
      <c r="A104" s="12" t="s">
        <v>6</v>
      </c>
      <c r="B104" s="5">
        <v>2017</v>
      </c>
      <c r="C104" s="6">
        <v>1869</v>
      </c>
      <c r="D104" s="49">
        <f t="array" ref="D104">AVERAGE(IF($A$9:$A$107=A104,$C$9:$C$107))</f>
        <v>1836.25</v>
      </c>
      <c r="E104" s="50">
        <f t="shared" si="2"/>
        <v>32.75</v>
      </c>
      <c r="F104" s="51">
        <f t="shared" si="3"/>
        <v>1.7835262083049693E-2</v>
      </c>
      <c r="G104" s="1"/>
    </row>
    <row r="105" spans="1:7" s="3" customFormat="1" x14ac:dyDescent="0.2">
      <c r="A105" s="12" t="s">
        <v>7</v>
      </c>
      <c r="B105" s="5">
        <v>2017</v>
      </c>
      <c r="C105" s="6">
        <v>5208</v>
      </c>
      <c r="D105" s="49">
        <f t="array" ref="D105">AVERAGE(IF($A$9:$A$107=A105,$C$9:$C$107))</f>
        <v>5733.0599999999995</v>
      </c>
      <c r="E105" s="50">
        <f t="shared" si="2"/>
        <v>-525.05999999999949</v>
      </c>
      <c r="F105" s="51">
        <f t="shared" si="3"/>
        <v>-9.1584598800640418E-2</v>
      </c>
      <c r="G105" s="1"/>
    </row>
    <row r="106" spans="1:7" s="3" customFormat="1" x14ac:dyDescent="0.2">
      <c r="A106" s="12" t="s">
        <v>8</v>
      </c>
      <c r="B106" s="5">
        <v>2017</v>
      </c>
      <c r="C106" s="6">
        <v>8470</v>
      </c>
      <c r="D106" s="49">
        <f t="array" ref="D106">AVERAGE(IF($A$9:$A$107=A106,$C$9:$C$107))</f>
        <v>7256.2666666666664</v>
      </c>
      <c r="E106" s="50">
        <f t="shared" si="2"/>
        <v>1213.7333333333336</v>
      </c>
      <c r="F106" s="51">
        <f t="shared" si="3"/>
        <v>0.16726691411561503</v>
      </c>
      <c r="G106" s="1"/>
    </row>
    <row r="107" spans="1:7" s="3" customFormat="1" x14ac:dyDescent="0.2">
      <c r="A107" s="12" t="s">
        <v>9</v>
      </c>
      <c r="B107" s="5">
        <v>2017</v>
      </c>
      <c r="C107" s="6">
        <v>4940</v>
      </c>
      <c r="D107" s="49">
        <f t="array" ref="D107">AVERAGE(IF($A$9:$A$107=A107,$C$9:$C$107))</f>
        <v>5092.5</v>
      </c>
      <c r="E107" s="50">
        <f t="shared" si="2"/>
        <v>-152.5</v>
      </c>
      <c r="F107" s="51">
        <f t="shared" si="3"/>
        <v>-2.9945999018163968E-2</v>
      </c>
      <c r="G107" s="1"/>
    </row>
    <row r="108" spans="1:7" s="3" customFormat="1" x14ac:dyDescent="0.2">
      <c r="A108" s="13"/>
      <c r="B108" s="14"/>
      <c r="C108" s="7"/>
      <c r="D108" s="7"/>
      <c r="E108" s="15"/>
      <c r="G108" s="1"/>
    </row>
    <row r="109" spans="1:7" s="3" customFormat="1" x14ac:dyDescent="0.2">
      <c r="A109" s="13"/>
      <c r="B109" s="14"/>
      <c r="C109" s="7"/>
      <c r="D109" s="7"/>
      <c r="E109" s="15"/>
      <c r="G109" s="1"/>
    </row>
    <row r="110" spans="1:7" s="3" customFormat="1" x14ac:dyDescent="0.2">
      <c r="A110" s="13"/>
      <c r="B110" s="14"/>
      <c r="C110" s="7"/>
      <c r="D110" s="7"/>
      <c r="E110" s="15"/>
      <c r="G110" s="1"/>
    </row>
    <row r="111" spans="1:7" s="3" customFormat="1" x14ac:dyDescent="0.2">
      <c r="A111" s="13"/>
      <c r="B111" s="14"/>
      <c r="C111" s="7"/>
      <c r="D111" s="7"/>
      <c r="E111" s="15"/>
      <c r="G111" s="1"/>
    </row>
    <row r="112" spans="1:7" s="3" customFormat="1" x14ac:dyDescent="0.2">
      <c r="A112" s="13"/>
      <c r="B112" s="14"/>
      <c r="C112" s="7"/>
      <c r="D112" s="7"/>
      <c r="E112" s="15"/>
      <c r="G112" s="1"/>
    </row>
    <row r="113" spans="1:7" s="3" customFormat="1" x14ac:dyDescent="0.2">
      <c r="A113" s="13"/>
      <c r="B113" s="14"/>
      <c r="C113" s="7"/>
      <c r="D113" s="7"/>
      <c r="E113" s="15"/>
      <c r="G113" s="1"/>
    </row>
    <row r="114" spans="1:7" s="3" customFormat="1" x14ac:dyDescent="0.2">
      <c r="A114" s="13"/>
      <c r="B114" s="14"/>
      <c r="C114" s="7"/>
      <c r="D114" s="7"/>
      <c r="E114" s="15"/>
      <c r="G114" s="1"/>
    </row>
    <row r="115" spans="1:7" s="3" customFormat="1" x14ac:dyDescent="0.2">
      <c r="A115" s="13"/>
      <c r="B115" s="14"/>
      <c r="C115" s="7"/>
      <c r="D115" s="7"/>
      <c r="E115" s="15"/>
      <c r="G115" s="1"/>
    </row>
    <row r="116" spans="1:7" s="3" customFormat="1" x14ac:dyDescent="0.2">
      <c r="A116" s="13"/>
      <c r="B116" s="14"/>
      <c r="C116" s="7"/>
      <c r="D116" s="7"/>
      <c r="E116" s="15"/>
      <c r="G116" s="1"/>
    </row>
    <row r="117" spans="1:7" s="3" customFormat="1" x14ac:dyDescent="0.2">
      <c r="A117" s="13"/>
      <c r="B117" s="14"/>
      <c r="C117" s="7"/>
      <c r="D117" s="7"/>
      <c r="E117" s="15"/>
      <c r="G117" s="1"/>
    </row>
    <row r="118" spans="1:7" s="3" customFormat="1" x14ac:dyDescent="0.2">
      <c r="A118" s="13"/>
      <c r="B118" s="14"/>
      <c r="C118" s="7"/>
      <c r="D118" s="7"/>
      <c r="E118" s="15"/>
      <c r="G118" s="1"/>
    </row>
    <row r="119" spans="1:7" s="3" customFormat="1" x14ac:dyDescent="0.2">
      <c r="A119" s="13"/>
      <c r="B119" s="14"/>
      <c r="C119" s="7"/>
      <c r="D119" s="7"/>
      <c r="E119" s="15"/>
      <c r="G119" s="1"/>
    </row>
    <row r="120" spans="1:7" s="3" customFormat="1" x14ac:dyDescent="0.2">
      <c r="A120" s="13"/>
      <c r="B120" s="14"/>
      <c r="C120" s="7"/>
      <c r="D120" s="7"/>
      <c r="E120" s="15"/>
      <c r="G120" s="1"/>
    </row>
    <row r="121" spans="1:7" s="3" customFormat="1" x14ac:dyDescent="0.2">
      <c r="A121" s="13"/>
      <c r="B121" s="14"/>
      <c r="C121" s="7"/>
      <c r="D121" s="7"/>
      <c r="E121" s="15"/>
      <c r="G121" s="1"/>
    </row>
    <row r="122" spans="1:7" s="3" customFormat="1" x14ac:dyDescent="0.2">
      <c r="A122" s="13"/>
      <c r="B122" s="14"/>
      <c r="C122" s="7"/>
      <c r="D122" s="7"/>
      <c r="E122" s="15"/>
      <c r="G122" s="1"/>
    </row>
    <row r="123" spans="1:7" s="3" customFormat="1" x14ac:dyDescent="0.2">
      <c r="A123" s="13"/>
      <c r="B123" s="14"/>
      <c r="C123" s="7"/>
      <c r="D123" s="7"/>
      <c r="E123" s="15"/>
      <c r="G123" s="1"/>
    </row>
    <row r="124" spans="1:7" s="3" customFormat="1" x14ac:dyDescent="0.2">
      <c r="A124" s="13"/>
      <c r="B124" s="14"/>
      <c r="C124" s="7"/>
      <c r="D124" s="7"/>
      <c r="E124" s="15"/>
      <c r="G124" s="1"/>
    </row>
    <row r="125" spans="1:7" s="3" customFormat="1" x14ac:dyDescent="0.2">
      <c r="A125" s="13"/>
      <c r="B125" s="14"/>
      <c r="C125" s="7"/>
      <c r="D125" s="7"/>
      <c r="E125" s="15"/>
      <c r="G125" s="1"/>
    </row>
    <row r="126" spans="1:7" s="3" customFormat="1" x14ac:dyDescent="0.2">
      <c r="A126" s="13"/>
      <c r="B126" s="14"/>
      <c r="C126" s="7"/>
      <c r="D126" s="7"/>
      <c r="E126" s="15"/>
      <c r="G126" s="1"/>
    </row>
    <row r="127" spans="1:7" s="3" customFormat="1" x14ac:dyDescent="0.2">
      <c r="A127" s="13"/>
      <c r="B127" s="14"/>
      <c r="C127" s="7"/>
      <c r="D127" s="7"/>
      <c r="E127" s="15"/>
      <c r="G127" s="1"/>
    </row>
    <row r="128" spans="1:7" s="3" customFormat="1" x14ac:dyDescent="0.2">
      <c r="A128" s="13"/>
      <c r="B128" s="14"/>
      <c r="C128" s="7"/>
      <c r="D128" s="7"/>
      <c r="E128" s="15"/>
      <c r="G128" s="1"/>
    </row>
    <row r="129" spans="1:7" s="3" customFormat="1" x14ac:dyDescent="0.2">
      <c r="A129" s="13"/>
      <c r="B129" s="14"/>
      <c r="C129" s="7"/>
      <c r="D129" s="7"/>
      <c r="E129" s="15"/>
      <c r="G129" s="1"/>
    </row>
    <row r="130" spans="1:7" s="3" customFormat="1" x14ac:dyDescent="0.2">
      <c r="A130" s="13"/>
      <c r="B130" s="14"/>
      <c r="C130" s="7"/>
      <c r="D130" s="7"/>
      <c r="E130" s="15"/>
      <c r="G130" s="1"/>
    </row>
    <row r="131" spans="1:7" s="3" customFormat="1" x14ac:dyDescent="0.2">
      <c r="A131" s="13"/>
      <c r="B131" s="14"/>
      <c r="C131" s="7"/>
      <c r="D131" s="7"/>
      <c r="E131" s="15"/>
      <c r="G131" s="1"/>
    </row>
    <row r="132" spans="1:7" s="3" customFormat="1" x14ac:dyDescent="0.2">
      <c r="A132" s="13"/>
      <c r="B132" s="14"/>
      <c r="C132" s="7"/>
      <c r="D132" s="7"/>
      <c r="E132" s="15"/>
      <c r="G132" s="1"/>
    </row>
    <row r="133" spans="1:7" s="3" customFormat="1" x14ac:dyDescent="0.2">
      <c r="A133" s="13"/>
      <c r="B133" s="14"/>
      <c r="C133" s="7"/>
      <c r="D133" s="7"/>
      <c r="E133" s="15"/>
      <c r="G133" s="1"/>
    </row>
    <row r="134" spans="1:7" s="3" customFormat="1" x14ac:dyDescent="0.2">
      <c r="A134" s="13"/>
      <c r="B134" s="14"/>
      <c r="C134" s="7"/>
      <c r="D134" s="7"/>
      <c r="E134" s="15"/>
      <c r="G134" s="1"/>
    </row>
    <row r="135" spans="1:7" s="3" customFormat="1" x14ac:dyDescent="0.2">
      <c r="A135" s="13"/>
      <c r="B135" s="14"/>
      <c r="C135" s="7"/>
      <c r="D135" s="7"/>
      <c r="E135" s="15"/>
      <c r="G135" s="1"/>
    </row>
    <row r="136" spans="1:7" s="3" customFormat="1" x14ac:dyDescent="0.2">
      <c r="A136" s="13"/>
      <c r="B136" s="14"/>
      <c r="C136" s="7"/>
      <c r="D136" s="7"/>
      <c r="E136" s="15"/>
      <c r="G136" s="1"/>
    </row>
    <row r="137" spans="1:7" s="3" customFormat="1" x14ac:dyDescent="0.2">
      <c r="A137" s="13"/>
      <c r="B137" s="14"/>
      <c r="C137" s="7"/>
      <c r="D137" s="7"/>
      <c r="E137" s="15"/>
      <c r="G137" s="1"/>
    </row>
    <row r="138" spans="1:7" s="3" customFormat="1" x14ac:dyDescent="0.2">
      <c r="A138" s="13"/>
      <c r="B138" s="14"/>
      <c r="C138" s="7"/>
      <c r="D138" s="7"/>
      <c r="E138" s="15"/>
      <c r="G138" s="1"/>
    </row>
    <row r="139" spans="1:7" s="3" customFormat="1" x14ac:dyDescent="0.2">
      <c r="A139" s="13"/>
      <c r="B139" s="14"/>
      <c r="C139" s="7"/>
      <c r="D139" s="7"/>
      <c r="E139" s="15"/>
      <c r="G139" s="1"/>
    </row>
    <row r="140" spans="1:7" s="3" customFormat="1" x14ac:dyDescent="0.2">
      <c r="A140" s="13"/>
      <c r="B140" s="14"/>
      <c r="C140" s="7"/>
      <c r="D140" s="7"/>
      <c r="E140" s="15"/>
      <c r="G140" s="1"/>
    </row>
    <row r="141" spans="1:7" s="3" customFormat="1" x14ac:dyDescent="0.2">
      <c r="A141" s="13"/>
      <c r="B141" s="14"/>
      <c r="C141" s="7"/>
      <c r="D141" s="7"/>
      <c r="E141" s="15"/>
      <c r="G141" s="1"/>
    </row>
    <row r="142" spans="1:7" s="3" customFormat="1" x14ac:dyDescent="0.2">
      <c r="A142" s="13"/>
      <c r="B142" s="14"/>
      <c r="C142" s="7"/>
      <c r="D142" s="7"/>
      <c r="E142" s="15"/>
      <c r="G142" s="1"/>
    </row>
    <row r="143" spans="1:7" s="3" customFormat="1" x14ac:dyDescent="0.2">
      <c r="A143" s="13"/>
      <c r="B143" s="14"/>
      <c r="C143" s="7"/>
      <c r="D143" s="7"/>
      <c r="E143" s="15"/>
      <c r="G143" s="1"/>
    </row>
    <row r="144" spans="1:7" s="3" customFormat="1" x14ac:dyDescent="0.2">
      <c r="A144" s="13"/>
      <c r="B144" s="14"/>
      <c r="C144" s="7"/>
      <c r="D144" s="7"/>
      <c r="E144" s="15"/>
      <c r="G144" s="1"/>
    </row>
    <row r="145" spans="1:7" s="3" customFormat="1" x14ac:dyDescent="0.2">
      <c r="A145" s="13"/>
      <c r="B145" s="14"/>
      <c r="C145" s="7"/>
      <c r="D145" s="7"/>
      <c r="E145" s="15"/>
      <c r="G145" s="1"/>
    </row>
    <row r="146" spans="1:7" s="3" customFormat="1" x14ac:dyDescent="0.2">
      <c r="A146" s="13"/>
      <c r="B146" s="14"/>
      <c r="C146" s="7"/>
      <c r="D146" s="7"/>
      <c r="E146" s="15"/>
      <c r="G146" s="1"/>
    </row>
    <row r="147" spans="1:7" s="3" customFormat="1" x14ac:dyDescent="0.2">
      <c r="A147" s="13"/>
      <c r="B147" s="14"/>
      <c r="C147" s="7"/>
      <c r="D147" s="7"/>
      <c r="E147" s="15"/>
      <c r="G147" s="1"/>
    </row>
    <row r="148" spans="1:7" s="3" customFormat="1" x14ac:dyDescent="0.2">
      <c r="A148" s="13"/>
      <c r="B148" s="14"/>
      <c r="C148" s="7"/>
      <c r="D148" s="7"/>
      <c r="E148" s="15"/>
      <c r="G148" s="1"/>
    </row>
    <row r="149" spans="1:7" s="3" customFormat="1" x14ac:dyDescent="0.2">
      <c r="A149" s="13"/>
      <c r="B149" s="14"/>
      <c r="C149" s="7"/>
      <c r="D149" s="7"/>
      <c r="E149" s="15"/>
      <c r="G149" s="1"/>
    </row>
    <row r="150" spans="1:7" s="3" customFormat="1" x14ac:dyDescent="0.2">
      <c r="A150" s="13"/>
      <c r="B150" s="14"/>
      <c r="C150" s="7"/>
      <c r="D150" s="7"/>
      <c r="E150" s="15"/>
      <c r="G150" s="1"/>
    </row>
    <row r="151" spans="1:7" s="3" customFormat="1" x14ac:dyDescent="0.2">
      <c r="A151" s="13"/>
      <c r="B151" s="14"/>
      <c r="C151" s="7"/>
      <c r="D151" s="7"/>
      <c r="E151" s="15"/>
      <c r="G151" s="1"/>
    </row>
    <row r="152" spans="1:7" s="3" customFormat="1" x14ac:dyDescent="0.2">
      <c r="A152" s="13"/>
      <c r="B152" s="14"/>
      <c r="C152" s="7"/>
      <c r="D152" s="7"/>
      <c r="G152" s="1"/>
    </row>
    <row r="153" spans="1:7" s="3" customFormat="1" x14ac:dyDescent="0.2">
      <c r="A153" s="13"/>
      <c r="B153" s="14"/>
      <c r="C153" s="7"/>
      <c r="D153" s="7"/>
      <c r="G153" s="1"/>
    </row>
    <row r="154" spans="1:7" s="3" customFormat="1" x14ac:dyDescent="0.2">
      <c r="A154" s="13"/>
      <c r="B154" s="14"/>
      <c r="C154" s="7"/>
      <c r="D154" s="7"/>
      <c r="G154" s="1"/>
    </row>
    <row r="155" spans="1:7" s="3" customFormat="1" x14ac:dyDescent="0.2">
      <c r="A155" s="13"/>
      <c r="B155" s="14"/>
      <c r="C155" s="7"/>
      <c r="D155" s="7"/>
      <c r="G155" s="1"/>
    </row>
    <row r="156" spans="1:7" s="3" customFormat="1" x14ac:dyDescent="0.2">
      <c r="A156" s="13"/>
      <c r="B156" s="14"/>
      <c r="C156" s="7"/>
      <c r="D156" s="7"/>
      <c r="G156" s="1"/>
    </row>
    <row r="157" spans="1:7" s="3" customFormat="1" x14ac:dyDescent="0.2">
      <c r="A157" s="13"/>
      <c r="B157" s="14"/>
      <c r="C157" s="7"/>
      <c r="D157" s="7"/>
      <c r="G157" s="1"/>
    </row>
    <row r="158" spans="1:7" s="3" customFormat="1" x14ac:dyDescent="0.2">
      <c r="A158" s="13"/>
      <c r="B158" s="14"/>
      <c r="C158" s="7"/>
      <c r="D158" s="7"/>
      <c r="G158" s="1"/>
    </row>
    <row r="159" spans="1:7" s="3" customFormat="1" x14ac:dyDescent="0.2">
      <c r="A159" s="13"/>
      <c r="B159" s="14"/>
      <c r="C159" s="7"/>
      <c r="D159" s="7"/>
      <c r="G159" s="1"/>
    </row>
    <row r="160" spans="1:7" s="3" customFormat="1" x14ac:dyDescent="0.2">
      <c r="A160" s="13"/>
      <c r="B160" s="14"/>
      <c r="C160" s="7"/>
      <c r="D160" s="7"/>
      <c r="G160" s="1"/>
    </row>
    <row r="161" spans="1:7" s="3" customFormat="1" x14ac:dyDescent="0.2">
      <c r="A161" s="13"/>
      <c r="B161" s="14"/>
      <c r="C161" s="7"/>
      <c r="D161" s="7"/>
      <c r="G161" s="1"/>
    </row>
    <row r="162" spans="1:7" s="3" customFormat="1" x14ac:dyDescent="0.2">
      <c r="A162" s="13"/>
      <c r="B162" s="14"/>
      <c r="C162" s="7"/>
      <c r="D162" s="7"/>
      <c r="G162" s="1"/>
    </row>
    <row r="163" spans="1:7" s="3" customFormat="1" x14ac:dyDescent="0.2">
      <c r="A163" s="13"/>
      <c r="B163" s="14"/>
      <c r="C163" s="7"/>
      <c r="D163" s="7"/>
      <c r="G163" s="1"/>
    </row>
    <row r="164" spans="1:7" s="3" customFormat="1" x14ac:dyDescent="0.2">
      <c r="A164" s="13"/>
      <c r="B164" s="14"/>
      <c r="C164" s="7"/>
      <c r="D164" s="7"/>
      <c r="G164" s="1"/>
    </row>
    <row r="165" spans="1:7" s="3" customFormat="1" x14ac:dyDescent="0.2">
      <c r="A165" s="13"/>
      <c r="B165" s="14"/>
      <c r="C165" s="7"/>
      <c r="D165" s="7"/>
      <c r="G165" s="1"/>
    </row>
    <row r="166" spans="1:7" s="3" customFormat="1" x14ac:dyDescent="0.2">
      <c r="A166" s="13"/>
      <c r="B166" s="14"/>
      <c r="C166" s="7"/>
      <c r="D166" s="7"/>
      <c r="G166" s="1"/>
    </row>
    <row r="167" spans="1:7" s="3" customFormat="1" x14ac:dyDescent="0.2">
      <c r="A167" s="13"/>
      <c r="B167" s="14"/>
      <c r="C167" s="7"/>
      <c r="D167" s="7"/>
      <c r="G167" s="1"/>
    </row>
    <row r="168" spans="1:7" s="3" customFormat="1" x14ac:dyDescent="0.2">
      <c r="A168" s="13"/>
      <c r="B168" s="14"/>
      <c r="C168" s="7"/>
      <c r="D168" s="7"/>
      <c r="G168" s="1"/>
    </row>
    <row r="169" spans="1:7" s="3" customFormat="1" x14ac:dyDescent="0.2">
      <c r="A169" s="13"/>
      <c r="B169" s="14"/>
      <c r="C169" s="7"/>
      <c r="D169" s="7"/>
      <c r="G169" s="1"/>
    </row>
    <row r="170" spans="1:7" s="3" customFormat="1" x14ac:dyDescent="0.2">
      <c r="A170" s="13"/>
      <c r="B170" s="14"/>
      <c r="C170" s="7"/>
      <c r="D170" s="7"/>
      <c r="G170" s="1"/>
    </row>
    <row r="171" spans="1:7" s="3" customFormat="1" x14ac:dyDescent="0.2">
      <c r="A171" s="13"/>
      <c r="B171" s="14"/>
      <c r="C171" s="7"/>
      <c r="D171" s="7"/>
      <c r="G171" s="1"/>
    </row>
    <row r="172" spans="1:7" s="3" customFormat="1" x14ac:dyDescent="0.2">
      <c r="A172" s="13"/>
      <c r="B172" s="14"/>
      <c r="C172" s="7"/>
      <c r="D172" s="7"/>
      <c r="G172" s="1"/>
    </row>
    <row r="173" spans="1:7" s="3" customFormat="1" x14ac:dyDescent="0.2">
      <c r="A173" s="13"/>
      <c r="B173" s="14"/>
      <c r="C173" s="7"/>
      <c r="D173" s="7"/>
      <c r="G173" s="1"/>
    </row>
    <row r="174" spans="1:7" s="3" customFormat="1" x14ac:dyDescent="0.2">
      <c r="A174" s="13"/>
      <c r="B174" s="14"/>
      <c r="C174" s="7"/>
      <c r="D174" s="7"/>
      <c r="G174" s="1"/>
    </row>
    <row r="175" spans="1:7" s="3" customFormat="1" x14ac:dyDescent="0.2">
      <c r="A175" s="13"/>
      <c r="B175" s="14"/>
      <c r="C175" s="7"/>
      <c r="D175" s="7"/>
      <c r="G175" s="1"/>
    </row>
    <row r="176" spans="1:7" s="3" customFormat="1" x14ac:dyDescent="0.2">
      <c r="A176" s="13"/>
      <c r="B176" s="14"/>
      <c r="C176" s="7"/>
      <c r="D176" s="7"/>
      <c r="G176" s="1"/>
    </row>
    <row r="177" spans="1:7" s="3" customFormat="1" x14ac:dyDescent="0.2">
      <c r="A177" s="13"/>
      <c r="B177" s="14"/>
      <c r="C177" s="7"/>
      <c r="D177" s="7"/>
      <c r="G177" s="1"/>
    </row>
    <row r="178" spans="1:7" s="3" customFormat="1" x14ac:dyDescent="0.2">
      <c r="A178" s="13"/>
      <c r="B178" s="14"/>
      <c r="C178" s="7"/>
      <c r="D178" s="7"/>
      <c r="G178" s="1"/>
    </row>
    <row r="179" spans="1:7" s="3" customFormat="1" x14ac:dyDescent="0.2">
      <c r="A179" s="13"/>
      <c r="B179" s="14"/>
      <c r="C179" s="7"/>
      <c r="D179" s="7"/>
      <c r="G179" s="1"/>
    </row>
    <row r="180" spans="1:7" s="3" customFormat="1" x14ac:dyDescent="0.2">
      <c r="A180" s="13"/>
      <c r="B180" s="14"/>
      <c r="C180" s="7"/>
      <c r="D180" s="7"/>
      <c r="G180" s="1"/>
    </row>
    <row r="181" spans="1:7" s="3" customFormat="1" x14ac:dyDescent="0.2">
      <c r="A181" s="13"/>
      <c r="B181" s="14"/>
      <c r="C181" s="7"/>
      <c r="D181" s="7"/>
      <c r="G181" s="1"/>
    </row>
    <row r="182" spans="1:7" s="3" customFormat="1" x14ac:dyDescent="0.2">
      <c r="A182" s="13"/>
      <c r="B182" s="14"/>
      <c r="C182" s="7"/>
      <c r="D182" s="7"/>
      <c r="G182" s="1"/>
    </row>
    <row r="183" spans="1:7" s="3" customFormat="1" x14ac:dyDescent="0.2">
      <c r="A183" s="13"/>
      <c r="B183" s="14"/>
      <c r="C183" s="7"/>
      <c r="D183" s="7"/>
      <c r="G183" s="1"/>
    </row>
    <row r="184" spans="1:7" s="3" customFormat="1" x14ac:dyDescent="0.2">
      <c r="A184" s="13"/>
      <c r="B184" s="14"/>
      <c r="C184" s="7"/>
      <c r="D184" s="7"/>
      <c r="G184" s="1"/>
    </row>
    <row r="185" spans="1:7" s="3" customFormat="1" x14ac:dyDescent="0.2">
      <c r="A185" s="13"/>
      <c r="B185" s="14"/>
      <c r="C185" s="7"/>
      <c r="D185" s="7"/>
      <c r="G185" s="1"/>
    </row>
    <row r="186" spans="1:7" s="3" customFormat="1" x14ac:dyDescent="0.2">
      <c r="A186" s="13"/>
      <c r="B186" s="14"/>
      <c r="C186" s="7"/>
      <c r="D186" s="7"/>
      <c r="G186" s="1"/>
    </row>
    <row r="187" spans="1:7" s="3" customFormat="1" x14ac:dyDescent="0.2">
      <c r="A187" s="13"/>
      <c r="B187" s="14"/>
      <c r="C187" s="7"/>
      <c r="D187" s="7"/>
      <c r="G187" s="1"/>
    </row>
    <row r="188" spans="1:7" s="3" customFormat="1" x14ac:dyDescent="0.2">
      <c r="A188" s="13"/>
      <c r="B188" s="14"/>
      <c r="C188" s="7"/>
      <c r="D188" s="7"/>
      <c r="G188" s="1"/>
    </row>
    <row r="189" spans="1:7" s="3" customFormat="1" x14ac:dyDescent="0.2">
      <c r="A189" s="13"/>
      <c r="B189" s="14"/>
      <c r="C189" s="7"/>
      <c r="D189" s="7"/>
      <c r="G189" s="1"/>
    </row>
    <row r="190" spans="1:7" s="3" customFormat="1" x14ac:dyDescent="0.2">
      <c r="A190" s="13"/>
      <c r="B190" s="14"/>
      <c r="C190" s="7"/>
      <c r="D190" s="7"/>
      <c r="G190" s="1"/>
    </row>
    <row r="191" spans="1:7" s="3" customFormat="1" x14ac:dyDescent="0.2">
      <c r="A191" s="13"/>
      <c r="B191" s="14"/>
      <c r="C191" s="7"/>
      <c r="D191" s="7"/>
      <c r="G191" s="1"/>
    </row>
    <row r="192" spans="1:7" s="3" customFormat="1" x14ac:dyDescent="0.2">
      <c r="A192" s="13"/>
      <c r="B192" s="14"/>
      <c r="C192" s="7"/>
      <c r="D192" s="7"/>
      <c r="G192" s="1"/>
    </row>
    <row r="193" spans="1:7" s="3" customFormat="1" x14ac:dyDescent="0.2">
      <c r="A193" s="13"/>
      <c r="B193" s="14"/>
      <c r="C193" s="7"/>
      <c r="D193" s="7"/>
      <c r="G193" s="1"/>
    </row>
    <row r="194" spans="1:7" s="3" customFormat="1" x14ac:dyDescent="0.2">
      <c r="A194" s="13"/>
      <c r="B194" s="14"/>
      <c r="C194" s="7"/>
      <c r="D194" s="7"/>
      <c r="G194" s="1"/>
    </row>
    <row r="195" spans="1:7" s="3" customFormat="1" x14ac:dyDescent="0.2">
      <c r="A195" s="13"/>
      <c r="B195" s="14"/>
      <c r="C195" s="7"/>
      <c r="D195" s="7"/>
      <c r="G195" s="1"/>
    </row>
    <row r="196" spans="1:7" s="3" customFormat="1" x14ac:dyDescent="0.2">
      <c r="A196" s="13"/>
      <c r="B196" s="14"/>
      <c r="C196" s="7"/>
      <c r="D196" s="7"/>
      <c r="G196" s="1"/>
    </row>
    <row r="197" spans="1:7" s="3" customFormat="1" x14ac:dyDescent="0.2">
      <c r="A197" s="13"/>
      <c r="B197" s="14"/>
      <c r="C197" s="7"/>
      <c r="D197" s="7"/>
      <c r="G197" s="1"/>
    </row>
    <row r="198" spans="1:7" s="3" customFormat="1" x14ac:dyDescent="0.2">
      <c r="A198" s="13"/>
      <c r="B198" s="14"/>
      <c r="C198" s="7"/>
      <c r="D198" s="7"/>
      <c r="G198" s="1"/>
    </row>
    <row r="199" spans="1:7" s="3" customFormat="1" x14ac:dyDescent="0.2">
      <c r="A199" s="13"/>
      <c r="B199" s="14"/>
      <c r="C199" s="7"/>
      <c r="D199" s="7"/>
      <c r="G199" s="1"/>
    </row>
    <row r="200" spans="1:7" s="3" customFormat="1" x14ac:dyDescent="0.2">
      <c r="A200" s="13"/>
      <c r="B200" s="14"/>
      <c r="C200" s="7"/>
      <c r="D200" s="7"/>
      <c r="G200" s="1"/>
    </row>
    <row r="201" spans="1:7" s="3" customFormat="1" x14ac:dyDescent="0.2">
      <c r="A201" s="13"/>
      <c r="B201" s="14"/>
      <c r="C201" s="7"/>
      <c r="D201" s="7"/>
      <c r="G201" s="1"/>
    </row>
    <row r="202" spans="1:7" s="3" customFormat="1" x14ac:dyDescent="0.2">
      <c r="A202" s="13"/>
      <c r="B202" s="14"/>
      <c r="C202" s="7"/>
      <c r="D202" s="7"/>
      <c r="G202" s="1"/>
    </row>
    <row r="203" spans="1:7" s="3" customFormat="1" x14ac:dyDescent="0.2">
      <c r="A203" s="13"/>
      <c r="B203" s="14"/>
      <c r="C203" s="7"/>
      <c r="D203" s="7"/>
      <c r="G203" s="1"/>
    </row>
    <row r="204" spans="1:7" s="3" customFormat="1" x14ac:dyDescent="0.2">
      <c r="A204" s="13"/>
      <c r="B204" s="14"/>
      <c r="C204" s="7"/>
      <c r="D204" s="7"/>
      <c r="G204" s="1"/>
    </row>
    <row r="205" spans="1:7" s="3" customFormat="1" x14ac:dyDescent="0.2">
      <c r="A205" s="13"/>
      <c r="B205" s="14"/>
      <c r="C205" s="7"/>
      <c r="D205" s="7"/>
      <c r="G205" s="1"/>
    </row>
    <row r="206" spans="1:7" s="3" customFormat="1" x14ac:dyDescent="0.2">
      <c r="A206" s="13"/>
      <c r="B206" s="14"/>
      <c r="C206" s="7"/>
      <c r="D206" s="7"/>
      <c r="G206" s="1"/>
    </row>
    <row r="207" spans="1:7" s="3" customFormat="1" x14ac:dyDescent="0.2">
      <c r="A207" s="13"/>
      <c r="B207" s="14"/>
      <c r="C207" s="7"/>
      <c r="D207" s="7"/>
      <c r="G207" s="1"/>
    </row>
    <row r="208" spans="1:7" s="3" customFormat="1" x14ac:dyDescent="0.2">
      <c r="A208" s="13"/>
      <c r="B208" s="14"/>
      <c r="C208" s="7"/>
      <c r="D208" s="7"/>
      <c r="G208" s="1"/>
    </row>
    <row r="209" spans="1:7" s="3" customFormat="1" x14ac:dyDescent="0.2">
      <c r="A209" s="13"/>
      <c r="B209" s="14"/>
      <c r="C209" s="7"/>
      <c r="D209" s="7"/>
      <c r="G209" s="1"/>
    </row>
    <row r="210" spans="1:7" s="3" customFormat="1" x14ac:dyDescent="0.2">
      <c r="A210" s="13"/>
      <c r="B210" s="14"/>
      <c r="C210" s="7"/>
      <c r="D210" s="7"/>
      <c r="G210" s="1"/>
    </row>
    <row r="211" spans="1:7" s="3" customFormat="1" x14ac:dyDescent="0.2">
      <c r="A211" s="13"/>
      <c r="B211" s="14"/>
      <c r="C211" s="7"/>
      <c r="D211" s="7"/>
      <c r="G211" s="1"/>
    </row>
    <row r="212" spans="1:7" s="3" customFormat="1" x14ac:dyDescent="0.2">
      <c r="A212" s="13"/>
      <c r="B212" s="14"/>
      <c r="C212" s="7"/>
      <c r="D212" s="7"/>
      <c r="G212" s="1"/>
    </row>
    <row r="213" spans="1:7" s="3" customFormat="1" x14ac:dyDescent="0.2">
      <c r="A213" s="13"/>
      <c r="B213" s="14"/>
      <c r="C213" s="7"/>
      <c r="D213" s="7"/>
      <c r="G213" s="1"/>
    </row>
    <row r="214" spans="1:7" s="3" customFormat="1" x14ac:dyDescent="0.2">
      <c r="A214" s="13"/>
      <c r="B214" s="14"/>
      <c r="C214" s="7"/>
      <c r="D214" s="7"/>
      <c r="G214" s="1"/>
    </row>
    <row r="215" spans="1:7" s="3" customFormat="1" x14ac:dyDescent="0.2">
      <c r="A215" s="13"/>
      <c r="B215" s="14"/>
      <c r="C215" s="7"/>
      <c r="D215" s="7"/>
      <c r="G215" s="1"/>
    </row>
    <row r="216" spans="1:7" s="3" customFormat="1" x14ac:dyDescent="0.2">
      <c r="A216" s="13"/>
      <c r="B216" s="14"/>
      <c r="C216" s="7"/>
      <c r="D216" s="7"/>
      <c r="G216" s="1"/>
    </row>
    <row r="217" spans="1:7" s="3" customFormat="1" x14ac:dyDescent="0.2">
      <c r="A217" s="13"/>
      <c r="B217" s="14"/>
      <c r="C217" s="7"/>
      <c r="D217" s="7"/>
      <c r="G217" s="1"/>
    </row>
    <row r="218" spans="1:7" s="3" customFormat="1" x14ac:dyDescent="0.2">
      <c r="A218" s="13"/>
      <c r="B218" s="14"/>
      <c r="C218" s="7"/>
      <c r="D218" s="7"/>
      <c r="G218" s="1"/>
    </row>
    <row r="219" spans="1:7" s="3" customFormat="1" x14ac:dyDescent="0.2">
      <c r="A219" s="13"/>
      <c r="B219" s="14"/>
      <c r="C219" s="7"/>
      <c r="D219" s="7"/>
      <c r="G219" s="1"/>
    </row>
    <row r="220" spans="1:7" s="3" customFormat="1" x14ac:dyDescent="0.2">
      <c r="A220" s="13"/>
      <c r="B220" s="14"/>
      <c r="C220" s="7"/>
      <c r="D220" s="7"/>
      <c r="G220" s="1"/>
    </row>
    <row r="221" spans="1:7" s="3" customFormat="1" x14ac:dyDescent="0.2">
      <c r="A221" s="13"/>
      <c r="B221" s="14"/>
      <c r="C221" s="7"/>
      <c r="D221" s="7"/>
      <c r="G221" s="1"/>
    </row>
    <row r="222" spans="1:7" s="3" customFormat="1" x14ac:dyDescent="0.2">
      <c r="A222" s="13"/>
      <c r="B222" s="14"/>
      <c r="C222" s="7"/>
      <c r="D222" s="7"/>
      <c r="G222" s="1"/>
    </row>
    <row r="223" spans="1:7" s="3" customFormat="1" x14ac:dyDescent="0.2">
      <c r="A223" s="13"/>
      <c r="B223" s="14"/>
      <c r="C223" s="7"/>
      <c r="D223" s="7"/>
      <c r="G223" s="1"/>
    </row>
    <row r="224" spans="1:7" s="3" customFormat="1" x14ac:dyDescent="0.2">
      <c r="A224" s="13"/>
      <c r="B224" s="14"/>
      <c r="C224" s="7"/>
      <c r="D224" s="7"/>
      <c r="G224" s="1"/>
    </row>
    <row r="225" spans="1:7" s="3" customFormat="1" x14ac:dyDescent="0.2">
      <c r="A225" s="13"/>
      <c r="B225" s="14"/>
      <c r="C225" s="7"/>
      <c r="D225" s="7"/>
      <c r="G225" s="1"/>
    </row>
    <row r="226" spans="1:7" s="3" customFormat="1" x14ac:dyDescent="0.2">
      <c r="A226" s="13"/>
      <c r="B226" s="14"/>
      <c r="C226" s="7"/>
      <c r="D226" s="7"/>
      <c r="G226" s="1"/>
    </row>
    <row r="227" spans="1:7" s="3" customFormat="1" x14ac:dyDescent="0.2">
      <c r="A227" s="13"/>
      <c r="B227" s="14"/>
      <c r="C227" s="7"/>
      <c r="D227" s="7"/>
      <c r="G227" s="1"/>
    </row>
    <row r="228" spans="1:7" s="3" customFormat="1" x14ac:dyDescent="0.2">
      <c r="A228" s="13"/>
      <c r="B228" s="14"/>
      <c r="C228" s="7"/>
      <c r="D228" s="7"/>
      <c r="G228" s="1"/>
    </row>
    <row r="229" spans="1:7" s="3" customFormat="1" x14ac:dyDescent="0.2">
      <c r="A229" s="13"/>
      <c r="B229" s="14"/>
      <c r="C229" s="7"/>
      <c r="D229" s="7"/>
      <c r="G229" s="1"/>
    </row>
    <row r="230" spans="1:7" s="3" customFormat="1" x14ac:dyDescent="0.2">
      <c r="A230" s="13"/>
      <c r="B230" s="14"/>
      <c r="C230" s="7"/>
      <c r="D230" s="7"/>
      <c r="G230" s="1"/>
    </row>
    <row r="231" spans="1:7" s="3" customFormat="1" x14ac:dyDescent="0.2">
      <c r="A231" s="13"/>
      <c r="B231" s="14"/>
      <c r="C231" s="7"/>
      <c r="D231" s="7"/>
      <c r="G23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F24"/>
  <sheetViews>
    <sheetView zoomScale="90" zoomScaleNormal="90" workbookViewId="0">
      <pane ySplit="9" topLeftCell="A10" activePane="bottomLeft" state="frozen"/>
      <selection activeCell="N39" sqref="N39"/>
      <selection pane="bottomLeft"/>
    </sheetView>
  </sheetViews>
  <sheetFormatPr defaultRowHeight="15" x14ac:dyDescent="0.25"/>
  <cols>
    <col min="1" max="2" width="9.140625" style="31"/>
    <col min="3" max="3" width="11.42578125" style="31" customWidth="1"/>
    <col min="4" max="4" width="11.140625" style="31" customWidth="1"/>
    <col min="5" max="5" width="13.42578125" style="31" customWidth="1"/>
    <col min="6" max="6" width="9.28515625" style="31" customWidth="1"/>
    <col min="7" max="15" width="9.140625" style="31"/>
    <col min="16" max="16" width="12" style="31" bestFit="1" customWidth="1"/>
    <col min="17" max="16384" width="9.140625" style="31"/>
  </cols>
  <sheetData>
    <row r="1" spans="1:6" s="33" customFormat="1" x14ac:dyDescent="0.25">
      <c r="A1" s="33" t="s">
        <v>27</v>
      </c>
    </row>
    <row r="2" spans="1:6" s="33" customFormat="1" x14ac:dyDescent="0.25">
      <c r="A2" s="33" t="s">
        <v>28</v>
      </c>
    </row>
    <row r="4" spans="1:6" s="41" customFormat="1" x14ac:dyDescent="0.25">
      <c r="C4" s="48" t="s">
        <v>29</v>
      </c>
      <c r="D4" s="46">
        <f>AVERAGE(D10:D21)</f>
        <v>1.3353323805652335E-3</v>
      </c>
      <c r="E4" s="46"/>
      <c r="F4" s="46"/>
    </row>
    <row r="5" spans="1:6" s="41" customFormat="1" x14ac:dyDescent="0.25">
      <c r="C5" s="48" t="s">
        <v>34</v>
      </c>
      <c r="D5" s="47">
        <f>STDEV(D10:D21)</f>
        <v>5.3583084715336751E-2</v>
      </c>
    </row>
    <row r="7" spans="1:6" ht="45" customHeight="1" x14ac:dyDescent="0.25">
      <c r="A7" s="31" t="s">
        <v>18</v>
      </c>
      <c r="B7" s="32" t="s">
        <v>32</v>
      </c>
      <c r="C7" s="32" t="s">
        <v>33</v>
      </c>
      <c r="D7" s="32" t="s">
        <v>30</v>
      </c>
      <c r="E7" s="32" t="s">
        <v>31</v>
      </c>
      <c r="F7" s="32"/>
    </row>
    <row r="8" spans="1:6" x14ac:dyDescent="0.25">
      <c r="B8" s="32"/>
      <c r="C8" s="32"/>
      <c r="D8" s="34" t="s">
        <v>21</v>
      </c>
      <c r="E8" s="32"/>
      <c r="F8" s="32"/>
    </row>
    <row r="9" spans="1:6" ht="7.5" customHeight="1" x14ac:dyDescent="0.25">
      <c r="B9" s="32"/>
      <c r="C9" s="35"/>
      <c r="E9" s="35"/>
      <c r="F9" s="35"/>
    </row>
    <row r="10" spans="1:6" x14ac:dyDescent="0.25">
      <c r="A10" s="31">
        <v>2002</v>
      </c>
      <c r="B10" s="36">
        <v>437</v>
      </c>
      <c r="C10" s="37">
        <f t="shared" ref="C10:C21" si="0">$D$24*$C$24^$A10</f>
        <v>402.67253568997677</v>
      </c>
      <c r="D10" s="38">
        <f t="shared" ref="D10:D21" si="1">($B10-C10)/C10</f>
        <v>8.5249082734692463E-2</v>
      </c>
      <c r="E10" s="39">
        <f t="shared" ref="E10:E21" si="2">B10-C10</f>
        <v>34.327464310023231</v>
      </c>
      <c r="F10" s="38"/>
    </row>
    <row r="11" spans="1:6" x14ac:dyDescent="0.25">
      <c r="A11" s="31">
        <v>2003</v>
      </c>
      <c r="B11" s="36">
        <v>444</v>
      </c>
      <c r="C11" s="37">
        <f t="shared" si="0"/>
        <v>429.54501712292529</v>
      </c>
      <c r="D11" s="38">
        <f t="shared" si="1"/>
        <v>3.3651846257916312E-2</v>
      </c>
      <c r="E11" s="39">
        <f t="shared" si="2"/>
        <v>14.454982877074713</v>
      </c>
      <c r="F11" s="38"/>
    </row>
    <row r="12" spans="1:6" x14ac:dyDescent="0.25">
      <c r="A12" s="31">
        <v>2004</v>
      </c>
      <c r="B12" s="36">
        <v>447</v>
      </c>
      <c r="C12" s="37">
        <f t="shared" si="0"/>
        <v>458.21084226412245</v>
      </c>
      <c r="D12" s="38">
        <f t="shared" si="1"/>
        <v>-2.4466558252369507E-2</v>
      </c>
      <c r="E12" s="39">
        <f t="shared" si="2"/>
        <v>-11.210842264122448</v>
      </c>
      <c r="F12" s="38"/>
    </row>
    <row r="13" spans="1:6" x14ac:dyDescent="0.25">
      <c r="A13" s="31">
        <v>2005</v>
      </c>
      <c r="B13" s="36">
        <v>450</v>
      </c>
      <c r="C13" s="37">
        <f t="shared" si="0"/>
        <v>488.78969048385426</v>
      </c>
      <c r="D13" s="38">
        <f t="shared" si="1"/>
        <v>-7.9358651049812934E-2</v>
      </c>
      <c r="E13" s="39">
        <f t="shared" si="2"/>
        <v>-38.789690483854258</v>
      </c>
      <c r="F13" s="38"/>
    </row>
    <row r="14" spans="1:6" x14ac:dyDescent="0.25">
      <c r="A14" s="31">
        <v>2006</v>
      </c>
      <c r="B14" s="36">
        <v>471</v>
      </c>
      <c r="C14" s="37">
        <f t="shared" si="0"/>
        <v>521.40922799374994</v>
      </c>
      <c r="D14" s="38">
        <f t="shared" si="1"/>
        <v>-9.6678818262791053E-2</v>
      </c>
      <c r="E14" s="39">
        <f t="shared" si="2"/>
        <v>-50.409227993749937</v>
      </c>
      <c r="F14" s="38"/>
    </row>
    <row r="15" spans="1:6" x14ac:dyDescent="0.25">
      <c r="A15" s="31">
        <v>2007</v>
      </c>
      <c r="B15" s="40">
        <v>542.66092167717193</v>
      </c>
      <c r="C15" s="37">
        <f t="shared" si="0"/>
        <v>556.20564085121316</v>
      </c>
      <c r="D15" s="38">
        <f t="shared" si="1"/>
        <v>-2.4351998935703872E-2</v>
      </c>
      <c r="E15" s="39">
        <f t="shared" si="2"/>
        <v>-13.544719174041234</v>
      </c>
      <c r="F15" s="38"/>
    </row>
    <row r="16" spans="1:6" x14ac:dyDescent="0.25">
      <c r="A16" s="31">
        <v>2008</v>
      </c>
      <c r="B16" s="40">
        <v>616</v>
      </c>
      <c r="C16" s="37">
        <f t="shared" si="0"/>
        <v>593.32420353407542</v>
      </c>
      <c r="D16" s="38">
        <f t="shared" si="1"/>
        <v>3.8218222568468463E-2</v>
      </c>
      <c r="E16" s="39">
        <f t="shared" si="2"/>
        <v>22.675796465924577</v>
      </c>
      <c r="F16" s="38"/>
    </row>
    <row r="17" spans="1:6" x14ac:dyDescent="0.25">
      <c r="A17" s="31">
        <v>2009</v>
      </c>
      <c r="B17" s="40">
        <v>667</v>
      </c>
      <c r="C17" s="37">
        <f t="shared" si="0"/>
        <v>632.9198854592612</v>
      </c>
      <c r="D17" s="38">
        <f t="shared" si="1"/>
        <v>5.384585841541302E-2</v>
      </c>
      <c r="E17" s="39">
        <f t="shared" si="2"/>
        <v>34.080114540738805</v>
      </c>
      <c r="F17" s="38"/>
    </row>
    <row r="18" spans="1:6" x14ac:dyDescent="0.25">
      <c r="A18" s="31">
        <v>2010</v>
      </c>
      <c r="B18" s="40">
        <v>700</v>
      </c>
      <c r="C18" s="37">
        <f t="shared" si="0"/>
        <v>675.1579979776742</v>
      </c>
      <c r="D18" s="38">
        <f t="shared" si="1"/>
        <v>3.6794353465019997E-2</v>
      </c>
      <c r="E18" s="39">
        <f t="shared" si="2"/>
        <v>24.842002022325801</v>
      </c>
      <c r="F18" s="38"/>
    </row>
    <row r="19" spans="1:6" x14ac:dyDescent="0.25">
      <c r="A19" s="31">
        <v>2011</v>
      </c>
      <c r="B19" s="40">
        <v>717</v>
      </c>
      <c r="C19" s="37">
        <f t="shared" si="0"/>
        <v>720.21488454649261</v>
      </c>
      <c r="D19" s="38">
        <f t="shared" si="1"/>
        <v>-4.4637852056014808E-3</v>
      </c>
      <c r="E19" s="39">
        <f t="shared" si="2"/>
        <v>-3.2148845464926126</v>
      </c>
      <c r="F19" s="38"/>
    </row>
    <row r="20" spans="1:6" s="41" customFormat="1" x14ac:dyDescent="0.25">
      <c r="A20" s="41">
        <v>2012</v>
      </c>
      <c r="B20" s="40">
        <v>781</v>
      </c>
      <c r="C20" s="42">
        <f t="shared" si="0"/>
        <v>768.27865696033712</v>
      </c>
      <c r="D20" s="43">
        <f t="shared" si="1"/>
        <v>1.6558240847135273E-2</v>
      </c>
      <c r="E20" s="44">
        <f t="shared" si="2"/>
        <v>12.721343039662884</v>
      </c>
      <c r="F20" s="43"/>
    </row>
    <row r="21" spans="1:6" x14ac:dyDescent="0.25">
      <c r="A21" s="31">
        <v>2013</v>
      </c>
      <c r="B21" s="40">
        <v>804</v>
      </c>
      <c r="C21" s="37">
        <f t="shared" si="0"/>
        <v>819.54998071506316</v>
      </c>
      <c r="D21" s="38">
        <f t="shared" si="1"/>
        <v>-1.8973804015583882E-2</v>
      </c>
      <c r="E21" s="39">
        <f t="shared" si="2"/>
        <v>-15.549980715063157</v>
      </c>
      <c r="F21" s="38"/>
    </row>
    <row r="24" spans="1:6" x14ac:dyDescent="0.25">
      <c r="C24" s="45">
        <f t="array" ref="C24:D24">LOGEST(B10:B21,A10:A21)</f>
        <v>1.0667353222560925</v>
      </c>
      <c r="D24" s="45">
        <v>2.7257552801402048E-54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/>
  </sheetPr>
  <dimension ref="A1:P43"/>
  <sheetViews>
    <sheetView zoomScale="85" zoomScaleNormal="85" workbookViewId="0">
      <pane xSplit="2" ySplit="6" topLeftCell="C7" activePane="bottomRight" state="frozen"/>
      <selection activeCell="N39" sqref="N39"/>
      <selection pane="topRight" activeCell="N39" sqref="N39"/>
      <selection pane="bottomLeft" activeCell="N39" sqref="N39"/>
      <selection pane="bottomRight" activeCell="S15" sqref="S15"/>
    </sheetView>
  </sheetViews>
  <sheetFormatPr defaultRowHeight="15" x14ac:dyDescent="0.25"/>
  <cols>
    <col min="2" max="2" width="2.7109375" customWidth="1"/>
    <col min="14" max="14" width="1.42578125" customWidth="1"/>
  </cols>
  <sheetData>
    <row r="1" spans="1:15" s="30" customFormat="1" x14ac:dyDescent="0.25">
      <c r="A1" s="30" t="s">
        <v>50</v>
      </c>
    </row>
    <row r="2" spans="1:15" s="30" customFormat="1" x14ac:dyDescent="0.25">
      <c r="A2" s="62" t="s">
        <v>52</v>
      </c>
      <c r="N2" s="65" t="s">
        <v>54</v>
      </c>
      <c r="O2" s="53">
        <f>AVERAGE(O7:O23)</f>
        <v>0.38268378518962082</v>
      </c>
    </row>
    <row r="3" spans="1:15" s="30" customFormat="1" x14ac:dyDescent="0.25">
      <c r="A3" s="62" t="s">
        <v>55</v>
      </c>
    </row>
    <row r="4" spans="1:15" x14ac:dyDescent="0.25">
      <c r="B4" s="19"/>
      <c r="C4" s="17" t="s">
        <v>51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63"/>
      <c r="O4" s="54"/>
    </row>
    <row r="5" spans="1:15" x14ac:dyDescent="0.25">
      <c r="A5" s="1" t="s">
        <v>35</v>
      </c>
      <c r="B5" s="3"/>
      <c r="C5" s="63">
        <v>2003</v>
      </c>
      <c r="D5" s="63">
        <v>2004</v>
      </c>
      <c r="E5" s="63">
        <v>2005</v>
      </c>
      <c r="F5" s="63">
        <v>2006</v>
      </c>
      <c r="G5" s="63">
        <v>2007</v>
      </c>
      <c r="H5" s="63">
        <v>2008</v>
      </c>
      <c r="I5" s="63">
        <v>2009</v>
      </c>
      <c r="J5" s="63">
        <v>2010</v>
      </c>
      <c r="K5" s="63">
        <v>2011</v>
      </c>
      <c r="L5" s="63">
        <v>2012</v>
      </c>
      <c r="M5" s="63">
        <v>2013</v>
      </c>
      <c r="N5" s="63"/>
      <c r="O5" s="63" t="s">
        <v>36</v>
      </c>
    </row>
    <row r="6" spans="1:15" x14ac:dyDescent="0.25">
      <c r="A6" s="55"/>
      <c r="B6" s="56"/>
      <c r="C6" s="64" t="s">
        <v>21</v>
      </c>
      <c r="D6" s="64" t="s">
        <v>21</v>
      </c>
      <c r="E6" s="64" t="s">
        <v>21</v>
      </c>
      <c r="F6" s="64" t="s">
        <v>21</v>
      </c>
      <c r="G6" s="64" t="s">
        <v>21</v>
      </c>
      <c r="H6" s="64" t="s">
        <v>21</v>
      </c>
      <c r="I6" s="64" t="s">
        <v>21</v>
      </c>
      <c r="J6" s="64" t="s">
        <v>21</v>
      </c>
      <c r="K6" s="64" t="s">
        <v>21</v>
      </c>
      <c r="L6" s="64" t="s">
        <v>21</v>
      </c>
      <c r="M6" s="64" t="s">
        <v>21</v>
      </c>
      <c r="N6" s="64"/>
      <c r="O6" s="64"/>
    </row>
    <row r="7" spans="1:15" x14ac:dyDescent="0.25">
      <c r="A7" s="3" t="s">
        <v>37</v>
      </c>
      <c r="B7" s="3"/>
      <c r="C7" s="61">
        <v>0.39488264373209292</v>
      </c>
      <c r="D7" s="61">
        <v>-0.41436402210969597</v>
      </c>
      <c r="E7" s="61">
        <v>0.25026039294147057</v>
      </c>
      <c r="F7" s="61">
        <v>0.26770593873703874</v>
      </c>
      <c r="G7" s="61">
        <v>-0.10634408509319063</v>
      </c>
      <c r="H7" s="61">
        <v>0.74405918688660599</v>
      </c>
      <c r="I7" s="61">
        <v>-0.60605522470478446</v>
      </c>
      <c r="J7" s="61">
        <v>0.4468205767167962</v>
      </c>
      <c r="K7" s="61">
        <v>0.35808931101743924</v>
      </c>
      <c r="L7" s="61">
        <v>-0.17862153663930505</v>
      </c>
      <c r="M7" s="61">
        <v>-0.41442071452182283</v>
      </c>
      <c r="N7" s="57"/>
      <c r="O7" s="58">
        <f t="shared" ref="O7:O14" si="0">STDEV(C7:M7)</f>
        <v>0.43308618798541043</v>
      </c>
    </row>
    <row r="8" spans="1:15" x14ac:dyDescent="0.25">
      <c r="A8" s="3" t="s">
        <v>38</v>
      </c>
      <c r="B8" s="3"/>
      <c r="C8" s="61">
        <v>0.1184897195312522</v>
      </c>
      <c r="D8" s="61">
        <v>-0.42487359968802046</v>
      </c>
      <c r="E8" s="61">
        <v>0.20525683125947586</v>
      </c>
      <c r="F8" s="61">
        <v>0.15350225410238078</v>
      </c>
      <c r="G8" s="61">
        <v>-0.1858561789900271</v>
      </c>
      <c r="H8" s="61">
        <v>0.44585349990128587</v>
      </c>
      <c r="I8" s="61">
        <v>-0.54978163388350421</v>
      </c>
      <c r="J8" s="61">
        <v>0.43218170606773598</v>
      </c>
      <c r="K8" s="61">
        <v>0.25179622033623617</v>
      </c>
      <c r="L8" s="61">
        <v>1.2701678359816499E-2</v>
      </c>
      <c r="M8" s="61">
        <v>-0.32003293463040966</v>
      </c>
      <c r="N8" s="57"/>
      <c r="O8" s="58">
        <f t="shared" si="0"/>
        <v>0.33865036803906168</v>
      </c>
    </row>
    <row r="9" spans="1:15" x14ac:dyDescent="0.25">
      <c r="A9" s="3" t="s">
        <v>39</v>
      </c>
      <c r="B9" s="3"/>
      <c r="C9" s="61">
        <v>0.46287283521503064</v>
      </c>
      <c r="D9" s="61">
        <v>-0.11453851135762648</v>
      </c>
      <c r="E9" s="61">
        <v>0.27776121347960436</v>
      </c>
      <c r="F9" s="61">
        <v>-2.5618992153437093E-2</v>
      </c>
      <c r="G9" s="61">
        <v>2.9227419453160108E-2</v>
      </c>
      <c r="H9" s="61">
        <v>0.49870593855225198</v>
      </c>
      <c r="I9" s="61">
        <v>-0.58892241368935183</v>
      </c>
      <c r="J9" s="61">
        <v>0.43611264791686105</v>
      </c>
      <c r="K9" s="61">
        <v>0.34622728630787059</v>
      </c>
      <c r="L9" s="61">
        <v>-0.20873169030972372</v>
      </c>
      <c r="M9" s="61">
        <v>-0.26390469324646149</v>
      </c>
      <c r="N9" s="57"/>
      <c r="O9" s="58">
        <f t="shared" si="0"/>
        <v>0.35486543163324241</v>
      </c>
    </row>
    <row r="10" spans="1:15" x14ac:dyDescent="0.25">
      <c r="A10" s="3" t="s">
        <v>40</v>
      </c>
      <c r="B10" s="3"/>
      <c r="C10" s="61">
        <v>0.13164703708248102</v>
      </c>
      <c r="D10" s="61">
        <v>-0.70191211140194365</v>
      </c>
      <c r="E10" s="61">
        <v>0.49818242672187357</v>
      </c>
      <c r="F10" s="61">
        <v>0.20728146399972736</v>
      </c>
      <c r="G10" s="61">
        <v>-0.2443937331524117</v>
      </c>
      <c r="H10" s="61">
        <v>0.34099866690429381</v>
      </c>
      <c r="I10" s="61">
        <v>-0.60874533925790053</v>
      </c>
      <c r="J10" s="61">
        <v>0.53170430170042515</v>
      </c>
      <c r="K10" s="61">
        <v>0.49321299213515274</v>
      </c>
      <c r="L10" s="61">
        <v>-0.11352943887320716</v>
      </c>
      <c r="M10" s="61">
        <v>-0.38943559164346558</v>
      </c>
      <c r="N10" s="57"/>
      <c r="O10" s="58">
        <f t="shared" si="0"/>
        <v>0.45125913335354811</v>
      </c>
    </row>
    <row r="11" spans="1:15" x14ac:dyDescent="0.25">
      <c r="A11" s="3" t="s">
        <v>4</v>
      </c>
      <c r="B11" s="3"/>
      <c r="C11" s="61">
        <v>0.37061052676538647</v>
      </c>
      <c r="D11" s="61">
        <v>-2.3517960159931288E-2</v>
      </c>
      <c r="E11" s="61">
        <v>0.356434175434029</v>
      </c>
      <c r="F11" s="61">
        <v>6.4835485504978696E-2</v>
      </c>
      <c r="G11" s="61">
        <v>-0.29232033638929233</v>
      </c>
      <c r="H11" s="61">
        <v>0.37025482419525785</v>
      </c>
      <c r="I11" s="61">
        <v>-0.63430109386225109</v>
      </c>
      <c r="J11" s="61">
        <v>0.58996878466147906</v>
      </c>
      <c r="K11" s="61">
        <v>0.2992286276353977</v>
      </c>
      <c r="L11" s="61">
        <v>-9.5484726150740717E-2</v>
      </c>
      <c r="M11" s="61">
        <v>-0.29827044969835687</v>
      </c>
      <c r="N11" s="57"/>
      <c r="O11" s="58">
        <f t="shared" si="0"/>
        <v>0.3720508463212302</v>
      </c>
    </row>
    <row r="12" spans="1:15" x14ac:dyDescent="0.25">
      <c r="A12" s="3" t="s">
        <v>41</v>
      </c>
      <c r="B12" s="3"/>
      <c r="C12" s="61">
        <v>0.20019508670120306</v>
      </c>
      <c r="D12" s="61">
        <v>-0.32706474867053603</v>
      </c>
      <c r="E12" s="61">
        <v>0.33452956480484891</v>
      </c>
      <c r="F12" s="61">
        <v>0.13414481280339724</v>
      </c>
      <c r="G12" s="61">
        <v>-0.17356612023019208</v>
      </c>
      <c r="H12" s="61">
        <v>0.36479826458541248</v>
      </c>
      <c r="I12" s="61">
        <v>-0.63931917915081349</v>
      </c>
      <c r="J12" s="61">
        <v>0.59331292369102806</v>
      </c>
      <c r="K12" s="61">
        <v>0.15917660856859828</v>
      </c>
      <c r="L12" s="61">
        <v>-0.13457995043233115</v>
      </c>
      <c r="M12" s="61">
        <v>-0.17621596310289189</v>
      </c>
      <c r="N12" s="57"/>
      <c r="O12" s="58">
        <f t="shared" si="0"/>
        <v>0.35569371300532221</v>
      </c>
    </row>
    <row r="13" spans="1:15" x14ac:dyDescent="0.25">
      <c r="A13" s="3" t="s">
        <v>11</v>
      </c>
      <c r="B13" s="3"/>
      <c r="C13" s="61">
        <v>0.37824085590405027</v>
      </c>
      <c r="D13" s="61">
        <v>-0.49688065862151942</v>
      </c>
      <c r="E13" s="61">
        <v>0.2178897304146587</v>
      </c>
      <c r="F13" s="61">
        <v>0.35166818679872763</v>
      </c>
      <c r="G13" s="61">
        <v>-0.17682462497621529</v>
      </c>
      <c r="H13" s="61">
        <v>0.58643686856816568</v>
      </c>
      <c r="I13" s="61">
        <v>-0.55072488686762</v>
      </c>
      <c r="J13" s="61">
        <v>0.52233555616715299</v>
      </c>
      <c r="K13" s="61">
        <v>0.16650239087312071</v>
      </c>
      <c r="L13" s="61">
        <v>-5.1202580011774843E-2</v>
      </c>
      <c r="M13" s="61">
        <v>-0.34330442028015784</v>
      </c>
      <c r="N13" s="57"/>
      <c r="O13" s="58">
        <f t="shared" si="0"/>
        <v>0.40341455933760328</v>
      </c>
    </row>
    <row r="14" spans="1:15" x14ac:dyDescent="0.25">
      <c r="A14" s="3" t="s">
        <v>7</v>
      </c>
      <c r="B14" s="3"/>
      <c r="C14" s="61">
        <v>0.45748366466408957</v>
      </c>
      <c r="D14" s="61">
        <v>-0.5322863888213798</v>
      </c>
      <c r="E14" s="61">
        <v>0.26801209903822099</v>
      </c>
      <c r="F14" s="61">
        <v>0.49521576605965317</v>
      </c>
      <c r="G14" s="61">
        <v>-0.17800042027287236</v>
      </c>
      <c r="H14" s="61">
        <v>0.65009678966304929</v>
      </c>
      <c r="I14" s="61">
        <v>-0.48176179784845519</v>
      </c>
      <c r="J14" s="61">
        <v>0.48631755854557362</v>
      </c>
      <c r="K14" s="61">
        <v>0.10894569028764929</v>
      </c>
      <c r="L14" s="61">
        <v>-0.10147092125610632</v>
      </c>
      <c r="M14" s="61">
        <v>-0.34876629400119169</v>
      </c>
      <c r="N14" s="57"/>
      <c r="O14" s="58">
        <f t="shared" si="0"/>
        <v>0.42599399874707533</v>
      </c>
    </row>
    <row r="15" spans="1:15" x14ac:dyDescent="0.25">
      <c r="A15" s="3" t="s">
        <v>42</v>
      </c>
      <c r="B15" s="3"/>
      <c r="C15" s="61" t="e">
        <v>#N/A</v>
      </c>
      <c r="D15" s="61" t="e">
        <v>#N/A</v>
      </c>
      <c r="E15" s="61">
        <v>0.39223250072978361</v>
      </c>
      <c r="F15" s="61">
        <v>0.20918851590636453</v>
      </c>
      <c r="G15" s="61">
        <v>-2.7046186115956682E-2</v>
      </c>
      <c r="H15" s="61">
        <v>-0.19501411286586581</v>
      </c>
      <c r="I15" s="61">
        <v>-0.64817745395434634</v>
      </c>
      <c r="J15" s="61">
        <v>2.8971636808015778E-2</v>
      </c>
      <c r="K15" s="61">
        <v>0.49985319732331646</v>
      </c>
      <c r="L15" s="61">
        <v>0.19142442435015464</v>
      </c>
      <c r="M15" s="61">
        <v>-0.23724419271916034</v>
      </c>
      <c r="N15" s="57"/>
      <c r="O15" s="58">
        <f>STDEV(E15:M15)</f>
        <v>0.35267291315108079</v>
      </c>
    </row>
    <row r="16" spans="1:15" x14ac:dyDescent="0.25">
      <c r="A16" s="3" t="s">
        <v>43</v>
      </c>
      <c r="B16" s="3"/>
      <c r="C16" s="61">
        <v>1.8162385930864149E-2</v>
      </c>
      <c r="D16" s="61">
        <v>-0.53139286866838531</v>
      </c>
      <c r="E16" s="61">
        <v>0.19951409669538503</v>
      </c>
      <c r="F16" s="61">
        <v>0.26788206872103049</v>
      </c>
      <c r="G16" s="61">
        <v>-0.24420806163578515</v>
      </c>
      <c r="H16" s="61">
        <v>0.13909107161985548</v>
      </c>
      <c r="I16" s="61">
        <v>-0.41888658534786344</v>
      </c>
      <c r="J16" s="61">
        <v>0.59353548628007036</v>
      </c>
      <c r="K16" s="61">
        <v>0.32773139286286396</v>
      </c>
      <c r="L16" s="61">
        <v>-6.0476580469095979E-2</v>
      </c>
      <c r="M16" s="61">
        <v>-0.35474948493399217</v>
      </c>
      <c r="N16" s="57"/>
      <c r="O16" s="58">
        <f>STDEV(C16:M16)</f>
        <v>0.35178852350305484</v>
      </c>
    </row>
    <row r="17" spans="1:16" x14ac:dyDescent="0.25">
      <c r="A17" s="3" t="s">
        <v>10</v>
      </c>
      <c r="B17" s="3"/>
      <c r="C17" s="61" t="e">
        <v>#N/A</v>
      </c>
      <c r="D17" s="61">
        <v>-0.16406620248932335</v>
      </c>
      <c r="E17" s="61">
        <v>0.16028524953362477</v>
      </c>
      <c r="F17" s="61">
        <v>0.36508232595173534</v>
      </c>
      <c r="G17" s="61">
        <v>7.9332099804237471E-2</v>
      </c>
      <c r="H17" s="61">
        <v>-0.11204476626379541</v>
      </c>
      <c r="I17" s="61">
        <v>-0.67476909836091659</v>
      </c>
      <c r="J17" s="61">
        <v>2.6217733050910082E-2</v>
      </c>
      <c r="K17" s="61">
        <v>0.30316477232644928</v>
      </c>
      <c r="L17" s="61">
        <v>0.20576876498841376</v>
      </c>
      <c r="M17" s="61">
        <v>-0.15090269284013405</v>
      </c>
      <c r="N17" s="57"/>
      <c r="O17" s="58">
        <f>STDEV(D17:M17)</f>
        <v>0.30140759961111258</v>
      </c>
    </row>
    <row r="18" spans="1:16" x14ac:dyDescent="0.25">
      <c r="A18" s="3" t="s">
        <v>44</v>
      </c>
      <c r="B18" s="3"/>
      <c r="C18" s="61" t="e">
        <v>#N/A</v>
      </c>
      <c r="D18" s="61" t="e">
        <v>#N/A</v>
      </c>
      <c r="E18" s="61">
        <v>0.60116357715285251</v>
      </c>
      <c r="F18" s="61">
        <v>0.21152795109655476</v>
      </c>
      <c r="G18" s="61">
        <v>-5.0856369334719882E-2</v>
      </c>
      <c r="H18" s="61">
        <v>-0.14589518398059578</v>
      </c>
      <c r="I18" s="61">
        <v>-0.68640475417253821</v>
      </c>
      <c r="J18" s="61">
        <v>1.7742187215335339E-2</v>
      </c>
      <c r="K18" s="61">
        <v>0.44788299761080325</v>
      </c>
      <c r="L18" s="61">
        <v>0.28451842336080474</v>
      </c>
      <c r="M18" s="61">
        <v>-0.2748713642407008</v>
      </c>
      <c r="N18" s="57"/>
      <c r="O18" s="58">
        <f>STDEV(E18:M18)</f>
        <v>0.39376012226296103</v>
      </c>
    </row>
    <row r="19" spans="1:16" x14ac:dyDescent="0.25">
      <c r="A19" s="3" t="s">
        <v>45</v>
      </c>
      <c r="B19" s="3"/>
      <c r="C19" s="61" t="e">
        <v>#N/A</v>
      </c>
      <c r="D19" s="61" t="e">
        <v>#N/A</v>
      </c>
      <c r="E19" s="61">
        <v>0.1320597962552347</v>
      </c>
      <c r="F19" s="61">
        <v>0.25618392701297421</v>
      </c>
      <c r="G19" s="61">
        <v>-0.36131319835568404</v>
      </c>
      <c r="H19" s="61">
        <v>2.2258582775943909E-2</v>
      </c>
      <c r="I19" s="61">
        <v>-0.59686240173182215</v>
      </c>
      <c r="J19" s="61">
        <v>0.38540234257161204</v>
      </c>
      <c r="K19" s="61">
        <v>0.40460149025073394</v>
      </c>
      <c r="L19" s="61">
        <v>6.4629737278140961E-2</v>
      </c>
      <c r="M19" s="61">
        <v>-0.26126720439029588</v>
      </c>
      <c r="N19" s="57"/>
      <c r="O19" s="58">
        <f>STDEV(E19:M19)</f>
        <v>0.34547074680349327</v>
      </c>
    </row>
    <row r="20" spans="1:16" x14ac:dyDescent="0.25">
      <c r="A20" s="3" t="s">
        <v>46</v>
      </c>
      <c r="B20" s="3"/>
      <c r="C20" s="61">
        <v>0.3326537310812584</v>
      </c>
      <c r="D20" s="61">
        <v>-0.60501024993652996</v>
      </c>
      <c r="E20" s="61">
        <v>0.40868588818384921</v>
      </c>
      <c r="F20" s="61">
        <v>0.44685618515432846</v>
      </c>
      <c r="G20" s="61">
        <v>-0.22777414456039494</v>
      </c>
      <c r="H20" s="61">
        <v>0.32583342479076716</v>
      </c>
      <c r="I20" s="61">
        <v>-0.60345809080944424</v>
      </c>
      <c r="J20" s="61">
        <v>0.58567592860287077</v>
      </c>
      <c r="K20" s="61">
        <v>0.33716055150006019</v>
      </c>
      <c r="L20" s="61">
        <v>-0.11991697904057783</v>
      </c>
      <c r="M20" s="61">
        <v>-0.3463648570920555</v>
      </c>
      <c r="N20" s="57"/>
      <c r="O20" s="58">
        <f>STDEV(C20:M20)</f>
        <v>0.43939691165143813</v>
      </c>
    </row>
    <row r="21" spans="1:16" x14ac:dyDescent="0.25">
      <c r="A21" s="3" t="s">
        <v>47</v>
      </c>
      <c r="B21" s="3"/>
      <c r="C21" s="61">
        <v>-0.20098948456732868</v>
      </c>
      <c r="D21" s="61">
        <v>-0.31487656535867925</v>
      </c>
      <c r="E21" s="61">
        <v>0.87980607198778404</v>
      </c>
      <c r="F21" s="61">
        <v>-0.18076196625824803</v>
      </c>
      <c r="G21" s="61">
        <v>-0.3104354100571648</v>
      </c>
      <c r="H21" s="61">
        <v>-0.11532980744127279</v>
      </c>
      <c r="I21" s="61">
        <v>-0.59449055201719303</v>
      </c>
      <c r="J21" s="61">
        <v>0.29386231070839958</v>
      </c>
      <c r="K21" s="61">
        <v>0.36036914093823907</v>
      </c>
      <c r="L21" s="61">
        <v>1.7197190910664618E-2</v>
      </c>
      <c r="M21" s="61">
        <v>-0.10046207501913514</v>
      </c>
      <c r="N21" s="57"/>
      <c r="O21" s="58">
        <f>STDEV(C21:M21)</f>
        <v>0.40367553417387281</v>
      </c>
    </row>
    <row r="22" spans="1:16" x14ac:dyDescent="0.25">
      <c r="A22" s="3" t="s">
        <v>48</v>
      </c>
      <c r="B22" s="3"/>
      <c r="C22" s="61">
        <v>0.24249506976749532</v>
      </c>
      <c r="D22" s="61">
        <v>-0.7115443177431986</v>
      </c>
      <c r="E22" s="61">
        <v>0.44230748399121045</v>
      </c>
      <c r="F22" s="61">
        <v>0.2945491632939537</v>
      </c>
      <c r="G22" s="61">
        <v>-0.16965551935737888</v>
      </c>
      <c r="H22" s="61">
        <v>0.31570940053898661</v>
      </c>
      <c r="I22" s="61">
        <v>-0.58469127306098323</v>
      </c>
      <c r="J22" s="61">
        <v>0.49860627535593982</v>
      </c>
      <c r="K22" s="61">
        <v>0.50553015082913455</v>
      </c>
      <c r="L22" s="61">
        <v>-0.17838306901819972</v>
      </c>
      <c r="M22" s="61">
        <v>-0.34755265231564147</v>
      </c>
      <c r="N22" s="57"/>
      <c r="O22" s="58">
        <f>STDEV(C22:M22)</f>
        <v>0.44339678859621562</v>
      </c>
    </row>
    <row r="23" spans="1:16" x14ac:dyDescent="0.25">
      <c r="A23" s="3" t="s">
        <v>49</v>
      </c>
      <c r="B23" s="3"/>
      <c r="C23" s="61" t="e">
        <v>#N/A</v>
      </c>
      <c r="D23" s="61" t="e">
        <v>#N/A</v>
      </c>
      <c r="E23" s="61">
        <v>-0.23378549960528613</v>
      </c>
      <c r="F23" s="61">
        <v>0.15733961277045377</v>
      </c>
      <c r="G23" s="61">
        <v>-0.2164498989708028</v>
      </c>
      <c r="H23" s="61">
        <v>0.33389491605841604</v>
      </c>
      <c r="I23" s="61">
        <v>-0.4554921831280454</v>
      </c>
      <c r="J23" s="61">
        <v>0.56354575397160578</v>
      </c>
      <c r="K23" s="61">
        <v>0.22676656944626433</v>
      </c>
      <c r="L23" s="61">
        <v>-5.8855550895759279E-2</v>
      </c>
      <c r="M23" s="61">
        <v>-0.31921624774770957</v>
      </c>
      <c r="N23" s="57"/>
      <c r="O23" s="58">
        <f>STDEV(E23:M23)</f>
        <v>0.33904097004783079</v>
      </c>
    </row>
    <row r="24" spans="1:16" x14ac:dyDescent="0.25">
      <c r="A24" s="3" t="s">
        <v>0</v>
      </c>
      <c r="B24" s="3"/>
      <c r="C24" s="61" t="e">
        <v>#N/A</v>
      </c>
      <c r="D24" s="61" t="e">
        <v>#N/A</v>
      </c>
      <c r="E24" s="61" t="e">
        <v>#N/A</v>
      </c>
      <c r="F24" s="61" t="e">
        <v>#N/A</v>
      </c>
      <c r="G24" s="61" t="e">
        <v>#N/A</v>
      </c>
      <c r="H24" s="61">
        <v>5.6961961851746103E-2</v>
      </c>
      <c r="I24" s="61">
        <v>-0.6382871730709655</v>
      </c>
      <c r="J24" s="61">
        <v>0.43246929913496657</v>
      </c>
      <c r="K24" s="61">
        <v>0.38076799870379396</v>
      </c>
      <c r="L24" s="61">
        <v>2.4686042970189677E-2</v>
      </c>
      <c r="M24" s="61">
        <v>-0.2667867939023883</v>
      </c>
      <c r="N24" s="57"/>
      <c r="O24" s="58"/>
      <c r="P24" s="58"/>
    </row>
    <row r="25" spans="1:16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6" x14ac:dyDescent="0.25">
      <c r="A26" s="3"/>
      <c r="B26" s="19"/>
      <c r="C26" s="60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59"/>
      <c r="O26" s="59"/>
    </row>
    <row r="27" spans="1:16" x14ac:dyDescent="0.25">
      <c r="A27" s="3"/>
      <c r="B27" s="19"/>
      <c r="C27" s="19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59"/>
      <c r="O27" s="59"/>
    </row>
    <row r="28" spans="1:16" x14ac:dyDescent="0.25">
      <c r="A28" s="3"/>
      <c r="B28" s="19"/>
      <c r="C28" s="19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59"/>
      <c r="O28" s="59"/>
    </row>
    <row r="29" spans="1:16" x14ac:dyDescent="0.25">
      <c r="A29" s="3"/>
      <c r="B29" s="19"/>
      <c r="C29" s="19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59"/>
      <c r="O29" s="59"/>
    </row>
    <row r="30" spans="1:16" x14ac:dyDescent="0.25">
      <c r="A30" s="3"/>
      <c r="B30" s="19"/>
      <c r="C30" s="19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59"/>
      <c r="O30" s="59"/>
    </row>
    <row r="31" spans="1:16" x14ac:dyDescent="0.25">
      <c r="A31" s="3"/>
      <c r="B31" s="19"/>
      <c r="C31" s="19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59"/>
      <c r="O31" s="59"/>
    </row>
    <row r="32" spans="1:16" x14ac:dyDescent="0.25">
      <c r="A32" s="3"/>
      <c r="B32" s="19"/>
      <c r="C32" s="19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59"/>
      <c r="O32" s="59"/>
    </row>
    <row r="33" spans="1:15" x14ac:dyDescent="0.25">
      <c r="A33" s="3"/>
      <c r="B33" s="19"/>
      <c r="C33" s="19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59"/>
      <c r="O33" s="59"/>
    </row>
    <row r="34" spans="1:15" x14ac:dyDescent="0.25">
      <c r="A34" s="3"/>
      <c r="B34" s="19"/>
      <c r="C34" s="19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59"/>
      <c r="O34" s="59"/>
    </row>
    <row r="35" spans="1:15" x14ac:dyDescent="0.25">
      <c r="A35" s="3"/>
      <c r="B35" s="19"/>
      <c r="C35" s="19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59"/>
      <c r="O35" s="59"/>
    </row>
    <row r="36" spans="1:15" x14ac:dyDescent="0.25">
      <c r="A36" s="3"/>
      <c r="B36" s="19"/>
      <c r="C36" s="19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59"/>
      <c r="O36" s="59"/>
    </row>
    <row r="37" spans="1:15" x14ac:dyDescent="0.25">
      <c r="A37" s="3"/>
      <c r="B37" s="19"/>
      <c r="C37" s="19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59"/>
      <c r="O37" s="59"/>
    </row>
    <row r="38" spans="1:15" x14ac:dyDescent="0.25">
      <c r="A38" s="3"/>
      <c r="B38" s="19"/>
      <c r="C38" s="19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59"/>
      <c r="O38" s="59"/>
    </row>
    <row r="39" spans="1:15" x14ac:dyDescent="0.25">
      <c r="A39" s="3"/>
      <c r="B39" s="19"/>
      <c r="C39" s="19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59"/>
      <c r="O39" s="59"/>
    </row>
    <row r="40" spans="1:15" x14ac:dyDescent="0.25">
      <c r="A40" s="3"/>
      <c r="B40" s="19"/>
      <c r="C40" s="19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59"/>
      <c r="O40" s="59"/>
    </row>
    <row r="41" spans="1:15" x14ac:dyDescent="0.25">
      <c r="A41" s="3"/>
      <c r="B41" s="19"/>
      <c r="C41" s="19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59"/>
      <c r="O41" s="59"/>
    </row>
    <row r="42" spans="1:15" x14ac:dyDescent="0.25">
      <c r="A42" s="3"/>
      <c r="B42" s="19"/>
      <c r="C42" s="19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5" x14ac:dyDescent="0.25">
      <c r="A43" s="3"/>
      <c r="B43" s="19"/>
      <c r="C43" s="19"/>
      <c r="D43" s="66"/>
      <c r="E43" s="66"/>
      <c r="F43" s="66"/>
      <c r="G43" s="66"/>
      <c r="H43" s="66"/>
      <c r="I43" s="66"/>
      <c r="J43" s="66"/>
      <c r="K43" s="66"/>
      <c r="L43" s="66"/>
      <c r="M43" s="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AF2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37" sqref="D37"/>
    </sheetView>
  </sheetViews>
  <sheetFormatPr defaultRowHeight="15" x14ac:dyDescent="0.25"/>
  <cols>
    <col min="1" max="1" width="15.28515625" style="31" customWidth="1"/>
    <col min="2" max="24" width="9.140625" style="31"/>
    <col min="25" max="25" width="4.85546875" style="31" customWidth="1"/>
    <col min="26" max="31" width="10.5703125" style="31" customWidth="1"/>
    <col min="32" max="32" width="4.85546875" style="31" customWidth="1"/>
    <col min="33" max="16384" width="9.140625" style="31"/>
  </cols>
  <sheetData>
    <row r="2" spans="1:32" x14ac:dyDescent="0.25">
      <c r="AD2" s="202" t="s">
        <v>117</v>
      </c>
      <c r="AE2" s="203">
        <f>STDEV(AE8:AE14)</f>
        <v>8.333877674752738E-3</v>
      </c>
    </row>
    <row r="4" spans="1:32" x14ac:dyDescent="0.25">
      <c r="B4" s="204" t="s">
        <v>118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Z4" s="204" t="s">
        <v>119</v>
      </c>
      <c r="AA4" s="204"/>
      <c r="AB4" s="204"/>
      <c r="AC4" s="204"/>
      <c r="AD4" s="204"/>
      <c r="AE4" s="204"/>
    </row>
    <row r="5" spans="1:32" ht="30" x14ac:dyDescent="0.25">
      <c r="A5" s="31" t="s">
        <v>57</v>
      </c>
      <c r="B5" s="205">
        <v>2007</v>
      </c>
      <c r="C5" s="205">
        <v>2008</v>
      </c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  <c r="R5" s="205">
        <v>2023</v>
      </c>
      <c r="S5" s="205">
        <v>2024</v>
      </c>
      <c r="T5" s="205">
        <v>2025</v>
      </c>
      <c r="U5" s="205">
        <v>2026</v>
      </c>
      <c r="V5" s="205">
        <v>2027</v>
      </c>
      <c r="W5" s="205">
        <v>2028</v>
      </c>
      <c r="X5" s="205">
        <v>2029</v>
      </c>
      <c r="Z5" s="206" t="s">
        <v>120</v>
      </c>
      <c r="AA5" s="206" t="s">
        <v>121</v>
      </c>
      <c r="AB5" s="206" t="s">
        <v>122</v>
      </c>
      <c r="AC5" s="206" t="s">
        <v>123</v>
      </c>
      <c r="AD5" s="206" t="s">
        <v>124</v>
      </c>
      <c r="AE5" s="206" t="s">
        <v>125</v>
      </c>
    </row>
    <row r="6" spans="1:32" s="207" customFormat="1" x14ac:dyDescent="0.25">
      <c r="A6" s="207" t="s">
        <v>126</v>
      </c>
      <c r="B6" s="208" t="s">
        <v>20</v>
      </c>
      <c r="C6" s="208" t="s">
        <v>20</v>
      </c>
      <c r="D6" s="208" t="s">
        <v>20</v>
      </c>
      <c r="E6" s="208" t="s">
        <v>20</v>
      </c>
      <c r="F6" s="208" t="s">
        <v>20</v>
      </c>
      <c r="G6" s="208" t="s">
        <v>20</v>
      </c>
      <c r="H6" s="208" t="s">
        <v>20</v>
      </c>
      <c r="I6" s="208" t="s">
        <v>20</v>
      </c>
      <c r="J6" s="208" t="s">
        <v>20</v>
      </c>
      <c r="K6" s="208" t="s">
        <v>20</v>
      </c>
      <c r="L6" s="208" t="s">
        <v>20</v>
      </c>
      <c r="M6" s="208" t="s">
        <v>20</v>
      </c>
      <c r="N6" s="208" t="s">
        <v>20</v>
      </c>
      <c r="O6" s="208" t="s">
        <v>20</v>
      </c>
      <c r="P6" s="208" t="s">
        <v>20</v>
      </c>
      <c r="Q6" s="208" t="s">
        <v>20</v>
      </c>
      <c r="R6" s="208" t="s">
        <v>20</v>
      </c>
      <c r="S6" s="208" t="s">
        <v>20</v>
      </c>
      <c r="T6" s="208" t="s">
        <v>20</v>
      </c>
      <c r="U6" s="208" t="s">
        <v>20</v>
      </c>
      <c r="V6" s="208" t="s">
        <v>20</v>
      </c>
      <c r="W6" s="208" t="s">
        <v>20</v>
      </c>
      <c r="X6" s="208" t="s">
        <v>20</v>
      </c>
      <c r="Y6" s="208"/>
      <c r="Z6" s="208" t="s">
        <v>127</v>
      </c>
      <c r="AA6" s="208" t="s">
        <v>127</v>
      </c>
      <c r="AB6" s="208" t="s">
        <v>127</v>
      </c>
      <c r="AC6" s="208" t="s">
        <v>20</v>
      </c>
      <c r="AD6" s="208" t="s">
        <v>20</v>
      </c>
      <c r="AE6" s="208" t="s">
        <v>21</v>
      </c>
    </row>
    <row r="7" spans="1:32" x14ac:dyDescent="0.25">
      <c r="A7" s="31">
        <v>2007</v>
      </c>
      <c r="B7" s="209">
        <v>136961</v>
      </c>
      <c r="C7" s="209">
        <v>139342</v>
      </c>
      <c r="D7" s="209">
        <v>141710</v>
      </c>
      <c r="E7" s="210">
        <v>144082</v>
      </c>
      <c r="F7" s="209">
        <v>146404</v>
      </c>
      <c r="G7" s="209">
        <v>148687</v>
      </c>
      <c r="H7" s="209">
        <v>150866</v>
      </c>
      <c r="I7" s="209">
        <v>153081</v>
      </c>
      <c r="J7" s="209">
        <v>155290</v>
      </c>
      <c r="K7" s="209">
        <v>157450</v>
      </c>
      <c r="L7" s="209">
        <v>159822</v>
      </c>
      <c r="M7" s="209">
        <v>162024</v>
      </c>
      <c r="N7" s="209">
        <v>164355</v>
      </c>
      <c r="O7" s="209">
        <v>166616</v>
      </c>
      <c r="P7" s="209">
        <v>168900</v>
      </c>
      <c r="Q7" s="209">
        <v>171295</v>
      </c>
      <c r="R7" s="211"/>
      <c r="S7" s="211"/>
      <c r="T7" s="211"/>
      <c r="U7" s="211"/>
      <c r="V7" s="211"/>
      <c r="W7" s="211"/>
      <c r="X7" s="211"/>
      <c r="Z7" s="212"/>
      <c r="AA7" s="212"/>
      <c r="AB7" s="212"/>
      <c r="AC7" s="212"/>
      <c r="AD7" s="212"/>
      <c r="AE7" s="212"/>
    </row>
    <row r="8" spans="1:32" x14ac:dyDescent="0.25">
      <c r="A8" s="31">
        <v>2008</v>
      </c>
      <c r="B8" s="213"/>
      <c r="C8" s="209">
        <v>137948</v>
      </c>
      <c r="D8" s="209">
        <v>140407</v>
      </c>
      <c r="E8" s="209">
        <v>142884</v>
      </c>
      <c r="F8" s="210">
        <v>145061</v>
      </c>
      <c r="G8" s="209">
        <v>147183</v>
      </c>
      <c r="H8" s="209">
        <v>149495</v>
      </c>
      <c r="I8" s="209">
        <v>151675</v>
      </c>
      <c r="J8" s="209">
        <v>153933</v>
      </c>
      <c r="K8" s="209">
        <v>156030</v>
      </c>
      <c r="L8" s="209">
        <v>158176</v>
      </c>
      <c r="M8" s="209">
        <v>160107</v>
      </c>
      <c r="N8" s="209">
        <v>162132</v>
      </c>
      <c r="O8" s="209">
        <v>164209</v>
      </c>
      <c r="P8" s="209">
        <v>166179</v>
      </c>
      <c r="Q8" s="209">
        <v>168258</v>
      </c>
      <c r="R8" s="209">
        <v>170367</v>
      </c>
      <c r="S8" s="211"/>
      <c r="T8" s="211"/>
      <c r="U8" s="211"/>
      <c r="V8" s="211"/>
      <c r="W8" s="211"/>
      <c r="X8" s="211"/>
      <c r="Y8" s="212"/>
      <c r="Z8" s="214">
        <v>2008</v>
      </c>
      <c r="AA8" s="214">
        <f>Z8-1</f>
        <v>2007</v>
      </c>
      <c r="AB8" s="214">
        <v>2011</v>
      </c>
      <c r="AC8" s="215">
        <f>INDEX($B$7:$X$14,MATCH(Z8,$A$7:$A$14,0),MATCH($AB8,$B$5:$X$5,0))</f>
        <v>145061</v>
      </c>
      <c r="AD8" s="215">
        <f>INDEX($B$7:$X$14,MATCH(AA8,$A$7:$A$14,0),MATCH($AB8,$B$5:$X$5,0))</f>
        <v>146404</v>
      </c>
      <c r="AE8" s="38">
        <f>(AC8-AD8)/AD8</f>
        <v>-9.173246632605667E-3</v>
      </c>
      <c r="AF8" s="212"/>
    </row>
    <row r="9" spans="1:32" x14ac:dyDescent="0.25">
      <c r="A9" s="31">
        <v>2009</v>
      </c>
      <c r="B9" s="213"/>
      <c r="C9" s="213"/>
      <c r="D9" s="209">
        <v>134428</v>
      </c>
      <c r="E9" s="209">
        <v>136038</v>
      </c>
      <c r="F9" s="209">
        <v>140132</v>
      </c>
      <c r="G9" s="210">
        <v>144613</v>
      </c>
      <c r="H9" s="209">
        <v>147442</v>
      </c>
      <c r="I9" s="209">
        <v>149497</v>
      </c>
      <c r="J9" s="209">
        <v>151410</v>
      </c>
      <c r="K9" s="209">
        <v>153189</v>
      </c>
      <c r="L9" s="209">
        <v>155042</v>
      </c>
      <c r="M9" s="209">
        <v>156822</v>
      </c>
      <c r="N9" s="209">
        <v>158617</v>
      </c>
      <c r="O9" s="209">
        <v>160357</v>
      </c>
      <c r="P9" s="209">
        <v>161954</v>
      </c>
      <c r="Q9" s="209">
        <v>163433</v>
      </c>
      <c r="R9" s="209">
        <v>165006</v>
      </c>
      <c r="S9" s="209">
        <v>166581</v>
      </c>
      <c r="T9" s="211"/>
      <c r="U9" s="211"/>
      <c r="V9" s="211"/>
      <c r="W9" s="211"/>
      <c r="X9" s="211"/>
      <c r="Z9" s="214">
        <f>Z8+1</f>
        <v>2009</v>
      </c>
      <c r="AA9" s="214">
        <f t="shared" ref="AA9:AA14" si="0">Z9-1</f>
        <v>2008</v>
      </c>
      <c r="AB9" s="214">
        <f>AB8+1</f>
        <v>2012</v>
      </c>
      <c r="AC9" s="215">
        <f t="shared" ref="AC9:AD14" si="1">INDEX($B$7:$X$14,MATCH(Z9,$A$7:$A$14,0),MATCH($AB9,$B$5:$X$5,0))</f>
        <v>144613</v>
      </c>
      <c r="AD9" s="215">
        <f t="shared" si="1"/>
        <v>147183</v>
      </c>
      <c r="AE9" s="38">
        <f t="shared" ref="AE9:AE14" si="2">(AC9-AD9)/AD9</f>
        <v>-1.7461255715673685E-2</v>
      </c>
    </row>
    <row r="10" spans="1:32" x14ac:dyDescent="0.25">
      <c r="A10" s="31">
        <v>2010</v>
      </c>
      <c r="B10" s="211"/>
      <c r="C10" s="213"/>
      <c r="D10" s="213"/>
      <c r="E10" s="209">
        <v>135752</v>
      </c>
      <c r="F10" s="209">
        <v>139396</v>
      </c>
      <c r="G10" s="209">
        <v>144099</v>
      </c>
      <c r="H10" s="210">
        <v>147270</v>
      </c>
      <c r="I10" s="209">
        <v>149573</v>
      </c>
      <c r="J10" s="209">
        <v>151737</v>
      </c>
      <c r="K10" s="209">
        <v>153631</v>
      </c>
      <c r="L10" s="209">
        <v>155424</v>
      </c>
      <c r="M10" s="209">
        <v>157122</v>
      </c>
      <c r="N10" s="209">
        <v>158850</v>
      </c>
      <c r="O10" s="209">
        <v>160641</v>
      </c>
      <c r="P10" s="209">
        <v>162243</v>
      </c>
      <c r="Q10" s="209">
        <v>163722</v>
      </c>
      <c r="R10" s="209">
        <v>165166</v>
      </c>
      <c r="S10" s="209">
        <v>166683</v>
      </c>
      <c r="T10" s="209">
        <v>168355</v>
      </c>
      <c r="U10" s="211"/>
      <c r="V10" s="211"/>
      <c r="W10" s="211"/>
      <c r="X10" s="211"/>
      <c r="Z10" s="214">
        <f t="shared" ref="Z10:Z14" si="3">Z9+1</f>
        <v>2010</v>
      </c>
      <c r="AA10" s="214">
        <f t="shared" si="0"/>
        <v>2009</v>
      </c>
      <c r="AB10" s="214">
        <f t="shared" ref="AB10:AB14" si="4">AB9+1</f>
        <v>2013</v>
      </c>
      <c r="AC10" s="215">
        <f t="shared" si="1"/>
        <v>147270</v>
      </c>
      <c r="AD10" s="215">
        <f t="shared" si="1"/>
        <v>147442</v>
      </c>
      <c r="AE10" s="38">
        <f t="shared" si="2"/>
        <v>-1.1665604101951954E-3</v>
      </c>
    </row>
    <row r="11" spans="1:32" x14ac:dyDescent="0.25">
      <c r="A11" s="31">
        <v>2011</v>
      </c>
      <c r="B11" s="211"/>
      <c r="C11" s="213"/>
      <c r="D11" s="213"/>
      <c r="E11" s="213"/>
      <c r="F11" s="209">
        <v>136289</v>
      </c>
      <c r="G11" s="209">
        <v>140016</v>
      </c>
      <c r="H11" s="209">
        <v>143406</v>
      </c>
      <c r="I11" s="210">
        <v>145404</v>
      </c>
      <c r="J11" s="209">
        <v>146993</v>
      </c>
      <c r="K11" s="209">
        <v>148249</v>
      </c>
      <c r="L11" s="209">
        <v>149733</v>
      </c>
      <c r="M11" s="209">
        <v>151246</v>
      </c>
      <c r="N11" s="209">
        <v>152853</v>
      </c>
      <c r="O11" s="209">
        <v>154425</v>
      </c>
      <c r="P11" s="209">
        <v>155947</v>
      </c>
      <c r="Q11" s="209">
        <v>157261</v>
      </c>
      <c r="R11" s="209">
        <v>158605</v>
      </c>
      <c r="S11" s="209">
        <v>159853</v>
      </c>
      <c r="T11" s="209">
        <v>161159</v>
      </c>
      <c r="U11" s="209">
        <v>162578</v>
      </c>
      <c r="V11" s="211"/>
      <c r="W11" s="211"/>
      <c r="X11" s="211"/>
      <c r="Z11" s="214">
        <f t="shared" si="3"/>
        <v>2011</v>
      </c>
      <c r="AA11" s="214">
        <f t="shared" si="0"/>
        <v>2010</v>
      </c>
      <c r="AB11" s="214">
        <f t="shared" si="4"/>
        <v>2014</v>
      </c>
      <c r="AC11" s="215">
        <f t="shared" si="1"/>
        <v>145404</v>
      </c>
      <c r="AD11" s="215">
        <f t="shared" si="1"/>
        <v>149573</v>
      </c>
      <c r="AE11" s="38">
        <f t="shared" si="2"/>
        <v>-2.7872677555441157E-2</v>
      </c>
    </row>
    <row r="12" spans="1:32" x14ac:dyDescent="0.25">
      <c r="A12" s="31">
        <v>2012</v>
      </c>
      <c r="B12" s="211"/>
      <c r="C12" s="213"/>
      <c r="D12" s="213"/>
      <c r="E12" s="213"/>
      <c r="F12" s="213"/>
      <c r="G12" s="209">
        <v>135716</v>
      </c>
      <c r="H12" s="209">
        <v>137961</v>
      </c>
      <c r="I12" s="209">
        <v>141196</v>
      </c>
      <c r="J12" s="210">
        <v>144222</v>
      </c>
      <c r="K12" s="209">
        <v>146530</v>
      </c>
      <c r="L12" s="209">
        <v>148119</v>
      </c>
      <c r="M12" s="209">
        <v>149588</v>
      </c>
      <c r="N12" s="209">
        <v>151264</v>
      </c>
      <c r="O12" s="209">
        <v>153036</v>
      </c>
      <c r="P12" s="209">
        <v>154729</v>
      </c>
      <c r="Q12" s="209">
        <v>156359</v>
      </c>
      <c r="R12" s="209">
        <v>157961</v>
      </c>
      <c r="S12" s="209">
        <v>159473</v>
      </c>
      <c r="T12" s="209">
        <v>161143</v>
      </c>
      <c r="U12" s="209">
        <v>162848</v>
      </c>
      <c r="V12" s="209">
        <v>164477</v>
      </c>
      <c r="W12" s="211"/>
      <c r="X12" s="211"/>
      <c r="Z12" s="214">
        <f t="shared" si="3"/>
        <v>2012</v>
      </c>
      <c r="AA12" s="214">
        <f t="shared" si="0"/>
        <v>2011</v>
      </c>
      <c r="AB12" s="214">
        <f t="shared" si="4"/>
        <v>2015</v>
      </c>
      <c r="AC12" s="215">
        <f t="shared" si="1"/>
        <v>144222</v>
      </c>
      <c r="AD12" s="215">
        <f t="shared" si="1"/>
        <v>146993</v>
      </c>
      <c r="AE12" s="38">
        <f t="shared" si="2"/>
        <v>-1.8851237814045567E-2</v>
      </c>
    </row>
    <row r="13" spans="1:32" x14ac:dyDescent="0.25">
      <c r="A13" s="31">
        <v>2013</v>
      </c>
      <c r="B13" s="211"/>
      <c r="C13" s="213"/>
      <c r="D13" s="213"/>
      <c r="E13" s="213"/>
      <c r="F13" s="213"/>
      <c r="G13" s="213"/>
      <c r="H13" s="209">
        <v>135721</v>
      </c>
      <c r="I13" s="209">
        <v>138571</v>
      </c>
      <c r="J13" s="209">
        <v>141709</v>
      </c>
      <c r="K13" s="210">
        <v>144351</v>
      </c>
      <c r="L13" s="209">
        <v>146246</v>
      </c>
      <c r="M13" s="209">
        <v>147697</v>
      </c>
      <c r="N13" s="209">
        <v>149252</v>
      </c>
      <c r="O13" s="209">
        <v>150902</v>
      </c>
      <c r="P13" s="209">
        <v>152542</v>
      </c>
      <c r="Q13" s="209">
        <v>154008</v>
      </c>
      <c r="R13" s="209">
        <v>155506</v>
      </c>
      <c r="S13" s="209">
        <v>156950</v>
      </c>
      <c r="T13" s="209">
        <v>158402</v>
      </c>
      <c r="U13" s="209">
        <v>159977</v>
      </c>
      <c r="V13" s="209">
        <v>161489</v>
      </c>
      <c r="W13" s="209">
        <v>162926</v>
      </c>
      <c r="X13" s="211"/>
      <c r="Z13" s="214">
        <f t="shared" si="3"/>
        <v>2013</v>
      </c>
      <c r="AA13" s="214">
        <f t="shared" si="0"/>
        <v>2012</v>
      </c>
      <c r="AB13" s="214">
        <f t="shared" si="4"/>
        <v>2016</v>
      </c>
      <c r="AC13" s="215">
        <f t="shared" si="1"/>
        <v>144351</v>
      </c>
      <c r="AD13" s="215">
        <f t="shared" si="1"/>
        <v>146530</v>
      </c>
      <c r="AE13" s="38">
        <f t="shared" si="2"/>
        <v>-1.4870674947109808E-2</v>
      </c>
    </row>
    <row r="14" spans="1:32" x14ac:dyDescent="0.25">
      <c r="A14" s="31">
        <v>2014</v>
      </c>
      <c r="B14" s="211"/>
      <c r="C14" s="213"/>
      <c r="D14" s="213"/>
      <c r="E14" s="213"/>
      <c r="F14" s="213"/>
      <c r="G14" s="213"/>
      <c r="H14" s="213"/>
      <c r="I14" s="209">
        <v>137347</v>
      </c>
      <c r="J14" s="209">
        <v>140060</v>
      </c>
      <c r="K14" s="209">
        <v>142125</v>
      </c>
      <c r="L14" s="210">
        <v>143719</v>
      </c>
      <c r="M14" s="209">
        <v>144927</v>
      </c>
      <c r="N14" s="209">
        <v>146241</v>
      </c>
      <c r="O14" s="209">
        <v>147781</v>
      </c>
      <c r="P14" s="209">
        <v>149113</v>
      </c>
      <c r="Q14" s="209">
        <v>150230</v>
      </c>
      <c r="R14" s="209">
        <v>151454</v>
      </c>
      <c r="S14" s="209">
        <v>152554</v>
      </c>
      <c r="T14" s="209">
        <v>153771</v>
      </c>
      <c r="U14" s="209">
        <v>154963</v>
      </c>
      <c r="V14" s="209">
        <v>156149</v>
      </c>
      <c r="W14" s="209">
        <v>157214</v>
      </c>
      <c r="X14" s="209">
        <v>158309</v>
      </c>
      <c r="Z14" s="214">
        <f t="shared" si="3"/>
        <v>2014</v>
      </c>
      <c r="AA14" s="214">
        <f t="shared" si="0"/>
        <v>2013</v>
      </c>
      <c r="AB14" s="214">
        <f t="shared" si="4"/>
        <v>2017</v>
      </c>
      <c r="AC14" s="215">
        <f t="shared" si="1"/>
        <v>143719</v>
      </c>
      <c r="AD14" s="215">
        <f t="shared" si="1"/>
        <v>146246</v>
      </c>
      <c r="AE14" s="38">
        <f t="shared" si="2"/>
        <v>-1.7279105069540363E-2</v>
      </c>
    </row>
    <row r="19" spans="20:21" x14ac:dyDescent="0.25">
      <c r="T19" s="31" t="s">
        <v>128</v>
      </c>
    </row>
    <row r="20" spans="20:21" x14ac:dyDescent="0.25">
      <c r="T20" s="31">
        <v>2016</v>
      </c>
      <c r="U20" s="216">
        <f>K12</f>
        <v>146530</v>
      </c>
    </row>
    <row r="21" spans="20:21" x14ac:dyDescent="0.25">
      <c r="T21" s="31">
        <v>2016</v>
      </c>
      <c r="U21" s="216">
        <f>K13</f>
        <v>144351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S29"/>
  <sheetViews>
    <sheetView zoomScale="90" zoomScaleNormal="90" workbookViewId="0">
      <pane xSplit="1" ySplit="5" topLeftCell="S6" activePane="bottomRight" state="frozen"/>
      <selection activeCell="I38" sqref="I38"/>
      <selection pane="topRight" activeCell="I38" sqref="I38"/>
      <selection pane="bottomLeft" activeCell="I38" sqref="I38"/>
      <selection pane="bottomRight"/>
    </sheetView>
  </sheetViews>
  <sheetFormatPr defaultRowHeight="12.75" x14ac:dyDescent="0.2"/>
  <cols>
    <col min="1" max="1" width="11.7109375" style="1" customWidth="1"/>
    <col min="2" max="2" width="6.42578125" style="1" bestFit="1" customWidth="1"/>
    <col min="3" max="12" width="5.85546875" style="1" customWidth="1"/>
    <col min="13" max="13" width="7.42578125" style="1" customWidth="1"/>
    <col min="14" max="14" width="9.28515625" style="1" bestFit="1" customWidth="1"/>
    <col min="15" max="15" width="12.5703125" style="1" bestFit="1" customWidth="1"/>
    <col min="16" max="16" width="2.28515625" style="1" customWidth="1"/>
    <col min="17" max="17" width="7.140625" style="1" bestFit="1" customWidth="1"/>
    <col min="18" max="18" width="5.7109375" style="1" bestFit="1" customWidth="1"/>
    <col min="19" max="28" width="6.7109375" style="1" customWidth="1"/>
    <col min="29" max="29" width="7.28515625" style="1" customWidth="1"/>
    <col min="30" max="30" width="1.5703125" style="1" customWidth="1"/>
    <col min="31" max="31" width="7.28515625" style="1" bestFit="1" customWidth="1"/>
    <col min="32" max="32" width="6.28515625" style="1" bestFit="1" customWidth="1"/>
    <col min="33" max="42" width="6.7109375" style="1" customWidth="1"/>
    <col min="43" max="43" width="8.28515625" style="1" customWidth="1"/>
    <col min="44" max="44" width="11.5703125" style="1" customWidth="1"/>
    <col min="45" max="16384" width="9.140625" style="1"/>
  </cols>
  <sheetData>
    <row r="1" spans="1:45" s="2" customFormat="1" x14ac:dyDescent="0.2">
      <c r="A1" s="2" t="s">
        <v>56</v>
      </c>
    </row>
    <row r="3" spans="1:45" x14ac:dyDescent="0.2">
      <c r="A3" s="80"/>
      <c r="B3" s="81" t="s">
        <v>66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0"/>
      <c r="O3" s="80"/>
      <c r="P3" s="18"/>
      <c r="Q3" s="92" t="s">
        <v>68</v>
      </c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91"/>
      <c r="AE3" s="92" t="s">
        <v>69</v>
      </c>
      <c r="AF3" s="81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18"/>
    </row>
    <row r="4" spans="1:45" s="90" customFormat="1" ht="25.5" x14ac:dyDescent="0.25">
      <c r="A4" s="86" t="s">
        <v>57</v>
      </c>
      <c r="B4" s="86">
        <v>2007</v>
      </c>
      <c r="C4" s="86">
        <v>2008</v>
      </c>
      <c r="D4" s="86">
        <v>2009</v>
      </c>
      <c r="E4" s="86">
        <v>2010</v>
      </c>
      <c r="F4" s="87">
        <v>2011</v>
      </c>
      <c r="G4" s="87">
        <v>2012</v>
      </c>
      <c r="H4" s="87">
        <v>2013</v>
      </c>
      <c r="I4" s="87">
        <v>2014</v>
      </c>
      <c r="J4" s="87">
        <v>2015</v>
      </c>
      <c r="K4" s="87">
        <v>2016</v>
      </c>
      <c r="L4" s="87">
        <v>2017</v>
      </c>
      <c r="M4" s="87" t="s">
        <v>15</v>
      </c>
      <c r="N4" s="88" t="s">
        <v>58</v>
      </c>
      <c r="O4" s="88" t="s">
        <v>58</v>
      </c>
      <c r="P4" s="87"/>
      <c r="Q4" s="86">
        <v>2007</v>
      </c>
      <c r="R4" s="86">
        <v>2008</v>
      </c>
      <c r="S4" s="86">
        <v>2009</v>
      </c>
      <c r="T4" s="86">
        <v>2010</v>
      </c>
      <c r="U4" s="87">
        <v>2011</v>
      </c>
      <c r="V4" s="87">
        <v>2012</v>
      </c>
      <c r="W4" s="87">
        <v>2013</v>
      </c>
      <c r="X4" s="87">
        <v>2014</v>
      </c>
      <c r="Y4" s="87">
        <v>2015</v>
      </c>
      <c r="Z4" s="87">
        <v>2016</v>
      </c>
      <c r="AA4" s="87">
        <v>2017</v>
      </c>
      <c r="AB4" s="87" t="s">
        <v>15</v>
      </c>
      <c r="AC4" s="87" t="s">
        <v>58</v>
      </c>
      <c r="AD4" s="87"/>
      <c r="AE4" s="86">
        <v>2007</v>
      </c>
      <c r="AF4" s="86">
        <v>2008</v>
      </c>
      <c r="AG4" s="86">
        <v>2009</v>
      </c>
      <c r="AH4" s="86">
        <v>2010</v>
      </c>
      <c r="AI4" s="87">
        <v>2011</v>
      </c>
      <c r="AJ4" s="87">
        <v>2012</v>
      </c>
      <c r="AK4" s="87">
        <v>2013</v>
      </c>
      <c r="AL4" s="87">
        <v>2014</v>
      </c>
      <c r="AM4" s="87">
        <v>2015</v>
      </c>
      <c r="AN4" s="87">
        <v>2016</v>
      </c>
      <c r="AO4" s="87">
        <v>2017</v>
      </c>
      <c r="AP4" s="87" t="s">
        <v>15</v>
      </c>
      <c r="AQ4" s="87" t="s">
        <v>58</v>
      </c>
      <c r="AR4" s="89" t="s">
        <v>70</v>
      </c>
      <c r="AS4" s="87"/>
    </row>
    <row r="5" spans="1:45" ht="14.25" customHeight="1" x14ac:dyDescent="0.2">
      <c r="A5" s="18"/>
      <c r="B5" s="68" t="s">
        <v>67</v>
      </c>
      <c r="C5" s="68" t="s">
        <v>67</v>
      </c>
      <c r="D5" s="68" t="s">
        <v>67</v>
      </c>
      <c r="E5" s="68" t="s">
        <v>67</v>
      </c>
      <c r="F5" s="68" t="s">
        <v>67</v>
      </c>
      <c r="G5" s="68" t="s">
        <v>67</v>
      </c>
      <c r="H5" s="68" t="s">
        <v>67</v>
      </c>
      <c r="I5" s="68" t="s">
        <v>67</v>
      </c>
      <c r="J5" s="68" t="s">
        <v>67</v>
      </c>
      <c r="K5" s="68" t="s">
        <v>67</v>
      </c>
      <c r="L5" s="68" t="s">
        <v>67</v>
      </c>
      <c r="M5" s="68" t="s">
        <v>67</v>
      </c>
      <c r="N5" s="67" t="s">
        <v>59</v>
      </c>
      <c r="O5" s="67" t="s">
        <v>60</v>
      </c>
      <c r="P5" s="1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18"/>
      <c r="AE5" s="68" t="s">
        <v>21</v>
      </c>
      <c r="AF5" s="68" t="s">
        <v>21</v>
      </c>
      <c r="AG5" s="68" t="s">
        <v>21</v>
      </c>
      <c r="AH5" s="68" t="s">
        <v>21</v>
      </c>
      <c r="AI5" s="68" t="s">
        <v>21</v>
      </c>
      <c r="AJ5" s="68" t="s">
        <v>21</v>
      </c>
      <c r="AK5" s="68" t="s">
        <v>21</v>
      </c>
      <c r="AL5" s="68" t="s">
        <v>21</v>
      </c>
      <c r="AM5" s="68" t="s">
        <v>21</v>
      </c>
      <c r="AN5" s="68" t="s">
        <v>21</v>
      </c>
      <c r="AO5" s="68" t="s">
        <v>21</v>
      </c>
      <c r="AP5" s="68" t="s">
        <v>21</v>
      </c>
      <c r="AQ5" s="68" t="s">
        <v>21</v>
      </c>
      <c r="AR5" s="68" t="s">
        <v>61</v>
      </c>
      <c r="AS5" s="18"/>
    </row>
    <row r="6" spans="1:45" x14ac:dyDescent="0.2">
      <c r="A6" s="18" t="s">
        <v>0</v>
      </c>
      <c r="B6" s="69">
        <v>1.079</v>
      </c>
      <c r="C6" s="18">
        <v>1.0795999999999999</v>
      </c>
      <c r="D6" s="18">
        <v>1.0794999999999999</v>
      </c>
      <c r="E6" s="18">
        <v>1.0832999999999999</v>
      </c>
      <c r="F6" s="18">
        <v>1.0832999999999999</v>
      </c>
      <c r="G6" s="18">
        <v>1.0871999999999999</v>
      </c>
      <c r="H6" s="18">
        <v>1.0804</v>
      </c>
      <c r="I6" s="18">
        <v>1.0809</v>
      </c>
      <c r="J6" s="18">
        <v>1.0859000000000001</v>
      </c>
      <c r="K6" s="18">
        <v>1.0902000000000001</v>
      </c>
      <c r="L6" s="18">
        <v>1.0915999999999999</v>
      </c>
      <c r="M6" s="70">
        <f t="array" ref="M6">AVERAGE(IF(ISNA($B6:$L6)=FALSE,$B6:$L6,""))</f>
        <v>1.0837181818181818</v>
      </c>
      <c r="N6" s="71">
        <v>4.4422557742251293E-3</v>
      </c>
      <c r="O6" s="72">
        <v>4.0990876122168982E-3</v>
      </c>
      <c r="P6" s="18"/>
      <c r="Q6" s="73">
        <f>B6-$M6</f>
        <v>-4.7181818181818436E-3</v>
      </c>
      <c r="R6" s="73">
        <f t="shared" ref="R6:AA15" si="0">C6-$M6</f>
        <v>-4.1181818181819096E-3</v>
      </c>
      <c r="S6" s="73">
        <f t="shared" si="0"/>
        <v>-4.2181818181818986E-3</v>
      </c>
      <c r="T6" s="73">
        <f t="shared" si="0"/>
        <v>-4.1818181818187306E-4</v>
      </c>
      <c r="U6" s="73">
        <f t="shared" si="0"/>
        <v>-4.1818181818187306E-4</v>
      </c>
      <c r="V6" s="73">
        <f t="shared" si="0"/>
        <v>3.4818181818181415E-3</v>
      </c>
      <c r="W6" s="73">
        <f t="shared" si="0"/>
        <v>-3.3181818181817757E-3</v>
      </c>
      <c r="X6" s="73">
        <f t="shared" si="0"/>
        <v>-2.8181818181818308E-3</v>
      </c>
      <c r="Y6" s="73">
        <f t="shared" si="0"/>
        <v>2.1818181818182847E-3</v>
      </c>
      <c r="Z6" s="73">
        <f t="shared" si="0"/>
        <v>6.4818181818182552E-3</v>
      </c>
      <c r="AA6" s="73">
        <f t="shared" si="0"/>
        <v>7.881818181818101E-3</v>
      </c>
      <c r="AB6" s="70">
        <f t="array" ref="AB6">AVERAGE(IF(ISNA($Q6:$AA6)=FALSE,$Q6:$AA6,""))</f>
        <v>-2.0185873175002847E-17</v>
      </c>
      <c r="AC6" s="70">
        <f t="array" ref="AC6">STDEV(IF(ISNA($Q6:$AA6)=FALSE,$Q6:$AA6,""))</f>
        <v>4.4422557742251293E-3</v>
      </c>
      <c r="AD6" s="18"/>
      <c r="AE6" s="74">
        <f>Q6/$M6</f>
        <v>-4.3536981268193073E-3</v>
      </c>
      <c r="AF6" s="74">
        <f t="shared" ref="AF6:AO15" si="1">R6/$M6</f>
        <v>-3.8000486540446616E-3</v>
      </c>
      <c r="AG6" s="74">
        <f t="shared" si="1"/>
        <v>-3.8923235661737694E-3</v>
      </c>
      <c r="AH6" s="74">
        <f t="shared" si="1"/>
        <v>-3.8587690526727038E-4</v>
      </c>
      <c r="AI6" s="74">
        <f t="shared" si="1"/>
        <v>-3.8587690526727038E-4</v>
      </c>
      <c r="AJ6" s="74">
        <f t="shared" si="1"/>
        <v>3.2128446677683361E-3</v>
      </c>
      <c r="AK6" s="74">
        <f t="shared" si="1"/>
        <v>-3.0618493570115958E-3</v>
      </c>
      <c r="AL6" s="74">
        <f t="shared" si="1"/>
        <v>-2.6004747963660579E-3</v>
      </c>
      <c r="AM6" s="74">
        <f t="shared" si="1"/>
        <v>2.0132708100899371E-3</v>
      </c>
      <c r="AN6" s="74">
        <f t="shared" si="1"/>
        <v>5.9810920316419741E-3</v>
      </c>
      <c r="AO6" s="74">
        <f t="shared" si="1"/>
        <v>7.2729408014494809E-3</v>
      </c>
      <c r="AP6" s="75">
        <f t="array" ref="AP6">AVERAGE(IF(ISNA($AE6:$AO6)=FALSE,$AE6:$AO6,""))</f>
        <v>-1.8687702900295605E-17</v>
      </c>
      <c r="AQ6" s="76">
        <f t="array" ref="AQ6">STDEV(IF(ISNA($AE6:$AO6)=FALSE,$AE6:$AO6,""))</f>
        <v>4.0990876122168982E-3</v>
      </c>
      <c r="AR6" s="83">
        <f>AQ6</f>
        <v>4.0990876122168982E-3</v>
      </c>
      <c r="AS6" s="18"/>
    </row>
    <row r="7" spans="1:45" x14ac:dyDescent="0.2">
      <c r="A7" s="18" t="s">
        <v>1</v>
      </c>
      <c r="B7" s="18" t="e">
        <f>NA()</f>
        <v>#N/A</v>
      </c>
      <c r="C7" s="18" t="e">
        <f>NA()</f>
        <v>#N/A</v>
      </c>
      <c r="D7" s="18" t="e">
        <f>NA()</f>
        <v>#N/A</v>
      </c>
      <c r="E7" s="18" t="e">
        <f>NA()</f>
        <v>#N/A</v>
      </c>
      <c r="F7" s="18" t="e">
        <f>NA()</f>
        <v>#N/A</v>
      </c>
      <c r="G7" s="18">
        <v>1.17110753892867</v>
      </c>
      <c r="H7" s="18">
        <v>1.1682532583695375</v>
      </c>
      <c r="I7" s="18">
        <v>1.1699675850891411</v>
      </c>
      <c r="J7" s="18">
        <v>1.1720915770697302</v>
      </c>
      <c r="K7" s="18">
        <v>1.1836771447282253</v>
      </c>
      <c r="L7" s="18">
        <v>1.1792412547216291</v>
      </c>
      <c r="M7" s="70">
        <f t="array" ref="M7">AVERAGE(IF(ISNA($B7:$L7)=FALSE,$B7:$L7,""))</f>
        <v>1.1740563931511556</v>
      </c>
      <c r="N7" s="71">
        <v>6.0397453345911933E-3</v>
      </c>
      <c r="O7" s="72">
        <v>5.144340058811466E-3</v>
      </c>
      <c r="P7" s="18"/>
      <c r="Q7" s="73" t="e">
        <f t="shared" ref="Q7:Q15" si="2">B7-$M7</f>
        <v>#N/A</v>
      </c>
      <c r="R7" s="73" t="e">
        <f t="shared" si="0"/>
        <v>#N/A</v>
      </c>
      <c r="S7" s="73" t="e">
        <f t="shared" si="0"/>
        <v>#N/A</v>
      </c>
      <c r="T7" s="73" t="e">
        <f t="shared" si="0"/>
        <v>#N/A</v>
      </c>
      <c r="U7" s="73" t="e">
        <f t="shared" si="0"/>
        <v>#N/A</v>
      </c>
      <c r="V7" s="73">
        <f t="shared" si="0"/>
        <v>-2.9488542224855863E-3</v>
      </c>
      <c r="W7" s="73">
        <f t="shared" si="0"/>
        <v>-5.8031347816180912E-3</v>
      </c>
      <c r="X7" s="73">
        <f t="shared" si="0"/>
        <v>-4.088808062014504E-3</v>
      </c>
      <c r="Y7" s="73">
        <f t="shared" si="0"/>
        <v>-1.9648160814254023E-3</v>
      </c>
      <c r="Z7" s="73">
        <f t="shared" si="0"/>
        <v>9.6207515770696528E-3</v>
      </c>
      <c r="AA7" s="73">
        <f t="shared" si="0"/>
        <v>5.1848615704734868E-3</v>
      </c>
      <c r="AB7" s="70">
        <f t="array" ref="AB7">AVERAGE(IF(ISNA($Q7:$AA7)=FALSE,$Q7:$AA7,""))</f>
        <v>-7.4014868308343765E-17</v>
      </c>
      <c r="AC7" s="70">
        <f t="array" ref="AC7">STDEV(IF(ISNA($Q7:$AA7)=FALSE,$Q7:$AA7,""))</f>
        <v>6.0397453345911933E-3</v>
      </c>
      <c r="AD7" s="18"/>
      <c r="AE7" s="74" t="e">
        <f t="shared" ref="AE7:AE15" si="3">Q7/$M7</f>
        <v>#N/A</v>
      </c>
      <c r="AF7" s="74" t="e">
        <f t="shared" si="1"/>
        <v>#N/A</v>
      </c>
      <c r="AG7" s="74" t="e">
        <f t="shared" si="1"/>
        <v>#N/A</v>
      </c>
      <c r="AH7" s="74" t="e">
        <f t="shared" si="1"/>
        <v>#N/A</v>
      </c>
      <c r="AI7" s="74" t="e">
        <f t="shared" si="1"/>
        <v>#N/A</v>
      </c>
      <c r="AJ7" s="74">
        <f t="shared" si="1"/>
        <v>-2.5116802222514127E-3</v>
      </c>
      <c r="AK7" s="74">
        <f t="shared" si="1"/>
        <v>-4.9428075307716146E-3</v>
      </c>
      <c r="AL7" s="74">
        <f t="shared" si="1"/>
        <v>-3.4826334457752784E-3</v>
      </c>
      <c r="AM7" s="74">
        <f t="shared" si="1"/>
        <v>-1.6735278585314421E-3</v>
      </c>
      <c r="AN7" s="74">
        <f t="shared" si="1"/>
        <v>8.1944544003100667E-3</v>
      </c>
      <c r="AO7" s="74">
        <f t="shared" si="1"/>
        <v>4.4161946570193027E-3</v>
      </c>
      <c r="AP7" s="75">
        <f t="array" ref="AP7">AVERAGE(IF(ISNA($AE7:$AO7)=FALSE,$AE7:$AO7,""))</f>
        <v>-6.2883726004159257E-17</v>
      </c>
      <c r="AQ7" s="76">
        <f t="array" ref="AQ7">STDEV(IF(ISNA($AE7:$AO7)=FALSE,$AE7:$AO7,""))</f>
        <v>5.144340058811466E-3</v>
      </c>
      <c r="AR7" s="84">
        <f>0.0924*M7-0.1048</f>
        <v>3.6828107271667659E-3</v>
      </c>
      <c r="AS7" s="18"/>
    </row>
    <row r="8" spans="1:45" x14ac:dyDescent="0.2">
      <c r="A8" s="18" t="s">
        <v>2</v>
      </c>
      <c r="B8" s="18" t="e">
        <f>NA()</f>
        <v>#N/A</v>
      </c>
      <c r="C8" s="18" t="e">
        <f>NA()</f>
        <v>#N/A</v>
      </c>
      <c r="D8" s="18" t="e">
        <f>NA()</f>
        <v>#N/A</v>
      </c>
      <c r="E8" s="18" t="e">
        <f>NA()</f>
        <v>#N/A</v>
      </c>
      <c r="F8" s="18" t="e">
        <f>NA()</f>
        <v>#N/A</v>
      </c>
      <c r="G8" s="18">
        <v>1.1824393979558776</v>
      </c>
      <c r="H8" s="18">
        <v>1.1787121057392116</v>
      </c>
      <c r="I8" s="18">
        <v>1.1875705208147753</v>
      </c>
      <c r="J8" s="18">
        <v>1.1829216994171023</v>
      </c>
      <c r="K8" s="18">
        <v>1.1920478092435207</v>
      </c>
      <c r="L8" s="18">
        <v>1.1906432394834729</v>
      </c>
      <c r="M8" s="70">
        <f t="array" ref="M8">AVERAGE(IF(ISNA($B8:$L8)=FALSE,$B8:$L8,""))</f>
        <v>1.1857224621089932</v>
      </c>
      <c r="N8" s="71">
        <v>5.2039843512943487E-3</v>
      </c>
      <c r="O8" s="72">
        <v>4.3888722003614968E-3</v>
      </c>
      <c r="P8" s="18"/>
      <c r="Q8" s="73" t="e">
        <f t="shared" si="2"/>
        <v>#N/A</v>
      </c>
      <c r="R8" s="73" t="e">
        <f t="shared" si="0"/>
        <v>#N/A</v>
      </c>
      <c r="S8" s="73" t="e">
        <f t="shared" si="0"/>
        <v>#N/A</v>
      </c>
      <c r="T8" s="73" t="e">
        <f t="shared" si="0"/>
        <v>#N/A</v>
      </c>
      <c r="U8" s="73" t="e">
        <f t="shared" si="0"/>
        <v>#N/A</v>
      </c>
      <c r="V8" s="73">
        <f t="shared" si="0"/>
        <v>-3.2830641531156335E-3</v>
      </c>
      <c r="W8" s="73">
        <f t="shared" si="0"/>
        <v>-7.0103563697816451E-3</v>
      </c>
      <c r="X8" s="73">
        <f t="shared" si="0"/>
        <v>1.8480587057820852E-3</v>
      </c>
      <c r="Y8" s="73">
        <f t="shared" si="0"/>
        <v>-2.8007626918908901E-3</v>
      </c>
      <c r="Z8" s="73">
        <f t="shared" si="0"/>
        <v>6.3253471345274814E-3</v>
      </c>
      <c r="AA8" s="73">
        <f t="shared" si="0"/>
        <v>4.9207773744797123E-3</v>
      </c>
      <c r="AB8" s="70">
        <f t="array" ref="AB8">AVERAGE(IF(ISNA($Q8:$AA8)=FALSE,$Q8:$AA8,""))</f>
        <v>1.8503717077085943E-16</v>
      </c>
      <c r="AC8" s="70">
        <f t="array" ref="AC8">STDEV(IF(ISNA($Q8:$AA8)=FALSE,$Q8:$AA8,""))</f>
        <v>5.2039843512943487E-3</v>
      </c>
      <c r="AD8" s="18"/>
      <c r="AE8" s="74" t="e">
        <f t="shared" si="3"/>
        <v>#N/A</v>
      </c>
      <c r="AF8" s="74" t="e">
        <f t="shared" si="1"/>
        <v>#N/A</v>
      </c>
      <c r="AG8" s="74" t="e">
        <f t="shared" si="1"/>
        <v>#N/A</v>
      </c>
      <c r="AH8" s="74" t="e">
        <f t="shared" si="1"/>
        <v>#N/A</v>
      </c>
      <c r="AI8" s="74" t="e">
        <f t="shared" si="1"/>
        <v>#N/A</v>
      </c>
      <c r="AJ8" s="74">
        <f t="shared" si="1"/>
        <v>-2.7688301925867117E-3</v>
      </c>
      <c r="AK8" s="74">
        <f t="shared" si="1"/>
        <v>-5.9123079757742196E-3</v>
      </c>
      <c r="AL8" s="74">
        <f t="shared" si="1"/>
        <v>1.5585929800933543E-3</v>
      </c>
      <c r="AM8" s="74">
        <f t="shared" si="1"/>
        <v>-2.3620727289835556E-3</v>
      </c>
      <c r="AN8" s="74">
        <f t="shared" si="1"/>
        <v>5.3345933274105816E-3</v>
      </c>
      <c r="AO8" s="74">
        <f t="shared" si="1"/>
        <v>4.1500245898414868E-3</v>
      </c>
      <c r="AP8" s="75">
        <f t="array" ref="AP8">AVERAGE(IF(ISNA($AE8:$AO8)=FALSE,$AE8:$AO8,""))</f>
        <v>1.5612511283791264E-16</v>
      </c>
      <c r="AQ8" s="76">
        <f t="array" ref="AQ8">STDEV(IF(ISNA($AE8:$AO8)=FALSE,$AE8:$AO8,""))</f>
        <v>4.3888722003614968E-3</v>
      </c>
      <c r="AR8" s="84">
        <f t="shared" ref="AR8:AR15" si="4">0.0924*M8-0.1048</f>
        <v>4.7607554988709638E-3</v>
      </c>
      <c r="AS8" s="18"/>
    </row>
    <row r="9" spans="1:45" x14ac:dyDescent="0.2">
      <c r="A9" s="18" t="s">
        <v>3</v>
      </c>
      <c r="B9" s="18" t="e">
        <f>NA()</f>
        <v>#N/A</v>
      </c>
      <c r="C9" s="18" t="e">
        <f>NA()</f>
        <v>#N/A</v>
      </c>
      <c r="D9" s="18" t="e">
        <f>NA()</f>
        <v>#N/A</v>
      </c>
      <c r="E9" s="18" t="e">
        <f>NA()</f>
        <v>#N/A</v>
      </c>
      <c r="F9" s="18" t="e">
        <f>NA()</f>
        <v>#N/A</v>
      </c>
      <c r="G9" s="18">
        <v>1.1906243517942336</v>
      </c>
      <c r="H9" s="18">
        <v>1.216377845735644</v>
      </c>
      <c r="I9" s="18">
        <v>1.2053329629886813</v>
      </c>
      <c r="J9" s="18">
        <v>1.2181471274114903</v>
      </c>
      <c r="K9" s="18">
        <v>1.2291311754684837</v>
      </c>
      <c r="L9" s="18">
        <v>1.2092123769338958</v>
      </c>
      <c r="M9" s="70">
        <f t="array" ref="M9">AVERAGE(IF(ISNA($B9:$L9)=FALSE,$B9:$L9,""))</f>
        <v>1.2114709733887381</v>
      </c>
      <c r="N9" s="71">
        <v>1.309877267367659E-2</v>
      </c>
      <c r="O9" s="72">
        <v>1.0812287674575132E-2</v>
      </c>
      <c r="P9" s="18"/>
      <c r="Q9" s="73" t="e">
        <f t="shared" si="2"/>
        <v>#N/A</v>
      </c>
      <c r="R9" s="73" t="e">
        <f t="shared" si="0"/>
        <v>#N/A</v>
      </c>
      <c r="S9" s="73" t="e">
        <f t="shared" si="0"/>
        <v>#N/A</v>
      </c>
      <c r="T9" s="73" t="e">
        <f t="shared" si="0"/>
        <v>#N/A</v>
      </c>
      <c r="U9" s="73" t="e">
        <f t="shared" si="0"/>
        <v>#N/A</v>
      </c>
      <c r="V9" s="73">
        <f t="shared" si="0"/>
        <v>-2.0846621594504455E-2</v>
      </c>
      <c r="W9" s="73">
        <f t="shared" si="0"/>
        <v>4.9068723469058995E-3</v>
      </c>
      <c r="X9" s="73">
        <f t="shared" si="0"/>
        <v>-6.1380104000567925E-3</v>
      </c>
      <c r="Y9" s="73">
        <f t="shared" si="0"/>
        <v>6.6761540227522342E-3</v>
      </c>
      <c r="Z9" s="73">
        <f t="shared" si="0"/>
        <v>1.7660202079745613E-2</v>
      </c>
      <c r="AA9" s="73">
        <f t="shared" si="0"/>
        <v>-2.2585964548422766E-3</v>
      </c>
      <c r="AB9" s="70">
        <f t="array" ref="AB9">AVERAGE(IF(ISNA($Q9:$AA9)=FALSE,$Q9:$AA9,""))</f>
        <v>3.7007434154171883E-17</v>
      </c>
      <c r="AC9" s="70">
        <f t="array" ref="AC9">STDEV(IF(ISNA($Q9:$AA9)=FALSE,$Q9:$AA9,""))</f>
        <v>1.309877267367659E-2</v>
      </c>
      <c r="AD9" s="18"/>
      <c r="AE9" s="74" t="e">
        <f t="shared" si="3"/>
        <v>#N/A</v>
      </c>
      <c r="AF9" s="74" t="e">
        <f t="shared" si="1"/>
        <v>#N/A</v>
      </c>
      <c r="AG9" s="74" t="e">
        <f t="shared" si="1"/>
        <v>#N/A</v>
      </c>
      <c r="AH9" s="74" t="e">
        <f t="shared" si="1"/>
        <v>#N/A</v>
      </c>
      <c r="AI9" s="74" t="e">
        <f t="shared" si="1"/>
        <v>#N/A</v>
      </c>
      <c r="AJ9" s="74">
        <f t="shared" si="1"/>
        <v>-1.7207693830411874E-2</v>
      </c>
      <c r="AK9" s="74">
        <f t="shared" si="1"/>
        <v>4.0503424800846441E-3</v>
      </c>
      <c r="AL9" s="74">
        <f t="shared" si="1"/>
        <v>-5.0665765295948373E-3</v>
      </c>
      <c r="AM9" s="74">
        <f t="shared" si="1"/>
        <v>5.5107833116939094E-3</v>
      </c>
      <c r="AN9" s="74">
        <f t="shared" si="1"/>
        <v>1.4577486764165986E-2</v>
      </c>
      <c r="AO9" s="74">
        <f t="shared" si="1"/>
        <v>-1.8643421959376452E-3</v>
      </c>
      <c r="AP9" s="75">
        <f t="array" ref="AP9">AVERAGE(IF(ISNA($AE9:$AO9)=FALSE,$AE9:$AO9,""))</f>
        <v>3.0502221119258856E-17</v>
      </c>
      <c r="AQ9" s="76">
        <f t="array" ref="AQ9">STDEV(IF(ISNA($AE9:$AO9)=FALSE,$AE9:$AO9,""))</f>
        <v>1.0812287674575132E-2</v>
      </c>
      <c r="AR9" s="84">
        <f t="shared" si="4"/>
        <v>7.1399179411193864E-3</v>
      </c>
      <c r="AS9" s="18"/>
    </row>
    <row r="10" spans="1:45" x14ac:dyDescent="0.2">
      <c r="A10" s="18" t="s">
        <v>4</v>
      </c>
      <c r="B10" s="18" t="e">
        <f>NA()</f>
        <v>#N/A</v>
      </c>
      <c r="C10" s="18" t="e">
        <f>NA()</f>
        <v>#N/A</v>
      </c>
      <c r="D10" s="18" t="e">
        <f>NA()</f>
        <v>#N/A</v>
      </c>
      <c r="E10" s="18" t="e">
        <f>NA()</f>
        <v>#N/A</v>
      </c>
      <c r="F10" s="18" t="e">
        <f>NA()</f>
        <v>#N/A</v>
      </c>
      <c r="G10" s="18">
        <v>1.2053995874069423</v>
      </c>
      <c r="H10" s="18">
        <v>1.1978012155881301</v>
      </c>
      <c r="I10" s="18">
        <v>1.2016328777176399</v>
      </c>
      <c r="J10" s="18">
        <v>1.2070783132530121</v>
      </c>
      <c r="K10" s="18">
        <v>1.2141509433962263</v>
      </c>
      <c r="L10" s="18">
        <v>1.2186246418338109</v>
      </c>
      <c r="M10" s="70">
        <f t="array" ref="M10">AVERAGE(IF(ISNA($B10:$L10)=FALSE,$B10:$L10,""))</f>
        <v>1.2074479298659602</v>
      </c>
      <c r="N10" s="71">
        <v>7.7595815855622703E-3</v>
      </c>
      <c r="O10" s="72">
        <v>6.4264316444881129E-3</v>
      </c>
      <c r="P10" s="18"/>
      <c r="Q10" s="73" t="e">
        <f t="shared" si="2"/>
        <v>#N/A</v>
      </c>
      <c r="R10" s="73" t="e">
        <f t="shared" si="0"/>
        <v>#N/A</v>
      </c>
      <c r="S10" s="73" t="e">
        <f t="shared" si="0"/>
        <v>#N/A</v>
      </c>
      <c r="T10" s="73" t="e">
        <f t="shared" si="0"/>
        <v>#N/A</v>
      </c>
      <c r="U10" s="73" t="e">
        <f t="shared" si="0"/>
        <v>#N/A</v>
      </c>
      <c r="V10" s="73">
        <f t="shared" si="0"/>
        <v>-2.0483424590178601E-3</v>
      </c>
      <c r="W10" s="73">
        <f t="shared" si="0"/>
        <v>-9.6467142778300374E-3</v>
      </c>
      <c r="X10" s="73">
        <f t="shared" si="0"/>
        <v>-5.8150521483202322E-3</v>
      </c>
      <c r="Y10" s="73">
        <f t="shared" si="0"/>
        <v>-3.6961661294809822E-4</v>
      </c>
      <c r="Z10" s="73">
        <f t="shared" si="0"/>
        <v>6.7030135302661442E-3</v>
      </c>
      <c r="AA10" s="73">
        <f t="shared" si="0"/>
        <v>1.117671196785075E-2</v>
      </c>
      <c r="AB10" s="70">
        <f t="array" ref="AB10">AVERAGE(IF(ISNA($Q10:$AA10)=FALSE,$Q10:$AA10,""))</f>
        <v>1.1102230246251565E-16</v>
      </c>
      <c r="AC10" s="70">
        <f t="array" ref="AC10">STDEV(IF(ISNA($Q10:$AA10)=FALSE,$Q10:$AA10,""))</f>
        <v>7.7595815855622703E-3</v>
      </c>
      <c r="AD10" s="18"/>
      <c r="AE10" s="74" t="e">
        <f t="shared" si="3"/>
        <v>#N/A</v>
      </c>
      <c r="AF10" s="74" t="e">
        <f t="shared" si="1"/>
        <v>#N/A</v>
      </c>
      <c r="AG10" s="74" t="e">
        <f t="shared" si="1"/>
        <v>#N/A</v>
      </c>
      <c r="AH10" s="74" t="e">
        <f t="shared" si="1"/>
        <v>#N/A</v>
      </c>
      <c r="AI10" s="74" t="e">
        <f t="shared" si="1"/>
        <v>#N/A</v>
      </c>
      <c r="AJ10" s="74">
        <f t="shared" si="1"/>
        <v>-1.6964230161421936E-3</v>
      </c>
      <c r="AK10" s="74">
        <f t="shared" si="1"/>
        <v>-7.9893418500464261E-3</v>
      </c>
      <c r="AL10" s="74">
        <f t="shared" si="1"/>
        <v>-4.8159858528771223E-3</v>
      </c>
      <c r="AM10" s="74">
        <f t="shared" si="1"/>
        <v>-3.0611391498193191E-4</v>
      </c>
      <c r="AN10" s="74">
        <f t="shared" si="1"/>
        <v>5.5513893100220492E-3</v>
      </c>
      <c r="AO10" s="74">
        <f t="shared" si="1"/>
        <v>9.2564753240261758E-3</v>
      </c>
      <c r="AP10" s="75">
        <f t="array" ref="AP10">AVERAGE(IF(ISNA($AE10:$AO10)=FALSE,$AE10:$AO10,""))</f>
        <v>9.1651223647441312E-17</v>
      </c>
      <c r="AQ10" s="76">
        <f t="array" ref="AQ10">STDEV(IF(ISNA($AE10:$AO10)=FALSE,$AE10:$AO10,""))</f>
        <v>6.4264316444881129E-3</v>
      </c>
      <c r="AR10" s="84">
        <f t="shared" si="4"/>
        <v>6.7681887196147095E-3</v>
      </c>
      <c r="AS10" s="18"/>
    </row>
    <row r="11" spans="1:45" x14ac:dyDescent="0.2">
      <c r="A11" s="18" t="s">
        <v>62</v>
      </c>
      <c r="B11" s="18" t="e">
        <f>NA()</f>
        <v>#N/A</v>
      </c>
      <c r="C11" s="18" t="e">
        <f>NA()</f>
        <v>#N/A</v>
      </c>
      <c r="D11" s="18" t="e">
        <f>NA()</f>
        <v>#N/A</v>
      </c>
      <c r="E11" s="18" t="e">
        <f>NA()</f>
        <v>#N/A</v>
      </c>
      <c r="F11" s="18" t="e">
        <f>NA()</f>
        <v>#N/A</v>
      </c>
      <c r="G11" s="18">
        <v>1.2568707293548895</v>
      </c>
      <c r="H11" s="18">
        <v>1.2332701186053379</v>
      </c>
      <c r="I11" s="18">
        <v>1.2522177419354839</v>
      </c>
      <c r="J11" s="18">
        <v>1.2685014330022379</v>
      </c>
      <c r="K11" s="18">
        <v>1.2526745769305583</v>
      </c>
      <c r="L11" s="18">
        <v>1.2731515670693883</v>
      </c>
      <c r="M11" s="70">
        <f t="array" ref="M11">AVERAGE(IF(ISNA($B11:$L11)=FALSE,$B11:$L11,""))</f>
        <v>1.2561143611496493</v>
      </c>
      <c r="N11" s="71">
        <v>1.4093638293159932E-2</v>
      </c>
      <c r="O11" s="72">
        <v>1.1220027991926496E-2</v>
      </c>
      <c r="P11" s="18"/>
      <c r="Q11" s="73" t="e">
        <f t="shared" si="2"/>
        <v>#N/A</v>
      </c>
      <c r="R11" s="73" t="e">
        <f t="shared" si="0"/>
        <v>#N/A</v>
      </c>
      <c r="S11" s="73" t="e">
        <f t="shared" si="0"/>
        <v>#N/A</v>
      </c>
      <c r="T11" s="73" t="e">
        <f t="shared" si="0"/>
        <v>#N/A</v>
      </c>
      <c r="U11" s="73" t="e">
        <f t="shared" si="0"/>
        <v>#N/A</v>
      </c>
      <c r="V11" s="73">
        <f t="shared" si="0"/>
        <v>7.5636820524027648E-4</v>
      </c>
      <c r="W11" s="73">
        <f t="shared" si="0"/>
        <v>-2.2844242544311388E-2</v>
      </c>
      <c r="X11" s="73">
        <f t="shared" si="0"/>
        <v>-3.8966192141653977E-3</v>
      </c>
      <c r="Y11" s="73">
        <f t="shared" si="0"/>
        <v>1.2387071852588694E-2</v>
      </c>
      <c r="Z11" s="73">
        <f t="shared" si="0"/>
        <v>-3.4397842190909689E-3</v>
      </c>
      <c r="AA11" s="73">
        <f t="shared" si="0"/>
        <v>1.7037205919739007E-2</v>
      </c>
      <c r="AB11" s="70">
        <f t="array" ref="AB11">AVERAGE(IF(ISNA($Q11:$AA11)=FALSE,$Q11:$AA11,""))</f>
        <v>3.7007434154171883E-17</v>
      </c>
      <c r="AC11" s="70">
        <f t="array" ref="AC11">STDEV(IF(ISNA($Q11:$AA11)=FALSE,$Q11:$AA11,""))</f>
        <v>1.4093638293159932E-2</v>
      </c>
      <c r="AD11" s="18"/>
      <c r="AE11" s="74" t="e">
        <f t="shared" si="3"/>
        <v>#N/A</v>
      </c>
      <c r="AF11" s="74" t="e">
        <f t="shared" si="1"/>
        <v>#N/A</v>
      </c>
      <c r="AG11" s="74" t="e">
        <f t="shared" si="1"/>
        <v>#N/A</v>
      </c>
      <c r="AH11" s="74" t="e">
        <f t="shared" si="1"/>
        <v>#N/A</v>
      </c>
      <c r="AI11" s="74" t="e">
        <f t="shared" si="1"/>
        <v>#N/A</v>
      </c>
      <c r="AJ11" s="74">
        <f t="shared" si="1"/>
        <v>6.0214915825659073E-4</v>
      </c>
      <c r="AK11" s="74">
        <f t="shared" si="1"/>
        <v>-1.8186435288745022E-2</v>
      </c>
      <c r="AL11" s="74">
        <f t="shared" si="1"/>
        <v>-3.1021213789794158E-3</v>
      </c>
      <c r="AM11" s="74">
        <f t="shared" si="1"/>
        <v>9.8614204531914749E-3</v>
      </c>
      <c r="AN11" s="74">
        <f t="shared" si="1"/>
        <v>-2.7384323637082951E-3</v>
      </c>
      <c r="AO11" s="74">
        <f t="shared" si="1"/>
        <v>1.3563419419984842E-2</v>
      </c>
      <c r="AP11" s="75">
        <f t="array" ref="AP11">AVERAGE(IF(ISNA($AE11:$AO11)=FALSE,$AE11:$AO11,""))</f>
        <v>2.9201178512276251E-17</v>
      </c>
      <c r="AQ11" s="76">
        <f t="array" ref="AQ11">STDEV(IF(ISNA($AE11:$AO11)=FALSE,$AE11:$AO11,""))</f>
        <v>1.1220027991926496E-2</v>
      </c>
      <c r="AR11" s="84">
        <f t="shared" si="4"/>
        <v>1.126496697022758E-2</v>
      </c>
      <c r="AS11" s="18"/>
    </row>
    <row r="12" spans="1:45" x14ac:dyDescent="0.2">
      <c r="A12" s="18" t="s">
        <v>63</v>
      </c>
      <c r="B12" s="18" t="e">
        <f>NA()</f>
        <v>#N/A</v>
      </c>
      <c r="C12" s="18" t="e">
        <f>NA()</f>
        <v>#N/A</v>
      </c>
      <c r="D12" s="18" t="e">
        <f>NA()</f>
        <v>#N/A</v>
      </c>
      <c r="E12" s="18">
        <v>1.2611818532085899</v>
      </c>
      <c r="F12" s="18" t="e">
        <f>NA()</f>
        <v>#N/A</v>
      </c>
      <c r="G12" s="18">
        <v>1.2888421348015915</v>
      </c>
      <c r="H12" s="18">
        <v>1.2836744968240197</v>
      </c>
      <c r="I12" s="18">
        <v>1.2738477123079521</v>
      </c>
      <c r="J12" s="18">
        <v>1.2664929478429914</v>
      </c>
      <c r="K12" s="18">
        <v>1.2957723377209169</v>
      </c>
      <c r="L12" s="18">
        <v>1.3271216609371339</v>
      </c>
      <c r="M12" s="70">
        <f t="array" ref="M12">AVERAGE(IF(ISNA($B12:$L12)=FALSE,$B12:$L12,""))</f>
        <v>1.2852761633775993</v>
      </c>
      <c r="N12" s="71">
        <v>2.2137642497140501E-2</v>
      </c>
      <c r="O12" s="72">
        <v>1.722403568036663E-2</v>
      </c>
      <c r="P12" s="18"/>
      <c r="Q12" s="73" t="e">
        <f t="shared" si="2"/>
        <v>#N/A</v>
      </c>
      <c r="R12" s="73" t="e">
        <f t="shared" si="0"/>
        <v>#N/A</v>
      </c>
      <c r="S12" s="73" t="e">
        <f t="shared" si="0"/>
        <v>#N/A</v>
      </c>
      <c r="T12" s="73">
        <f t="shared" si="0"/>
        <v>-2.4094310169009425E-2</v>
      </c>
      <c r="U12" s="73" t="e">
        <f t="shared" si="0"/>
        <v>#N/A</v>
      </c>
      <c r="V12" s="73">
        <f t="shared" si="0"/>
        <v>3.5659714239921758E-3</v>
      </c>
      <c r="W12" s="73">
        <f t="shared" si="0"/>
        <v>-1.6016665535796282E-3</v>
      </c>
      <c r="X12" s="73">
        <f t="shared" si="0"/>
        <v>-1.1428451069647183E-2</v>
      </c>
      <c r="Y12" s="73">
        <f t="shared" si="0"/>
        <v>-1.8783215534607933E-2</v>
      </c>
      <c r="Z12" s="73">
        <f t="shared" si="0"/>
        <v>1.0496174343317621E-2</v>
      </c>
      <c r="AA12" s="73">
        <f t="shared" si="0"/>
        <v>4.1845497559534595E-2</v>
      </c>
      <c r="AB12" s="70">
        <f t="array" ref="AB12">AVERAGE(IF(ISNA($Q12:$AA12)=FALSE,$Q12:$AA12,""))</f>
        <v>3.1720657846433042E-17</v>
      </c>
      <c r="AC12" s="70">
        <f t="array" ref="AC12">STDEV(IF(ISNA($Q12:$AA12)=FALSE,$Q12:$AA12,""))</f>
        <v>2.2137642497140501E-2</v>
      </c>
      <c r="AD12" s="18"/>
      <c r="AE12" s="74" t="e">
        <f t="shared" si="3"/>
        <v>#N/A</v>
      </c>
      <c r="AF12" s="74" t="e">
        <f t="shared" si="1"/>
        <v>#N/A</v>
      </c>
      <c r="AG12" s="74" t="e">
        <f t="shared" si="1"/>
        <v>#N/A</v>
      </c>
      <c r="AH12" s="74">
        <f t="shared" si="1"/>
        <v>-1.8746407080087422E-2</v>
      </c>
      <c r="AI12" s="74" t="e">
        <f t="shared" si="1"/>
        <v>#N/A</v>
      </c>
      <c r="AJ12" s="74">
        <f t="shared" si="1"/>
        <v>2.7744787661984631E-3</v>
      </c>
      <c r="AK12" s="74">
        <f t="shared" si="1"/>
        <v>-1.2461652983360254E-3</v>
      </c>
      <c r="AL12" s="74">
        <f t="shared" si="1"/>
        <v>-8.8918252709317813E-3</v>
      </c>
      <c r="AM12" s="74">
        <f t="shared" si="1"/>
        <v>-1.4614147581518355E-2</v>
      </c>
      <c r="AN12" s="74">
        <f t="shared" si="1"/>
        <v>8.1664739784285297E-3</v>
      </c>
      <c r="AO12" s="74">
        <f t="shared" si="1"/>
        <v>3.2557592486246761E-2</v>
      </c>
      <c r="AP12" s="75">
        <f t="array" ref="AP12">AVERAGE(IF(ISNA($AE12:$AO12)=FALSE,$AE12:$AO12,""))</f>
        <v>2.3790493384824782E-17</v>
      </c>
      <c r="AQ12" s="76">
        <f t="array" ref="AQ12">STDEV(IF(ISNA($AE12:$AO12)=FALSE,$AE12:$AO12,""))</f>
        <v>1.722403568036663E-2</v>
      </c>
      <c r="AR12" s="84">
        <f t="shared" si="4"/>
        <v>1.3959517496090174E-2</v>
      </c>
      <c r="AS12" s="18"/>
    </row>
    <row r="13" spans="1:45" x14ac:dyDescent="0.2">
      <c r="A13" s="18" t="s">
        <v>7</v>
      </c>
      <c r="B13" s="18" t="e">
        <f>NA()</f>
        <v>#N/A</v>
      </c>
      <c r="C13" s="18" t="e">
        <f>NA()</f>
        <v>#N/A</v>
      </c>
      <c r="D13" s="18" t="e">
        <f>NA()</f>
        <v>#N/A</v>
      </c>
      <c r="E13" s="18" t="e">
        <f>NA()</f>
        <v>#N/A</v>
      </c>
      <c r="F13" s="18" t="e">
        <f>NA()</f>
        <v>#N/A</v>
      </c>
      <c r="G13" s="18" t="e">
        <f>NA()</f>
        <v>#N/A</v>
      </c>
      <c r="H13" s="18">
        <v>1.3309839300817592</v>
      </c>
      <c r="I13" s="18">
        <v>1.2794453973699256</v>
      </c>
      <c r="J13" s="18">
        <v>1.3093535677805341</v>
      </c>
      <c r="K13" s="18">
        <v>1.3252941176470587</v>
      </c>
      <c r="L13" s="18">
        <v>1.2951404369148463</v>
      </c>
      <c r="M13" s="70">
        <f t="array" ref="M13">AVERAGE(IF(ISNA($B13:$L13)=FALSE,$B13:$L13,""))</f>
        <v>1.3080434899588247</v>
      </c>
      <c r="N13" s="71">
        <v>2.1271482847640834E-2</v>
      </c>
      <c r="O13" s="72">
        <v>1.6262060864895577E-2</v>
      </c>
      <c r="P13" s="18"/>
      <c r="Q13" s="73" t="e">
        <f t="shared" si="2"/>
        <v>#N/A</v>
      </c>
      <c r="R13" s="73" t="e">
        <f t="shared" si="0"/>
        <v>#N/A</v>
      </c>
      <c r="S13" s="73" t="e">
        <f t="shared" si="0"/>
        <v>#N/A</v>
      </c>
      <c r="T13" s="73" t="e">
        <f t="shared" si="0"/>
        <v>#N/A</v>
      </c>
      <c r="U13" s="73" t="e">
        <f t="shared" si="0"/>
        <v>#N/A</v>
      </c>
      <c r="V13" s="73" t="e">
        <f t="shared" si="0"/>
        <v>#N/A</v>
      </c>
      <c r="W13" s="73">
        <f t="shared" si="0"/>
        <v>2.2940440122934502E-2</v>
      </c>
      <c r="X13" s="73">
        <f t="shared" si="0"/>
        <v>-2.8598092588899116E-2</v>
      </c>
      <c r="Y13" s="73">
        <f t="shared" si="0"/>
        <v>1.3100778217094433E-3</v>
      </c>
      <c r="Z13" s="73">
        <f t="shared" si="0"/>
        <v>1.7250627688234044E-2</v>
      </c>
      <c r="AA13" s="73">
        <f t="shared" si="0"/>
        <v>-1.290305304397843E-2</v>
      </c>
      <c r="AB13" s="70">
        <f t="array" ref="AB13">AVERAGE(IF(ISNA($Q13:$AA13)=FALSE,$Q13:$AA13,""))</f>
        <v>8.8817841970012528E-17</v>
      </c>
      <c r="AC13" s="70">
        <f t="array" ref="AC13">STDEV(IF(ISNA($Q13:$AA13)=FALSE,$Q13:$AA13,""))</f>
        <v>2.1271482847640834E-2</v>
      </c>
      <c r="AD13" s="18"/>
      <c r="AE13" s="74" t="e">
        <f t="shared" si="3"/>
        <v>#N/A</v>
      </c>
      <c r="AF13" s="74" t="e">
        <f t="shared" si="1"/>
        <v>#N/A</v>
      </c>
      <c r="AG13" s="74" t="e">
        <f t="shared" si="1"/>
        <v>#N/A</v>
      </c>
      <c r="AH13" s="74" t="e">
        <f t="shared" si="1"/>
        <v>#N/A</v>
      </c>
      <c r="AI13" s="74" t="e">
        <f t="shared" si="1"/>
        <v>#N/A</v>
      </c>
      <c r="AJ13" s="74" t="e">
        <f t="shared" si="1"/>
        <v>#N/A</v>
      </c>
      <c r="AK13" s="74">
        <f t="shared" si="1"/>
        <v>1.7537979661254713E-2</v>
      </c>
      <c r="AL13" s="74">
        <f t="shared" si="1"/>
        <v>-2.186325822377614E-2</v>
      </c>
      <c r="AM13" s="74">
        <f t="shared" si="1"/>
        <v>1.0015552477927799E-3</v>
      </c>
      <c r="AN13" s="74">
        <f t="shared" si="1"/>
        <v>1.3188114784147635E-2</v>
      </c>
      <c r="AO13" s="74">
        <f t="shared" si="1"/>
        <v>-9.8643914694186499E-3</v>
      </c>
      <c r="AP13" s="75">
        <f t="array" ref="AP13">AVERAGE(IF(ISNA($AE13:$AO13)=FALSE,$AE13:$AO13,""))</f>
        <v>6.730727086790011E-17</v>
      </c>
      <c r="AQ13" s="76">
        <f t="array" ref="AQ13">STDEV(IF(ISNA($AE13:$AO13)=FALSE,$AE13:$AO13,""))</f>
        <v>1.6262060864895577E-2</v>
      </c>
      <c r="AR13" s="84">
        <f t="shared" si="4"/>
        <v>1.6063218472195398E-2</v>
      </c>
      <c r="AS13" s="18"/>
    </row>
    <row r="14" spans="1:45" x14ac:dyDescent="0.2">
      <c r="A14" s="18" t="s">
        <v>8</v>
      </c>
      <c r="B14" s="18" t="e">
        <f>NA()</f>
        <v>#N/A</v>
      </c>
      <c r="C14" s="18" t="e">
        <f>NA()</f>
        <v>#N/A</v>
      </c>
      <c r="D14" s="18" t="e">
        <f>NA()</f>
        <v>#N/A</v>
      </c>
      <c r="E14" s="18" t="e">
        <f>NA()</f>
        <v>#N/A</v>
      </c>
      <c r="F14" s="18" t="e">
        <f>NA()</f>
        <v>#N/A</v>
      </c>
      <c r="G14" s="18" t="e">
        <f>NA()</f>
        <v>#N/A</v>
      </c>
      <c r="H14" s="18" t="e">
        <f>NA()</f>
        <v>#N/A</v>
      </c>
      <c r="I14" s="18" t="e">
        <f>NA()</f>
        <v>#N/A</v>
      </c>
      <c r="J14" s="18">
        <v>1.2198629621263459</v>
      </c>
      <c r="K14" s="18">
        <v>1.222640090259496</v>
      </c>
      <c r="L14" s="18">
        <v>1.2236490101658641</v>
      </c>
      <c r="M14" s="70">
        <f t="array" ref="M14">AVERAGE(IF(ISNA($B14:$L14)=FALSE,$B14:$L14,""))</f>
        <v>1.2220506875172352</v>
      </c>
      <c r="N14" s="71">
        <v>1.9606342427447351E-3</v>
      </c>
      <c r="O14" s="72">
        <v>1.6043804588237124E-3</v>
      </c>
      <c r="P14" s="18"/>
      <c r="Q14" s="73" t="e">
        <f t="shared" si="2"/>
        <v>#N/A</v>
      </c>
      <c r="R14" s="73" t="e">
        <f t="shared" si="0"/>
        <v>#N/A</v>
      </c>
      <c r="S14" s="73" t="e">
        <f t="shared" si="0"/>
        <v>#N/A</v>
      </c>
      <c r="T14" s="73" t="e">
        <f t="shared" si="0"/>
        <v>#N/A</v>
      </c>
      <c r="U14" s="73" t="e">
        <f t="shared" si="0"/>
        <v>#N/A</v>
      </c>
      <c r="V14" s="73" t="e">
        <f t="shared" si="0"/>
        <v>#N/A</v>
      </c>
      <c r="W14" s="73" t="e">
        <f t="shared" si="0"/>
        <v>#N/A</v>
      </c>
      <c r="X14" s="73" t="e">
        <f t="shared" si="0"/>
        <v>#N/A</v>
      </c>
      <c r="Y14" s="73">
        <f t="shared" si="0"/>
        <v>-2.1877253908892946E-3</v>
      </c>
      <c r="Z14" s="73">
        <f t="shared" si="0"/>
        <v>5.8940274226082501E-4</v>
      </c>
      <c r="AA14" s="73">
        <f t="shared" si="0"/>
        <v>1.5983226486289137E-3</v>
      </c>
      <c r="AB14" s="70">
        <f t="array" ref="AB14">AVERAGE(IF(ISNA($Q14:$AA14)=FALSE,$Q14:$AA14,""))</f>
        <v>1.4802973661668753E-16</v>
      </c>
      <c r="AC14" s="70">
        <f t="array" ref="AC14">STDEV(IF(ISNA($Q14:$AA14)=FALSE,$Q14:$AA14,""))</f>
        <v>1.9606342427447351E-3</v>
      </c>
      <c r="AD14" s="18"/>
      <c r="AE14" s="74" t="e">
        <f t="shared" si="3"/>
        <v>#N/A</v>
      </c>
      <c r="AF14" s="74" t="e">
        <f t="shared" si="1"/>
        <v>#N/A</v>
      </c>
      <c r="AG14" s="74" t="e">
        <f t="shared" si="1"/>
        <v>#N/A</v>
      </c>
      <c r="AH14" s="74" t="e">
        <f t="shared" si="1"/>
        <v>#N/A</v>
      </c>
      <c r="AI14" s="74" t="e">
        <f t="shared" si="1"/>
        <v>#N/A</v>
      </c>
      <c r="AJ14" s="74" t="e">
        <f t="shared" si="1"/>
        <v>#N/A</v>
      </c>
      <c r="AK14" s="74" t="e">
        <f t="shared" si="1"/>
        <v>#N/A</v>
      </c>
      <c r="AL14" s="74" t="e">
        <f t="shared" si="1"/>
        <v>#N/A</v>
      </c>
      <c r="AM14" s="74">
        <f t="shared" si="1"/>
        <v>-1.7902083876193064E-3</v>
      </c>
      <c r="AN14" s="74">
        <f t="shared" si="1"/>
        <v>4.8230629734211604E-4</v>
      </c>
      <c r="AO14" s="74">
        <f t="shared" si="1"/>
        <v>1.3079020902775538E-3</v>
      </c>
      <c r="AP14" s="75">
        <f t="array" ref="AP14">AVERAGE(IF(ISNA($AE14:$AO14)=FALSE,$AE14:$AO14,""))</f>
        <v>1.2114152273904702E-16</v>
      </c>
      <c r="AQ14" s="76">
        <f t="array" ref="AQ14">STDEV(IF(ISNA($AE14:$AO14)=FALSE,$AE14:$AO14,""))</f>
        <v>1.6043804588237126E-3</v>
      </c>
      <c r="AR14" s="84">
        <f t="shared" si="4"/>
        <v>8.1174835265925283E-3</v>
      </c>
      <c r="AS14" s="18"/>
    </row>
    <row r="15" spans="1:45" x14ac:dyDescent="0.2">
      <c r="A15" s="18" t="s">
        <v>9</v>
      </c>
      <c r="B15" s="18" t="e">
        <f>NA()</f>
        <v>#N/A</v>
      </c>
      <c r="C15" s="18" t="e">
        <f>NA()</f>
        <v>#N/A</v>
      </c>
      <c r="D15" s="18" t="e">
        <f>NA()</f>
        <v>#N/A</v>
      </c>
      <c r="E15" s="18" t="e">
        <f>NA()</f>
        <v>#N/A</v>
      </c>
      <c r="F15" s="18" t="e">
        <f>NA()</f>
        <v>#N/A</v>
      </c>
      <c r="G15" s="18" t="e">
        <f>NA()</f>
        <v>#N/A</v>
      </c>
      <c r="H15" s="18" t="e">
        <f>NA()</f>
        <v>#N/A</v>
      </c>
      <c r="I15" s="18" t="e">
        <f>NA()</f>
        <v>#N/A</v>
      </c>
      <c r="J15" s="18" t="e">
        <f>NA()</f>
        <v>#N/A</v>
      </c>
      <c r="K15" s="18">
        <v>1.3510729237446024</v>
      </c>
      <c r="L15" s="18">
        <v>1.3921062009978615</v>
      </c>
      <c r="M15" s="70">
        <f t="array" ref="M15">AVERAGE(IF(ISNA($B15:$L15)=FALSE,$B15:$L15,""))</f>
        <v>1.371589562371232</v>
      </c>
      <c r="N15" s="71">
        <v>2.9014908600087232E-2</v>
      </c>
      <c r="O15" s="72">
        <v>2.1154220909880408E-2</v>
      </c>
      <c r="P15" s="18"/>
      <c r="Q15" s="73" t="e">
        <f t="shared" si="2"/>
        <v>#N/A</v>
      </c>
      <c r="R15" s="73" t="e">
        <f t="shared" si="0"/>
        <v>#N/A</v>
      </c>
      <c r="S15" s="73" t="e">
        <f t="shared" si="0"/>
        <v>#N/A</v>
      </c>
      <c r="T15" s="73" t="e">
        <f t="shared" si="0"/>
        <v>#N/A</v>
      </c>
      <c r="U15" s="73" t="e">
        <f t="shared" si="0"/>
        <v>#N/A</v>
      </c>
      <c r="V15" s="73" t="e">
        <f t="shared" si="0"/>
        <v>#N/A</v>
      </c>
      <c r="W15" s="73" t="e">
        <f t="shared" si="0"/>
        <v>#N/A</v>
      </c>
      <c r="X15" s="73" t="e">
        <f t="shared" si="0"/>
        <v>#N/A</v>
      </c>
      <c r="Y15" s="73" t="e">
        <f t="shared" si="0"/>
        <v>#N/A</v>
      </c>
      <c r="Z15" s="73">
        <f t="shared" si="0"/>
        <v>-2.0516638626629558E-2</v>
      </c>
      <c r="AA15" s="73">
        <f t="shared" si="0"/>
        <v>2.0516638626629558E-2</v>
      </c>
      <c r="AB15" s="70">
        <f t="array" ref="AB15">AVERAGE(IF(ISNA($Q15:$AA15)=FALSE,$Q15:$AA15,""))</f>
        <v>0</v>
      </c>
      <c r="AC15" s="70">
        <f t="array" ref="AC15">STDEV(IF(ISNA($Q15:$AA15)=FALSE,$Q15:$AA15,""))</f>
        <v>2.9014908600087232E-2</v>
      </c>
      <c r="AD15" s="18"/>
      <c r="AE15" s="74" t="e">
        <f t="shared" si="3"/>
        <v>#N/A</v>
      </c>
      <c r="AF15" s="74" t="e">
        <f t="shared" si="1"/>
        <v>#N/A</v>
      </c>
      <c r="AG15" s="74" t="e">
        <f t="shared" si="1"/>
        <v>#N/A</v>
      </c>
      <c r="AH15" s="74" t="e">
        <f t="shared" si="1"/>
        <v>#N/A</v>
      </c>
      <c r="AI15" s="74" t="e">
        <f t="shared" si="1"/>
        <v>#N/A</v>
      </c>
      <c r="AJ15" s="74" t="e">
        <f t="shared" si="1"/>
        <v>#N/A</v>
      </c>
      <c r="AK15" s="74" t="e">
        <f t="shared" si="1"/>
        <v>#N/A</v>
      </c>
      <c r="AL15" s="74" t="e">
        <f t="shared" si="1"/>
        <v>#N/A</v>
      </c>
      <c r="AM15" s="74" t="e">
        <f t="shared" si="1"/>
        <v>#N/A</v>
      </c>
      <c r="AN15" s="74">
        <f t="shared" si="1"/>
        <v>-1.4958293056094692E-2</v>
      </c>
      <c r="AO15" s="74">
        <f t="shared" si="1"/>
        <v>1.4958293056094692E-2</v>
      </c>
      <c r="AP15" s="75">
        <f t="array" ref="AP15">AVERAGE(IF(ISNA($AE15:$AO15)=FALSE,$AE15:$AO15,""))</f>
        <v>0</v>
      </c>
      <c r="AQ15" s="76">
        <f t="array" ref="AQ15">STDEV(IF(ISNA($AE15:$AO15)=FALSE,$AE15:$AO15,""))</f>
        <v>2.1154220909880405E-2</v>
      </c>
      <c r="AR15" s="84">
        <f t="shared" si="4"/>
        <v>2.1934875563101836E-2</v>
      </c>
      <c r="AS15" s="18"/>
    </row>
    <row r="16" spans="1:45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70"/>
      <c r="N16" s="71"/>
      <c r="O16" s="72"/>
      <c r="P16" s="18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0"/>
      <c r="AC16" s="70"/>
      <c r="AD16" s="18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5"/>
      <c r="AQ16" s="76"/>
      <c r="AR16" s="74"/>
      <c r="AS16" s="18"/>
    </row>
    <row r="17" spans="1:45" x14ac:dyDescent="0.2">
      <c r="A17" s="18" t="s">
        <v>10</v>
      </c>
      <c r="B17" s="18" t="e">
        <f>NA()</f>
        <v>#N/A</v>
      </c>
      <c r="C17" s="18" t="e">
        <f>NA()</f>
        <v>#N/A</v>
      </c>
      <c r="D17" s="18" t="e">
        <f>NA()</f>
        <v>#N/A</v>
      </c>
      <c r="E17" s="18" t="e">
        <f>NA()</f>
        <v>#N/A</v>
      </c>
      <c r="F17" s="18" t="e">
        <f>NA()</f>
        <v>#N/A</v>
      </c>
      <c r="G17" s="18" t="e">
        <f>NA()</f>
        <v>#N/A</v>
      </c>
      <c r="H17" s="18" t="e">
        <f>NA()</f>
        <v>#N/A</v>
      </c>
      <c r="I17" s="18" t="e">
        <f>NA()</f>
        <v>#N/A</v>
      </c>
      <c r="J17" s="18" t="e">
        <f>NA()</f>
        <v>#N/A</v>
      </c>
      <c r="K17" s="18" t="e">
        <f>NA()</f>
        <v>#N/A</v>
      </c>
      <c r="L17" s="18">
        <v>1.2364481596792767</v>
      </c>
      <c r="M17" s="70">
        <f t="array" ref="M17">AVERAGE(IF(ISNA($B17:$L17)=FALSE,$B17:$L17,""))</f>
        <v>1.2364481596792767</v>
      </c>
      <c r="N17" s="18" t="e">
        <f>NA()</f>
        <v>#N/A</v>
      </c>
      <c r="O17" s="18" t="e">
        <f>NA()</f>
        <v>#N/A</v>
      </c>
      <c r="P17" s="18"/>
      <c r="Q17" s="73" t="e">
        <f t="shared" ref="Q17:AA19" si="5">B17-$M17</f>
        <v>#N/A</v>
      </c>
      <c r="R17" s="73" t="e">
        <f t="shared" si="5"/>
        <v>#N/A</v>
      </c>
      <c r="S17" s="73" t="e">
        <f t="shared" si="5"/>
        <v>#N/A</v>
      </c>
      <c r="T17" s="73" t="e">
        <f t="shared" si="5"/>
        <v>#N/A</v>
      </c>
      <c r="U17" s="73" t="e">
        <f t="shared" si="5"/>
        <v>#N/A</v>
      </c>
      <c r="V17" s="73" t="e">
        <f t="shared" si="5"/>
        <v>#N/A</v>
      </c>
      <c r="W17" s="73" t="e">
        <f t="shared" si="5"/>
        <v>#N/A</v>
      </c>
      <c r="X17" s="73" t="e">
        <f t="shared" si="5"/>
        <v>#N/A</v>
      </c>
      <c r="Y17" s="73" t="e">
        <f t="shared" si="5"/>
        <v>#N/A</v>
      </c>
      <c r="Z17" s="73" t="e">
        <f t="shared" si="5"/>
        <v>#N/A</v>
      </c>
      <c r="AA17" s="73">
        <f t="shared" si="5"/>
        <v>0</v>
      </c>
      <c r="AB17" s="70">
        <f t="array" ref="AB17">AVERAGE(IF(ISNA($Q17:$AA17)=FALSE,$Q17:$AA17,""))</f>
        <v>0</v>
      </c>
      <c r="AC17" s="70" t="e">
        <f t="array" ref="AC17">STDEV(IF(ISNA($Q17:$AA17)=FALSE,$Q17:$AA17,""))</f>
        <v>#DIV/0!</v>
      </c>
      <c r="AD17" s="18"/>
      <c r="AE17" s="74" t="e">
        <f t="shared" ref="AE17:AO19" si="6">Q17/$M17</f>
        <v>#N/A</v>
      </c>
      <c r="AF17" s="74" t="e">
        <f t="shared" si="6"/>
        <v>#N/A</v>
      </c>
      <c r="AG17" s="74" t="e">
        <f t="shared" si="6"/>
        <v>#N/A</v>
      </c>
      <c r="AH17" s="74" t="e">
        <f t="shared" si="6"/>
        <v>#N/A</v>
      </c>
      <c r="AI17" s="74" t="e">
        <f t="shared" si="6"/>
        <v>#N/A</v>
      </c>
      <c r="AJ17" s="74" t="e">
        <f t="shared" si="6"/>
        <v>#N/A</v>
      </c>
      <c r="AK17" s="74" t="e">
        <f t="shared" si="6"/>
        <v>#N/A</v>
      </c>
      <c r="AL17" s="74" t="e">
        <f t="shared" si="6"/>
        <v>#N/A</v>
      </c>
      <c r="AM17" s="74" t="e">
        <f t="shared" si="6"/>
        <v>#N/A</v>
      </c>
      <c r="AN17" s="74" t="e">
        <f t="shared" si="6"/>
        <v>#N/A</v>
      </c>
      <c r="AO17" s="74">
        <f t="shared" si="6"/>
        <v>0</v>
      </c>
      <c r="AP17" s="75">
        <f t="array" ref="AP17">AVERAGE(IF(ISNA($AE17:$AO17)=FALSE,$AE17:$AO17,""))</f>
        <v>0</v>
      </c>
      <c r="AQ17" s="75" t="e">
        <f t="array" ref="AQ17">STDEV(IF(ISNA($AE17:$AO17)=FALSE,$AE17:$AO17,""))</f>
        <v>#DIV/0!</v>
      </c>
      <c r="AR17" s="74">
        <f t="shared" ref="AR17:AR19" si="7">0.0924*M17-0.1048</f>
        <v>9.4478099543651578E-3</v>
      </c>
      <c r="AS17" s="18"/>
    </row>
    <row r="18" spans="1:45" x14ac:dyDescent="0.2">
      <c r="A18" s="18" t="s">
        <v>11</v>
      </c>
      <c r="B18" s="18" t="e">
        <f>NA()</f>
        <v>#N/A</v>
      </c>
      <c r="C18" s="18" t="e">
        <f>NA()</f>
        <v>#N/A</v>
      </c>
      <c r="D18" s="18" t="e">
        <f>NA()</f>
        <v>#N/A</v>
      </c>
      <c r="E18" s="18" t="e">
        <f>NA()</f>
        <v>#N/A</v>
      </c>
      <c r="F18" s="18" t="e">
        <f>NA()</f>
        <v>#N/A</v>
      </c>
      <c r="G18" s="18" t="e">
        <f>NA()</f>
        <v>#N/A</v>
      </c>
      <c r="H18" s="18" t="e">
        <f>NA()</f>
        <v>#N/A</v>
      </c>
      <c r="I18" s="18" t="e">
        <f>NA()</f>
        <v>#N/A</v>
      </c>
      <c r="J18" s="18" t="e">
        <f>NA()</f>
        <v>#N/A</v>
      </c>
      <c r="K18" s="18" t="e">
        <f>NA()</f>
        <v>#N/A</v>
      </c>
      <c r="L18" s="18">
        <v>1.1962354825790948</v>
      </c>
      <c r="M18" s="70">
        <f t="array" ref="M18">AVERAGE(IF(ISNA($B18:$L18)=FALSE,$B18:$L18,""))</f>
        <v>1.1962354825790948</v>
      </c>
      <c r="N18" s="18" t="e">
        <f>NA()</f>
        <v>#N/A</v>
      </c>
      <c r="O18" s="18" t="e">
        <f>NA()</f>
        <v>#N/A</v>
      </c>
      <c r="P18" s="18"/>
      <c r="Q18" s="73" t="e">
        <f t="shared" si="5"/>
        <v>#N/A</v>
      </c>
      <c r="R18" s="73" t="e">
        <f t="shared" si="5"/>
        <v>#N/A</v>
      </c>
      <c r="S18" s="73" t="e">
        <f t="shared" si="5"/>
        <v>#N/A</v>
      </c>
      <c r="T18" s="73" t="e">
        <f t="shared" si="5"/>
        <v>#N/A</v>
      </c>
      <c r="U18" s="73" t="e">
        <f t="shared" si="5"/>
        <v>#N/A</v>
      </c>
      <c r="V18" s="73" t="e">
        <f t="shared" si="5"/>
        <v>#N/A</v>
      </c>
      <c r="W18" s="73" t="e">
        <f t="shared" si="5"/>
        <v>#N/A</v>
      </c>
      <c r="X18" s="73" t="e">
        <f t="shared" si="5"/>
        <v>#N/A</v>
      </c>
      <c r="Y18" s="73" t="e">
        <f t="shared" si="5"/>
        <v>#N/A</v>
      </c>
      <c r="Z18" s="73" t="e">
        <f t="shared" si="5"/>
        <v>#N/A</v>
      </c>
      <c r="AA18" s="73">
        <f t="shared" si="5"/>
        <v>0</v>
      </c>
      <c r="AB18" s="70">
        <f t="array" ref="AB18">AVERAGE(IF(ISNA($Q18:$AA18)=FALSE,$Q18:$AA18,""))</f>
        <v>0</v>
      </c>
      <c r="AC18" s="70" t="e">
        <f t="array" ref="AC18">STDEV(IF(ISNA($Q18:$AA18)=FALSE,$Q18:$AA18,""))</f>
        <v>#DIV/0!</v>
      </c>
      <c r="AD18" s="18"/>
      <c r="AE18" s="74" t="e">
        <f t="shared" si="6"/>
        <v>#N/A</v>
      </c>
      <c r="AF18" s="74" t="e">
        <f t="shared" si="6"/>
        <v>#N/A</v>
      </c>
      <c r="AG18" s="74" t="e">
        <f t="shared" si="6"/>
        <v>#N/A</v>
      </c>
      <c r="AH18" s="74" t="e">
        <f t="shared" si="6"/>
        <v>#N/A</v>
      </c>
      <c r="AI18" s="74" t="e">
        <f t="shared" si="6"/>
        <v>#N/A</v>
      </c>
      <c r="AJ18" s="74" t="e">
        <f t="shared" si="6"/>
        <v>#N/A</v>
      </c>
      <c r="AK18" s="74" t="e">
        <f t="shared" si="6"/>
        <v>#N/A</v>
      </c>
      <c r="AL18" s="74" t="e">
        <f t="shared" si="6"/>
        <v>#N/A</v>
      </c>
      <c r="AM18" s="74" t="e">
        <f t="shared" si="6"/>
        <v>#N/A</v>
      </c>
      <c r="AN18" s="74" t="e">
        <f t="shared" si="6"/>
        <v>#N/A</v>
      </c>
      <c r="AO18" s="74">
        <f t="shared" si="6"/>
        <v>0</v>
      </c>
      <c r="AP18" s="75">
        <f t="array" ref="AP18">AVERAGE(IF(ISNA($AE18:$AO18)=FALSE,$AE18:$AO18,""))</f>
        <v>0</v>
      </c>
      <c r="AQ18" s="75" t="e">
        <f t="array" ref="AQ18">STDEV(IF(ISNA($AE18:$AO18)=FALSE,$AE18:$AO18,""))</f>
        <v>#DIV/0!</v>
      </c>
      <c r="AR18" s="74">
        <f t="shared" si="7"/>
        <v>5.7321585903083588E-3</v>
      </c>
      <c r="AS18" s="18"/>
    </row>
    <row r="19" spans="1:45" x14ac:dyDescent="0.2">
      <c r="A19" s="18" t="s">
        <v>12</v>
      </c>
      <c r="B19" s="18" t="e">
        <f>NA()</f>
        <v>#N/A</v>
      </c>
      <c r="C19" s="18" t="e">
        <f>NA()</f>
        <v>#N/A</v>
      </c>
      <c r="D19" s="18" t="e">
        <f>NA()</f>
        <v>#N/A</v>
      </c>
      <c r="E19" s="18" t="e">
        <f>NA()</f>
        <v>#N/A</v>
      </c>
      <c r="F19" s="18" t="e">
        <f>NA()</f>
        <v>#N/A</v>
      </c>
      <c r="G19" s="18" t="e">
        <f>NA()</f>
        <v>#N/A</v>
      </c>
      <c r="H19" s="18" t="e">
        <f>NA()</f>
        <v>#N/A</v>
      </c>
      <c r="I19" s="18" t="e">
        <f>NA()</f>
        <v>#N/A</v>
      </c>
      <c r="J19" s="18" t="e">
        <f>NA()</f>
        <v>#N/A</v>
      </c>
      <c r="K19" s="18" t="e">
        <f>NA()</f>
        <v>#N/A</v>
      </c>
      <c r="L19" s="18">
        <v>1.4384727949980045</v>
      </c>
      <c r="M19" s="70">
        <f t="array" ref="M19">AVERAGE(IF(ISNA($B19:$L19)=FALSE,$B19:$L19,""))</f>
        <v>1.4384727949980045</v>
      </c>
      <c r="N19" s="18" t="e">
        <f>NA()</f>
        <v>#N/A</v>
      </c>
      <c r="O19" s="18" t="e">
        <f>NA()</f>
        <v>#N/A</v>
      </c>
      <c r="P19" s="18"/>
      <c r="Q19" s="73" t="e">
        <f t="shared" si="5"/>
        <v>#N/A</v>
      </c>
      <c r="R19" s="73" t="e">
        <f t="shared" si="5"/>
        <v>#N/A</v>
      </c>
      <c r="S19" s="73" t="e">
        <f t="shared" si="5"/>
        <v>#N/A</v>
      </c>
      <c r="T19" s="73" t="e">
        <f t="shared" si="5"/>
        <v>#N/A</v>
      </c>
      <c r="U19" s="73" t="e">
        <f t="shared" si="5"/>
        <v>#N/A</v>
      </c>
      <c r="V19" s="73" t="e">
        <f t="shared" si="5"/>
        <v>#N/A</v>
      </c>
      <c r="W19" s="73" t="e">
        <f t="shared" si="5"/>
        <v>#N/A</v>
      </c>
      <c r="X19" s="73" t="e">
        <f t="shared" si="5"/>
        <v>#N/A</v>
      </c>
      <c r="Y19" s="73" t="e">
        <f t="shared" si="5"/>
        <v>#N/A</v>
      </c>
      <c r="Z19" s="73" t="e">
        <f t="shared" si="5"/>
        <v>#N/A</v>
      </c>
      <c r="AA19" s="73">
        <f t="shared" si="5"/>
        <v>0</v>
      </c>
      <c r="AB19" s="70">
        <f t="array" ref="AB19">AVERAGE(IF(ISNA($Q19:$AA19)=FALSE,$Q19:$AA19,""))</f>
        <v>0</v>
      </c>
      <c r="AC19" s="70" t="e">
        <f t="array" ref="AC19">STDEV(IF(ISNA($Q19:$AA19)=FALSE,$Q19:$AA19,""))</f>
        <v>#DIV/0!</v>
      </c>
      <c r="AD19" s="18"/>
      <c r="AE19" s="74" t="e">
        <f t="shared" si="6"/>
        <v>#N/A</v>
      </c>
      <c r="AF19" s="74" t="e">
        <f t="shared" si="6"/>
        <v>#N/A</v>
      </c>
      <c r="AG19" s="74" t="e">
        <f t="shared" si="6"/>
        <v>#N/A</v>
      </c>
      <c r="AH19" s="74" t="e">
        <f t="shared" si="6"/>
        <v>#N/A</v>
      </c>
      <c r="AI19" s="74" t="e">
        <f t="shared" si="6"/>
        <v>#N/A</v>
      </c>
      <c r="AJ19" s="74" t="e">
        <f t="shared" si="6"/>
        <v>#N/A</v>
      </c>
      <c r="AK19" s="74" t="e">
        <f t="shared" si="6"/>
        <v>#N/A</v>
      </c>
      <c r="AL19" s="74" t="e">
        <f t="shared" si="6"/>
        <v>#N/A</v>
      </c>
      <c r="AM19" s="74" t="e">
        <f t="shared" si="6"/>
        <v>#N/A</v>
      </c>
      <c r="AN19" s="74" t="e">
        <f t="shared" si="6"/>
        <v>#N/A</v>
      </c>
      <c r="AO19" s="74">
        <f t="shared" si="6"/>
        <v>0</v>
      </c>
      <c r="AP19" s="75">
        <f t="array" ref="AP19">AVERAGE(IF(ISNA($AE19:$AO19)=FALSE,$AE19:$AO19,""))</f>
        <v>0</v>
      </c>
      <c r="AQ19" s="75" t="e">
        <f t="array" ref="AQ19">STDEV(IF(ISNA($AE19:$AO19)=FALSE,$AE19:$AO19,""))</f>
        <v>#DIV/0!</v>
      </c>
      <c r="AR19" s="74">
        <f t="shared" si="7"/>
        <v>2.8114886257815608E-2</v>
      </c>
      <c r="AS19" s="18"/>
    </row>
    <row r="20" spans="1:45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1:45" x14ac:dyDescent="0.2">
      <c r="A21" s="18"/>
      <c r="B21" s="7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7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79"/>
      <c r="AH21" s="18"/>
      <c r="AI21" s="18"/>
      <c r="AJ21" s="18"/>
      <c r="AK21" s="18"/>
      <c r="AL21" s="18"/>
      <c r="AM21" s="18"/>
      <c r="AN21" s="18"/>
      <c r="AP21" s="18" t="s">
        <v>64</v>
      </c>
      <c r="AQ21" s="85">
        <f>SLOPE($AQ$7:$AQ$15,$M$7:$M$15)</f>
        <v>9.2436384621172235E-2</v>
      </c>
      <c r="AR21" s="18"/>
      <c r="AS21" s="18"/>
    </row>
    <row r="22" spans="1:45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7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79"/>
      <c r="AH22" s="18"/>
      <c r="AI22" s="18"/>
      <c r="AJ22" s="18"/>
      <c r="AK22" s="18"/>
      <c r="AL22" s="18"/>
      <c r="AM22" s="18"/>
      <c r="AN22" s="18"/>
      <c r="AP22" s="18" t="s">
        <v>65</v>
      </c>
      <c r="AQ22" s="85">
        <f>INTERCEPT($AQ$7:$AQ$15,$M$7:$M$15)</f>
        <v>-0.10478481970608715</v>
      </c>
      <c r="AR22" s="18"/>
      <c r="AS22" s="18"/>
    </row>
    <row r="23" spans="1:45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1:45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</row>
    <row r="27" spans="1:45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</row>
    <row r="28" spans="1:4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45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B80"/>
  <sheetViews>
    <sheetView showGridLines="0" tabSelected="1" topLeftCell="B10" zoomScaleNormal="100" workbookViewId="0">
      <selection activeCell="N46" sqref="N46"/>
    </sheetView>
  </sheetViews>
  <sheetFormatPr defaultRowHeight="12.75" outlineLevelCol="2" x14ac:dyDescent="0.25"/>
  <cols>
    <col min="1" max="1" width="7.42578125" style="93" hidden="1" customWidth="1" outlineLevel="2"/>
    <col min="2" max="2" width="10.140625" style="102" customWidth="1" collapsed="1"/>
    <col min="3" max="3" width="15.7109375" style="102" customWidth="1"/>
    <col min="4" max="4" width="2.7109375" style="102" customWidth="1"/>
    <col min="5" max="5" width="8.140625" style="102" customWidth="1"/>
    <col min="6" max="6" width="8.28515625" style="102" customWidth="1"/>
    <col min="7" max="8" width="7.140625" style="102" customWidth="1"/>
    <col min="9" max="9" width="8.28515625" style="102" customWidth="1"/>
    <col min="10" max="12" width="7.140625" style="102" customWidth="1"/>
    <col min="13" max="13" width="1.42578125" style="157" customWidth="1"/>
    <col min="14" max="14" width="6.5703125" style="102" customWidth="1"/>
    <col min="15" max="15" width="6.85546875" style="102" customWidth="1"/>
    <col min="16" max="16" width="5.28515625" style="102" customWidth="1"/>
    <col min="17" max="17" width="5.7109375" style="102" customWidth="1"/>
    <col min="18" max="19" width="9.42578125" style="102" customWidth="1"/>
    <col min="20" max="20" width="1.5703125" style="102" customWidth="1"/>
    <col min="21" max="21" width="8.5703125" style="102" customWidth="1"/>
    <col min="22" max="22" width="11.140625" style="102" customWidth="1"/>
    <col min="23" max="23" width="2.7109375" style="102" customWidth="1"/>
    <col min="24" max="24" width="14.140625" style="102" bestFit="1" customWidth="1"/>
    <col min="25" max="26" width="11" style="102" customWidth="1"/>
    <col min="27" max="27" width="14.140625" style="102" bestFit="1" customWidth="1"/>
    <col min="28" max="30" width="12.7109375" style="102" bestFit="1" customWidth="1"/>
    <col min="31" max="31" width="13.7109375" style="102" bestFit="1" customWidth="1"/>
    <col min="32" max="32" width="13.7109375" style="102" customWidth="1"/>
    <col min="33" max="16384" width="9.140625" style="102"/>
  </cols>
  <sheetData>
    <row r="1" spans="1:28" s="94" customFormat="1" x14ac:dyDescent="0.25">
      <c r="A1" s="93"/>
      <c r="B1" s="172" t="s">
        <v>116</v>
      </c>
      <c r="C1" s="171"/>
      <c r="D1" s="171"/>
      <c r="E1" s="171"/>
      <c r="F1" s="171"/>
      <c r="G1" s="171"/>
      <c r="H1" s="171"/>
      <c r="I1" s="173"/>
      <c r="J1" s="171"/>
      <c r="K1" s="174"/>
      <c r="L1" s="175"/>
      <c r="M1" s="175"/>
      <c r="N1" s="175"/>
      <c r="O1" s="175"/>
      <c r="P1" s="175"/>
      <c r="Q1" s="176"/>
      <c r="R1" s="176"/>
      <c r="S1" s="176"/>
      <c r="T1" s="171"/>
      <c r="U1" s="171"/>
      <c r="V1" s="171"/>
    </row>
    <row r="2" spans="1:28" s="94" customFormat="1" x14ac:dyDescent="0.25">
      <c r="A2" s="93"/>
      <c r="I2" s="95"/>
      <c r="K2" s="96"/>
      <c r="L2" s="97"/>
      <c r="M2" s="97"/>
      <c r="N2" s="97"/>
      <c r="O2" s="97"/>
      <c r="P2" s="97"/>
      <c r="Q2" s="98"/>
      <c r="R2" s="98"/>
      <c r="S2" s="222" t="s">
        <v>129</v>
      </c>
      <c r="T2" s="219"/>
      <c r="U2" s="220">
        <v>5.6300000000000003E-2</v>
      </c>
    </row>
    <row r="3" spans="1:28" s="94" customFormat="1" x14ac:dyDescent="0.25">
      <c r="A3" s="93"/>
      <c r="I3" s="95"/>
      <c r="K3" s="96"/>
      <c r="L3" s="97"/>
      <c r="M3" s="97"/>
      <c r="N3" s="97"/>
      <c r="O3" s="97"/>
      <c r="P3" s="97"/>
      <c r="Q3" s="98"/>
      <c r="R3" s="98"/>
      <c r="S3" s="222" t="s">
        <v>130</v>
      </c>
      <c r="T3" s="219"/>
      <c r="U3" s="221">
        <v>-5.0000000000000004E-6</v>
      </c>
      <c r="Y3" s="218"/>
      <c r="Z3" s="218"/>
    </row>
    <row r="4" spans="1:28" ht="6" customHeight="1" thickBot="1" x14ac:dyDescent="0.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  <c r="N4" s="99"/>
      <c r="O4" s="99"/>
      <c r="P4" s="99"/>
      <c r="Q4" s="99"/>
      <c r="R4" s="99"/>
      <c r="S4" s="99"/>
      <c r="T4" s="99"/>
      <c r="U4" s="99"/>
      <c r="V4" s="99"/>
      <c r="W4" s="101"/>
      <c r="X4" s="94"/>
      <c r="Y4" s="94"/>
      <c r="Z4" s="94"/>
      <c r="AA4" s="94"/>
      <c r="AB4" s="94"/>
    </row>
    <row r="5" spans="1:28" ht="6" customHeight="1" thickTop="1" x14ac:dyDescent="0.2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N5" s="103"/>
      <c r="O5" s="103"/>
      <c r="P5" s="103"/>
      <c r="Q5" s="103"/>
      <c r="R5" s="103"/>
      <c r="S5" s="103"/>
      <c r="T5" s="103"/>
      <c r="U5" s="103"/>
      <c r="V5" s="103"/>
      <c r="W5" s="101"/>
      <c r="X5" s="94"/>
      <c r="Y5" s="94"/>
      <c r="Z5" s="94"/>
      <c r="AA5" s="94"/>
      <c r="AB5" s="94"/>
    </row>
    <row r="6" spans="1:28" x14ac:dyDescent="0.25">
      <c r="B6" s="103"/>
      <c r="C6" s="103"/>
      <c r="D6" s="103"/>
      <c r="E6" s="105" t="s">
        <v>76</v>
      </c>
      <c r="F6" s="105"/>
      <c r="G6" s="105"/>
      <c r="H6" s="105"/>
      <c r="I6" s="105"/>
      <c r="J6" s="105"/>
      <c r="K6" s="106"/>
      <c r="L6" s="106"/>
      <c r="M6" s="107"/>
      <c r="N6" s="108" t="s">
        <v>77</v>
      </c>
      <c r="O6" s="109"/>
      <c r="P6" s="109"/>
      <c r="Q6" s="109"/>
      <c r="R6" s="109"/>
      <c r="S6" s="109"/>
      <c r="T6" s="103"/>
      <c r="U6" s="110" t="s">
        <v>78</v>
      </c>
      <c r="V6" s="111"/>
      <c r="W6" s="101"/>
      <c r="X6" s="94"/>
      <c r="Y6" s="218"/>
      <c r="Z6" s="218"/>
      <c r="AA6" s="94"/>
      <c r="AB6" s="94"/>
    </row>
    <row r="7" spans="1:28" ht="40.5" customHeight="1" x14ac:dyDescent="0.25">
      <c r="B7" s="103"/>
      <c r="C7" s="103"/>
      <c r="D7" s="103"/>
      <c r="E7" s="112">
        <v>2009</v>
      </c>
      <c r="F7" s="112">
        <v>2010</v>
      </c>
      <c r="G7" s="112">
        <v>2011</v>
      </c>
      <c r="H7" s="112">
        <v>2012</v>
      </c>
      <c r="I7" s="112">
        <v>2013</v>
      </c>
      <c r="J7" s="112">
        <v>2014</v>
      </c>
      <c r="K7" s="112">
        <v>2015</v>
      </c>
      <c r="L7" s="112">
        <v>2016</v>
      </c>
      <c r="M7" s="104"/>
      <c r="N7" s="113" t="s">
        <v>79</v>
      </c>
      <c r="O7" s="113" t="s">
        <v>80</v>
      </c>
      <c r="P7" s="113" t="s">
        <v>81</v>
      </c>
      <c r="Q7" s="113" t="s">
        <v>79</v>
      </c>
      <c r="R7" s="113" t="s">
        <v>80</v>
      </c>
      <c r="S7" s="113" t="s">
        <v>81</v>
      </c>
      <c r="T7" s="103"/>
      <c r="U7" s="113" t="s">
        <v>82</v>
      </c>
      <c r="V7" s="113" t="s">
        <v>83</v>
      </c>
      <c r="W7" s="101"/>
      <c r="X7" s="94"/>
      <c r="Y7" s="94"/>
      <c r="Z7" s="94"/>
      <c r="AA7" s="94"/>
      <c r="AB7" s="94"/>
    </row>
    <row r="8" spans="1:28" s="119" customFormat="1" x14ac:dyDescent="0.25">
      <c r="A8" s="114"/>
      <c r="B8" s="115"/>
      <c r="C8" s="115"/>
      <c r="D8" s="115"/>
      <c r="E8" s="116" t="s">
        <v>20</v>
      </c>
      <c r="F8" s="116" t="s">
        <v>20</v>
      </c>
      <c r="G8" s="116" t="s">
        <v>20</v>
      </c>
      <c r="H8" s="116" t="s">
        <v>20</v>
      </c>
      <c r="I8" s="116" t="s">
        <v>20</v>
      </c>
      <c r="J8" s="116" t="s">
        <v>20</v>
      </c>
      <c r="K8" s="116" t="s">
        <v>20</v>
      </c>
      <c r="L8" s="116" t="s">
        <v>20</v>
      </c>
      <c r="M8" s="117"/>
      <c r="N8" s="117" t="s">
        <v>20</v>
      </c>
      <c r="O8" s="117" t="s">
        <v>20</v>
      </c>
      <c r="P8" s="117" t="s">
        <v>20</v>
      </c>
      <c r="Q8" s="118" t="s">
        <v>21</v>
      </c>
      <c r="R8" s="118" t="s">
        <v>21</v>
      </c>
      <c r="S8" s="118" t="s">
        <v>21</v>
      </c>
      <c r="T8" s="115"/>
      <c r="U8" s="117" t="s">
        <v>20</v>
      </c>
      <c r="V8" s="117" t="s">
        <v>20</v>
      </c>
      <c r="W8" s="101"/>
      <c r="X8" s="94"/>
      <c r="Y8" s="94"/>
      <c r="Z8" s="94"/>
      <c r="AA8" s="94"/>
      <c r="AB8" s="94"/>
    </row>
    <row r="9" spans="1:28" s="119" customFormat="1" x14ac:dyDescent="0.25">
      <c r="A9" s="114"/>
      <c r="B9" s="115"/>
      <c r="C9" s="115"/>
      <c r="D9" s="115"/>
      <c r="E9" s="117"/>
      <c r="F9" s="117"/>
      <c r="G9" s="117"/>
      <c r="H9" s="117"/>
      <c r="I9" s="117"/>
      <c r="J9" s="117"/>
      <c r="K9" s="117"/>
      <c r="L9" s="117"/>
      <c r="M9" s="117"/>
      <c r="N9" s="120">
        <v>1</v>
      </c>
      <c r="O9" s="120">
        <f>N9+1</f>
        <v>2</v>
      </c>
      <c r="P9" s="120">
        <f>O9+1</f>
        <v>3</v>
      </c>
      <c r="Q9" s="120">
        <f>P9+1</f>
        <v>4</v>
      </c>
      <c r="R9" s="120">
        <f>Q9+1</f>
        <v>5</v>
      </c>
      <c r="S9" s="120">
        <f>R9+1</f>
        <v>6</v>
      </c>
      <c r="T9" s="120"/>
      <c r="U9" s="120">
        <f>S9+1</f>
        <v>7</v>
      </c>
      <c r="V9" s="120">
        <v>8</v>
      </c>
      <c r="W9" s="101"/>
      <c r="X9" s="94"/>
      <c r="Y9" s="94"/>
      <c r="Z9" s="94"/>
      <c r="AA9" s="94"/>
      <c r="AB9" s="94"/>
    </row>
    <row r="10" spans="1:28" ht="3.75" customHeight="1" x14ac:dyDescent="0.25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  <c r="N10" s="121"/>
      <c r="O10" s="121"/>
      <c r="P10" s="121"/>
      <c r="Q10" s="121"/>
      <c r="R10" s="121"/>
      <c r="S10" s="121"/>
      <c r="T10" s="121"/>
      <c r="U10" s="121"/>
      <c r="V10" s="121"/>
      <c r="W10" s="101"/>
      <c r="X10" s="94"/>
      <c r="Y10" s="94"/>
      <c r="Z10" s="94"/>
      <c r="AA10" s="94"/>
      <c r="AB10" s="94"/>
    </row>
    <row r="11" spans="1:28" ht="3.75" customHeight="1" x14ac:dyDescent="0.25">
      <c r="B11" s="101"/>
      <c r="C11" s="101"/>
      <c r="D11" s="101"/>
      <c r="E11" s="116"/>
      <c r="F11" s="116"/>
      <c r="G11" s="116"/>
      <c r="H11" s="116"/>
      <c r="I11" s="116"/>
      <c r="J11" s="116"/>
      <c r="K11" s="116"/>
      <c r="L11" s="116"/>
      <c r="M11" s="107"/>
      <c r="N11" s="116"/>
      <c r="O11" s="116"/>
      <c r="P11" s="116"/>
      <c r="Q11" s="123"/>
      <c r="R11" s="123"/>
      <c r="S11" s="123"/>
      <c r="T11" s="101"/>
      <c r="U11" s="124"/>
      <c r="V11" s="124"/>
      <c r="W11" s="101"/>
      <c r="X11" s="94"/>
      <c r="Y11" s="94"/>
      <c r="Z11" s="94"/>
      <c r="AA11" s="94"/>
      <c r="AB11" s="94"/>
    </row>
    <row r="12" spans="1:28" x14ac:dyDescent="0.2">
      <c r="A12" s="158"/>
      <c r="B12" s="125" t="s">
        <v>84</v>
      </c>
      <c r="C12" s="101"/>
      <c r="D12" s="101"/>
      <c r="E12" s="116"/>
      <c r="F12" s="116"/>
      <c r="G12" s="116"/>
      <c r="H12" s="116"/>
      <c r="I12" s="116"/>
      <c r="J12" s="116"/>
      <c r="K12" s="116"/>
      <c r="L12" s="116"/>
      <c r="M12" s="107"/>
      <c r="N12" s="116"/>
      <c r="O12" s="116"/>
      <c r="P12" s="116"/>
      <c r="Q12" s="123"/>
      <c r="R12" s="123"/>
      <c r="S12" s="123"/>
      <c r="T12" s="101"/>
      <c r="U12" s="124"/>
      <c r="V12" s="126"/>
      <c r="W12" s="101"/>
      <c r="X12" s="94"/>
      <c r="Y12" s="217"/>
      <c r="Z12" s="94"/>
      <c r="AA12" s="94"/>
      <c r="AB12" s="94"/>
    </row>
    <row r="13" spans="1:28" x14ac:dyDescent="0.25">
      <c r="A13" s="159">
        <f>AVERAGE(E13:L13)</f>
        <v>154261.17499999999</v>
      </c>
      <c r="B13" s="127" t="s">
        <v>85</v>
      </c>
      <c r="C13" s="101"/>
      <c r="D13" s="103"/>
      <c r="E13" s="128">
        <v>133551.00000000003</v>
      </c>
      <c r="F13" s="128">
        <v>133092.70000000007</v>
      </c>
      <c r="G13" s="128">
        <v>137720.30000000005</v>
      </c>
      <c r="H13" s="128">
        <v>145373.29999999996</v>
      </c>
      <c r="I13" s="128">
        <v>160898.09999999992</v>
      </c>
      <c r="J13" s="128">
        <v>160486.29999999987</v>
      </c>
      <c r="K13" s="128">
        <v>178587.7000000001</v>
      </c>
      <c r="L13" s="128">
        <v>184380</v>
      </c>
      <c r="M13" s="107"/>
      <c r="N13" s="153">
        <f>STDEV(E13:L13)</f>
        <v>20040.441051658527</v>
      </c>
      <c r="O13" s="153">
        <f t="shared" ref="O13:O16" si="0">STDEV(F13-E13,G13-F13,H13-G13,I13-H13,J13-I13,K13-J13,L13-K13)</f>
        <v>7228.5274388884127</v>
      </c>
      <c r="P13" s="129">
        <v>4816.4253610682872</v>
      </c>
      <c r="Q13" s="197">
        <f>N13/AVERAGE(E13:L13)</f>
        <v>0.12991241024618494</v>
      </c>
      <c r="R13" s="197">
        <f>O13/AVERAGE(E13:L13)</f>
        <v>4.6859019704007916E-2</v>
      </c>
      <c r="S13" s="197">
        <f>P13/AVERAGE(E13:L13)</f>
        <v>3.1222537758242068E-2</v>
      </c>
      <c r="T13" s="101"/>
      <c r="U13" s="130">
        <f>($U$2*EXP(L13*$U$3)*L13)</f>
        <v>4129.0117867841045</v>
      </c>
      <c r="V13" s="131">
        <v>4054.0074654999535</v>
      </c>
      <c r="W13" s="101"/>
      <c r="X13" s="94"/>
      <c r="Y13" s="94"/>
      <c r="Z13" s="94"/>
      <c r="AA13" s="94"/>
      <c r="AB13" s="94"/>
    </row>
    <row r="14" spans="1:28" x14ac:dyDescent="0.25">
      <c r="A14" s="159">
        <f t="shared" ref="A14:A30" si="1">AVERAGE(E14:L14)</f>
        <v>146336.14999999997</v>
      </c>
      <c r="B14" s="127" t="s">
        <v>86</v>
      </c>
      <c r="C14" s="101"/>
      <c r="D14" s="115" t="s">
        <v>87</v>
      </c>
      <c r="E14" s="128">
        <v>133551.00000000003</v>
      </c>
      <c r="F14" s="128">
        <v>133092.70000000007</v>
      </c>
      <c r="G14" s="128">
        <v>137057.10000000003</v>
      </c>
      <c r="H14" s="128">
        <v>144332.49999999997</v>
      </c>
      <c r="I14" s="128">
        <v>146478.99999999991</v>
      </c>
      <c r="J14" s="128">
        <v>146645.89999999985</v>
      </c>
      <c r="K14" s="128">
        <v>163802.2000000001</v>
      </c>
      <c r="L14" s="128">
        <v>165728.79999999999</v>
      </c>
      <c r="M14" s="107"/>
      <c r="N14" s="153">
        <f>STDEV(E14:L14)</f>
        <v>12593.754339013785</v>
      </c>
      <c r="O14" s="153">
        <f t="shared" si="0"/>
        <v>6105.0232884389661</v>
      </c>
      <c r="P14" s="129">
        <v>3983.226676796623</v>
      </c>
      <c r="Q14" s="197">
        <f t="shared" ref="Q14:Q16" si="2">N14/AVERAGE(E14:L14)</f>
        <v>8.6060446027955415E-2</v>
      </c>
      <c r="R14" s="197">
        <f t="shared" ref="R14:R16" si="3">O14/AVERAGE(E14:L14)</f>
        <v>4.1719173891338314E-2</v>
      </c>
      <c r="S14" s="197">
        <f t="shared" ref="S14:S16" si="4">P14/AVERAGE(E14:L14)</f>
        <v>2.721970392686034E-2</v>
      </c>
      <c r="T14" s="101"/>
      <c r="U14" s="132"/>
      <c r="V14" s="132"/>
      <c r="W14" s="101"/>
      <c r="X14" s="94"/>
      <c r="Y14" s="94"/>
      <c r="Z14" s="94"/>
      <c r="AA14" s="94"/>
      <c r="AB14" s="94"/>
    </row>
    <row r="15" spans="1:28" x14ac:dyDescent="0.25">
      <c r="A15" s="159">
        <f t="shared" si="1"/>
        <v>150421.99941749999</v>
      </c>
      <c r="B15" s="127" t="s">
        <v>88</v>
      </c>
      <c r="C15" s="101"/>
      <c r="D15" s="115" t="s">
        <v>89</v>
      </c>
      <c r="E15" s="128">
        <v>133551.00000000003</v>
      </c>
      <c r="F15" s="128">
        <v>133092.70000000007</v>
      </c>
      <c r="G15" s="128">
        <v>137720.30000000005</v>
      </c>
      <c r="H15" s="128">
        <v>145373.29999999996</v>
      </c>
      <c r="I15" s="128">
        <v>160898.09999999992</v>
      </c>
      <c r="J15" s="128">
        <v>160486.29999999987</v>
      </c>
      <c r="K15" s="128">
        <v>163230.9976700001</v>
      </c>
      <c r="L15" s="128">
        <v>169023.29767</v>
      </c>
      <c r="M15" s="107"/>
      <c r="N15" s="153">
        <f>STDEV(E15:L15)</f>
        <v>14603.694914487538</v>
      </c>
      <c r="O15" s="153">
        <f t="shared" si="0"/>
        <v>5518.3238001287245</v>
      </c>
      <c r="P15" s="129">
        <v>3878.1992286048931</v>
      </c>
      <c r="Q15" s="197">
        <f t="shared" si="2"/>
        <v>9.7084834472613415E-2</v>
      </c>
      <c r="R15" s="197">
        <f t="shared" si="3"/>
        <v>3.668561660859513E-2</v>
      </c>
      <c r="S15" s="197">
        <f t="shared" si="4"/>
        <v>2.5782127904315746E-2</v>
      </c>
      <c r="T15" s="101"/>
      <c r="U15" s="132"/>
      <c r="V15" s="132"/>
      <c r="W15" s="101"/>
      <c r="X15" s="94"/>
      <c r="Y15" s="94"/>
      <c r="Z15" s="94"/>
      <c r="AA15" s="94"/>
      <c r="AB15" s="94"/>
    </row>
    <row r="16" spans="1:28" x14ac:dyDescent="0.25">
      <c r="A16" s="159">
        <f t="shared" si="1"/>
        <v>145077.86736499998</v>
      </c>
      <c r="B16" s="127" t="s">
        <v>90</v>
      </c>
      <c r="C16" s="101"/>
      <c r="D16" s="115" t="s">
        <v>91</v>
      </c>
      <c r="E16" s="128">
        <v>133551.00000000003</v>
      </c>
      <c r="F16" s="128">
        <v>133092.70000000007</v>
      </c>
      <c r="G16" s="128">
        <v>137057.10000000003</v>
      </c>
      <c r="H16" s="128">
        <v>144332.49999999997</v>
      </c>
      <c r="I16" s="128">
        <v>146478.99999999991</v>
      </c>
      <c r="J16" s="128">
        <v>146645.89999999985</v>
      </c>
      <c r="K16" s="128">
        <v>158769.06946000009</v>
      </c>
      <c r="L16" s="128">
        <v>160695.66945999998</v>
      </c>
      <c r="M16" s="107"/>
      <c r="N16" s="161">
        <f>STDEV(E16:L16)</f>
        <v>10536.927213645373</v>
      </c>
      <c r="O16" s="153">
        <f t="shared" si="0"/>
        <v>4451.8615207801122</v>
      </c>
      <c r="P16" s="129">
        <v>2696.6650750787976</v>
      </c>
      <c r="Q16" s="197">
        <f t="shared" si="2"/>
        <v>7.2629460337569077E-2</v>
      </c>
      <c r="R16" s="197">
        <f t="shared" si="3"/>
        <v>3.0686014356550453E-2</v>
      </c>
      <c r="S16" s="197">
        <f t="shared" si="4"/>
        <v>1.8587708270444068E-2</v>
      </c>
      <c r="T16" s="101"/>
      <c r="U16" s="132"/>
      <c r="V16" s="132"/>
      <c r="W16" s="101"/>
      <c r="X16" s="94"/>
      <c r="Y16" s="94"/>
      <c r="Z16" s="94"/>
      <c r="AA16" s="94"/>
      <c r="AB16" s="94"/>
    </row>
    <row r="17" spans="1:28" x14ac:dyDescent="0.25">
      <c r="A17" s="159"/>
      <c r="B17" s="134"/>
      <c r="C17" s="134"/>
      <c r="D17" s="134"/>
      <c r="E17" s="103"/>
      <c r="F17" s="103"/>
      <c r="G17" s="103"/>
      <c r="H17" s="103"/>
      <c r="I17" s="103"/>
      <c r="J17" s="103"/>
      <c r="K17" s="103"/>
      <c r="L17" s="103"/>
      <c r="M17" s="104"/>
      <c r="N17" s="103"/>
      <c r="O17" s="103"/>
      <c r="P17" s="133"/>
      <c r="Q17" s="197"/>
      <c r="R17" s="197"/>
      <c r="S17" s="197"/>
      <c r="T17" s="103"/>
      <c r="U17" s="136"/>
      <c r="V17" s="136"/>
      <c r="W17" s="136"/>
      <c r="X17" s="94"/>
      <c r="Y17" s="94"/>
      <c r="Z17" s="94"/>
      <c r="AA17" s="94"/>
      <c r="AB17" s="94"/>
    </row>
    <row r="18" spans="1:28" x14ac:dyDescent="0.25">
      <c r="A18" s="159"/>
      <c r="B18" s="137" t="s">
        <v>92</v>
      </c>
      <c r="C18" s="134"/>
      <c r="D18" s="134"/>
      <c r="E18" s="128"/>
      <c r="F18" s="128"/>
      <c r="G18" s="128"/>
      <c r="H18" s="128"/>
      <c r="I18" s="128"/>
      <c r="J18" s="128"/>
      <c r="K18" s="128"/>
      <c r="L18" s="128"/>
      <c r="M18" s="104"/>
      <c r="N18" s="103"/>
      <c r="O18" s="103"/>
      <c r="P18" s="103"/>
      <c r="Q18" s="197"/>
      <c r="R18" s="197"/>
      <c r="S18" s="197"/>
      <c r="T18" s="103"/>
      <c r="U18" s="136"/>
      <c r="V18" s="136"/>
      <c r="W18" s="136"/>
      <c r="X18" s="94"/>
      <c r="Y18" s="94"/>
      <c r="Z18" s="94"/>
      <c r="AA18" s="94"/>
      <c r="AB18" s="94"/>
    </row>
    <row r="19" spans="1:28" x14ac:dyDescent="0.25">
      <c r="A19" s="159">
        <f t="shared" si="1"/>
        <v>68289.712500000023</v>
      </c>
      <c r="B19" s="127" t="s">
        <v>1</v>
      </c>
      <c r="C19" s="134"/>
      <c r="D19" s="134"/>
      <c r="E19" s="128">
        <v>63442.500000000138</v>
      </c>
      <c r="F19" s="128">
        <v>63918.8</v>
      </c>
      <c r="G19" s="128">
        <v>65581.700000000026</v>
      </c>
      <c r="H19" s="128">
        <v>68282.5</v>
      </c>
      <c r="I19" s="128">
        <v>68338.000000000015</v>
      </c>
      <c r="J19" s="128">
        <v>70885.400000000052</v>
      </c>
      <c r="K19" s="128">
        <v>74260.499999999985</v>
      </c>
      <c r="L19" s="128">
        <v>71608.299999999945</v>
      </c>
      <c r="M19" s="104"/>
      <c r="N19" s="153">
        <f>STDEV(E19:L19)</f>
        <v>3842.1902323088775</v>
      </c>
      <c r="O19" s="153">
        <f>STDEV(F19-E19,G19-F19,H19-G19,I19-H19,J19-I19,K19-J19,L19-K19)</f>
        <v>2068.7538494281639</v>
      </c>
      <c r="P19" s="128">
        <v>1229.1321824726308</v>
      </c>
      <c r="Q19" s="197">
        <f>N19/AVERAGE(E19:L19)</f>
        <v>5.626308988061527E-2</v>
      </c>
      <c r="R19" s="197">
        <f>O19/AVERAGE(E19:L19)</f>
        <v>3.0293784725307832E-2</v>
      </c>
      <c r="S19" s="197">
        <f>P19/AVERAGE(E19:L19)</f>
        <v>1.7998789824640576E-2</v>
      </c>
      <c r="T19" s="103"/>
      <c r="U19" s="130">
        <f>($U$2*EXP(L19*$U$3)*L19)</f>
        <v>2818.229202115755</v>
      </c>
      <c r="V19" s="131">
        <v>2767.0355074877957</v>
      </c>
      <c r="W19" s="136"/>
      <c r="X19" s="94"/>
      <c r="Y19" s="94"/>
      <c r="Z19" s="94"/>
      <c r="AA19" s="94"/>
      <c r="AB19" s="94"/>
    </row>
    <row r="20" spans="1:28" x14ac:dyDescent="0.25">
      <c r="A20" s="159">
        <f t="shared" si="1"/>
        <v>33351.450000000019</v>
      </c>
      <c r="B20" s="127" t="s">
        <v>2</v>
      </c>
      <c r="C20" s="134"/>
      <c r="D20" s="134"/>
      <c r="E20" s="128">
        <v>31684.2</v>
      </c>
      <c r="F20" s="128">
        <v>31217.60000000006</v>
      </c>
      <c r="G20" s="128">
        <v>32034.000000000058</v>
      </c>
      <c r="H20" s="128">
        <v>32982.500000000015</v>
      </c>
      <c r="I20" s="128">
        <v>33007.400000000045</v>
      </c>
      <c r="J20" s="128">
        <v>34519.599999999999</v>
      </c>
      <c r="K20" s="128">
        <v>37226.399999999987</v>
      </c>
      <c r="L20" s="128">
        <v>34139.899999999972</v>
      </c>
      <c r="M20" s="104"/>
      <c r="N20" s="153">
        <f>STDEV(E20:L20)</f>
        <v>1939.2440618520623</v>
      </c>
      <c r="O20" s="153">
        <f t="shared" ref="O20:O21" si="5">STDEV(F20-E20,G20-F20,H20-G20,I20-H20,J20-I20,K20-J20,L20-K20)</f>
        <v>1828.6151166283914</v>
      </c>
      <c r="P20" s="128">
        <v>1102.2349487803799</v>
      </c>
      <c r="Q20" s="197">
        <f t="shared" ref="Q20:Q23" si="6">N20/AVERAGE(E20:L20)</f>
        <v>5.8145719656928295E-2</v>
      </c>
      <c r="R20" s="197">
        <f t="shared" ref="R20:R23" si="7">O20/AVERAGE(E20:L20)</f>
        <v>5.4828654125334594E-2</v>
      </c>
      <c r="S20" s="197">
        <f t="shared" ref="S20:S22" si="8">P20/AVERAGE(E20:L20)</f>
        <v>3.3049086285015475E-2</v>
      </c>
      <c r="T20" s="103"/>
      <c r="U20" s="130">
        <f>($U$2*EXP(L20*$U$3)*L20)</f>
        <v>1620.4543038579416</v>
      </c>
      <c r="V20" s="131">
        <v>1591.0184287602094</v>
      </c>
      <c r="W20" s="136"/>
      <c r="X20" s="94"/>
      <c r="Y20" s="94"/>
      <c r="Z20" s="94"/>
      <c r="AA20" s="94"/>
      <c r="AB20" s="94"/>
    </row>
    <row r="21" spans="1:28" x14ac:dyDescent="0.25">
      <c r="A21" s="159">
        <f t="shared" si="1"/>
        <v>11827.587500000003</v>
      </c>
      <c r="B21" s="127" t="s">
        <v>3</v>
      </c>
      <c r="C21" s="134"/>
      <c r="D21" s="134"/>
      <c r="E21" s="128">
        <v>10311.700000000003</v>
      </c>
      <c r="F21" s="128">
        <v>10928.200000000008</v>
      </c>
      <c r="G21" s="128">
        <v>11651.100000000008</v>
      </c>
      <c r="H21" s="128">
        <v>12395.799999999997</v>
      </c>
      <c r="I21" s="128">
        <v>11768.2</v>
      </c>
      <c r="J21" s="128">
        <v>12457.800000000001</v>
      </c>
      <c r="K21" s="128">
        <v>12721.900000000005</v>
      </c>
      <c r="L21" s="128">
        <v>12386.000000000004</v>
      </c>
      <c r="M21" s="104"/>
      <c r="N21" s="153">
        <f>STDEV(E21:L21)</f>
        <v>842.88112267643282</v>
      </c>
      <c r="O21" s="153">
        <f t="shared" si="5"/>
        <v>561.92643858511462</v>
      </c>
      <c r="P21" s="128">
        <v>408.6162990054828</v>
      </c>
      <c r="Q21" s="197">
        <f t="shared" si="6"/>
        <v>7.1263993834451242E-2</v>
      </c>
      <c r="R21" s="197">
        <f t="shared" si="7"/>
        <v>4.750981031297502E-2</v>
      </c>
      <c r="S21" s="197">
        <f t="shared" si="8"/>
        <v>3.4547729958073252E-2</v>
      </c>
      <c r="T21" s="103"/>
      <c r="U21" s="130">
        <f>($U$2*EXP(L21*$U$3)*L21)</f>
        <v>655.45610555678547</v>
      </c>
      <c r="V21" s="131">
        <v>643.54961488359459</v>
      </c>
      <c r="W21" s="136"/>
      <c r="X21" s="94"/>
      <c r="Y21" s="94"/>
      <c r="Z21" s="94"/>
      <c r="AA21" s="94"/>
      <c r="AB21" s="94"/>
    </row>
    <row r="22" spans="1:28" x14ac:dyDescent="0.25">
      <c r="A22" s="159">
        <f t="shared" si="1"/>
        <v>12645.700000000004</v>
      </c>
      <c r="B22" s="127" t="s">
        <v>8</v>
      </c>
      <c r="C22" s="134"/>
      <c r="D22" s="134"/>
      <c r="E22" s="131" t="s">
        <v>16</v>
      </c>
      <c r="F22" s="131" t="s">
        <v>16</v>
      </c>
      <c r="G22" s="131" t="s">
        <v>16</v>
      </c>
      <c r="H22" s="131" t="s">
        <v>16</v>
      </c>
      <c r="I22" s="128">
        <v>13334.999999999996</v>
      </c>
      <c r="J22" s="128">
        <v>12679.400000000014</v>
      </c>
      <c r="K22" s="128">
        <v>11777.100000000002</v>
      </c>
      <c r="L22" s="128">
        <v>12791.300000000003</v>
      </c>
      <c r="M22" s="104"/>
      <c r="N22" s="153">
        <f>STDEV(E22:L22)</f>
        <v>645.99677501774806</v>
      </c>
      <c r="O22" s="201">
        <f>STDEV(J22-I22,K22-J22,L22-K22)</f>
        <v>1042.598131272704</v>
      </c>
      <c r="P22" s="128">
        <v>557.08459022546742</v>
      </c>
      <c r="Q22" s="197">
        <f t="shared" si="6"/>
        <v>5.1084303361438897E-2</v>
      </c>
      <c r="R22" s="197">
        <f t="shared" si="7"/>
        <v>8.2446850018006404E-2</v>
      </c>
      <c r="S22" s="197">
        <f t="shared" si="8"/>
        <v>4.4053282161166815E-2</v>
      </c>
      <c r="T22" s="103"/>
      <c r="U22" s="130">
        <f>($U$2*EXP(L22*$U$3)*L22)</f>
        <v>675.53386371694637</v>
      </c>
      <c r="V22" s="138">
        <v>663.262656568853</v>
      </c>
      <c r="W22" s="136"/>
      <c r="X22" s="94"/>
      <c r="Y22" s="94"/>
      <c r="Z22" s="94"/>
      <c r="AA22" s="94"/>
      <c r="AB22" s="94"/>
    </row>
    <row r="23" spans="1:28" x14ac:dyDescent="0.25">
      <c r="A23" s="159">
        <f t="shared" si="1"/>
        <v>7622.0249999999987</v>
      </c>
      <c r="B23" s="127" t="s">
        <v>4</v>
      </c>
      <c r="C23" s="134"/>
      <c r="D23" s="134"/>
      <c r="E23" s="128">
        <v>6956.5999999999976</v>
      </c>
      <c r="F23" s="128">
        <v>7219.8999999999969</v>
      </c>
      <c r="G23" s="128">
        <v>7402.9999999999973</v>
      </c>
      <c r="H23" s="128">
        <v>7431.4000000000005</v>
      </c>
      <c r="I23" s="128">
        <v>8033.0999999999985</v>
      </c>
      <c r="J23" s="128">
        <v>8183.8</v>
      </c>
      <c r="K23" s="128">
        <v>8964.0999999999949</v>
      </c>
      <c r="L23" s="128">
        <v>6784.2999999999975</v>
      </c>
      <c r="M23" s="104"/>
      <c r="N23" s="153">
        <f>STDEV(E23:L23)</f>
        <v>724.69964960862001</v>
      </c>
      <c r="O23" s="153">
        <f>STDEV(F23-E23,G23-F23,H23-G23,I23-H23,J23-I23,K23-J23,L23-K23)</f>
        <v>986.96230327973251</v>
      </c>
      <c r="P23" s="128">
        <v>657.39660447726339</v>
      </c>
      <c r="Q23" s="197">
        <f t="shared" si="6"/>
        <v>9.5079673657409963E-2</v>
      </c>
      <c r="R23" s="197">
        <f t="shared" si="7"/>
        <v>0.12948820074451772</v>
      </c>
      <c r="S23" s="197">
        <f>P23/AVERAGE(E23:L23)</f>
        <v>8.6249599611292735E-2</v>
      </c>
      <c r="T23" s="133"/>
      <c r="U23" s="130">
        <f>($U$2*EXP(L23*$U$3)*L23)</f>
        <v>369.21685500230296</v>
      </c>
      <c r="V23" s="131">
        <v>362.50995731197577</v>
      </c>
      <c r="W23" s="136"/>
      <c r="X23" s="94"/>
      <c r="Y23" s="94"/>
      <c r="Z23" s="94"/>
      <c r="AA23" s="94"/>
      <c r="AB23" s="94"/>
    </row>
    <row r="24" spans="1:28" x14ac:dyDescent="0.25">
      <c r="A24" s="159"/>
      <c r="B24" s="139" t="s">
        <v>93</v>
      </c>
      <c r="C24" s="134"/>
      <c r="D24" s="134"/>
      <c r="E24" s="103"/>
      <c r="F24" s="103"/>
      <c r="G24" s="103"/>
      <c r="H24" s="103"/>
      <c r="I24" s="103"/>
      <c r="J24" s="103"/>
      <c r="K24" s="103"/>
      <c r="L24" s="103"/>
      <c r="M24" s="104"/>
      <c r="N24" s="195">
        <f t="shared" ref="N24:R24" si="9">AVERAGE(N19:N23)</f>
        <v>1599.0023682927481</v>
      </c>
      <c r="O24" s="195">
        <f t="shared" si="9"/>
        <v>1297.7711678388214</v>
      </c>
      <c r="P24" s="195">
        <f t="shared" si="9"/>
        <v>790.89292499224473</v>
      </c>
      <c r="Q24" s="198">
        <f t="shared" si="9"/>
        <v>6.6367356078168738E-2</v>
      </c>
      <c r="R24" s="198">
        <f t="shared" si="9"/>
        <v>6.8913459985228312E-2</v>
      </c>
      <c r="S24" s="199">
        <f>AVERAGE(S19:S23)</f>
        <v>4.317969756803778E-2</v>
      </c>
      <c r="T24" s="133"/>
      <c r="U24" s="140"/>
      <c r="V24" s="141"/>
      <c r="W24" s="136"/>
      <c r="X24" s="94"/>
      <c r="Y24" s="94"/>
      <c r="Z24" s="94"/>
      <c r="AA24" s="94"/>
      <c r="AB24" s="94"/>
    </row>
    <row r="25" spans="1:28" ht="6.75" customHeight="1" x14ac:dyDescent="0.25">
      <c r="A25" s="159"/>
      <c r="B25" s="134"/>
      <c r="C25" s="134"/>
      <c r="D25" s="134"/>
      <c r="E25" s="103"/>
      <c r="F25" s="103"/>
      <c r="G25" s="103"/>
      <c r="H25" s="103"/>
      <c r="I25" s="103"/>
      <c r="J25" s="103"/>
      <c r="K25" s="103"/>
      <c r="L25" s="103"/>
      <c r="M25" s="104"/>
      <c r="N25" s="196"/>
      <c r="O25" s="153"/>
      <c r="P25" s="103"/>
      <c r="Q25" s="197"/>
      <c r="R25" s="197"/>
      <c r="S25" s="200"/>
      <c r="T25" s="133"/>
      <c r="U25" s="136"/>
      <c r="V25" s="136"/>
      <c r="W25" s="136"/>
      <c r="X25" s="94"/>
      <c r="Y25" s="94"/>
      <c r="Z25" s="94"/>
      <c r="AA25" s="94"/>
      <c r="AB25" s="94"/>
    </row>
    <row r="26" spans="1:28" x14ac:dyDescent="0.25">
      <c r="A26" s="159"/>
      <c r="B26" s="137" t="s">
        <v>94</v>
      </c>
      <c r="C26" s="137"/>
      <c r="D26" s="137"/>
      <c r="E26" s="103"/>
      <c r="F26" s="103"/>
      <c r="G26" s="103"/>
      <c r="H26" s="103"/>
      <c r="I26" s="103"/>
      <c r="J26" s="103"/>
      <c r="K26" s="103"/>
      <c r="L26" s="103"/>
      <c r="M26" s="104"/>
      <c r="N26" s="196"/>
      <c r="O26" s="196"/>
      <c r="P26" s="103"/>
      <c r="Q26" s="197"/>
      <c r="R26" s="197"/>
      <c r="S26" s="200"/>
      <c r="T26" s="133"/>
      <c r="U26" s="136"/>
      <c r="V26" s="136"/>
      <c r="W26" s="136"/>
      <c r="X26" s="94"/>
      <c r="Y26" s="94"/>
      <c r="Z26" s="94"/>
      <c r="AA26" s="94"/>
      <c r="AB26" s="94"/>
    </row>
    <row r="27" spans="1:28" x14ac:dyDescent="0.25">
      <c r="A27" s="159">
        <f t="shared" si="1"/>
        <v>5642.3125000000009</v>
      </c>
      <c r="B27" s="142" t="s">
        <v>7</v>
      </c>
      <c r="C27" s="143"/>
      <c r="D27" s="143"/>
      <c r="E27" s="128">
        <v>5063.8999999999996</v>
      </c>
      <c r="F27" s="128">
        <v>5497.5</v>
      </c>
      <c r="G27" s="128">
        <v>5670.2999999999993</v>
      </c>
      <c r="H27" s="128">
        <v>5381.4999999999991</v>
      </c>
      <c r="I27" s="128">
        <v>5288.9000000000015</v>
      </c>
      <c r="J27" s="128">
        <v>5875.199999999998</v>
      </c>
      <c r="K27" s="128">
        <v>6235.1000000000031</v>
      </c>
      <c r="L27" s="128">
        <v>6126.1000000000031</v>
      </c>
      <c r="M27" s="135"/>
      <c r="N27" s="153">
        <f>STDEV(E27:L27)</f>
        <v>412.12385252667599</v>
      </c>
      <c r="O27" s="153">
        <f t="shared" ref="O27:O28" si="10">STDEV(F27-E27,G27-F27,H27-G27,I27-H27,J27-I27,K27-J27,L27-K27)</f>
        <v>325.01908588646899</v>
      </c>
      <c r="P27" s="128">
        <v>233.5057208071394</v>
      </c>
      <c r="Q27" s="197">
        <f>N27/AVERAGE(E27:L27)</f>
        <v>7.3041656683616146E-2</v>
      </c>
      <c r="R27" s="197">
        <f>O27/AVERAGE(E27:L27)</f>
        <v>5.7603878885912278E-2</v>
      </c>
      <c r="S27" s="197">
        <f>P27/AVERAGE(E27:L27)</f>
        <v>4.1384755064016635E-2</v>
      </c>
      <c r="T27" s="133"/>
      <c r="U27" s="130">
        <f>($U$2*EXP(L27*$U$3)*L27)</f>
        <v>334.49514567763202</v>
      </c>
      <c r="V27" s="138">
        <v>328.41897475104497</v>
      </c>
      <c r="W27" s="129"/>
      <c r="X27" s="94"/>
      <c r="Y27" s="94"/>
      <c r="Z27" s="94"/>
      <c r="AA27" s="94"/>
      <c r="AB27" s="94"/>
    </row>
    <row r="28" spans="1:28" x14ac:dyDescent="0.25">
      <c r="A28" s="159">
        <f t="shared" si="1"/>
        <v>4065.2124999999996</v>
      </c>
      <c r="B28" s="127" t="s">
        <v>5</v>
      </c>
      <c r="C28" s="134"/>
      <c r="D28" s="134"/>
      <c r="E28" s="128">
        <v>3766.8</v>
      </c>
      <c r="F28" s="128">
        <v>3870.8</v>
      </c>
      <c r="G28" s="128">
        <v>4009.5</v>
      </c>
      <c r="H28" s="128">
        <v>3419.6</v>
      </c>
      <c r="I28" s="128">
        <v>4173.4000000000005</v>
      </c>
      <c r="J28" s="128">
        <v>4169.4999999999991</v>
      </c>
      <c r="K28" s="128">
        <v>4930.4999999999964</v>
      </c>
      <c r="L28" s="128">
        <v>4181.5999999999995</v>
      </c>
      <c r="M28" s="135"/>
      <c r="N28" s="153">
        <f>STDEV(E28:L28)</f>
        <v>436.15438759850576</v>
      </c>
      <c r="O28" s="153">
        <f t="shared" si="10"/>
        <v>586.18223803734861</v>
      </c>
      <c r="P28" s="128">
        <v>338.40742886077646</v>
      </c>
      <c r="Q28" s="197">
        <f t="shared" ref="Q28:Q30" si="11">N28/AVERAGE(E28:L28)</f>
        <v>0.10728944368800052</v>
      </c>
      <c r="R28" s="197">
        <f t="shared" ref="R28:R30" si="12">O28/AVERAGE(E28:L28)</f>
        <v>0.14419473472477728</v>
      </c>
      <c r="S28" s="197">
        <f t="shared" ref="S28:S29" si="13">P28/AVERAGE(E28:L28)</f>
        <v>8.3244708329706374E-2</v>
      </c>
      <c r="T28" s="133"/>
      <c r="U28" s="130">
        <f>($U$2*EXP(L28*$U$3)*L28)</f>
        <v>230.55293374655218</v>
      </c>
      <c r="V28" s="131">
        <v>226.36489379687751</v>
      </c>
      <c r="W28" s="129"/>
      <c r="X28" s="94"/>
      <c r="Y28" s="94"/>
      <c r="Z28" s="94"/>
      <c r="AA28" s="94"/>
      <c r="AB28" s="94"/>
    </row>
    <row r="29" spans="1:28" x14ac:dyDescent="0.25">
      <c r="A29" s="159">
        <f t="shared" si="1"/>
        <v>2276.0500000000002</v>
      </c>
      <c r="B29" s="127" t="s">
        <v>22</v>
      </c>
      <c r="C29" s="134"/>
      <c r="D29" s="134"/>
      <c r="E29" s="131" t="s">
        <v>16</v>
      </c>
      <c r="F29" s="131" t="s">
        <v>16</v>
      </c>
      <c r="G29" s="131" t="s">
        <v>16</v>
      </c>
      <c r="H29" s="131" t="s">
        <v>16</v>
      </c>
      <c r="I29" s="128">
        <v>2232.2000000000003</v>
      </c>
      <c r="J29" s="128">
        <v>2341.2000000000003</v>
      </c>
      <c r="K29" s="128">
        <v>1656.4999999999998</v>
      </c>
      <c r="L29" s="128">
        <v>2874.2999999999993</v>
      </c>
      <c r="M29" s="135"/>
      <c r="N29" s="153">
        <f>STDEV(E29:L29)</f>
        <v>499.30371852543885</v>
      </c>
      <c r="O29" s="201">
        <f>STDEV(J29-I29,K29-J29,L29-K29)</f>
        <v>955.58911846741591</v>
      </c>
      <c r="P29" s="128">
        <v>472.87562917395246</v>
      </c>
      <c r="Q29" s="197">
        <f t="shared" si="11"/>
        <v>0.21937291295245659</v>
      </c>
      <c r="R29" s="197">
        <f t="shared" si="12"/>
        <v>0.41984539815356248</v>
      </c>
      <c r="S29" s="197">
        <f t="shared" si="13"/>
        <v>0.20776152948043866</v>
      </c>
      <c r="T29" s="133"/>
      <c r="U29" s="130">
        <f>($U$2*EXP(L29*$U$3)*L29)</f>
        <v>159.51408116406375</v>
      </c>
      <c r="V29" s="138">
        <v>156.61647611695071</v>
      </c>
      <c r="W29" s="129"/>
      <c r="X29" s="94"/>
      <c r="Y29" s="94"/>
      <c r="Z29" s="94"/>
      <c r="AA29" s="94"/>
      <c r="AB29" s="94"/>
    </row>
    <row r="30" spans="1:28" x14ac:dyDescent="0.25">
      <c r="A30" s="159">
        <f t="shared" si="1"/>
        <v>1607.8499999999992</v>
      </c>
      <c r="B30" s="142" t="s">
        <v>6</v>
      </c>
      <c r="C30" s="143"/>
      <c r="D30" s="143"/>
      <c r="E30" s="128">
        <v>1586.9999999999993</v>
      </c>
      <c r="F30" s="128">
        <v>1546.099999999999</v>
      </c>
      <c r="G30" s="128">
        <v>1485.8999999999996</v>
      </c>
      <c r="H30" s="128">
        <v>1498.9</v>
      </c>
      <c r="I30" s="128">
        <v>1612.4</v>
      </c>
      <c r="J30" s="128">
        <v>1600.4</v>
      </c>
      <c r="K30" s="128">
        <v>1767.6999999999982</v>
      </c>
      <c r="L30" s="128">
        <v>1764.3999999999985</v>
      </c>
      <c r="M30" s="135"/>
      <c r="N30" s="153">
        <f>STDEV(E30:L30)</f>
        <v>107.65408890117803</v>
      </c>
      <c r="O30" s="153">
        <f>STDEV(F30-E30,G30-F30,H30-G30,I30-H30,J30-I30,K30-J30,L30-K30)</f>
        <v>83.662473808807619</v>
      </c>
      <c r="P30" s="128">
        <v>69.930793777611797</v>
      </c>
      <c r="Q30" s="197">
        <f t="shared" si="11"/>
        <v>6.6955306092718894E-2</v>
      </c>
      <c r="R30" s="197">
        <f t="shared" si="12"/>
        <v>5.2033755517497067E-2</v>
      </c>
      <c r="S30" s="197">
        <f>P30/AVERAGE(E30:L30)</f>
        <v>4.3493356829064793E-2</v>
      </c>
      <c r="T30" s="133"/>
      <c r="U30" s="130">
        <f>($U$2*EXP(L30*$U$3)*L30)</f>
        <v>98.463234470450757</v>
      </c>
      <c r="V30" s="138">
        <v>96.674630210095728</v>
      </c>
      <c r="W30" s="129"/>
      <c r="X30" s="94"/>
      <c r="Y30" s="94"/>
      <c r="Z30" s="94"/>
      <c r="AA30" s="94"/>
      <c r="AB30" s="94"/>
    </row>
    <row r="31" spans="1:28" x14ac:dyDescent="0.25">
      <c r="A31" s="159"/>
      <c r="B31" s="139" t="s">
        <v>93</v>
      </c>
      <c r="C31" s="143"/>
      <c r="D31" s="143"/>
      <c r="E31" s="128"/>
      <c r="F31" s="128"/>
      <c r="G31" s="128"/>
      <c r="H31" s="128"/>
      <c r="I31" s="128"/>
      <c r="J31" s="128"/>
      <c r="K31" s="128"/>
      <c r="L31" s="128"/>
      <c r="M31" s="135"/>
      <c r="N31" s="195">
        <f t="shared" ref="N31:S31" si="14">AVERAGE(N27:N30)</f>
        <v>363.80901188794968</v>
      </c>
      <c r="O31" s="195">
        <f t="shared" si="14"/>
        <v>487.61322905001032</v>
      </c>
      <c r="P31" s="195">
        <f t="shared" si="14"/>
        <v>278.67989315487006</v>
      </c>
      <c r="Q31" s="198">
        <f t="shared" si="14"/>
        <v>0.11666482985419803</v>
      </c>
      <c r="R31" s="198">
        <f t="shared" si="14"/>
        <v>0.1684194418204373</v>
      </c>
      <c r="S31" s="199">
        <f t="shared" si="14"/>
        <v>9.3971087425806621E-2</v>
      </c>
      <c r="T31" s="133"/>
      <c r="U31" s="141"/>
      <c r="V31" s="141"/>
      <c r="W31" s="141"/>
      <c r="X31" s="94"/>
      <c r="Y31" s="94"/>
      <c r="Z31" s="94"/>
      <c r="AA31" s="94"/>
      <c r="AB31" s="94"/>
    </row>
    <row r="32" spans="1:28" ht="6" customHeight="1" thickBot="1" x14ac:dyDescent="0.3">
      <c r="A32" s="15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100"/>
      <c r="N32" s="99"/>
      <c r="O32" s="99"/>
      <c r="P32" s="99"/>
      <c r="Q32" s="99"/>
      <c r="R32" s="99"/>
      <c r="S32" s="99"/>
      <c r="T32" s="99"/>
      <c r="U32" s="99"/>
      <c r="V32" s="99"/>
      <c r="W32" s="101"/>
      <c r="X32" s="94"/>
      <c r="Y32" s="94"/>
      <c r="Z32" s="94"/>
      <c r="AA32" s="94"/>
      <c r="AB32" s="94"/>
    </row>
    <row r="33" spans="2:28" ht="6" customHeight="1" thickTop="1" x14ac:dyDescent="0.25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94"/>
      <c r="Y33" s="94"/>
      <c r="Z33" s="94"/>
      <c r="AA33" s="94"/>
      <c r="AB33" s="94"/>
    </row>
    <row r="34" spans="2:28" x14ac:dyDescent="0.25">
      <c r="B34" s="103" t="s">
        <v>50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4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94"/>
      <c r="Y34" s="94"/>
      <c r="Z34" s="94"/>
      <c r="AA34" s="94"/>
      <c r="AB34" s="94"/>
    </row>
    <row r="35" spans="2:28" x14ac:dyDescent="0.25">
      <c r="B35" s="144" t="s">
        <v>95</v>
      </c>
      <c r="C35" s="145" t="s">
        <v>96</v>
      </c>
      <c r="D35" s="145"/>
      <c r="E35" s="103"/>
      <c r="F35" s="103"/>
      <c r="G35" s="103"/>
      <c r="H35" s="103"/>
      <c r="I35" s="103"/>
      <c r="J35" s="103"/>
      <c r="K35" s="103"/>
      <c r="L35" s="103"/>
      <c r="M35" s="104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94"/>
      <c r="Y35" s="94"/>
      <c r="Z35" s="94"/>
      <c r="AA35" s="94"/>
      <c r="AB35" s="94"/>
    </row>
    <row r="36" spans="2:28" x14ac:dyDescent="0.25">
      <c r="B36" s="144" t="s">
        <v>97</v>
      </c>
      <c r="C36" s="145" t="s">
        <v>98</v>
      </c>
      <c r="D36" s="145"/>
      <c r="E36" s="103"/>
      <c r="F36" s="103"/>
      <c r="G36" s="103"/>
      <c r="H36" s="103"/>
      <c r="I36" s="103"/>
      <c r="J36" s="103"/>
      <c r="K36" s="103"/>
      <c r="L36" s="103"/>
      <c r="M36" s="104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46"/>
    </row>
    <row r="37" spans="2:28" x14ac:dyDescent="0.25">
      <c r="B37" s="144"/>
      <c r="C37" s="145" t="s">
        <v>99</v>
      </c>
      <c r="D37" s="145"/>
      <c r="E37" s="103"/>
      <c r="F37" s="103"/>
      <c r="G37" s="103"/>
      <c r="H37" s="103"/>
      <c r="I37" s="103"/>
      <c r="J37" s="103"/>
      <c r="K37" s="103"/>
      <c r="L37" s="103"/>
      <c r="M37" s="104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46"/>
    </row>
    <row r="38" spans="2:28" x14ac:dyDescent="0.25">
      <c r="B38" s="144" t="s">
        <v>100</v>
      </c>
      <c r="C38" s="145" t="s">
        <v>101</v>
      </c>
      <c r="D38" s="145"/>
      <c r="E38" s="103"/>
      <c r="F38" s="103"/>
      <c r="G38" s="103"/>
      <c r="H38" s="103"/>
      <c r="I38" s="103"/>
      <c r="J38" s="103"/>
      <c r="K38" s="103"/>
      <c r="L38" s="103"/>
      <c r="M38" s="104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46"/>
    </row>
    <row r="39" spans="2:28" x14ac:dyDescent="0.25">
      <c r="B39" s="147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4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46"/>
    </row>
    <row r="40" spans="2:28" x14ac:dyDescent="0.25">
      <c r="B40" s="147">
        <v>1</v>
      </c>
      <c r="C40" s="103" t="s">
        <v>102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4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46"/>
    </row>
    <row r="41" spans="2:28" x14ac:dyDescent="0.25">
      <c r="B41" s="147">
        <f t="shared" ref="B41:B47" si="15">B40+1</f>
        <v>2</v>
      </c>
      <c r="C41" s="103" t="s">
        <v>103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4"/>
      <c r="N41" s="103"/>
      <c r="O41" s="103"/>
      <c r="P41" s="148"/>
      <c r="Q41" s="103"/>
      <c r="R41" s="103"/>
      <c r="S41" s="103"/>
      <c r="T41" s="103"/>
      <c r="U41" s="103"/>
      <c r="V41" s="103"/>
      <c r="W41" s="103"/>
      <c r="X41" s="149"/>
    </row>
    <row r="42" spans="2:28" x14ac:dyDescent="0.25">
      <c r="B42" s="147">
        <f t="shared" si="15"/>
        <v>3</v>
      </c>
      <c r="C42" s="103" t="s">
        <v>104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4"/>
      <c r="N42" s="103"/>
      <c r="O42" s="103"/>
      <c r="T42" s="103"/>
      <c r="U42" s="103"/>
      <c r="V42" s="103"/>
      <c r="W42" s="103"/>
      <c r="X42" s="150"/>
      <c r="Y42" s="151"/>
    </row>
    <row r="43" spans="2:28" x14ac:dyDescent="0.25">
      <c r="B43" s="147">
        <f t="shared" si="15"/>
        <v>4</v>
      </c>
      <c r="C43" s="103" t="s">
        <v>105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4"/>
      <c r="N43" s="103"/>
      <c r="O43" s="103"/>
      <c r="Q43" s="152"/>
      <c r="R43" s="153"/>
      <c r="T43" s="103"/>
      <c r="W43" s="103"/>
      <c r="X43" s="150"/>
      <c r="Y43" s="151"/>
    </row>
    <row r="44" spans="2:28" x14ac:dyDescent="0.25">
      <c r="B44" s="147">
        <f t="shared" si="15"/>
        <v>5</v>
      </c>
      <c r="C44" s="103" t="s">
        <v>106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4"/>
      <c r="N44" s="103"/>
      <c r="O44" s="103"/>
      <c r="Q44" s="152"/>
      <c r="R44" s="153"/>
      <c r="T44" s="103"/>
      <c r="U44" s="154"/>
      <c r="V44" s="154"/>
      <c r="W44" s="103"/>
      <c r="X44" s="150"/>
      <c r="Y44" s="151"/>
    </row>
    <row r="45" spans="2:28" x14ac:dyDescent="0.25">
      <c r="B45" s="147">
        <f t="shared" si="15"/>
        <v>6</v>
      </c>
      <c r="C45" s="103" t="s">
        <v>107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03"/>
      <c r="O45" s="103"/>
      <c r="Q45" s="152"/>
      <c r="R45" s="153"/>
      <c r="T45" s="103"/>
      <c r="U45" s="154"/>
      <c r="V45" s="155"/>
      <c r="W45" s="103"/>
      <c r="X45" s="150"/>
      <c r="Y45" s="151"/>
    </row>
    <row r="46" spans="2:28" x14ac:dyDescent="0.25">
      <c r="B46" s="147">
        <f t="shared" si="15"/>
        <v>7</v>
      </c>
      <c r="C46" s="103" t="s">
        <v>131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4"/>
      <c r="N46" s="103"/>
      <c r="O46" s="103"/>
      <c r="Q46" s="152"/>
      <c r="R46" s="153"/>
      <c r="T46" s="103"/>
      <c r="U46" s="154"/>
      <c r="W46" s="103"/>
    </row>
    <row r="47" spans="2:28" x14ac:dyDescent="0.25">
      <c r="B47" s="147">
        <f t="shared" si="15"/>
        <v>8</v>
      </c>
      <c r="C47" s="103" t="s">
        <v>108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4"/>
      <c r="N47" s="103"/>
      <c r="O47" s="103"/>
      <c r="Q47" s="152"/>
      <c r="R47" s="153"/>
      <c r="T47" s="103"/>
      <c r="U47" s="154"/>
      <c r="V47" s="154"/>
      <c r="W47" s="103"/>
    </row>
    <row r="48" spans="2:28" x14ac:dyDescent="0.25">
      <c r="L48" s="103"/>
      <c r="M48" s="104"/>
      <c r="N48" s="103"/>
      <c r="O48" s="103"/>
      <c r="Q48" s="152"/>
      <c r="R48" s="153"/>
      <c r="T48" s="103"/>
      <c r="U48" s="154"/>
      <c r="V48" s="156"/>
    </row>
    <row r="49" spans="1:28" s="94" customFormat="1" x14ac:dyDescent="0.25">
      <c r="A49" s="93"/>
      <c r="B49" s="177" t="s">
        <v>109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9"/>
      <c r="M49" s="180"/>
      <c r="N49" s="179"/>
      <c r="O49" s="179"/>
      <c r="P49" s="178"/>
      <c r="Q49" s="181"/>
      <c r="R49" s="182"/>
      <c r="S49" s="178"/>
      <c r="T49" s="179"/>
      <c r="U49" s="194"/>
      <c r="V49" s="178"/>
      <c r="W49" s="171"/>
      <c r="X49" s="171"/>
      <c r="Y49" s="171"/>
      <c r="Z49" s="171"/>
      <c r="AA49" s="171"/>
      <c r="AB49" s="171"/>
    </row>
    <row r="50" spans="1:28" s="94" customFormat="1" x14ac:dyDescent="0.25">
      <c r="A50" s="93"/>
      <c r="B50" s="170" t="s">
        <v>17</v>
      </c>
      <c r="E50" s="185" t="s">
        <v>111</v>
      </c>
      <c r="F50" s="185"/>
      <c r="I50" s="185" t="s">
        <v>110</v>
      </c>
      <c r="J50" s="185"/>
      <c r="K50" s="185"/>
      <c r="L50" s="185"/>
      <c r="M50" s="185"/>
      <c r="N50" s="185"/>
      <c r="O50" s="186"/>
      <c r="P50" s="187"/>
      <c r="Q50" s="160"/>
      <c r="R50" s="185" t="s">
        <v>113</v>
      </c>
      <c r="S50" s="185"/>
      <c r="T50" s="133"/>
      <c r="U50" s="162"/>
    </row>
    <row r="51" spans="1:28" s="94" customFormat="1" ht="66" customHeight="1" x14ac:dyDescent="0.25">
      <c r="A51" s="93"/>
      <c r="E51" s="163" t="s">
        <v>112</v>
      </c>
      <c r="F51" s="163" t="s">
        <v>71</v>
      </c>
      <c r="I51" s="164" t="s">
        <v>72</v>
      </c>
      <c r="J51" s="164" t="s">
        <v>73</v>
      </c>
      <c r="K51" s="164" t="s">
        <v>74</v>
      </c>
      <c r="L51" s="163"/>
      <c r="M51" s="184"/>
      <c r="N51" s="164" t="s">
        <v>72</v>
      </c>
      <c r="O51" s="164" t="s">
        <v>73</v>
      </c>
      <c r="P51" s="164" t="s">
        <v>74</v>
      </c>
      <c r="Q51" s="160"/>
      <c r="R51" s="163" t="s">
        <v>114</v>
      </c>
      <c r="S51" s="163" t="s">
        <v>115</v>
      </c>
      <c r="T51" s="133"/>
      <c r="U51" s="162"/>
    </row>
    <row r="52" spans="1:28" s="94" customFormat="1" x14ac:dyDescent="0.25">
      <c r="A52" s="93"/>
      <c r="E52" s="166" t="s">
        <v>20</v>
      </c>
      <c r="F52" s="166" t="s">
        <v>20</v>
      </c>
      <c r="H52" s="165"/>
      <c r="I52" s="166" t="s">
        <v>20</v>
      </c>
      <c r="J52" s="166" t="s">
        <v>20</v>
      </c>
      <c r="K52" s="166" t="s">
        <v>20</v>
      </c>
      <c r="N52" s="166" t="s">
        <v>21</v>
      </c>
      <c r="O52" s="166" t="s">
        <v>21</v>
      </c>
      <c r="P52" s="166" t="s">
        <v>21</v>
      </c>
      <c r="Q52" s="160"/>
      <c r="R52" s="166" t="s">
        <v>20</v>
      </c>
      <c r="S52" s="166" t="s">
        <v>21</v>
      </c>
      <c r="T52" s="133"/>
      <c r="U52" s="162"/>
    </row>
    <row r="53" spans="1:28" s="94" customFormat="1" ht="5.25" customHeight="1" x14ac:dyDescent="0.25">
      <c r="A53" s="9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60"/>
      <c r="R53" s="183"/>
      <c r="S53" s="183"/>
      <c r="T53" s="133"/>
      <c r="U53" s="162"/>
      <c r="W53" s="162"/>
    </row>
    <row r="54" spans="1:28" s="94" customFormat="1" ht="5.25" customHeight="1" x14ac:dyDescent="0.25">
      <c r="A54" s="93"/>
      <c r="H54" s="165"/>
      <c r="I54" s="166"/>
      <c r="J54" s="166"/>
      <c r="K54" s="166"/>
      <c r="L54" s="166"/>
      <c r="M54" s="166"/>
      <c r="N54" s="166"/>
      <c r="O54" s="133"/>
      <c r="Q54" s="160"/>
      <c r="R54" s="161"/>
      <c r="T54" s="133"/>
      <c r="U54" s="162"/>
      <c r="W54" s="167"/>
    </row>
    <row r="55" spans="1:28" s="94" customFormat="1" x14ac:dyDescent="0.25">
      <c r="A55" s="93">
        <v>1</v>
      </c>
      <c r="B55" s="165" t="s">
        <v>75</v>
      </c>
      <c r="E55" s="168">
        <f>INDEX($A$13:$A$30,$A55)</f>
        <v>154261.17499999999</v>
      </c>
      <c r="F55" s="188">
        <f>INDEX($L$13:$L$30,$A55)</f>
        <v>184380</v>
      </c>
      <c r="H55" s="168"/>
      <c r="I55" s="188">
        <f>INDEX(N$13:N$30,$A55)</f>
        <v>20040.441051658527</v>
      </c>
      <c r="J55" s="188">
        <f t="shared" ref="J55:K55" si="16">INDEX(O$13:O$30,$A55)</f>
        <v>7228.5274388884127</v>
      </c>
      <c r="K55" s="188">
        <f t="shared" si="16"/>
        <v>4816.4253610682872</v>
      </c>
      <c r="N55" s="191">
        <f>I55/$E55</f>
        <v>0.12991241024618494</v>
      </c>
      <c r="O55" s="191">
        <f t="shared" ref="O55:P55" si="17">J55/$E55</f>
        <v>4.6859019704007916E-2</v>
      </c>
      <c r="P55" s="191">
        <f t="shared" si="17"/>
        <v>3.1222537758242068E-2</v>
      </c>
      <c r="Q55" s="160"/>
      <c r="R55" s="192">
        <f>INDEX(U$13:U$30,$A55)</f>
        <v>4129.0117867841045</v>
      </c>
      <c r="S55" s="193">
        <f>R55/F55</f>
        <v>2.239403290369945E-2</v>
      </c>
      <c r="T55" s="133"/>
      <c r="U55" s="162"/>
    </row>
    <row r="56" spans="1:28" s="94" customFormat="1" x14ac:dyDescent="0.25">
      <c r="A56" s="93">
        <v>7</v>
      </c>
      <c r="B56" s="165" t="s">
        <v>1</v>
      </c>
      <c r="E56" s="168">
        <f t="shared" ref="E56:E64" si="18">INDEX($A$13:$A$30,$A56)</f>
        <v>68289.712500000023</v>
      </c>
      <c r="F56" s="188">
        <f t="shared" ref="F56:F64" si="19">INDEX($L$13:$L$30,$A56)</f>
        <v>71608.299999999945</v>
      </c>
      <c r="H56" s="168"/>
      <c r="I56" s="188">
        <f t="shared" ref="I56:I64" si="20">INDEX(N$13:N$30,$A56)</f>
        <v>3842.1902323088775</v>
      </c>
      <c r="J56" s="188">
        <f t="shared" ref="J56:J64" si="21">INDEX(O$13:O$30,$A56)</f>
        <v>2068.7538494281639</v>
      </c>
      <c r="K56" s="188">
        <f t="shared" ref="K56:K64" si="22">INDEX(P$13:P$30,$A56)</f>
        <v>1229.1321824726308</v>
      </c>
      <c r="N56" s="191">
        <f t="shared" ref="N56:N64" si="23">I56/$E56</f>
        <v>5.626308988061527E-2</v>
      </c>
      <c r="O56" s="191">
        <f t="shared" ref="O56:O64" si="24">J56/$E56</f>
        <v>3.0293784725307832E-2</v>
      </c>
      <c r="P56" s="191">
        <f t="shared" ref="P56:P64" si="25">K56/$E56</f>
        <v>1.7998789824640576E-2</v>
      </c>
      <c r="Q56" s="160"/>
      <c r="R56" s="192">
        <f t="shared" ref="R56:R64" si="26">INDEX(U$13:U$30,$A56)</f>
        <v>2818.229202115755</v>
      </c>
      <c r="S56" s="193">
        <f t="shared" ref="S56:S64" si="27">R56/F56</f>
        <v>3.9356180807472836E-2</v>
      </c>
      <c r="T56" s="133"/>
      <c r="U56" s="162"/>
    </row>
    <row r="57" spans="1:28" s="94" customFormat="1" x14ac:dyDescent="0.25">
      <c r="A57" s="93">
        <f>A56+1</f>
        <v>8</v>
      </c>
      <c r="B57" s="165" t="s">
        <v>2</v>
      </c>
      <c r="E57" s="168">
        <f t="shared" si="18"/>
        <v>33351.450000000019</v>
      </c>
      <c r="F57" s="188">
        <f t="shared" si="19"/>
        <v>34139.899999999972</v>
      </c>
      <c r="H57" s="168"/>
      <c r="I57" s="188">
        <f t="shared" si="20"/>
        <v>1939.2440618520623</v>
      </c>
      <c r="J57" s="188">
        <f t="shared" si="21"/>
        <v>1828.6151166283914</v>
      </c>
      <c r="K57" s="188">
        <f t="shared" si="22"/>
        <v>1102.2349487803799</v>
      </c>
      <c r="N57" s="191">
        <f t="shared" si="23"/>
        <v>5.8145719656928295E-2</v>
      </c>
      <c r="O57" s="191">
        <f t="shared" si="24"/>
        <v>5.4828654125334594E-2</v>
      </c>
      <c r="P57" s="191">
        <f t="shared" si="25"/>
        <v>3.3049086285015475E-2</v>
      </c>
      <c r="Q57" s="160"/>
      <c r="R57" s="192">
        <f t="shared" si="26"/>
        <v>1620.4543038579416</v>
      </c>
      <c r="S57" s="193">
        <f t="shared" si="27"/>
        <v>4.7465115710882071E-2</v>
      </c>
      <c r="T57" s="133"/>
      <c r="U57" s="162"/>
    </row>
    <row r="58" spans="1:28" s="94" customFormat="1" x14ac:dyDescent="0.25">
      <c r="A58" s="93">
        <f t="shared" ref="A58:A60" si="28">A57+1</f>
        <v>9</v>
      </c>
      <c r="B58" s="165" t="s">
        <v>3</v>
      </c>
      <c r="E58" s="168">
        <f t="shared" si="18"/>
        <v>11827.587500000003</v>
      </c>
      <c r="F58" s="188">
        <f t="shared" si="19"/>
        <v>12386.000000000004</v>
      </c>
      <c r="H58" s="168"/>
      <c r="I58" s="188">
        <f t="shared" si="20"/>
        <v>842.88112267643282</v>
      </c>
      <c r="J58" s="188">
        <f t="shared" si="21"/>
        <v>561.92643858511462</v>
      </c>
      <c r="K58" s="188">
        <f t="shared" si="22"/>
        <v>408.6162990054828</v>
      </c>
      <c r="N58" s="191">
        <f t="shared" si="23"/>
        <v>7.1263993834451242E-2</v>
      </c>
      <c r="O58" s="191">
        <f t="shared" si="24"/>
        <v>4.750981031297502E-2</v>
      </c>
      <c r="P58" s="191">
        <f t="shared" si="25"/>
        <v>3.4547729958073252E-2</v>
      </c>
      <c r="Q58" s="160"/>
      <c r="R58" s="192">
        <f t="shared" si="26"/>
        <v>655.45610555678547</v>
      </c>
      <c r="S58" s="193">
        <f t="shared" si="27"/>
        <v>5.2919110734440923E-2</v>
      </c>
      <c r="T58" s="133"/>
      <c r="U58" s="162"/>
    </row>
    <row r="59" spans="1:28" s="94" customFormat="1" x14ac:dyDescent="0.25">
      <c r="A59" s="93">
        <f t="shared" si="28"/>
        <v>10</v>
      </c>
      <c r="B59" s="165" t="s">
        <v>8</v>
      </c>
      <c r="E59" s="168">
        <f t="shared" si="18"/>
        <v>12645.700000000004</v>
      </c>
      <c r="F59" s="188">
        <f t="shared" si="19"/>
        <v>12791.300000000003</v>
      </c>
      <c r="H59" s="168"/>
      <c r="I59" s="188">
        <f t="shared" si="20"/>
        <v>645.99677501774806</v>
      </c>
      <c r="J59" s="188">
        <f t="shared" si="21"/>
        <v>1042.598131272704</v>
      </c>
      <c r="K59" s="188">
        <f t="shared" si="22"/>
        <v>557.08459022546742</v>
      </c>
      <c r="N59" s="191">
        <f t="shared" si="23"/>
        <v>5.1084303361438897E-2</v>
      </c>
      <c r="O59" s="191">
        <f t="shared" si="24"/>
        <v>8.2446850018006404E-2</v>
      </c>
      <c r="P59" s="191">
        <f t="shared" si="25"/>
        <v>4.4053282161166815E-2</v>
      </c>
      <c r="Q59" s="160"/>
      <c r="R59" s="192">
        <f t="shared" si="26"/>
        <v>675.53386371694637</v>
      </c>
      <c r="S59" s="193">
        <f t="shared" si="27"/>
        <v>5.2811978744689451E-2</v>
      </c>
      <c r="T59" s="133"/>
      <c r="U59" s="162"/>
    </row>
    <row r="60" spans="1:28" s="94" customFormat="1" x14ac:dyDescent="0.25">
      <c r="A60" s="93">
        <f t="shared" si="28"/>
        <v>11</v>
      </c>
      <c r="B60" s="165" t="s">
        <v>4</v>
      </c>
      <c r="E60" s="168">
        <f t="shared" si="18"/>
        <v>7622.0249999999987</v>
      </c>
      <c r="F60" s="188">
        <f t="shared" si="19"/>
        <v>6784.2999999999975</v>
      </c>
      <c r="H60" s="168"/>
      <c r="I60" s="188">
        <f t="shared" si="20"/>
        <v>724.69964960862001</v>
      </c>
      <c r="J60" s="188">
        <f t="shared" si="21"/>
        <v>986.96230327973251</v>
      </c>
      <c r="K60" s="188">
        <f t="shared" si="22"/>
        <v>657.39660447726339</v>
      </c>
      <c r="N60" s="191">
        <f t="shared" si="23"/>
        <v>9.5079673657409963E-2</v>
      </c>
      <c r="O60" s="191">
        <f t="shared" si="24"/>
        <v>0.12948820074451772</v>
      </c>
      <c r="P60" s="191">
        <f t="shared" si="25"/>
        <v>8.6249599611292735E-2</v>
      </c>
      <c r="Q60" s="160"/>
      <c r="R60" s="192">
        <f t="shared" si="26"/>
        <v>369.21685500230296</v>
      </c>
      <c r="S60" s="193">
        <f t="shared" si="27"/>
        <v>5.4422247689857921E-2</v>
      </c>
      <c r="T60" s="133"/>
      <c r="U60" s="162"/>
    </row>
    <row r="61" spans="1:28" s="94" customFormat="1" x14ac:dyDescent="0.25">
      <c r="A61" s="93">
        <v>15</v>
      </c>
      <c r="B61" s="165" t="s">
        <v>7</v>
      </c>
      <c r="E61" s="168">
        <f t="shared" si="18"/>
        <v>5642.3125000000009</v>
      </c>
      <c r="F61" s="188">
        <f t="shared" si="19"/>
        <v>6126.1000000000031</v>
      </c>
      <c r="H61" s="168"/>
      <c r="I61" s="188">
        <f t="shared" si="20"/>
        <v>412.12385252667599</v>
      </c>
      <c r="J61" s="188">
        <f t="shared" si="21"/>
        <v>325.01908588646899</v>
      </c>
      <c r="K61" s="188">
        <f t="shared" si="22"/>
        <v>233.5057208071394</v>
      </c>
      <c r="N61" s="191">
        <f t="shared" si="23"/>
        <v>7.3041656683616146E-2</v>
      </c>
      <c r="O61" s="191">
        <f t="shared" si="24"/>
        <v>5.7603878885912278E-2</v>
      </c>
      <c r="P61" s="191">
        <f t="shared" si="25"/>
        <v>4.1384755064016635E-2</v>
      </c>
      <c r="Q61" s="160"/>
      <c r="R61" s="192">
        <f t="shared" si="26"/>
        <v>334.49514567763202</v>
      </c>
      <c r="S61" s="193">
        <f t="shared" si="27"/>
        <v>5.4601646345575794E-2</v>
      </c>
      <c r="T61" s="133"/>
      <c r="U61" s="162"/>
    </row>
    <row r="62" spans="1:28" s="94" customFormat="1" x14ac:dyDescent="0.25">
      <c r="A62" s="93">
        <f>A61+1</f>
        <v>16</v>
      </c>
      <c r="B62" s="165" t="s">
        <v>5</v>
      </c>
      <c r="E62" s="168">
        <f t="shared" si="18"/>
        <v>4065.2124999999996</v>
      </c>
      <c r="F62" s="188">
        <f t="shared" si="19"/>
        <v>4181.5999999999995</v>
      </c>
      <c r="H62" s="168"/>
      <c r="I62" s="188">
        <f t="shared" si="20"/>
        <v>436.15438759850576</v>
      </c>
      <c r="J62" s="188">
        <f t="shared" si="21"/>
        <v>586.18223803734861</v>
      </c>
      <c r="K62" s="188">
        <f t="shared" si="22"/>
        <v>338.40742886077646</v>
      </c>
      <c r="N62" s="191">
        <f t="shared" si="23"/>
        <v>0.10728944368800052</v>
      </c>
      <c r="O62" s="191">
        <f t="shared" si="24"/>
        <v>0.14419473472477728</v>
      </c>
      <c r="P62" s="191">
        <f t="shared" si="25"/>
        <v>8.3244708329706374E-2</v>
      </c>
      <c r="Q62" s="160"/>
      <c r="R62" s="192">
        <f t="shared" si="26"/>
        <v>230.55293374655218</v>
      </c>
      <c r="S62" s="193">
        <f t="shared" si="27"/>
        <v>5.5135099901126895E-2</v>
      </c>
      <c r="T62" s="133"/>
      <c r="U62" s="162"/>
    </row>
    <row r="63" spans="1:28" s="94" customFormat="1" x14ac:dyDescent="0.25">
      <c r="A63" s="93">
        <f>A62+1</f>
        <v>17</v>
      </c>
      <c r="B63" s="165" t="s">
        <v>22</v>
      </c>
      <c r="E63" s="168">
        <f t="shared" si="18"/>
        <v>2276.0500000000002</v>
      </c>
      <c r="F63" s="188">
        <f t="shared" si="19"/>
        <v>2874.2999999999993</v>
      </c>
      <c r="H63" s="168"/>
      <c r="I63" s="188">
        <f t="shared" si="20"/>
        <v>499.30371852543885</v>
      </c>
      <c r="J63" s="188">
        <f t="shared" si="21"/>
        <v>955.58911846741591</v>
      </c>
      <c r="K63" s="188">
        <f t="shared" si="22"/>
        <v>472.87562917395246</v>
      </c>
      <c r="N63" s="191">
        <f t="shared" si="23"/>
        <v>0.21937291295245659</v>
      </c>
      <c r="O63" s="191">
        <f t="shared" si="24"/>
        <v>0.41984539815356248</v>
      </c>
      <c r="P63" s="191">
        <f t="shared" si="25"/>
        <v>0.20776152948043866</v>
      </c>
      <c r="Q63" s="160"/>
      <c r="R63" s="192">
        <f t="shared" si="26"/>
        <v>159.51408116406375</v>
      </c>
      <c r="S63" s="193">
        <f t="shared" si="27"/>
        <v>5.5496670898675778E-2</v>
      </c>
      <c r="T63" s="133"/>
      <c r="U63" s="162"/>
    </row>
    <row r="64" spans="1:28" s="94" customFormat="1" x14ac:dyDescent="0.25">
      <c r="A64" s="93">
        <f>A63+1</f>
        <v>18</v>
      </c>
      <c r="B64" s="165" t="s">
        <v>6</v>
      </c>
      <c r="E64" s="168">
        <f t="shared" si="18"/>
        <v>1607.8499999999992</v>
      </c>
      <c r="F64" s="188">
        <f t="shared" si="19"/>
        <v>1764.3999999999985</v>
      </c>
      <c r="H64" s="168"/>
      <c r="I64" s="188">
        <f t="shared" si="20"/>
        <v>107.65408890117803</v>
      </c>
      <c r="J64" s="188">
        <f t="shared" si="21"/>
        <v>83.662473808807619</v>
      </c>
      <c r="K64" s="188">
        <f t="shared" si="22"/>
        <v>69.930793777611797</v>
      </c>
      <c r="N64" s="191">
        <f t="shared" si="23"/>
        <v>6.6955306092718894E-2</v>
      </c>
      <c r="O64" s="191">
        <f t="shared" si="24"/>
        <v>5.2033755517497067E-2</v>
      </c>
      <c r="P64" s="191">
        <f t="shared" si="25"/>
        <v>4.3493356829064793E-2</v>
      </c>
      <c r="Q64" s="160"/>
      <c r="R64" s="192">
        <f t="shared" si="26"/>
        <v>98.463234470450757</v>
      </c>
      <c r="S64" s="193">
        <f t="shared" si="27"/>
        <v>5.5805505820931106E-2</v>
      </c>
      <c r="T64" s="133"/>
      <c r="U64" s="162"/>
    </row>
    <row r="65" spans="1:21" s="94" customFormat="1" x14ac:dyDescent="0.25">
      <c r="A65" s="93"/>
      <c r="E65" s="168"/>
      <c r="H65" s="168"/>
      <c r="I65" s="168"/>
      <c r="J65" s="168"/>
      <c r="K65" s="168"/>
      <c r="L65" s="169"/>
      <c r="M65" s="169"/>
      <c r="N65" s="169"/>
      <c r="O65" s="133"/>
      <c r="Q65" s="160"/>
      <c r="R65" s="161"/>
      <c r="T65" s="133"/>
      <c r="U65" s="162"/>
    </row>
    <row r="66" spans="1:21" x14ac:dyDescent="0.25">
      <c r="N66" s="190"/>
      <c r="O66" s="190"/>
      <c r="P66" s="190"/>
    </row>
    <row r="67" spans="1:21" x14ac:dyDescent="0.25">
      <c r="N67" s="190"/>
      <c r="O67" s="190"/>
      <c r="P67" s="190"/>
    </row>
    <row r="68" spans="1:21" x14ac:dyDescent="0.25">
      <c r="N68" s="190"/>
      <c r="O68" s="190"/>
      <c r="P68" s="190"/>
    </row>
    <row r="69" spans="1:21" x14ac:dyDescent="0.25">
      <c r="N69" s="190"/>
      <c r="O69" s="190"/>
      <c r="P69" s="190"/>
    </row>
    <row r="70" spans="1:21" x14ac:dyDescent="0.25">
      <c r="N70" s="190"/>
      <c r="O70" s="190"/>
      <c r="P70" s="190"/>
    </row>
    <row r="71" spans="1:21" x14ac:dyDescent="0.25">
      <c r="N71" s="190"/>
      <c r="O71" s="190"/>
      <c r="P71" s="190"/>
    </row>
    <row r="72" spans="1:21" x14ac:dyDescent="0.25">
      <c r="N72" s="190"/>
      <c r="O72" s="190"/>
      <c r="P72" s="190"/>
    </row>
    <row r="73" spans="1:21" x14ac:dyDescent="0.25">
      <c r="N73" s="190"/>
      <c r="O73" s="190"/>
      <c r="P73" s="190"/>
    </row>
    <row r="74" spans="1:21" x14ac:dyDescent="0.25">
      <c r="N74" s="190"/>
      <c r="O74" s="190"/>
      <c r="P74" s="190"/>
    </row>
    <row r="75" spans="1:21" x14ac:dyDescent="0.25">
      <c r="N75" s="190"/>
      <c r="O75" s="190"/>
      <c r="P75" s="190"/>
    </row>
    <row r="76" spans="1:21" x14ac:dyDescent="0.25">
      <c r="N76" s="189"/>
      <c r="O76" s="189"/>
      <c r="P76" s="189"/>
    </row>
    <row r="77" spans="1:21" x14ac:dyDescent="0.25">
      <c r="N77" s="189"/>
      <c r="O77" s="189"/>
      <c r="P77" s="189"/>
    </row>
    <row r="78" spans="1:21" x14ac:dyDescent="0.25">
      <c r="N78" s="189"/>
      <c r="O78" s="189"/>
      <c r="P78" s="189"/>
    </row>
    <row r="79" spans="1:21" x14ac:dyDescent="0.25">
      <c r="N79" s="189"/>
      <c r="O79" s="189"/>
      <c r="P79" s="189"/>
    </row>
    <row r="80" spans="1:21" x14ac:dyDescent="0.25">
      <c r="N80" s="189"/>
      <c r="O80" s="189"/>
      <c r="P80" s="189"/>
    </row>
  </sheetData>
  <conditionalFormatting sqref="H65:N65 E55:E65 H55:H64 N55:P64">
    <cfRule type="expression" dxfId="0" priority="1">
      <formula>ISNA(E55)</formula>
    </cfRule>
  </conditionalFormatting>
  <pageMargins left="0.7" right="0.7" top="0.75" bottom="0.75" header="0.3" footer="0.3"/>
  <pageSetup orientation="portrait" blackAndWhite="1" r:id="rId1"/>
  <headerFooter>
    <oddHeader>&amp;R&amp;"Calibri,Italic"&amp;10DRAFT -- Privileged and Confidential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CETL</vt:lpstr>
      <vt:lpstr>Gross CONE</vt:lpstr>
      <vt:lpstr>EAS</vt:lpstr>
      <vt:lpstr>Load</vt:lpstr>
      <vt:lpstr>Rel Req</vt:lpstr>
      <vt:lpstr>Supply</vt:lpstr>
      <vt:lpstr>Supply!Print_Area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2014-06-26T19:59:30Z</dcterms:modified>
</cp:coreProperties>
</file>