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6" windowWidth="21120" windowHeight="9180"/>
  </bookViews>
  <sheets>
    <sheet name="Template" sheetId="15" r:id="rId1"/>
    <sheet name="1819_CP_NonPerf Rates" sheetId="19" r:id="rId2"/>
  </sheets>
  <definedNames>
    <definedName name="_AMO_UniqueIdentifier" hidden="1">"'56683cd5-69c2-417d-b354-dc3b8213f7f8'"</definedName>
  </definedNames>
  <calcPr calcId="145621"/>
</workbook>
</file>

<file path=xl/calcChain.xml><?xml version="1.0" encoding="utf-8"?>
<calcChain xmlns="http://schemas.openxmlformats.org/spreadsheetml/2006/main">
  <c r="E14" i="15" l="1"/>
  <c r="E13" i="15"/>
  <c r="E12" i="15"/>
  <c r="E11" i="15"/>
  <c r="E10" i="15"/>
  <c r="E9" i="15"/>
  <c r="E8" i="15"/>
  <c r="E7" i="15"/>
  <c r="H14" i="15" l="1"/>
  <c r="H13" i="15"/>
  <c r="H12" i="15"/>
  <c r="H11" i="15"/>
  <c r="H10" i="15"/>
  <c r="H9" i="15"/>
  <c r="H8" i="15"/>
  <c r="H7" i="15"/>
  <c r="F15" i="15" l="1"/>
  <c r="I8" i="15"/>
  <c r="I13" i="15"/>
  <c r="I14" i="15"/>
  <c r="C2" i="19"/>
  <c r="C3" i="19"/>
  <c r="I10" i="15" s="1"/>
  <c r="C4" i="19"/>
  <c r="C5" i="19"/>
  <c r="C6" i="19"/>
  <c r="C7" i="19"/>
  <c r="C8" i="19"/>
  <c r="C9" i="19"/>
  <c r="C10" i="19"/>
  <c r="C11" i="19"/>
  <c r="C12" i="19"/>
  <c r="C13" i="19"/>
  <c r="C14" i="19"/>
  <c r="C15" i="15"/>
  <c r="J14" i="15"/>
  <c r="J13" i="15"/>
  <c r="I12" i="15"/>
  <c r="K12" i="15"/>
  <c r="I11" i="15"/>
  <c r="J10" i="15"/>
  <c r="I9" i="15"/>
  <c r="J9" i="15"/>
  <c r="J8" i="15"/>
  <c r="K8" i="15"/>
  <c r="I7" i="15"/>
  <c r="K11" i="15"/>
  <c r="J7" i="15"/>
  <c r="K10" i="15"/>
  <c r="G2" i="15" l="1"/>
  <c r="J11" i="15"/>
  <c r="J12" i="15"/>
  <c r="J15" i="15" l="1"/>
  <c r="G3" i="15" s="1"/>
  <c r="K9" i="15" s="1"/>
  <c r="K14" i="15" l="1"/>
  <c r="K13" i="15"/>
  <c r="K7" i="15"/>
  <c r="K15" i="15" l="1"/>
</calcChain>
</file>

<file path=xl/sharedStrings.xml><?xml version="1.0" encoding="utf-8"?>
<sst xmlns="http://schemas.openxmlformats.org/spreadsheetml/2006/main" count="51" uniqueCount="42">
  <si>
    <t>Capacity Commitment (UCAP MW)</t>
  </si>
  <si>
    <t>Actual Performance</t>
  </si>
  <si>
    <t>Expected Performance</t>
  </si>
  <si>
    <t>Charge</t>
  </si>
  <si>
    <t>Credit</t>
  </si>
  <si>
    <t>A-2</t>
  </si>
  <si>
    <t>A-3</t>
  </si>
  <si>
    <t>B-4</t>
  </si>
  <si>
    <t>B-5</t>
  </si>
  <si>
    <t>B-6</t>
  </si>
  <si>
    <t>C-7</t>
  </si>
  <si>
    <t>D-8</t>
  </si>
  <si>
    <t>A-1</t>
  </si>
  <si>
    <t>Resource Performance Assessment for a single PAH</t>
  </si>
  <si>
    <r>
      <rPr>
        <b/>
        <sz val="14"/>
        <color indexed="10"/>
        <rFont val="Arial Narrow"/>
        <family val="2"/>
      </rPr>
      <t>*Positive value indicates Underperformance</t>
    </r>
    <r>
      <rPr>
        <sz val="14"/>
        <color indexed="8"/>
        <rFont val="Arial Narrow"/>
        <family val="2"/>
      </rPr>
      <t>/</t>
    </r>
    <r>
      <rPr>
        <sz val="14"/>
        <color indexed="56"/>
        <rFont val="Arial Narrow"/>
        <family val="2"/>
      </rPr>
      <t>Negative value indicates Overperformance</t>
    </r>
  </si>
  <si>
    <t xml:space="preserve">Balancing Ratio = </t>
  </si>
  <si>
    <t>PSEG</t>
  </si>
  <si>
    <t>EMAAC</t>
  </si>
  <si>
    <t>BGE</t>
  </si>
  <si>
    <t>PEPCO</t>
  </si>
  <si>
    <t>SWMAAC</t>
  </si>
  <si>
    <t>PPL</t>
  </si>
  <si>
    <t>MAAC</t>
  </si>
  <si>
    <t>ATSI</t>
  </si>
  <si>
    <t>COMED</t>
  </si>
  <si>
    <t>RTO</t>
  </si>
  <si>
    <t>18/19 Net CONE,         $/MW-Day,    ICAP Price</t>
  </si>
  <si>
    <t>18/19 CP Non-Performance Charge Rate</t>
  </si>
  <si>
    <t xml:space="preserve">Excused </t>
  </si>
  <si>
    <t xml:space="preserve">Blue cells can be updated. </t>
  </si>
  <si>
    <t>Performance (Exp - Act)-Excused *</t>
  </si>
  <si>
    <t>Modeled LDA</t>
  </si>
  <si>
    <t>PS-NORTH</t>
  </si>
  <si>
    <t>DPL-SOUTH</t>
  </si>
  <si>
    <t>ATSI-CLEVELAND</t>
  </si>
  <si>
    <t>Charge Rate</t>
  </si>
  <si>
    <t>For purposes of calculating Bonus MW, actual performance cannot exceed scheduled MW.  This example assumes resources do not exceed scheduled MW.</t>
  </si>
  <si>
    <t>Excused MW cannot result in a negative shortfall.</t>
  </si>
  <si>
    <t>Company/Generator</t>
  </si>
  <si>
    <t>Calculated Values</t>
  </si>
  <si>
    <t xml:space="preserve">Bonus Payment Rate = Total Charges / Bonus MW = </t>
  </si>
  <si>
    <t>Pink cells are calculated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</si>
</sst>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4"/>
      <color indexed="8"/>
      <name val="Arial Narrow"/>
      <family val="2"/>
    </font>
    <font>
      <sz val="14"/>
      <color indexed="56"/>
      <name val="Arial Narrow"/>
      <family val="2"/>
    </font>
    <font>
      <b/>
      <sz val="14"/>
      <color indexed="10"/>
      <name val="Arial Narrow"/>
      <family val="2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4"/>
      <color theme="3"/>
      <name val="Arial Narrow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44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72">
    <xf numFmtId="0" fontId="0" fillId="0" borderId="0" xfId="0"/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left"/>
    </xf>
    <xf numFmtId="3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4" fillId="0" borderId="1" xfId="2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2" borderId="16" xfId="1" applyFont="1" applyBorder="1" applyAlignment="1">
      <alignment horizontal="center"/>
    </xf>
    <xf numFmtId="0" fontId="5" fillId="2" borderId="25" xfId="1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5" fillId="2" borderId="23" xfId="1" applyFont="1" applyBorder="1" applyAlignment="1">
      <alignment horizontal="center"/>
    </xf>
    <xf numFmtId="0" fontId="5" fillId="2" borderId="4" xfId="1" applyFont="1" applyBorder="1" applyAlignment="1">
      <alignment horizontal="center"/>
    </xf>
    <xf numFmtId="0" fontId="5" fillId="2" borderId="28" xfId="1" applyFont="1" applyBorder="1" applyAlignment="1">
      <alignment horizontal="center"/>
    </xf>
    <xf numFmtId="0" fontId="5" fillId="2" borderId="22" xfId="1" applyFont="1" applyBorder="1" applyAlignment="1">
      <alignment horizontal="center"/>
    </xf>
    <xf numFmtId="0" fontId="5" fillId="2" borderId="30" xfId="1" applyFont="1" applyBorder="1" applyAlignment="1">
      <alignment horizontal="center"/>
    </xf>
    <xf numFmtId="0" fontId="5" fillId="2" borderId="19" xfId="1" applyFont="1" applyBorder="1" applyAlignment="1">
      <alignment horizontal="center"/>
    </xf>
    <xf numFmtId="0" fontId="5" fillId="2" borderId="32" xfId="1" applyFont="1" applyBorder="1" applyAlignment="1">
      <alignment horizontal="center"/>
    </xf>
    <xf numFmtId="0" fontId="0" fillId="0" borderId="0" xfId="0" applyAlignment="1">
      <alignment wrapText="1"/>
    </xf>
    <xf numFmtId="8" fontId="0" fillId="0" borderId="0" xfId="0" applyNumberFormat="1"/>
    <xf numFmtId="0" fontId="5" fillId="2" borderId="15" xfId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0" fontId="5" fillId="2" borderId="3" xfId="1" applyFont="1" applyBorder="1" applyAlignment="1">
      <alignment horizontal="center"/>
    </xf>
    <xf numFmtId="0" fontId="5" fillId="2" borderId="21" xfId="1" applyFont="1" applyBorder="1" applyAlignment="1">
      <alignment horizontal="center"/>
    </xf>
    <xf numFmtId="0" fontId="5" fillId="2" borderId="18" xfId="1" applyFont="1" applyBorder="1" applyAlignment="1">
      <alignment horizontal="center"/>
    </xf>
    <xf numFmtId="0" fontId="5" fillId="4" borderId="0" xfId="3" applyFont="1"/>
    <xf numFmtId="44" fontId="5" fillId="4" borderId="0" xfId="3" applyNumberFormat="1" applyFont="1" applyAlignment="1">
      <alignment horizontal="center"/>
    </xf>
    <xf numFmtId="0" fontId="5" fillId="0" borderId="0" xfId="0" applyFont="1"/>
    <xf numFmtId="165" fontId="5" fillId="3" borderId="0" xfId="0" applyNumberFormat="1" applyFont="1" applyFill="1"/>
    <xf numFmtId="3" fontId="6" fillId="5" borderId="15" xfId="0" applyNumberFormat="1" applyFont="1" applyFill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6" fillId="5" borderId="16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5" fillId="5" borderId="21" xfId="0" applyNumberFormat="1" applyFont="1" applyFill="1" applyBorder="1" applyAlignment="1">
      <alignment horizontal="center"/>
    </xf>
    <xf numFmtId="164" fontId="6" fillId="5" borderId="22" xfId="0" applyNumberFormat="1" applyFont="1" applyFill="1" applyBorder="1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164" fontId="5" fillId="5" borderId="18" xfId="0" applyNumberFormat="1" applyFont="1" applyFill="1" applyBorder="1" applyAlignment="1">
      <alignment horizontal="center"/>
    </xf>
    <xf numFmtId="164" fontId="6" fillId="5" borderId="19" xfId="0" applyNumberFormat="1" applyFont="1" applyFill="1" applyBorder="1" applyAlignment="1">
      <alignment horizontal="center"/>
    </xf>
    <xf numFmtId="164" fontId="7" fillId="5" borderId="0" xfId="0" applyNumberFormat="1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5" borderId="24" xfId="1" applyNumberFormat="1" applyFont="1" applyFill="1" applyBorder="1" applyAlignment="1">
      <alignment horizontal="center"/>
    </xf>
    <xf numFmtId="3" fontId="5" fillId="5" borderId="26" xfId="1" applyNumberFormat="1" applyFont="1" applyFill="1" applyBorder="1" applyAlignment="1">
      <alignment horizontal="center"/>
    </xf>
    <xf numFmtId="3" fontId="5" fillId="5" borderId="27" xfId="1" applyNumberFormat="1" applyFont="1" applyFill="1" applyBorder="1" applyAlignment="1">
      <alignment horizontal="center"/>
    </xf>
    <xf numFmtId="3" fontId="5" fillId="5" borderId="29" xfId="1" applyNumberFormat="1" applyFont="1" applyFill="1" applyBorder="1" applyAlignment="1">
      <alignment horizontal="center"/>
    </xf>
    <xf numFmtId="3" fontId="5" fillId="5" borderId="31" xfId="1" applyNumberFormat="1" applyFont="1" applyFill="1" applyBorder="1" applyAlignment="1">
      <alignment horizontal="center"/>
    </xf>
    <xf numFmtId="0" fontId="5" fillId="2" borderId="0" xfId="1" applyFont="1" applyBorder="1" applyAlignment="1">
      <alignment horizontal="left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4" borderId="0" xfId="3" applyFont="1" applyBorder="1" applyAlignment="1">
      <alignment horizontal="left"/>
    </xf>
  </cellXfs>
  <cellStyles count="4">
    <cellStyle name="20% - Accent1" xfId="1" builtinId="30"/>
    <cellStyle name="20% - Accent2" xfId="3" builtinId="34"/>
    <cellStyle name="Currency" xfId="2" builtinId="4"/>
    <cellStyle name="Normal" xfId="0" builtinId="0"/>
  </cellStyles>
  <dxfs count="5"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M221"/>
  <sheetViews>
    <sheetView tabSelected="1" zoomScale="110" zoomScaleNormal="110" workbookViewId="0">
      <selection activeCell="C7" sqref="C7"/>
    </sheetView>
  </sheetViews>
  <sheetFormatPr defaultColWidth="9.109375" defaultRowHeight="18" x14ac:dyDescent="0.35"/>
  <cols>
    <col min="1" max="1" width="9.109375" style="39"/>
    <col min="2" max="2" width="12.44140625" style="39" customWidth="1"/>
    <col min="3" max="3" width="14.5546875" style="39" customWidth="1"/>
    <col min="4" max="4" width="19.109375" style="39" customWidth="1"/>
    <col min="5" max="5" width="16.44140625" style="39" bestFit="1" customWidth="1"/>
    <col min="6" max="6" width="14.88671875" style="39" customWidth="1"/>
    <col min="7" max="7" width="14.5546875" style="39" bestFit="1" customWidth="1"/>
    <col min="8" max="8" width="18.33203125" style="39" customWidth="1"/>
    <col min="9" max="9" width="12.33203125" style="39" customWidth="1"/>
    <col min="10" max="11" width="12.88671875" style="39" bestFit="1" customWidth="1"/>
    <col min="12" max="16384" width="9.109375" style="39"/>
  </cols>
  <sheetData>
    <row r="1" spans="2:13" s="2" customFormat="1" x14ac:dyDescent="0.25">
      <c r="F1" s="70" t="s">
        <v>39</v>
      </c>
      <c r="G1" s="70"/>
      <c r="M1" s="39"/>
    </row>
    <row r="2" spans="2:13" s="2" customFormat="1" x14ac:dyDescent="0.25">
      <c r="B2" s="1" t="s">
        <v>15</v>
      </c>
      <c r="F2" s="37"/>
      <c r="G2" s="37">
        <f>MIN(F15/C15,1)</f>
        <v>0.9</v>
      </c>
    </row>
    <row r="3" spans="2:13" s="2" customFormat="1" x14ac:dyDescent="0.25">
      <c r="B3" s="2" t="s">
        <v>40</v>
      </c>
      <c r="C3" s="3"/>
      <c r="F3" s="38"/>
      <c r="G3" s="38">
        <f>J15/(SUMIF(H7:H14, "&lt;0", H7:H14)*-1)</f>
        <v>3054.9679457364346</v>
      </c>
    </row>
    <row r="4" spans="2:13" s="2" customFormat="1" ht="18.75" thickBot="1" x14ac:dyDescent="0.3">
      <c r="B4" s="3"/>
      <c r="C4" s="3"/>
      <c r="E4" s="3"/>
      <c r="G4" s="4"/>
    </row>
    <row r="5" spans="2:13" s="2" customFormat="1" ht="18.75" customHeight="1" thickBot="1" x14ac:dyDescent="0.3">
      <c r="B5" s="3"/>
      <c r="C5" s="3"/>
      <c r="E5" s="67" t="s">
        <v>13</v>
      </c>
      <c r="F5" s="68"/>
      <c r="G5" s="68"/>
      <c r="H5" s="68"/>
      <c r="I5" s="68"/>
      <c r="J5" s="68"/>
      <c r="K5" s="69"/>
    </row>
    <row r="6" spans="2:13" s="2" customFormat="1" ht="54.75" thickBot="1" x14ac:dyDescent="0.3">
      <c r="B6" s="13" t="s">
        <v>38</v>
      </c>
      <c r="C6" s="14" t="s">
        <v>0</v>
      </c>
      <c r="D6" s="15" t="s">
        <v>31</v>
      </c>
      <c r="E6" s="16" t="s">
        <v>2</v>
      </c>
      <c r="F6" s="14" t="s">
        <v>1</v>
      </c>
      <c r="G6" s="14" t="s">
        <v>28</v>
      </c>
      <c r="H6" s="14" t="s">
        <v>30</v>
      </c>
      <c r="I6" s="14" t="s">
        <v>35</v>
      </c>
      <c r="J6" s="14" t="s">
        <v>3</v>
      </c>
      <c r="K6" s="15" t="s">
        <v>4</v>
      </c>
    </row>
    <row r="7" spans="2:13" s="2" customFormat="1" x14ac:dyDescent="0.25">
      <c r="B7" s="17" t="s">
        <v>12</v>
      </c>
      <c r="C7" s="32">
        <v>300</v>
      </c>
      <c r="D7" s="20" t="s">
        <v>22</v>
      </c>
      <c r="E7" s="61">
        <f>C7*G$2</f>
        <v>270</v>
      </c>
      <c r="F7" s="21">
        <v>325</v>
      </c>
      <c r="G7" s="21">
        <v>0</v>
      </c>
      <c r="H7" s="41">
        <f>(E7-F7)-IF(E7-F7&gt;0, G7, 0)</f>
        <v>-55</v>
      </c>
      <c r="I7" s="42" t="str">
        <f>IF(H7&gt;0, VLOOKUP(D7, '1819_CP_NonPerf Rates'!$A$2:$C$14, 3, FALSE), "")</f>
        <v/>
      </c>
      <c r="J7" s="42">
        <f>IF(H7&gt;0, H7*VLOOKUP(D7, '1819_CP_NonPerf Rates'!$A$2:$C$14, 3, FALSE), 0)</f>
        <v>0</v>
      </c>
      <c r="K7" s="43">
        <f t="shared" ref="K7:K14" si="0">IF(H7&lt;0, H7*$G$3*-1, 0)</f>
        <v>168023.2370155039</v>
      </c>
      <c r="L7" s="40"/>
    </row>
    <row r="8" spans="2:13" s="2" customFormat="1" x14ac:dyDescent="0.25">
      <c r="B8" s="11" t="s">
        <v>5</v>
      </c>
      <c r="C8" s="33">
        <v>250</v>
      </c>
      <c r="D8" s="22" t="s">
        <v>16</v>
      </c>
      <c r="E8" s="62">
        <f t="shared" ref="E8:E14" si="1">C8*G$2</f>
        <v>225</v>
      </c>
      <c r="F8" s="23">
        <v>0</v>
      </c>
      <c r="G8" s="23">
        <v>25</v>
      </c>
      <c r="H8" s="44">
        <f t="shared" ref="H8:H14" si="2">(E8-F8)-IF(E8-F8&gt;0, G8, 0)</f>
        <v>200</v>
      </c>
      <c r="I8" s="45">
        <f>IF(H8&gt;0, VLOOKUP(D8, '1819_CP_NonPerf Rates'!$A$2:$C$14, 3, FALSE), "")</f>
        <v>3395.3516666666669</v>
      </c>
      <c r="J8" s="45">
        <f>IF(H8&gt;0, H8*VLOOKUP(D8, '1819_CP_NonPerf Rates'!$A$2:$C$14, 3, FALSE), 0)</f>
        <v>679070.33333333337</v>
      </c>
      <c r="K8" s="46">
        <f t="shared" si="0"/>
        <v>0</v>
      </c>
    </row>
    <row r="9" spans="2:13" s="2" customFormat="1" ht="18.75" thickBot="1" x14ac:dyDescent="0.3">
      <c r="B9" s="12" t="s">
        <v>6</v>
      </c>
      <c r="C9" s="34">
        <v>0</v>
      </c>
      <c r="D9" s="24" t="s">
        <v>22</v>
      </c>
      <c r="E9" s="63">
        <f t="shared" si="1"/>
        <v>0</v>
      </c>
      <c r="F9" s="25">
        <v>150</v>
      </c>
      <c r="G9" s="25">
        <v>0</v>
      </c>
      <c r="H9" s="47">
        <f t="shared" si="2"/>
        <v>-150</v>
      </c>
      <c r="I9" s="48" t="str">
        <f>IF(H9&gt;0, VLOOKUP(D9, '1819_CP_NonPerf Rates'!$A$2:$C$14, 3, FALSE), "")</f>
        <v/>
      </c>
      <c r="J9" s="48">
        <f>IF(H9&gt;0, H9*VLOOKUP(D9, '1819_CP_NonPerf Rates'!$A$2:$C$14, 3, FALSE), 0)</f>
        <v>0</v>
      </c>
      <c r="K9" s="49">
        <f t="shared" si="0"/>
        <v>458245.19186046516</v>
      </c>
    </row>
    <row r="10" spans="2:13" s="2" customFormat="1" x14ac:dyDescent="0.25">
      <c r="B10" s="17" t="s">
        <v>7</v>
      </c>
      <c r="C10" s="32">
        <v>150</v>
      </c>
      <c r="D10" s="20" t="s">
        <v>22</v>
      </c>
      <c r="E10" s="61">
        <f t="shared" si="1"/>
        <v>135</v>
      </c>
      <c r="F10" s="21">
        <v>100</v>
      </c>
      <c r="G10" s="21">
        <v>0</v>
      </c>
      <c r="H10" s="41">
        <f t="shared" si="2"/>
        <v>35</v>
      </c>
      <c r="I10" s="42">
        <f>IF(H10&gt;0, VLOOKUP(D10, '1819_CP_NonPerf Rates'!$A$2:$C$14, 3, FALSE), "")</f>
        <v>3095.4433333333332</v>
      </c>
      <c r="J10" s="42">
        <f>IF(H10&gt;0, H10*VLOOKUP(D10, '1819_CP_NonPerf Rates'!$A$2:$C$14, 3, FALSE), 0)</f>
        <v>108340.51666666666</v>
      </c>
      <c r="K10" s="50">
        <f t="shared" si="0"/>
        <v>0</v>
      </c>
    </row>
    <row r="11" spans="2:13" s="2" customFormat="1" x14ac:dyDescent="0.25">
      <c r="B11" s="11" t="s">
        <v>8</v>
      </c>
      <c r="C11" s="33">
        <v>150</v>
      </c>
      <c r="D11" s="22" t="s">
        <v>22</v>
      </c>
      <c r="E11" s="62">
        <f t="shared" si="1"/>
        <v>135</v>
      </c>
      <c r="F11" s="23">
        <v>100</v>
      </c>
      <c r="G11" s="23">
        <v>0</v>
      </c>
      <c r="H11" s="44">
        <f t="shared" si="2"/>
        <v>35</v>
      </c>
      <c r="I11" s="45">
        <f>IF(H11&gt;0, VLOOKUP(D11, '1819_CP_NonPerf Rates'!$A$2:$C$14, 3, FALSE), "")</f>
        <v>3095.4433333333332</v>
      </c>
      <c r="J11" s="45">
        <f>IF(H11&gt;0, H11*VLOOKUP(D11, '1819_CP_NonPerf Rates'!$A$2:$C$14, 3, FALSE), 0)</f>
        <v>108340.51666666666</v>
      </c>
      <c r="K11" s="46">
        <f t="shared" si="0"/>
        <v>0</v>
      </c>
    </row>
    <row r="12" spans="2:13" s="2" customFormat="1" ht="18.75" thickBot="1" x14ac:dyDescent="0.3">
      <c r="B12" s="12" t="s">
        <v>9</v>
      </c>
      <c r="C12" s="34">
        <v>150</v>
      </c>
      <c r="D12" s="24" t="s">
        <v>22</v>
      </c>
      <c r="E12" s="63">
        <f t="shared" si="1"/>
        <v>135</v>
      </c>
      <c r="F12" s="25">
        <v>0</v>
      </c>
      <c r="G12" s="25">
        <v>0</v>
      </c>
      <c r="H12" s="47">
        <f t="shared" si="2"/>
        <v>135</v>
      </c>
      <c r="I12" s="48">
        <f>IF(H12&gt;0, VLOOKUP(D12, '1819_CP_NonPerf Rates'!$A$2:$C$14, 3, FALSE), "")</f>
        <v>3095.4433333333332</v>
      </c>
      <c r="J12" s="48">
        <f>IF(H12&gt;0, H12*VLOOKUP(D12, '1819_CP_NonPerf Rates'!$A$2:$C$14, 3, FALSE), 0)</f>
        <v>417884.85</v>
      </c>
      <c r="K12" s="51">
        <f t="shared" si="0"/>
        <v>0</v>
      </c>
    </row>
    <row r="13" spans="2:13" s="2" customFormat="1" ht="18.75" thickBot="1" x14ac:dyDescent="0.3">
      <c r="B13" s="19" t="s">
        <v>10</v>
      </c>
      <c r="C13" s="35">
        <v>0</v>
      </c>
      <c r="D13" s="26" t="s">
        <v>22</v>
      </c>
      <c r="E13" s="64">
        <f t="shared" si="1"/>
        <v>0</v>
      </c>
      <c r="F13" s="27">
        <v>100</v>
      </c>
      <c r="G13" s="27">
        <v>0</v>
      </c>
      <c r="H13" s="52">
        <f t="shared" si="2"/>
        <v>-100</v>
      </c>
      <c r="I13" s="53" t="str">
        <f>IF(H13&gt;0, VLOOKUP(D13, '1819_CP_NonPerf Rates'!$A$2:$C$14, 3, FALSE), "")</f>
        <v/>
      </c>
      <c r="J13" s="53">
        <f>IF(H13&gt;0, H13*VLOOKUP(D13, '1819_CP_NonPerf Rates'!$A$2:$C$14, 3, FALSE), 0)</f>
        <v>0</v>
      </c>
      <c r="K13" s="54">
        <f t="shared" si="0"/>
        <v>305496.79457364348</v>
      </c>
    </row>
    <row r="14" spans="2:13" s="2" customFormat="1" ht="18.75" thickBot="1" x14ac:dyDescent="0.3">
      <c r="B14" s="18" t="s">
        <v>11</v>
      </c>
      <c r="C14" s="36">
        <v>0</v>
      </c>
      <c r="D14" s="28" t="s">
        <v>22</v>
      </c>
      <c r="E14" s="65">
        <f t="shared" si="1"/>
        <v>0</v>
      </c>
      <c r="F14" s="29">
        <v>125</v>
      </c>
      <c r="G14" s="29">
        <v>0</v>
      </c>
      <c r="H14" s="55">
        <f t="shared" si="2"/>
        <v>-125</v>
      </c>
      <c r="I14" s="56" t="str">
        <f>IF(H14&gt;0, VLOOKUP(D14, '1819_CP_NonPerf Rates'!$A$2:$C$14, 3, FALSE), "")</f>
        <v/>
      </c>
      <c r="J14" s="56">
        <f>IF(H14&gt;0, H14*VLOOKUP(D14, '1819_CP_NonPerf Rates'!$A$2:$C$14, 3, FALSE), 0)</f>
        <v>0</v>
      </c>
      <c r="K14" s="57">
        <f t="shared" si="0"/>
        <v>381870.99321705435</v>
      </c>
    </row>
    <row r="15" spans="2:13" s="2" customFormat="1" x14ac:dyDescent="0.25">
      <c r="B15" s="3"/>
      <c r="C15" s="60">
        <f>SUM(C7:C14)</f>
        <v>1000</v>
      </c>
      <c r="D15" s="3"/>
      <c r="E15" s="5"/>
      <c r="F15" s="60">
        <f>SUM(F7:F14)</f>
        <v>900</v>
      </c>
      <c r="G15" s="5"/>
      <c r="J15" s="58">
        <f>SUM(J7:J14)</f>
        <v>1313636.2166666668</v>
      </c>
      <c r="K15" s="59">
        <f>SUM(K7:K14)</f>
        <v>1313636.2166666668</v>
      </c>
    </row>
    <row r="16" spans="2:13" s="2" customFormat="1" x14ac:dyDescent="0.25">
      <c r="B16" s="3"/>
      <c r="C16" s="5"/>
      <c r="D16" s="3"/>
      <c r="E16" s="5"/>
      <c r="F16" s="5"/>
      <c r="G16" s="5"/>
      <c r="J16" s="7"/>
      <c r="K16" s="6"/>
    </row>
    <row r="17" spans="2:10" s="2" customFormat="1" x14ac:dyDescent="0.25">
      <c r="B17" s="71" t="s">
        <v>41</v>
      </c>
      <c r="C17" s="71"/>
      <c r="D17" s="71"/>
    </row>
    <row r="18" spans="2:10" s="2" customFormat="1" x14ac:dyDescent="0.25">
      <c r="B18" s="66" t="s">
        <v>29</v>
      </c>
      <c r="C18" s="66"/>
      <c r="D18" s="66"/>
      <c r="J18" s="40"/>
    </row>
    <row r="19" spans="2:10" s="2" customFormat="1" x14ac:dyDescent="0.25">
      <c r="B19" s="2" t="s">
        <v>36</v>
      </c>
    </row>
    <row r="20" spans="2:10" s="2" customFormat="1" x14ac:dyDescent="0.35">
      <c r="B20" s="2" t="s">
        <v>37</v>
      </c>
    </row>
    <row r="21" spans="2:10" s="2" customFormat="1" x14ac:dyDescent="0.35">
      <c r="B21" s="2" t="s">
        <v>14</v>
      </c>
    </row>
    <row r="22" spans="2:10" s="2" customFormat="1" ht="14.25" customHeight="1" x14ac:dyDescent="0.35"/>
    <row r="23" spans="2:10" s="2" customFormat="1" x14ac:dyDescent="0.35"/>
    <row r="24" spans="2:10" s="2" customFormat="1" x14ac:dyDescent="0.35"/>
    <row r="25" spans="2:10" s="2" customFormat="1" x14ac:dyDescent="0.35"/>
    <row r="26" spans="2:10" s="2" customFormat="1" x14ac:dyDescent="0.35"/>
    <row r="27" spans="2:10" s="2" customFormat="1" x14ac:dyDescent="0.35"/>
    <row r="28" spans="2:10" s="2" customFormat="1" x14ac:dyDescent="0.35"/>
    <row r="29" spans="2:10" s="2" customFormat="1" x14ac:dyDescent="0.35"/>
    <row r="30" spans="2:10" s="2" customFormat="1" x14ac:dyDescent="0.35"/>
    <row r="31" spans="2:10" s="2" customFormat="1" x14ac:dyDescent="0.35"/>
    <row r="32" spans="2:10" s="2" customFormat="1" x14ac:dyDescent="0.35"/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</sheetData>
  <mergeCells count="4">
    <mergeCell ref="B18:D18"/>
    <mergeCell ref="E5:K5"/>
    <mergeCell ref="F1:G1"/>
    <mergeCell ref="B17:D17"/>
  </mergeCells>
  <conditionalFormatting sqref="H7:H14">
    <cfRule type="expression" dxfId="4" priority="5" stopIfTrue="1">
      <formula>$H7&gt;0</formula>
    </cfRule>
    <cfRule type="expression" dxfId="3" priority="6" stopIfTrue="1">
      <formula>$H7&lt;0</formula>
    </cfRule>
  </conditionalFormatting>
  <conditionalFormatting sqref="J7:J14">
    <cfRule type="expression" dxfId="2" priority="4" stopIfTrue="1">
      <formula>$J7&gt;0</formula>
    </cfRule>
  </conditionalFormatting>
  <conditionalFormatting sqref="K7:K14">
    <cfRule type="expression" dxfId="1" priority="2" stopIfTrue="1">
      <formula>"H8&gt;0"</formula>
    </cfRule>
  </conditionalFormatting>
  <conditionalFormatting sqref="I7:I14">
    <cfRule type="expression" dxfId="0" priority="1" stopIfTrue="1">
      <formula>$J7&gt;0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'1819_CP_NonPerf Rates'!$A$2:$A$14</xm:f>
          </x14:formula1>
          <xm:sqref>D7:D14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/>
  </sheetViews>
  <sheetFormatPr defaultRowHeight="14.4" x14ac:dyDescent="0.3"/>
  <cols>
    <col min="1" max="1" width="15.88671875" bestFit="1" customWidth="1"/>
    <col min="2" max="2" width="21.5546875" customWidth="1"/>
    <col min="3" max="3" width="25.33203125" bestFit="1" customWidth="1"/>
    <col min="5" max="5" width="14.5546875" bestFit="1" customWidth="1"/>
    <col min="6" max="6" width="22.44140625" bestFit="1" customWidth="1"/>
    <col min="7" max="7" width="9.88671875" bestFit="1" customWidth="1"/>
  </cols>
  <sheetData>
    <row r="1" spans="1:7" ht="45" x14ac:dyDescent="0.25">
      <c r="A1" s="30" t="s">
        <v>31</v>
      </c>
      <c r="B1" s="9" t="s">
        <v>26</v>
      </c>
      <c r="C1" s="9" t="s">
        <v>27</v>
      </c>
    </row>
    <row r="2" spans="1:7" ht="15" x14ac:dyDescent="0.25">
      <c r="A2" s="8" t="s">
        <v>25</v>
      </c>
      <c r="B2" s="10">
        <v>281.49</v>
      </c>
      <c r="C2" s="10">
        <f>(B2*365)/30</f>
        <v>3424.7950000000001</v>
      </c>
      <c r="F2" s="30"/>
      <c r="G2" s="30"/>
    </row>
    <row r="3" spans="1:7" ht="15" x14ac:dyDescent="0.25">
      <c r="A3" s="8" t="s">
        <v>22</v>
      </c>
      <c r="B3" s="10">
        <v>254.42</v>
      </c>
      <c r="C3" s="10">
        <f t="shared" ref="C3:C14" si="0">(B3*365)/30</f>
        <v>3095.4433333333332</v>
      </c>
      <c r="F3" s="31"/>
      <c r="G3" s="31"/>
    </row>
    <row r="4" spans="1:7" ht="15" x14ac:dyDescent="0.25">
      <c r="A4" s="8" t="s">
        <v>17</v>
      </c>
      <c r="B4" s="10">
        <v>266.73</v>
      </c>
      <c r="C4" s="10">
        <f t="shared" si="0"/>
        <v>3245.2150000000006</v>
      </c>
      <c r="F4" s="31"/>
      <c r="G4" s="31"/>
    </row>
    <row r="5" spans="1:7" ht="15" x14ac:dyDescent="0.25">
      <c r="A5" s="8" t="s">
        <v>20</v>
      </c>
      <c r="B5" s="10">
        <v>227.73</v>
      </c>
      <c r="C5" s="10">
        <f t="shared" si="0"/>
        <v>2770.7149999999997</v>
      </c>
      <c r="F5" s="31"/>
      <c r="G5" s="31"/>
    </row>
    <row r="6" spans="1:7" ht="15" x14ac:dyDescent="0.25">
      <c r="A6" s="8" t="s">
        <v>16</v>
      </c>
      <c r="B6" s="10">
        <v>279.07</v>
      </c>
      <c r="C6" s="10">
        <f t="shared" si="0"/>
        <v>3395.3516666666669</v>
      </c>
      <c r="F6" s="31"/>
      <c r="G6" s="31"/>
    </row>
    <row r="7" spans="1:7" ht="15" x14ac:dyDescent="0.25">
      <c r="A7" s="8" t="s">
        <v>32</v>
      </c>
      <c r="B7" s="10">
        <v>279.07</v>
      </c>
      <c r="C7" s="10">
        <f t="shared" si="0"/>
        <v>3395.3516666666669</v>
      </c>
      <c r="F7" s="31"/>
      <c r="G7" s="31"/>
    </row>
    <row r="8" spans="1:7" ht="15" x14ac:dyDescent="0.25">
      <c r="A8" s="8" t="s">
        <v>33</v>
      </c>
      <c r="B8" s="10">
        <v>241.92</v>
      </c>
      <c r="C8" s="10">
        <f t="shared" si="0"/>
        <v>2943.3599999999997</v>
      </c>
      <c r="F8" s="31"/>
      <c r="G8" s="31"/>
    </row>
    <row r="9" spans="1:7" ht="15" x14ac:dyDescent="0.25">
      <c r="A9" s="8" t="s">
        <v>19</v>
      </c>
      <c r="B9" s="10">
        <v>234.82</v>
      </c>
      <c r="C9" s="10">
        <f t="shared" si="0"/>
        <v>2856.9766666666669</v>
      </c>
      <c r="F9" s="31"/>
      <c r="G9" s="31"/>
    </row>
    <row r="10" spans="1:7" ht="15" x14ac:dyDescent="0.25">
      <c r="A10" s="8" t="s">
        <v>23</v>
      </c>
      <c r="B10" s="10">
        <v>254.47</v>
      </c>
      <c r="C10" s="10">
        <f t="shared" si="0"/>
        <v>3096.0516666666667</v>
      </c>
      <c r="F10" s="31"/>
      <c r="G10" s="31"/>
    </row>
    <row r="11" spans="1:7" ht="15" x14ac:dyDescent="0.25">
      <c r="A11" s="8" t="s">
        <v>34</v>
      </c>
      <c r="B11" s="10">
        <v>254.47</v>
      </c>
      <c r="C11" s="10">
        <f t="shared" si="0"/>
        <v>3096.0516666666667</v>
      </c>
      <c r="F11" s="31"/>
      <c r="G11" s="31"/>
    </row>
    <row r="12" spans="1:7" ht="15" x14ac:dyDescent="0.25">
      <c r="A12" s="8" t="s">
        <v>24</v>
      </c>
      <c r="B12" s="10">
        <v>299.95</v>
      </c>
      <c r="C12" s="10">
        <f t="shared" si="0"/>
        <v>3649.3916666666669</v>
      </c>
      <c r="F12" s="31"/>
      <c r="G12" s="31"/>
    </row>
    <row r="13" spans="1:7" ht="15" x14ac:dyDescent="0.25">
      <c r="A13" s="8" t="s">
        <v>18</v>
      </c>
      <c r="B13" s="10">
        <v>220.63</v>
      </c>
      <c r="C13" s="10">
        <f t="shared" si="0"/>
        <v>2684.3316666666665</v>
      </c>
      <c r="F13" s="31"/>
      <c r="G13" s="31"/>
    </row>
    <row r="14" spans="1:7" ht="15" x14ac:dyDescent="0.25">
      <c r="A14" s="8" t="s">
        <v>21</v>
      </c>
      <c r="B14" s="10">
        <v>266.70999999999998</v>
      </c>
      <c r="C14" s="10">
        <f t="shared" si="0"/>
        <v>3244.9716666666664</v>
      </c>
      <c r="F14" s="31"/>
      <c r="G14" s="31"/>
    </row>
    <row r="15" spans="1:7" ht="15" x14ac:dyDescent="0.25">
      <c r="F15" s="31"/>
      <c r="G15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1819_CP_NonPerf Rates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Bastian</dc:creator>
  <cp:lastModifiedBy>Heun, Nicole A.</cp:lastModifiedBy>
  <cp:lastPrinted>2016-04-26T18:05:26Z</cp:lastPrinted>
  <dcterms:created xsi:type="dcterms:W3CDTF">2016-04-05T14:13:43Z</dcterms:created>
  <dcterms:modified xsi:type="dcterms:W3CDTF">2016-04-29T17:59:40Z</dcterms:modified>
</cp:coreProperties>
</file>