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36C2E73E-301D-4694-AF37-BE91A9B37752}" xr6:coauthVersionLast="47" xr6:coauthVersionMax="47" xr10:uidLastSave="{00000000-0000-0000-0000-000000000000}"/>
  <bookViews>
    <workbookView xWindow="-110" yWindow="-110" windowWidth="38620" windowHeight="21100" tabRatio="893" xr2:uid="{00000000-000D-0000-FFFF-FFFF00000000}"/>
  </bookViews>
  <sheets>
    <sheet name="Formulaic Cost Data" sheetId="2" r:id="rId1"/>
    <sheet name="MTSL Information" sheetId="10" r:id="rId2"/>
  </sheets>
  <definedNames>
    <definedName name="_xlnm.Print_Area" localSheetId="0">'Formulaic Cost Data'!$A$1:$K$112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1" i="2" l="1"/>
  <c r="R46" i="2"/>
  <c r="I45" i="2" s="1"/>
  <c r="I52" i="2" s="1"/>
  <c r="P29" i="2"/>
  <c r="O46" i="2"/>
  <c r="O31" i="2"/>
  <c r="R31" i="2"/>
  <c r="O29" i="2"/>
  <c r="N70" i="2"/>
  <c r="Q29" i="2"/>
  <c r="R29" i="2" s="1"/>
  <c r="P40" i="2" l="1"/>
  <c r="Q40" i="2" s="1"/>
  <c r="R40" i="2" s="1"/>
  <c r="S40" i="2" s="1"/>
  <c r="B41" i="2" s="1"/>
  <c r="O33" i="2" l="1"/>
  <c r="N92" i="2" l="1"/>
  <c r="I92" i="2" s="1"/>
  <c r="H70" i="2" l="1"/>
  <c r="I90" i="2" l="1"/>
  <c r="V31" i="2" l="1"/>
  <c r="B40" i="2"/>
  <c r="N30" i="2"/>
  <c r="O30" i="2" s="1"/>
  <c r="H30" i="2" s="1"/>
  <c r="I61" i="2"/>
  <c r="N37" i="2"/>
  <c r="N40" i="2" s="1"/>
  <c r="S4" i="2"/>
  <c r="T4" i="2"/>
  <c r="S3" i="2"/>
  <c r="T3" i="2" s="1"/>
  <c r="T29" i="2" l="1"/>
  <c r="I40" i="2" l="1"/>
  <c r="I94" i="2" s="1"/>
  <c r="X31" i="2"/>
</calcChain>
</file>

<file path=xl/sharedStrings.xml><?xml version="1.0" encoding="utf-8"?>
<sst xmlns="http://schemas.openxmlformats.org/spreadsheetml/2006/main" count="169" uniqueCount="157">
  <si>
    <t>INSTALLED CAPACITY</t>
  </si>
  <si>
    <t>MW</t>
  </si>
  <si>
    <t>GAL/HR</t>
  </si>
  <si>
    <t>$/GAL</t>
  </si>
  <si>
    <t>$</t>
  </si>
  <si>
    <t>BLACK START GENERATING UNIT NAME</t>
  </si>
  <si>
    <t xml:space="preserve">      For Oil Fired Units</t>
  </si>
  <si>
    <t xml:space="preserve">      As defined in Schedule 6A</t>
  </si>
  <si>
    <t xml:space="preserve">      If Necessary</t>
  </si>
  <si>
    <t>COST DATA SUBMITTED BY</t>
  </si>
  <si>
    <t>COST DATA SUBMITTED ON</t>
  </si>
  <si>
    <t>NAME:</t>
  </si>
  <si>
    <t>DATE:</t>
  </si>
  <si>
    <t>Additional costs that are exceptions to Schedule 6A may be submitted as attachments to this form.</t>
  </si>
  <si>
    <t>PJM Open Access Transmission Tariff</t>
  </si>
  <si>
    <r>
      <t xml:space="preserve">Details of Black Start Revenue Requirements can be found in </t>
    </r>
    <r>
      <rPr>
        <b/>
        <sz val="12"/>
        <rFont val="Arial"/>
        <family val="2"/>
      </rPr>
      <t>Schedule 6A</t>
    </r>
    <r>
      <rPr>
        <sz val="12"/>
        <rFont val="Arial"/>
        <family val="2"/>
      </rPr>
      <t xml:space="preserve"> of the </t>
    </r>
  </si>
  <si>
    <t>SUBMISSION PROCEDURE</t>
  </si>
  <si>
    <t>FOR AUDITING PURPOSES, SUBMIT THIS EXCEL FILE USING THE BLACKSTART XLS UPLOAD PROCESS*</t>
  </si>
  <si>
    <r>
      <t xml:space="preserve">*Submit .xls files only.  If you are concerned that your file did not transfer properly, please contact </t>
    </r>
    <r>
      <rPr>
        <b/>
        <sz val="12"/>
        <rFont val="Arial"/>
        <family val="2"/>
      </rPr>
      <t xml:space="preserve">blackstart@pjm.com </t>
    </r>
  </si>
  <si>
    <t>PJM BLACK START FORMULAIC COST DATA FORM</t>
  </si>
  <si>
    <r>
      <t>Note:</t>
    </r>
    <r>
      <rPr>
        <sz val="12"/>
        <rFont val="Arial"/>
        <family val="2"/>
      </rPr>
      <t xml:space="preserve"> All data must be submitted on an annual unit by unit basis</t>
    </r>
  </si>
  <si>
    <t>TRANSMISSION ZONE</t>
  </si>
  <si>
    <t>Combustion Turbine</t>
  </si>
  <si>
    <t>Hydroelectric</t>
  </si>
  <si>
    <t>Diesel</t>
  </si>
  <si>
    <t>Automatic Load Rejection</t>
  </si>
  <si>
    <t>GAL</t>
  </si>
  <si>
    <t>FUEL HANDLING (BASIS)</t>
  </si>
  <si>
    <t>FUEL COST (COMMODITY FWD STRIP)</t>
  </si>
  <si>
    <t>Black Start Class</t>
  </si>
  <si>
    <t>Black Start Capable</t>
  </si>
  <si>
    <t>Cost of New Entry</t>
  </si>
  <si>
    <t>Start</t>
  </si>
  <si>
    <t>Area 1</t>
  </si>
  <si>
    <t>Area 2</t>
  </si>
  <si>
    <t>Area 3</t>
  </si>
  <si>
    <t>Transco</t>
  </si>
  <si>
    <t>CONE Area</t>
  </si>
  <si>
    <t>PS</t>
  </si>
  <si>
    <t>PECO</t>
  </si>
  <si>
    <t>PPL</t>
  </si>
  <si>
    <t>BGE</t>
  </si>
  <si>
    <t>JCPL</t>
  </si>
  <si>
    <t>MetEd</t>
  </si>
  <si>
    <t>Penelec</t>
  </si>
  <si>
    <t>PEPCO</t>
  </si>
  <si>
    <t>AE</t>
  </si>
  <si>
    <t>DPL</t>
  </si>
  <si>
    <t>RECO</t>
  </si>
  <si>
    <t>APS</t>
  </si>
  <si>
    <t>ComED</t>
  </si>
  <si>
    <t>AEP</t>
  </si>
  <si>
    <t>Dayton</t>
  </si>
  <si>
    <t>DLCo</t>
  </si>
  <si>
    <t>Dominion</t>
  </si>
  <si>
    <t>CONE Area Definitions</t>
  </si>
  <si>
    <t>CONE Area 1: AE, DPL, JCPL, PECO, PS, RECO</t>
  </si>
  <si>
    <t>Resource Types</t>
  </si>
  <si>
    <t>Age</t>
  </si>
  <si>
    <t>Remaining</t>
  </si>
  <si>
    <t>Levelized CRF</t>
  </si>
  <si>
    <t>1 to 5 years</t>
  </si>
  <si>
    <t>6 to 10 years</t>
  </si>
  <si>
    <t>11 to 15 years</t>
  </si>
  <si>
    <t>16+ years</t>
  </si>
  <si>
    <t>ATSI</t>
  </si>
  <si>
    <t>RESOURCE TYPE</t>
  </si>
  <si>
    <t>RESOURCE CLASS</t>
  </si>
  <si>
    <t>SECTION 1: FIXED BLACK START SERVICE COST COMPONENT</t>
  </si>
  <si>
    <t>CONE AREA:</t>
  </si>
  <si>
    <t>X</t>
  </si>
  <si>
    <t>SECTION 2: VARIABLE BLACK START SERVICE COST COMPONENT</t>
  </si>
  <si>
    <t>VARIABLE BSSCC =</t>
  </si>
  <si>
    <t>ANNUAL TRAINING COST PER PLANT</t>
  </si>
  <si>
    <t>CRITICAL RESOURCES PER PLANT</t>
  </si>
  <si>
    <t xml:space="preserve">TRAINING BSSCC (PER RESOURCE) = </t>
  </si>
  <si>
    <t>SECTION 3: TRAINING BLACK START SERVICE COST COMPONENT</t>
  </si>
  <si>
    <t>SECTION 4: FUEL STORAGE BLACK START SERVICE COST COMPONENT</t>
  </si>
  <si>
    <t>FUEL BURN RATE</t>
  </si>
  <si>
    <t>BOND RATE (BAA1)</t>
  </si>
  <si>
    <t xml:space="preserve">FUEL STORAGE BSSCC (PER RESOURCE) = </t>
  </si>
  <si>
    <t>RUN HOURS</t>
  </si>
  <si>
    <t>HR</t>
  </si>
  <si>
    <t xml:space="preserve">      From Resources's Restoration Plan, 16 unless specified</t>
  </si>
  <si>
    <t>ESTIMATED TOTAL ANNUAL BLACK START SERVICE COST =</t>
  </si>
  <si>
    <t xml:space="preserve">      Automatic Load Rejection resources are only elligible for training costs</t>
  </si>
  <si>
    <t>CONE Area 2: BGE, PEPCO</t>
  </si>
  <si>
    <t>CONE Area 4: MetEd, Penelec, PPL</t>
  </si>
  <si>
    <t>DEOK</t>
  </si>
  <si>
    <t>Area 4</t>
  </si>
  <si>
    <t>Area 5</t>
  </si>
  <si>
    <t>CONE Area 3: AEP, APS, ATSI, ComED, Dayton, DEOK, Duquesne, EKPC</t>
  </si>
  <si>
    <t>EKPC</t>
  </si>
  <si>
    <t>CONE Area 5: Dominion after 2018 CONE Area 3</t>
  </si>
  <si>
    <t>https://www.pjm.com/-/media/etools/edart/edart-user-guide.ashx?la=en</t>
  </si>
  <si>
    <t xml:space="preserve">Guidance for MTSL (minimum tank suction level) </t>
  </si>
  <si>
    <t>Per PJM OATT Schedule 6A Black Start Service ["MTSL" is the "minimum tank suction level" and shall apply where no direct current pumps are available for the Black Start Unit.  In the case where more than one Black Start Unit shares a common fuel tank, only one Black Start Unit will be eligible for the recovery of this volume in its fuel storage cost calculation.  The MTSL for the other Black Start Unit(s) sharing the common fuel tank shall be zero.]</t>
  </si>
  <si>
    <t xml:space="preserve">MTSL is the amount of fuel at the bottom of a tank which cannot be recovered for use.  </t>
  </si>
  <si>
    <t>The MMU recommends that for oil tanks which are shared with other resources that only a proportionate share of the MTSL be allocated for black start units.  Using the following formula:  (Unit Fuel Burn Rate X Minimum Run Hours) / (Tank Capacity - MTSL) = %; then multiple the product of % X MTSL to receive the MMU's Black Start MTSL</t>
  </si>
  <si>
    <t>Example for tank capacity of 4,000,000 gallons; Minimum Tank Suction Level of 800,000 gallons; and Black Start Fuel Burn of 192,000 gallons</t>
  </si>
  <si>
    <t>MMU MTSL Example:</t>
  </si>
  <si>
    <t xml:space="preserve">(to be used to enter MTSL in MIRA) </t>
  </si>
  <si>
    <r>
      <rPr>
        <b/>
        <sz val="12"/>
        <rFont val="Arial"/>
        <family val="2"/>
      </rPr>
      <t xml:space="preserve">Tank Capacity </t>
    </r>
    <r>
      <rPr>
        <sz val="12"/>
        <rFont val="Arial"/>
        <family val="2"/>
      </rPr>
      <t>= 4,000,000 gals</t>
    </r>
  </si>
  <si>
    <r>
      <rPr>
        <b/>
        <sz val="12"/>
        <rFont val="Arial"/>
        <family val="2"/>
      </rPr>
      <t>MTSL</t>
    </r>
    <r>
      <rPr>
        <sz val="12"/>
        <rFont val="Arial"/>
        <family val="2"/>
      </rPr>
      <t xml:space="preserve"> = 800,000 gals</t>
    </r>
  </si>
  <si>
    <r>
      <rPr>
        <b/>
        <sz val="12"/>
        <rFont val="Arial"/>
        <family val="2"/>
      </rPr>
      <t>Unit Fuel Burn Rate =</t>
    </r>
    <r>
      <rPr>
        <sz val="12"/>
        <rFont val="Arial"/>
        <family val="2"/>
      </rPr>
      <t xml:space="preserve"> 12,000 gals per hour</t>
    </r>
  </si>
  <si>
    <r>
      <rPr>
        <b/>
        <sz val="12"/>
        <rFont val="Arial"/>
        <family val="2"/>
      </rPr>
      <t xml:space="preserve">Minimum Run Hours </t>
    </r>
    <r>
      <rPr>
        <sz val="12"/>
        <rFont val="Arial"/>
        <family val="2"/>
      </rPr>
      <t>= 16 hours</t>
    </r>
  </si>
  <si>
    <r>
      <rPr>
        <b/>
        <sz val="12"/>
        <rFont val="Arial"/>
        <family val="2"/>
      </rPr>
      <t>Total Black Start Fuel Burn</t>
    </r>
    <r>
      <rPr>
        <sz val="12"/>
        <rFont val="Arial"/>
        <family val="2"/>
      </rPr>
      <t xml:space="preserve"> = 192,000 gals</t>
    </r>
  </si>
  <si>
    <r>
      <rPr>
        <b/>
        <sz val="12"/>
        <rFont val="Arial"/>
        <family val="2"/>
      </rPr>
      <t xml:space="preserve">Black Start Tank Ratio </t>
    </r>
    <r>
      <rPr>
        <sz val="12"/>
        <rFont val="Arial"/>
        <family val="2"/>
      </rPr>
      <t>= (Unit Fuel Burn Rate X 16) / (Tank Capacity  - MTSL) =  (12,000 gals/hr X 16 hrs)/(4,000,000 gals - 800,000 gls) = 6%</t>
    </r>
  </si>
  <si>
    <r>
      <rPr>
        <b/>
        <sz val="12"/>
        <rFont val="Arial"/>
        <family val="2"/>
      </rPr>
      <t>MMU</t>
    </r>
    <r>
      <rPr>
        <sz val="12"/>
        <rFont val="Arial"/>
        <family val="2"/>
      </rPr>
      <t xml:space="preserve"> </t>
    </r>
    <r>
      <rPr>
        <b/>
        <sz val="12"/>
        <rFont val="Arial"/>
        <family val="2"/>
      </rPr>
      <t>Black Start MTSL</t>
    </r>
    <r>
      <rPr>
        <sz val="12"/>
        <rFont val="Arial"/>
        <family val="2"/>
      </rPr>
      <t xml:space="preserve"> = Black Start Tank Ratio X MTSL = 6.0% X 800,000 gals = 48,000 gals</t>
    </r>
  </si>
  <si>
    <t xml:space="preserve">(to be used to enter MTSL in this workbook and submit to PJM) </t>
  </si>
  <si>
    <t xml:space="preserve">ACTUAL MTSL Example:  </t>
  </si>
  <si>
    <r>
      <rPr>
        <b/>
        <sz val="12"/>
        <rFont val="Arial"/>
        <family val="2"/>
      </rPr>
      <t>ACTUAL MTSL</t>
    </r>
    <r>
      <rPr>
        <sz val="12"/>
        <rFont val="Arial"/>
        <family val="2"/>
      </rPr>
      <t xml:space="preserve"> = 800,000 gals</t>
    </r>
  </si>
  <si>
    <t>EMAIL:</t>
  </si>
  <si>
    <t>PHONE #:</t>
  </si>
  <si>
    <t>BLACK START GENERATING UNIT ID</t>
  </si>
  <si>
    <t xml:space="preserve">      For Oil Fired Units, please enter Black Start/Energy Tank Ratio MTSL submitted in the MIRA Black Start Module</t>
  </si>
  <si>
    <t xml:space="preserve">      For Oil Fired Units, please enter fuel tank's MTSL</t>
  </si>
  <si>
    <t>TOTAL TANK VOLUME</t>
  </si>
  <si>
    <t>FUEL ASSURANCE</t>
  </si>
  <si>
    <t>Fuel Assurance</t>
  </si>
  <si>
    <t>Non-Fuel Assured</t>
  </si>
  <si>
    <t>Fuel Assured</t>
  </si>
  <si>
    <t>Z Factor</t>
  </si>
  <si>
    <t>INCENTIVE FACTOR (Z) =</t>
  </si>
  <si>
    <t>FUEL ASSURANCE TYPE</t>
  </si>
  <si>
    <t>Fuel Assurance Type</t>
  </si>
  <si>
    <t>Fuel Storage</t>
  </si>
  <si>
    <t>Multiple Pipelines</t>
  </si>
  <si>
    <t>90% Confidence</t>
  </si>
  <si>
    <t>N/A</t>
  </si>
  <si>
    <t>Black Start RFP and Fuel Assurance FAQ</t>
  </si>
  <si>
    <t>(CONTACT INFORMATION)</t>
  </si>
  <si>
    <t>(As defined in Cost Development Guidelines (VOM does not include the 10% adder for Cost Capped Operations)</t>
  </si>
  <si>
    <t>FIXED BSCC Value</t>
  </si>
  <si>
    <t>Handy Whitman</t>
  </si>
  <si>
    <t>Fixed Value</t>
  </si>
  <si>
    <t>Old Net Cone</t>
  </si>
  <si>
    <r>
      <t>REVENUE EFFECTIVE DATE</t>
    </r>
    <r>
      <rPr>
        <b/>
        <vertAlign val="superscript"/>
        <sz val="12"/>
        <rFont val="Arial"/>
        <family val="2"/>
      </rPr>
      <t>1</t>
    </r>
  </si>
  <si>
    <t>Notes:</t>
  </si>
  <si>
    <t>For units submitting annual revenues, default value is June 1 of the delivery year.  If entering black start service, contact PJM for effective date,</t>
  </si>
  <si>
    <t>Please refernce the worksheet named "MTSL Information" that is located as a separate worksheet in this workbook.</t>
  </si>
  <si>
    <t>VOM ALLOCATION</t>
  </si>
  <si>
    <t>VOM Allocation</t>
  </si>
  <si>
    <t>1% Energy VOM</t>
  </si>
  <si>
    <t>ENERGY VOM / BLACK START O&amp;M</t>
  </si>
  <si>
    <t>Black Start O&amp;M Costs</t>
  </si>
  <si>
    <r>
      <t xml:space="preserve">If custom allocation is required, please contact PJM at </t>
    </r>
    <r>
      <rPr>
        <b/>
        <sz val="12"/>
        <rFont val="Arial"/>
        <family val="2"/>
      </rPr>
      <t>blackstart@pjm.com</t>
    </r>
    <r>
      <rPr>
        <sz val="12"/>
        <rFont val="Arial"/>
        <family val="2"/>
      </rPr>
      <t xml:space="preserve"> </t>
    </r>
  </si>
  <si>
    <r>
      <t>ACTUAL MINIMUM TANK SUCTION LEVEL (MTSL)</t>
    </r>
    <r>
      <rPr>
        <b/>
        <vertAlign val="superscript"/>
        <sz val="12"/>
        <rFont val="Arial"/>
        <family val="2"/>
      </rPr>
      <t>3</t>
    </r>
  </si>
  <si>
    <r>
      <t>MMU MINIMUM TANK SUCTION LEVEL (MTSL)</t>
    </r>
    <r>
      <rPr>
        <b/>
        <vertAlign val="superscript"/>
        <sz val="12"/>
        <rFont val="Arial"/>
        <family val="2"/>
      </rPr>
      <t>3</t>
    </r>
  </si>
  <si>
    <r>
      <t>ALLOCATION FACTOR (Y)</t>
    </r>
    <r>
      <rPr>
        <b/>
        <vertAlign val="superscript"/>
        <sz val="12"/>
        <rFont val="Arial"/>
        <family val="2"/>
      </rPr>
      <t>2</t>
    </r>
  </si>
  <si>
    <t>1.</t>
  </si>
  <si>
    <t>2.</t>
  </si>
  <si>
    <t>3.</t>
  </si>
  <si>
    <t>John Doe</t>
  </si>
  <si>
    <t>joe.doe@abc.com</t>
  </si>
  <si>
    <t>(xxx) xxx-xxxx</t>
  </si>
  <si>
    <t>Unit Name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</si>
</sst>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3" formatCode="_(* #,##0.00_);_(* \(#,##0.00\);_(* &quot;-&quot;??_);_(@_)"/>
    <numFmt numFmtId="164" formatCode="mm\ /\ dd\ /\ yyyy"/>
    <numFmt numFmtId="165" formatCode="_(* #,##0.00_);_(* \(#,##0.00\)"/>
    <numFmt numFmtId="166" formatCode="0.000"/>
  </numFmts>
  <fonts count="24" x14ac:knownFonts="1">
    <font>
      <sz val="10"/>
      <name val="Arial"/>
    </font>
    <font>
      <sz val="10"/>
      <name val="Arial"/>
    </font>
    <font>
      <b/>
      <sz val="18"/>
      <name val="Arial"/>
      <family val="2"/>
    </font>
    <font>
      <sz val="12"/>
      <name val="Arial"/>
      <family val="2"/>
    </font>
    <font>
      <b/>
      <i/>
      <sz val="12"/>
      <name val="Arial"/>
      <family val="2"/>
    </font>
    <font>
      <i/>
      <sz val="12"/>
      <name val="Arial"/>
      <family val="2"/>
    </font>
    <font>
      <sz val="10"/>
      <name val="Arial"/>
      <family val="2"/>
    </font>
    <font>
      <b/>
      <sz val="12"/>
      <name val="Arial"/>
      <family val="2"/>
    </font>
    <font>
      <sz val="8"/>
      <name val="Arial"/>
      <family val="2"/>
    </font>
    <font>
      <u/>
      <sz val="10"/>
      <color indexed="12"/>
      <name val="Arial"/>
      <family val="2"/>
    </font>
    <font>
      <b/>
      <u/>
      <sz val="12"/>
      <name val="Arial"/>
      <family val="2"/>
    </font>
    <font>
      <sz val="12"/>
      <name val="Arial"/>
      <family val="2"/>
    </font>
    <font>
      <u/>
      <sz val="12"/>
      <color indexed="12"/>
      <name val="Arial"/>
      <family val="2"/>
    </font>
    <font>
      <b/>
      <u/>
      <sz val="10"/>
      <name val="Arial"/>
      <family val="2"/>
    </font>
    <font>
      <sz val="11"/>
      <name val="Arial"/>
      <family val="2"/>
    </font>
    <font>
      <i/>
      <sz val="10"/>
      <name val="Arial"/>
      <family val="2"/>
    </font>
    <font>
      <b/>
      <sz val="10"/>
      <color theme="1"/>
      <name val="Arial"/>
      <family val="2"/>
    </font>
    <font>
      <b/>
      <u/>
      <sz val="10"/>
      <color theme="1"/>
      <name val="Arial"/>
      <family val="2"/>
    </font>
    <font>
      <b/>
      <sz val="10"/>
      <name val="Arial"/>
      <family val="2"/>
    </font>
    <font>
      <sz val="10"/>
      <color rgb="FF040C28"/>
      <name val="Roboto"/>
    </font>
    <font>
      <i/>
      <sz val="11"/>
      <name val="Arial"/>
      <family val="2"/>
    </font>
    <font>
      <b/>
      <sz val="11"/>
      <name val="Arial"/>
      <family val="2"/>
    </font>
    <font>
      <b/>
      <sz val="12"/>
      <color rgb="FFFF0000"/>
      <name val="Arial"/>
      <family val="2"/>
    </font>
    <font>
      <b/>
      <vertAlign val="superscript"/>
      <sz val="12"/>
      <name val="Arial"/>
      <family val="2"/>
    </font>
  </fonts>
  <fills count="5">
    <fill>
      <patternFill patternType="none"/>
    </fill>
    <fill>
      <patternFill patternType="gray125"/>
    </fill>
    <fill>
      <patternFill patternType="solid">
        <fgColor indexed="55"/>
        <bgColor indexed="64"/>
      </patternFill>
    </fill>
    <fill>
      <patternFill patternType="solid">
        <fgColor theme="0" tint="-0.249977111117893"/>
        <bgColor indexed="64"/>
      </patternFill>
    </fill>
    <fill>
      <patternFill patternType="solid">
        <fgColor rgb="FFFFFF00"/>
        <bgColor indexed="64"/>
      </patternFill>
    </fill>
  </fills>
  <borders count="7">
    <border>
      <left/>
      <right/>
      <top/>
      <bottom/>
      <diagonal/>
    </border>
    <border>
      <left/>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2">
    <xf numFmtId="0" fontId="0" fillId="0" borderId="0" xfId="0"/>
    <xf numFmtId="0" fontId="0" fillId="2" borderId="0" xfId="0" applyFill="1"/>
    <xf numFmtId="0" fontId="0" fillId="0" borderId="1" xfId="0" applyBorder="1"/>
    <xf numFmtId="0" fontId="3" fillId="0" borderId="0" xfId="0" applyFont="1"/>
    <xf numFmtId="164" fontId="3" fillId="0" borderId="0" xfId="0" applyNumberFormat="1" applyFont="1" applyAlignment="1">
      <alignment horizontal="center"/>
    </xf>
    <xf numFmtId="0" fontId="5" fillId="0" borderId="0" xfId="0" applyFont="1"/>
    <xf numFmtId="0" fontId="3" fillId="0" borderId="1" xfId="0" applyFont="1" applyBorder="1"/>
    <xf numFmtId="0" fontId="3" fillId="0" borderId="0" xfId="0" applyFont="1" applyAlignment="1">
      <alignment horizontal="center"/>
    </xf>
    <xf numFmtId="0" fontId="7" fillId="0" borderId="0" xfId="0" applyFont="1"/>
    <xf numFmtId="0" fontId="10" fillId="0" borderId="0" xfId="0" applyFont="1"/>
    <xf numFmtId="0" fontId="11" fillId="0" borderId="0" xfId="0" applyFont="1"/>
    <xf numFmtId="0" fontId="12" fillId="0" borderId="0" xfId="2" applyFont="1" applyAlignment="1" applyProtection="1"/>
    <xf numFmtId="0" fontId="3" fillId="0" borderId="0" xfId="0" applyFont="1" applyAlignment="1">
      <alignment horizontal="right"/>
    </xf>
    <xf numFmtId="164" fontId="3" fillId="0" borderId="0" xfId="0" applyNumberFormat="1" applyFont="1" applyAlignment="1">
      <alignment horizontal="right"/>
    </xf>
    <xf numFmtId="0" fontId="3" fillId="0" borderId="2" xfId="0" applyFont="1" applyBorder="1" applyAlignment="1">
      <alignment horizontal="right"/>
    </xf>
    <xf numFmtId="0" fontId="6" fillId="0" borderId="0" xfId="0" applyFont="1"/>
    <xf numFmtId="0" fontId="17" fillId="3" borderId="0" xfId="0" applyFont="1" applyFill="1" applyProtection="1">
      <protection hidden="1"/>
    </xf>
    <xf numFmtId="0" fontId="0" fillId="3" borderId="0" xfId="0" applyFill="1" applyProtection="1">
      <protection hidden="1"/>
    </xf>
    <xf numFmtId="14" fontId="0" fillId="3" borderId="0" xfId="0" applyNumberFormat="1" applyFill="1" applyProtection="1">
      <protection hidden="1"/>
    </xf>
    <xf numFmtId="2" fontId="0" fillId="3" borderId="0" xfId="0" applyNumberFormat="1" applyFill="1" applyProtection="1">
      <protection hidden="1"/>
    </xf>
    <xf numFmtId="0" fontId="16" fillId="3" borderId="0" xfId="0" applyFont="1" applyFill="1" applyProtection="1">
      <protection hidden="1"/>
    </xf>
    <xf numFmtId="14" fontId="0" fillId="0" borderId="0" xfId="0" applyNumberFormat="1"/>
    <xf numFmtId="0" fontId="13" fillId="0" borderId="0" xfId="0" applyFont="1"/>
    <xf numFmtId="0" fontId="14" fillId="0" borderId="0" xfId="0" applyFont="1"/>
    <xf numFmtId="0" fontId="14" fillId="0" borderId="0" xfId="0" applyFont="1" applyAlignment="1">
      <alignment horizontal="center"/>
    </xf>
    <xf numFmtId="0" fontId="14" fillId="0" borderId="0" xfId="0" applyFont="1" applyAlignment="1">
      <alignment horizontal="left"/>
    </xf>
    <xf numFmtId="165" fontId="3" fillId="0" borderId="0" xfId="1" applyNumberFormat="1" applyFont="1" applyBorder="1" applyAlignment="1">
      <alignment horizontal="right"/>
    </xf>
    <xf numFmtId="0" fontId="17" fillId="3" borderId="0" xfId="0" applyFont="1" applyFill="1" applyProtection="1">
      <protection locked="0" hidden="1"/>
    </xf>
    <xf numFmtId="0" fontId="0" fillId="3" borderId="0" xfId="0" applyFill="1" applyProtection="1">
      <protection locked="0" hidden="1"/>
    </xf>
    <xf numFmtId="0" fontId="0" fillId="0" borderId="0" xfId="0" applyProtection="1">
      <protection locked="0"/>
    </xf>
    <xf numFmtId="2" fontId="0" fillId="0" borderId="0" xfId="0" applyNumberFormat="1"/>
    <xf numFmtId="0" fontId="0" fillId="0" borderId="0" xfId="0" applyAlignment="1">
      <alignment wrapText="1"/>
    </xf>
    <xf numFmtId="0" fontId="4" fillId="4" borderId="0" xfId="0" applyFont="1" applyFill="1"/>
    <xf numFmtId="0" fontId="15" fillId="0" borderId="0" xfId="0" applyFont="1"/>
    <xf numFmtId="164" fontId="3" fillId="0" borderId="0" xfId="0" applyNumberFormat="1" applyFont="1" applyAlignment="1" applyProtection="1">
      <alignment horizontal="left"/>
      <protection locked="0"/>
    </xf>
    <xf numFmtId="0" fontId="3" fillId="0" borderId="0" xfId="0" quotePrefix="1" applyFont="1"/>
    <xf numFmtId="0" fontId="18" fillId="0" borderId="0" xfId="0" applyFont="1"/>
    <xf numFmtId="14" fontId="19" fillId="0" borderId="0" xfId="0" applyNumberFormat="1" applyFont="1"/>
    <xf numFmtId="1" fontId="0" fillId="0" borderId="0" xfId="0" applyNumberFormat="1"/>
    <xf numFmtId="0" fontId="20" fillId="0" borderId="0" xfId="0" applyFont="1"/>
    <xf numFmtId="0" fontId="21" fillId="0" borderId="0" xfId="0" applyFont="1"/>
    <xf numFmtId="165" fontId="7" fillId="0" borderId="0" xfId="1" applyNumberFormat="1" applyFont="1" applyBorder="1" applyAlignment="1">
      <alignment horizontal="right"/>
    </xf>
    <xf numFmtId="0" fontId="18" fillId="3" borderId="0" xfId="0" applyFont="1" applyFill="1" applyProtection="1">
      <protection hidden="1"/>
    </xf>
    <xf numFmtId="14" fontId="6" fillId="0" borderId="0" xfId="0" applyNumberFormat="1" applyFont="1"/>
    <xf numFmtId="8" fontId="0" fillId="0" borderId="0" xfId="0" applyNumberFormat="1"/>
    <xf numFmtId="166" fontId="0" fillId="0" borderId="0" xfId="0" applyNumberFormat="1"/>
    <xf numFmtId="0" fontId="0" fillId="0" borderId="0" xfId="0" applyAlignment="1">
      <alignment horizontal="center"/>
    </xf>
    <xf numFmtId="0" fontId="7" fillId="0" borderId="0" xfId="0" quotePrefix="1" applyFont="1"/>
    <xf numFmtId="0" fontId="3" fillId="0" borderId="0" xfId="0" quotePrefix="1" applyFont="1" applyAlignment="1">
      <alignment horizontal="center" vertical="center"/>
    </xf>
    <xf numFmtId="164" fontId="3" fillId="0" borderId="0" xfId="0" applyNumberFormat="1" applyFont="1" applyAlignment="1">
      <alignment horizontal="left"/>
    </xf>
    <xf numFmtId="0" fontId="7" fillId="4" borderId="0" xfId="0" applyFont="1" applyFill="1"/>
    <xf numFmtId="0" fontId="3" fillId="4" borderId="0" xfId="0" applyFont="1" applyFill="1"/>
    <xf numFmtId="0" fontId="0" fillId="4" borderId="0" xfId="0" applyFill="1"/>
    <xf numFmtId="0" fontId="3" fillId="4" borderId="2" xfId="0" applyFont="1" applyFill="1" applyBorder="1" applyAlignment="1" applyProtection="1">
      <alignment horizontal="center"/>
      <protection locked="0"/>
    </xf>
    <xf numFmtId="164" fontId="3" fillId="0" borderId="6" xfId="0" applyNumberFormat="1" applyFont="1" applyBorder="1" applyAlignment="1">
      <alignment horizontal="left"/>
    </xf>
    <xf numFmtId="164" fontId="3" fillId="4" borderId="2" xfId="0" applyNumberFormat="1" applyFont="1" applyFill="1" applyBorder="1" applyAlignment="1" applyProtection="1">
      <alignment horizontal="left"/>
      <protection locked="0"/>
    </xf>
    <xf numFmtId="0" fontId="3" fillId="4" borderId="2" xfId="0" applyFont="1" applyFill="1" applyBorder="1" applyAlignment="1" applyProtection="1">
      <alignment horizontal="left"/>
      <protection locked="0"/>
    </xf>
    <xf numFmtId="0" fontId="2" fillId="0" borderId="0" xfId="0" applyFont="1" applyAlignment="1">
      <alignment horizontal="center" vertical="center"/>
    </xf>
    <xf numFmtId="0" fontId="12" fillId="0" borderId="0" xfId="2" applyFont="1" applyAlignment="1" applyProtection="1">
      <alignment horizontal="left"/>
    </xf>
    <xf numFmtId="0" fontId="8" fillId="0" borderId="0" xfId="0" applyFont="1" applyAlignment="1">
      <alignment horizontal="left" vertical="center"/>
    </xf>
    <xf numFmtId="0" fontId="3" fillId="0" borderId="2" xfId="0" applyFont="1" applyBorder="1" applyAlignment="1">
      <alignment horizontal="center"/>
    </xf>
    <xf numFmtId="10" fontId="22" fillId="0" borderId="2" xfId="0" applyNumberFormat="1" applyFont="1" applyBorder="1" applyAlignment="1">
      <alignment horizontal="center"/>
    </xf>
    <xf numFmtId="0" fontId="7" fillId="4" borderId="2" xfId="0" applyFont="1" applyFill="1" applyBorder="1" applyAlignment="1" applyProtection="1">
      <alignment horizontal="center"/>
      <protection locked="0"/>
    </xf>
    <xf numFmtId="3" fontId="3" fillId="0" borderId="2" xfId="0" applyNumberFormat="1" applyFont="1" applyBorder="1" applyAlignment="1">
      <alignment horizontal="center"/>
    </xf>
    <xf numFmtId="3" fontId="3" fillId="4" borderId="2" xfId="0" applyNumberFormat="1" applyFont="1" applyFill="1" applyBorder="1" applyAlignment="1" applyProtection="1">
      <alignment horizontal="center"/>
      <protection locked="0"/>
    </xf>
    <xf numFmtId="0" fontId="22" fillId="0" borderId="2" xfId="0" applyFont="1" applyBorder="1" applyAlignment="1">
      <alignment horizontal="center"/>
    </xf>
    <xf numFmtId="0" fontId="3" fillId="0" borderId="0" xfId="0" applyFont="1" applyAlignment="1">
      <alignment wrapText="1"/>
    </xf>
    <xf numFmtId="0" fontId="0" fillId="0" borderId="0" xfId="0"/>
    <xf numFmtId="0" fontId="0" fillId="0" borderId="0" xfId="0" applyAlignment="1">
      <alignment wrapText="1"/>
    </xf>
    <xf numFmtId="0" fontId="3" fillId="4" borderId="3" xfId="0" applyFont="1" applyFill="1" applyBorder="1"/>
    <xf numFmtId="0" fontId="0" fillId="4" borderId="4" xfId="0" applyFill="1" applyBorder="1"/>
    <xf numFmtId="0" fontId="0" fillId="4" borderId="5" xfId="0" applyFill="1" applyBorder="1"/>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Style="combo" dx="22" fmlaLink="$N$29" fmlaRange="$X$2:$X$23" noThreeD="1" sel="21" val="14"/>
</file>

<file path=xl/ctrlProps/ctrlProp2.xml><?xml version="1.0" encoding="utf-8"?>
<formControlPr xmlns="http://schemas.microsoft.com/office/spreadsheetml/2009/9/main" objectType="Drop" dropStyle="combo" dx="22" fmlaLink="$N$31" fmlaRange="$AH$2:$AH$5" noThreeD="1" sel="3" val="0"/>
</file>

<file path=xl/ctrlProps/ctrlProp3.xml><?xml version="1.0" encoding="utf-8"?>
<formControlPr xmlns="http://schemas.microsoft.com/office/spreadsheetml/2009/9/main" objectType="Drop" dropStyle="combo" dx="22" fmlaLink="$N$33" fmlaRange="$AO$2:$AO$3" noThreeD="1" sel="1" val="0"/>
</file>

<file path=xl/ctrlProps/ctrlProp4.xml><?xml version="1.0" encoding="utf-8"?>
<formControlPr xmlns="http://schemas.microsoft.com/office/spreadsheetml/2009/9/main" objectType="Drop" dropStyle="combo" dx="22" fmlaRange="$AQ$2:$AQ$5" noThreeD="1" sel="4" val="0"/>
</file>

<file path=xl/ctrlProps/ctrlProp5.xml><?xml version="1.0" encoding="utf-8"?>
<formControlPr xmlns="http://schemas.microsoft.com/office/spreadsheetml/2009/9/main" objectType="Drop" dropStyle="combo" dx="22" fmlaLink="$N$46" fmlaRange="$AS$2:$AS$3"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104775</xdr:rowOff>
    </xdr:from>
    <xdr:to>
      <xdr:col>3</xdr:col>
      <xdr:colOff>53340</xdr:colOff>
      <xdr:row>2</xdr:row>
      <xdr:rowOff>59055</xdr:rowOff>
    </xdr:to>
    <xdr:pic>
      <xdr:nvPicPr>
        <xdr:cNvPr id="2328" name="Picture 1" descr="pjmlogo">
          <a:extLst>
            <a:ext uri="{FF2B5EF4-FFF2-40B4-BE49-F238E27FC236}">
              <a16:creationId xmlns:a16="http://schemas.microsoft.com/office/drawing/2014/main" id="{00000000-0008-0000-0000-000018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047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123825</xdr:colOff>
      <xdr:row>0</xdr:row>
      <xdr:rowOff>104775</xdr:rowOff>
    </xdr:from>
    <xdr:to>
      <xdr:col>3</xdr:col>
      <xdr:colOff>53340</xdr:colOff>
      <xdr:row>2</xdr:row>
      <xdr:rowOff>59055</xdr:rowOff>
    </xdr:to>
    <xdr:pic>
      <xdr:nvPicPr>
        <xdr:cNvPr id="2329" name="Picture 2" descr="pjmlogo">
          <a:extLst>
            <a:ext uri="{FF2B5EF4-FFF2-40B4-BE49-F238E27FC236}">
              <a16:creationId xmlns:a16="http://schemas.microsoft.com/office/drawing/2014/main" id="{00000000-0008-0000-0000-000019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047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234950</xdr:colOff>
          <xdr:row>29</xdr:row>
          <xdr:rowOff>0</xdr:rowOff>
        </xdr:from>
        <xdr:to>
          <xdr:col>3</xdr:col>
          <xdr:colOff>254000</xdr:colOff>
          <xdr:row>29</xdr:row>
          <xdr:rowOff>196850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234950</xdr:colOff>
          <xdr:row>29</xdr:row>
          <xdr:rowOff>0</xdr:rowOff>
        </xdr:from>
        <xdr:to>
          <xdr:col>9</xdr:col>
          <xdr:colOff>196850</xdr:colOff>
          <xdr:row>29</xdr:row>
          <xdr:rowOff>196850</xdr:rowOff>
        </xdr:to>
        <xdr:sp macro="" textlink="">
          <xdr:nvSpPr>
            <xdr:cNvPr id="2055" name="Drop Dow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32</xdr:row>
          <xdr:rowOff>31750</xdr:rowOff>
        </xdr:from>
        <xdr:to>
          <xdr:col>4</xdr:col>
          <xdr:colOff>260350</xdr:colOff>
          <xdr:row>33</xdr:row>
          <xdr:rowOff>25400</xdr:rowOff>
        </xdr:to>
        <xdr:sp macro="" textlink="">
          <xdr:nvSpPr>
            <xdr:cNvPr id="2056" name="Drop Dow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32</xdr:row>
          <xdr:rowOff>31750</xdr:rowOff>
        </xdr:from>
        <xdr:to>
          <xdr:col>8</xdr:col>
          <xdr:colOff>158750</xdr:colOff>
          <xdr:row>33</xdr:row>
          <xdr:rowOff>25400</xdr:rowOff>
        </xdr:to>
        <xdr:sp macro="" textlink="">
          <xdr:nvSpPr>
            <xdr:cNvPr id="2057" name="Drop Down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45</xdr:row>
          <xdr:rowOff>0</xdr:rowOff>
        </xdr:from>
        <xdr:to>
          <xdr:col>4</xdr:col>
          <xdr:colOff>273050</xdr:colOff>
          <xdr:row>45</xdr:row>
          <xdr:rowOff>196850</xdr:rowOff>
        </xdr:to>
        <xdr:sp macro="" textlink="">
          <xdr:nvSpPr>
            <xdr:cNvPr id="2059" name="Drop Down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295275</xdr:colOff>
      <xdr:row>2</xdr:row>
      <xdr:rowOff>180975</xdr:rowOff>
    </xdr:from>
    <xdr:to>
      <xdr:col>8</xdr:col>
      <xdr:colOff>238125</xdr:colOff>
      <xdr:row>18</xdr:row>
      <xdr:rowOff>57150</xdr:rowOff>
    </xdr:to>
    <xdr:pic>
      <xdr:nvPicPr>
        <xdr:cNvPr id="10248" name="Picture 1">
          <a:extLst>
            <a:ext uri="{FF2B5EF4-FFF2-40B4-BE49-F238E27FC236}">
              <a16:creationId xmlns:a16="http://schemas.microsoft.com/office/drawing/2014/main" id="{00000000-0008-0000-0300-0000082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561975"/>
          <a:ext cx="6905625" cy="292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hyperlink" Target="https://www.pjm.com/directory/merged-tariffs/oatt.pdf" TargetMode="External"/><Relationship Id="rId7" Type="http://schemas.openxmlformats.org/officeDocument/2006/relationships/vmlDrawing" Target="../drawings/vmlDrawing1.vml"/><Relationship Id="rId12" Type="http://schemas.openxmlformats.org/officeDocument/2006/relationships/ctrlProp" Target="../ctrlProps/ctrlProp5.xml"/><Relationship Id="rId2" Type="http://schemas.openxmlformats.org/officeDocument/2006/relationships/hyperlink" Target="https://www.pjm.com/-/media/etools/edart/edart-user-guide.ashx?la=en" TargetMode="External"/><Relationship Id="rId1" Type="http://schemas.openxmlformats.org/officeDocument/2006/relationships/hyperlink" Target="http://www.pjm.com/documents/downloads/agreements/tariff.pdf" TargetMode="External"/><Relationship Id="rId6" Type="http://schemas.openxmlformats.org/officeDocument/2006/relationships/drawing" Target="../drawings/drawing1.xml"/><Relationship Id="rId11" Type="http://schemas.openxmlformats.org/officeDocument/2006/relationships/ctrlProp" Target="../ctrlProps/ctrlProp4.xml"/><Relationship Id="rId5" Type="http://schemas.openxmlformats.org/officeDocument/2006/relationships/printerSettings" Target="../printerSettings/printerSettings1.bin"/><Relationship Id="rId10" Type="http://schemas.openxmlformats.org/officeDocument/2006/relationships/ctrlProp" Target="../ctrlProps/ctrlProp3.xml"/><Relationship Id="rId4" Type="http://schemas.openxmlformats.org/officeDocument/2006/relationships/hyperlink" Target="https://www.pjm.com/-/media/markets-ops/ancillary/black-start-service/rto-wide-rfp-for-black-start-service-and-black-start-fuel-assurance-faqs.ashx" TargetMode="External"/><Relationship Id="rId9"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AT113"/>
  <sheetViews>
    <sheetView showGridLines="0" tabSelected="1" topLeftCell="A53" zoomScaleNormal="100" zoomScaleSheetLayoutView="86" workbookViewId="0">
      <selection activeCell="H88" sqref="H88:I88"/>
    </sheetView>
  </sheetViews>
  <sheetFormatPr defaultColWidth="0" defaultRowHeight="12.5" zeroHeight="1" x14ac:dyDescent="0.25"/>
  <cols>
    <col min="1" max="1" width="4.6328125" customWidth="1"/>
    <col min="2" max="6" width="8.6328125" customWidth="1"/>
    <col min="7" max="7" width="15.453125" customWidth="1"/>
    <col min="8" max="8" width="27.453125" customWidth="1"/>
    <col min="9" max="9" width="27.08984375" customWidth="1"/>
    <col min="10" max="10" width="10.54296875" customWidth="1"/>
    <col min="11" max="11" width="11.81640625" customWidth="1"/>
    <col min="12" max="13" width="11.81640625" hidden="1" customWidth="1"/>
    <col min="14" max="14" width="11.81640625" style="29" hidden="1" customWidth="1"/>
    <col min="15" max="15" width="11.81640625" hidden="1" customWidth="1"/>
    <col min="16" max="16" width="12.36328125" hidden="1" customWidth="1"/>
    <col min="17" max="33" width="11.81640625" hidden="1" customWidth="1"/>
    <col min="34" max="34" width="17.453125" hidden="1" customWidth="1"/>
    <col min="35" max="44" width="11.81640625" hidden="1" customWidth="1"/>
    <col min="45" max="45" width="26" hidden="1" customWidth="1"/>
    <col min="46" max="46" width="12.1796875" hidden="1" customWidth="1"/>
    <col min="47" max="16384" width="11.81640625" hidden="1"/>
  </cols>
  <sheetData>
    <row r="1" spans="1:46" ht="16.5" customHeight="1" x14ac:dyDescent="0.3">
      <c r="L1" s="1"/>
      <c r="N1" s="27" t="s">
        <v>29</v>
      </c>
      <c r="Q1" s="16" t="s">
        <v>31</v>
      </c>
      <c r="R1" s="17"/>
      <c r="S1" s="17"/>
      <c r="T1" s="17"/>
      <c r="U1" s="17"/>
      <c r="V1" s="17"/>
      <c r="X1" s="16" t="s">
        <v>36</v>
      </c>
      <c r="Y1" s="16" t="s">
        <v>37</v>
      </c>
      <c r="AA1" s="20" t="s">
        <v>55</v>
      </c>
      <c r="AH1" s="16" t="s">
        <v>57</v>
      </c>
      <c r="AI1" s="22" t="s">
        <v>70</v>
      </c>
      <c r="AK1" s="16" t="s">
        <v>58</v>
      </c>
      <c r="AL1" s="16" t="s">
        <v>59</v>
      </c>
      <c r="AM1" s="16" t="s">
        <v>60</v>
      </c>
      <c r="AO1" s="16" t="s">
        <v>119</v>
      </c>
      <c r="AQ1" s="16" t="s">
        <v>125</v>
      </c>
      <c r="AS1" s="22" t="s">
        <v>142</v>
      </c>
    </row>
    <row r="2" spans="1:46" ht="16.5" customHeight="1" x14ac:dyDescent="0.3">
      <c r="A2" s="57" t="s">
        <v>19</v>
      </c>
      <c r="B2" s="57"/>
      <c r="C2" s="57"/>
      <c r="D2" s="57"/>
      <c r="E2" s="57"/>
      <c r="F2" s="57"/>
      <c r="G2" s="57"/>
      <c r="H2" s="57"/>
      <c r="I2" s="57"/>
      <c r="J2" s="57"/>
      <c r="K2" s="57"/>
      <c r="L2" s="1"/>
      <c r="N2" s="28" t="s">
        <v>30</v>
      </c>
      <c r="Q2" s="16" t="s">
        <v>32</v>
      </c>
      <c r="R2" s="16" t="s">
        <v>33</v>
      </c>
      <c r="S2" s="16" t="s">
        <v>34</v>
      </c>
      <c r="T2" s="16" t="s">
        <v>35</v>
      </c>
      <c r="U2" s="16" t="s">
        <v>89</v>
      </c>
      <c r="V2" s="16" t="s">
        <v>90</v>
      </c>
      <c r="X2" s="17" t="s">
        <v>38</v>
      </c>
      <c r="Y2" s="17">
        <v>1</v>
      </c>
      <c r="AA2" s="17" t="s">
        <v>56</v>
      </c>
      <c r="AH2" s="17" t="s">
        <v>25</v>
      </c>
      <c r="AI2">
        <v>0</v>
      </c>
      <c r="AK2" s="17" t="s">
        <v>61</v>
      </c>
      <c r="AL2" s="17">
        <v>20</v>
      </c>
      <c r="AM2" s="17">
        <v>0.125</v>
      </c>
      <c r="AO2" s="15" t="s">
        <v>120</v>
      </c>
      <c r="AQ2" s="15" t="s">
        <v>126</v>
      </c>
      <c r="AS2" s="15" t="s">
        <v>145</v>
      </c>
      <c r="AT2">
        <v>1</v>
      </c>
    </row>
    <row r="3" spans="1:46" ht="16.5" customHeight="1" x14ac:dyDescent="0.25">
      <c r="A3" s="57"/>
      <c r="B3" s="57"/>
      <c r="C3" s="57"/>
      <c r="D3" s="57"/>
      <c r="E3" s="57"/>
      <c r="F3" s="57"/>
      <c r="G3" s="57"/>
      <c r="H3" s="57"/>
      <c r="I3" s="57"/>
      <c r="J3" s="57"/>
      <c r="K3" s="57"/>
      <c r="L3" s="1"/>
      <c r="N3" s="28" t="s">
        <v>25</v>
      </c>
      <c r="Q3" s="18">
        <v>39965</v>
      </c>
      <c r="R3" s="17">
        <v>161.71</v>
      </c>
      <c r="S3" s="19">
        <f>R3</f>
        <v>161.71</v>
      </c>
      <c r="T3" s="19">
        <f>S3</f>
        <v>161.71</v>
      </c>
      <c r="U3" s="19"/>
      <c r="V3" s="19"/>
      <c r="X3" s="17" t="s">
        <v>39</v>
      </c>
      <c r="Y3" s="17">
        <v>1</v>
      </c>
      <c r="AA3" s="17" t="s">
        <v>86</v>
      </c>
      <c r="AH3" s="17" t="s">
        <v>23</v>
      </c>
      <c r="AI3">
        <v>0.01</v>
      </c>
      <c r="AK3" s="17" t="s">
        <v>62</v>
      </c>
      <c r="AL3" s="17">
        <v>15</v>
      </c>
      <c r="AM3" s="17">
        <v>0.14599999999999999</v>
      </c>
      <c r="AO3" s="15" t="s">
        <v>121</v>
      </c>
      <c r="AQ3" s="15" t="s">
        <v>127</v>
      </c>
      <c r="AS3" s="15" t="s">
        <v>143</v>
      </c>
      <c r="AT3">
        <v>0.01</v>
      </c>
    </row>
    <row r="4" spans="1:46" ht="16.5" customHeight="1" thickBot="1" x14ac:dyDescent="0.3">
      <c r="B4" s="2"/>
      <c r="C4" s="2"/>
      <c r="D4" s="2"/>
      <c r="E4" s="2"/>
      <c r="F4" s="2"/>
      <c r="G4" s="2"/>
      <c r="H4" s="2"/>
      <c r="I4" s="2"/>
      <c r="J4" s="2"/>
      <c r="L4" s="1"/>
      <c r="Q4" s="18">
        <v>40330</v>
      </c>
      <c r="R4" s="17">
        <v>163.46</v>
      </c>
      <c r="S4" s="19">
        <f>R4</f>
        <v>163.46</v>
      </c>
      <c r="T4" s="19">
        <f>S4</f>
        <v>163.46</v>
      </c>
      <c r="U4" s="19"/>
      <c r="V4" s="19"/>
      <c r="X4" s="17" t="s">
        <v>40</v>
      </c>
      <c r="Y4" s="17">
        <v>4</v>
      </c>
      <c r="AA4" s="17" t="s">
        <v>91</v>
      </c>
      <c r="AH4" s="17" t="s">
        <v>22</v>
      </c>
      <c r="AI4">
        <v>0.02</v>
      </c>
      <c r="AK4" s="17" t="s">
        <v>63</v>
      </c>
      <c r="AL4" s="17">
        <v>10</v>
      </c>
      <c r="AM4" s="17">
        <v>0.19800000000000001</v>
      </c>
      <c r="AQ4" s="15" t="s">
        <v>128</v>
      </c>
    </row>
    <row r="5" spans="1:46" ht="16.5" customHeight="1" x14ac:dyDescent="0.25">
      <c r="L5" s="1"/>
      <c r="Q5" s="18">
        <v>40695</v>
      </c>
      <c r="R5" s="17">
        <v>160.76</v>
      </c>
      <c r="S5" s="17">
        <v>160.76</v>
      </c>
      <c r="T5" s="17">
        <v>160.76</v>
      </c>
      <c r="U5" s="17">
        <v>160.76</v>
      </c>
      <c r="V5" s="17">
        <v>160.76</v>
      </c>
      <c r="X5" s="17" t="s">
        <v>41</v>
      </c>
      <c r="Y5" s="17">
        <v>2</v>
      </c>
      <c r="AA5" s="17" t="s">
        <v>87</v>
      </c>
      <c r="AH5" s="17" t="s">
        <v>24</v>
      </c>
      <c r="AI5">
        <v>0.02</v>
      </c>
      <c r="AK5" s="17" t="s">
        <v>64</v>
      </c>
      <c r="AL5" s="17">
        <v>5</v>
      </c>
      <c r="AM5" s="17">
        <v>0.36299999999999999</v>
      </c>
      <c r="AQ5" s="15" t="s">
        <v>129</v>
      </c>
    </row>
    <row r="6" spans="1:46" ht="16.5" customHeight="1" x14ac:dyDescent="0.35">
      <c r="A6" s="3"/>
      <c r="B6" s="10" t="s">
        <v>15</v>
      </c>
      <c r="C6" s="3"/>
      <c r="D6" s="3"/>
      <c r="E6" s="3"/>
      <c r="F6" s="3"/>
      <c r="G6" s="3"/>
      <c r="H6" s="3"/>
      <c r="I6" s="58" t="s">
        <v>14</v>
      </c>
      <c r="J6" s="58"/>
      <c r="K6" s="3"/>
      <c r="L6" s="1"/>
      <c r="Q6" s="18">
        <v>41061</v>
      </c>
      <c r="R6" s="17">
        <v>198.81</v>
      </c>
      <c r="S6" s="17">
        <v>165.07</v>
      </c>
      <c r="T6" s="17">
        <v>286.13</v>
      </c>
      <c r="U6" s="17">
        <v>165.07</v>
      </c>
      <c r="V6" s="17">
        <v>286.13</v>
      </c>
      <c r="X6" s="17" t="s">
        <v>42</v>
      </c>
      <c r="Y6" s="17">
        <v>1</v>
      </c>
      <c r="AA6" s="17" t="s">
        <v>93</v>
      </c>
    </row>
    <row r="7" spans="1:46" ht="16.5" customHeight="1" x14ac:dyDescent="0.35">
      <c r="A7" s="3"/>
      <c r="B7" s="3"/>
      <c r="C7" s="3"/>
      <c r="D7" s="3"/>
      <c r="E7" s="3"/>
      <c r="F7" s="3"/>
      <c r="G7" s="3"/>
      <c r="H7" s="3"/>
      <c r="I7" s="3"/>
      <c r="J7" s="3"/>
      <c r="K7" s="3"/>
      <c r="L7" s="1"/>
      <c r="Q7" s="18">
        <v>41426</v>
      </c>
      <c r="R7" s="19">
        <v>244.61</v>
      </c>
      <c r="S7" s="19">
        <v>212.89</v>
      </c>
      <c r="T7" s="19">
        <v>320.47000000000003</v>
      </c>
      <c r="U7" s="19">
        <v>256.7</v>
      </c>
      <c r="V7" s="19">
        <v>231.08</v>
      </c>
      <c r="X7" s="17" t="s">
        <v>43</v>
      </c>
      <c r="Y7" s="17">
        <v>4</v>
      </c>
    </row>
    <row r="8" spans="1:46" ht="16.5" customHeight="1" x14ac:dyDescent="0.35">
      <c r="A8" s="3"/>
      <c r="B8" s="9" t="s">
        <v>20</v>
      </c>
      <c r="D8" s="3"/>
      <c r="E8" s="3"/>
      <c r="F8" s="3"/>
      <c r="G8" s="3"/>
      <c r="H8" s="3"/>
      <c r="I8" s="3"/>
      <c r="J8" s="3"/>
      <c r="K8" s="3"/>
      <c r="L8" s="1"/>
      <c r="Q8" s="21">
        <v>41791</v>
      </c>
      <c r="R8" s="30">
        <v>257.83</v>
      </c>
      <c r="S8" s="30">
        <v>226.79</v>
      </c>
      <c r="T8" s="30">
        <v>338.78</v>
      </c>
      <c r="U8" s="30">
        <v>267</v>
      </c>
      <c r="V8" s="30">
        <v>247.91</v>
      </c>
      <c r="X8" s="17" t="s">
        <v>44</v>
      </c>
      <c r="Y8" s="17">
        <v>4</v>
      </c>
      <c r="AA8" s="42" t="s">
        <v>133</v>
      </c>
    </row>
    <row r="9" spans="1:46" ht="16.5" customHeight="1" x14ac:dyDescent="0.35">
      <c r="A9" s="3"/>
      <c r="B9" s="9"/>
      <c r="D9" s="3"/>
      <c r="E9" s="3"/>
      <c r="F9" s="3"/>
      <c r="G9" s="3"/>
      <c r="H9" s="3"/>
      <c r="I9" s="3"/>
      <c r="J9" s="3"/>
      <c r="K9" s="3"/>
      <c r="L9" s="1"/>
      <c r="Q9" s="21">
        <v>42156</v>
      </c>
      <c r="R9" s="30">
        <v>295.32</v>
      </c>
      <c r="S9" s="30">
        <v>251.82</v>
      </c>
      <c r="T9" s="30">
        <v>337.09</v>
      </c>
      <c r="U9" s="30">
        <v>276.97000000000003</v>
      </c>
      <c r="V9" s="30">
        <v>270.62</v>
      </c>
      <c r="X9" s="17" t="s">
        <v>45</v>
      </c>
      <c r="Y9" s="17">
        <v>2</v>
      </c>
      <c r="AB9" s="36" t="s">
        <v>135</v>
      </c>
      <c r="AC9" s="36" t="s">
        <v>134</v>
      </c>
    </row>
    <row r="10" spans="1:46" ht="16.5" customHeight="1" x14ac:dyDescent="0.35">
      <c r="A10" s="3"/>
      <c r="B10" s="9"/>
      <c r="D10" s="3"/>
      <c r="E10" s="3"/>
      <c r="F10" s="3"/>
      <c r="G10" s="3"/>
      <c r="H10" s="3"/>
      <c r="I10" s="3"/>
      <c r="J10" s="12"/>
      <c r="K10" s="3"/>
      <c r="L10" s="1"/>
      <c r="Q10" s="21">
        <v>42522</v>
      </c>
      <c r="R10" s="30">
        <v>311.16000000000003</v>
      </c>
      <c r="S10" s="30">
        <v>261.14</v>
      </c>
      <c r="T10" s="30">
        <v>342.01</v>
      </c>
      <c r="U10" s="30">
        <v>305.05</v>
      </c>
      <c r="V10" s="30">
        <v>242.72</v>
      </c>
      <c r="X10" s="17" t="s">
        <v>46</v>
      </c>
      <c r="Y10" s="17">
        <v>1</v>
      </c>
      <c r="AA10" s="43">
        <v>45901</v>
      </c>
      <c r="AB10" s="44">
        <v>272.62</v>
      </c>
      <c r="AC10" s="45">
        <v>1</v>
      </c>
    </row>
    <row r="11" spans="1:46" ht="16.5" customHeight="1" x14ac:dyDescent="0.35">
      <c r="A11" s="3"/>
      <c r="C11" s="3"/>
      <c r="D11" s="3"/>
      <c r="E11" s="3"/>
      <c r="F11" s="3"/>
      <c r="G11" s="3"/>
      <c r="H11" s="3"/>
      <c r="I11" s="3"/>
      <c r="J11" s="12"/>
      <c r="K11" s="3"/>
      <c r="L11" s="1"/>
      <c r="Q11" s="21">
        <v>42887</v>
      </c>
      <c r="R11" s="30">
        <v>345.02</v>
      </c>
      <c r="S11" s="30">
        <v>295.31</v>
      </c>
      <c r="T11" s="30">
        <v>352.63</v>
      </c>
      <c r="U11" s="30">
        <v>334.43</v>
      </c>
      <c r="V11" s="30">
        <v>273.56</v>
      </c>
      <c r="X11" s="17" t="s">
        <v>47</v>
      </c>
      <c r="Y11" s="17">
        <v>1</v>
      </c>
      <c r="AA11" s="21">
        <v>46174</v>
      </c>
      <c r="AB11" s="44">
        <f>ROUND(AB10*AC11,2)</f>
        <v>284.62</v>
      </c>
      <c r="AC11">
        <v>1.044</v>
      </c>
    </row>
    <row r="12" spans="1:46" ht="16.5" customHeight="1" x14ac:dyDescent="0.35">
      <c r="A12" s="3"/>
      <c r="B12" s="8" t="s">
        <v>10</v>
      </c>
      <c r="C12" s="3"/>
      <c r="D12" s="3"/>
      <c r="E12" s="3"/>
      <c r="F12" s="3"/>
      <c r="G12" s="5" t="s">
        <v>12</v>
      </c>
      <c r="H12" s="55"/>
      <c r="I12" s="55"/>
      <c r="J12" s="55"/>
      <c r="K12" s="3"/>
      <c r="L12" s="1"/>
      <c r="Q12" s="21">
        <v>43252</v>
      </c>
      <c r="R12" s="30">
        <v>266.73</v>
      </c>
      <c r="S12" s="30">
        <v>227.73</v>
      </c>
      <c r="T12" s="30">
        <v>263.57</v>
      </c>
      <c r="U12" s="30">
        <v>247.58</v>
      </c>
      <c r="V12" s="30">
        <v>263.57</v>
      </c>
      <c r="X12" s="17" t="s">
        <v>48</v>
      </c>
      <c r="Y12" s="17">
        <v>1</v>
      </c>
    </row>
    <row r="13" spans="1:46" ht="16.5" customHeight="1" x14ac:dyDescent="0.35">
      <c r="A13" s="3"/>
      <c r="B13" s="8"/>
      <c r="C13" s="3"/>
      <c r="D13" s="3"/>
      <c r="E13" s="3"/>
      <c r="F13" s="3"/>
      <c r="G13" s="5"/>
      <c r="H13" s="49"/>
      <c r="I13" s="34"/>
      <c r="J13" s="34"/>
      <c r="K13" s="3"/>
      <c r="L13" s="1"/>
      <c r="Q13" s="21">
        <v>43617</v>
      </c>
      <c r="R13" s="30">
        <v>264.91000000000003</v>
      </c>
      <c r="S13" s="30">
        <v>214.75</v>
      </c>
      <c r="T13" s="30">
        <v>264.39999999999998</v>
      </c>
      <c r="U13" s="30">
        <v>224.36</v>
      </c>
      <c r="V13" s="30">
        <v>264.39999999999998</v>
      </c>
      <c r="X13" s="17" t="s">
        <v>49</v>
      </c>
      <c r="Y13" s="17">
        <v>3</v>
      </c>
    </row>
    <row r="14" spans="1:46" ht="16.5" customHeight="1" x14ac:dyDescent="0.35">
      <c r="A14" s="3"/>
      <c r="B14" s="8"/>
      <c r="C14" s="3"/>
      <c r="D14" s="3"/>
      <c r="E14" s="3"/>
      <c r="F14" s="3"/>
      <c r="G14" s="5"/>
      <c r="H14" s="49"/>
      <c r="I14" s="34"/>
      <c r="J14" s="34"/>
      <c r="K14" s="3"/>
      <c r="L14" s="1"/>
      <c r="Q14" s="21">
        <v>43983</v>
      </c>
      <c r="R14">
        <v>264.44</v>
      </c>
      <c r="S14">
        <v>189.09</v>
      </c>
      <c r="T14" s="30">
        <v>264.88</v>
      </c>
      <c r="U14" s="30">
        <v>209.5205409426344</v>
      </c>
      <c r="V14" s="30">
        <v>264.87661014211903</v>
      </c>
      <c r="X14" s="17" t="s">
        <v>50</v>
      </c>
      <c r="Y14" s="17">
        <v>3</v>
      </c>
    </row>
    <row r="15" spans="1:46" ht="16.5" customHeight="1" x14ac:dyDescent="0.35">
      <c r="A15" s="3"/>
      <c r="B15" s="8" t="s">
        <v>137</v>
      </c>
      <c r="C15" s="3"/>
      <c r="D15" s="3"/>
      <c r="E15" s="3"/>
      <c r="F15" s="3"/>
      <c r="G15" s="5" t="s">
        <v>12</v>
      </c>
      <c r="H15" s="55">
        <v>46174</v>
      </c>
      <c r="I15" s="55"/>
      <c r="J15" s="55"/>
      <c r="K15" s="3"/>
      <c r="L15" s="1"/>
      <c r="Q15" s="21">
        <v>44348</v>
      </c>
      <c r="R15" s="30">
        <v>295.29000000000002</v>
      </c>
      <c r="S15" s="30">
        <v>249.27</v>
      </c>
      <c r="T15" s="30">
        <v>298.17</v>
      </c>
      <c r="U15" s="30">
        <v>253.22</v>
      </c>
      <c r="X15" s="17" t="s">
        <v>51</v>
      </c>
      <c r="Y15" s="17">
        <v>3</v>
      </c>
    </row>
    <row r="16" spans="1:46" ht="16.5" customHeight="1" x14ac:dyDescent="0.35">
      <c r="A16" s="3"/>
      <c r="B16" s="8"/>
      <c r="C16" s="3"/>
      <c r="D16" s="3"/>
      <c r="E16" s="3"/>
      <c r="F16" s="3"/>
      <c r="G16" s="3"/>
      <c r="H16" s="4"/>
      <c r="I16" s="4"/>
      <c r="J16" s="13"/>
      <c r="K16" s="3"/>
      <c r="L16" s="1"/>
      <c r="Q16" s="21">
        <v>44713</v>
      </c>
      <c r="R16" s="30">
        <v>246.18</v>
      </c>
      <c r="S16" s="30">
        <v>230.6</v>
      </c>
      <c r="T16" s="30">
        <v>216.12</v>
      </c>
      <c r="U16" s="30">
        <v>207.02</v>
      </c>
      <c r="X16" s="17" t="s">
        <v>52</v>
      </c>
      <c r="Y16" s="17">
        <v>3</v>
      </c>
    </row>
    <row r="17" spans="1:27" ht="16.5" customHeight="1" x14ac:dyDescent="0.35">
      <c r="A17" s="3"/>
      <c r="B17" s="3"/>
      <c r="D17" s="3"/>
      <c r="E17" s="3"/>
      <c r="F17" s="3"/>
      <c r="G17" s="3"/>
      <c r="H17" s="3"/>
      <c r="I17" s="3"/>
      <c r="J17" s="12"/>
      <c r="K17" s="3"/>
      <c r="L17" s="1"/>
      <c r="Q17" s="21">
        <v>45078</v>
      </c>
      <c r="R17" s="30">
        <v>276.67</v>
      </c>
      <c r="S17" s="30">
        <v>232.39</v>
      </c>
      <c r="T17" s="30">
        <v>243.59</v>
      </c>
      <c r="U17" s="30">
        <v>249.51</v>
      </c>
      <c r="X17" s="17" t="s">
        <v>53</v>
      </c>
      <c r="Y17" s="17">
        <v>3</v>
      </c>
    </row>
    <row r="18" spans="1:27" ht="16.5" customHeight="1" x14ac:dyDescent="0.35">
      <c r="A18" s="3"/>
      <c r="B18" s="8" t="s">
        <v>9</v>
      </c>
      <c r="C18" s="3"/>
      <c r="D18" s="3"/>
      <c r="E18" s="3"/>
      <c r="F18" s="3"/>
      <c r="G18" s="5" t="s">
        <v>11</v>
      </c>
      <c r="H18" s="55" t="s">
        <v>153</v>
      </c>
      <c r="I18" s="55"/>
      <c r="J18" s="55"/>
      <c r="K18" s="3"/>
      <c r="L18" s="1"/>
      <c r="Q18" s="21">
        <v>45444</v>
      </c>
      <c r="R18" s="30">
        <v>296.7</v>
      </c>
      <c r="S18" s="30">
        <v>247.97</v>
      </c>
      <c r="T18" s="30">
        <v>258.74</v>
      </c>
      <c r="U18">
        <v>265.37</v>
      </c>
      <c r="X18" s="17" t="s">
        <v>54</v>
      </c>
      <c r="Y18" s="17">
        <v>3</v>
      </c>
    </row>
    <row r="19" spans="1:27" ht="16.5" customHeight="1" x14ac:dyDescent="0.35">
      <c r="A19" s="3"/>
      <c r="B19" s="8" t="s">
        <v>131</v>
      </c>
      <c r="C19" s="3"/>
      <c r="D19" s="3"/>
      <c r="E19" s="3"/>
      <c r="F19" s="3"/>
      <c r="G19" s="5"/>
      <c r="H19" s="49"/>
      <c r="I19" s="49"/>
      <c r="J19" s="49"/>
      <c r="K19" s="3"/>
      <c r="L19" s="1"/>
      <c r="X19" s="17" t="s">
        <v>65</v>
      </c>
      <c r="Y19" s="17">
        <v>3</v>
      </c>
    </row>
    <row r="20" spans="1:27" ht="16.5" customHeight="1" x14ac:dyDescent="0.35">
      <c r="A20" s="3"/>
      <c r="C20" s="3"/>
      <c r="D20" s="3"/>
      <c r="E20" s="3"/>
      <c r="F20" s="3"/>
      <c r="G20" s="5" t="s">
        <v>112</v>
      </c>
      <c r="H20" s="55" t="s">
        <v>154</v>
      </c>
      <c r="I20" s="55"/>
      <c r="J20" s="55"/>
      <c r="K20" s="3"/>
      <c r="L20" s="1"/>
      <c r="X20" s="17" t="s">
        <v>88</v>
      </c>
      <c r="Y20" s="17">
        <v>3</v>
      </c>
    </row>
    <row r="21" spans="1:27" ht="16.5" customHeight="1" x14ac:dyDescent="0.35">
      <c r="A21" s="3"/>
      <c r="B21" s="8"/>
      <c r="C21" s="3"/>
      <c r="D21" s="3"/>
      <c r="E21" s="3"/>
      <c r="F21" s="3"/>
      <c r="G21" s="5"/>
      <c r="H21" s="54"/>
      <c r="I21" s="54"/>
      <c r="J21" s="54"/>
      <c r="K21" s="3"/>
      <c r="L21" s="1"/>
      <c r="X21" s="17" t="s">
        <v>92</v>
      </c>
      <c r="Y21" s="17">
        <v>3</v>
      </c>
    </row>
    <row r="22" spans="1:27" ht="16.5" customHeight="1" x14ac:dyDescent="0.35">
      <c r="A22" s="3"/>
      <c r="B22" s="8"/>
      <c r="C22" s="3"/>
      <c r="D22" s="3"/>
      <c r="E22" s="3"/>
      <c r="F22" s="3"/>
      <c r="G22" s="5" t="s">
        <v>113</v>
      </c>
      <c r="H22" s="55" t="s">
        <v>155</v>
      </c>
      <c r="I22" s="55"/>
      <c r="J22" s="55"/>
      <c r="K22" s="3"/>
      <c r="L22" s="1"/>
    </row>
    <row r="23" spans="1:27" ht="16.5" customHeight="1" x14ac:dyDescent="0.35">
      <c r="A23" s="3"/>
      <c r="C23" s="3"/>
      <c r="D23" s="3"/>
      <c r="E23" s="3"/>
      <c r="F23" s="3"/>
      <c r="G23" s="3"/>
      <c r="H23" s="3"/>
      <c r="I23" s="3"/>
      <c r="J23" s="12"/>
      <c r="K23" s="3"/>
      <c r="L23" s="1"/>
    </row>
    <row r="24" spans="1:27" ht="16.5" customHeight="1" x14ac:dyDescent="0.35">
      <c r="A24" s="3"/>
      <c r="K24" s="3"/>
      <c r="L24" s="1"/>
    </row>
    <row r="25" spans="1:27" ht="16.5" customHeight="1" x14ac:dyDescent="0.35">
      <c r="A25" s="3"/>
      <c r="B25" s="8" t="s">
        <v>5</v>
      </c>
      <c r="C25" s="3"/>
      <c r="D25" s="3"/>
      <c r="E25" s="3"/>
      <c r="F25" s="3"/>
      <c r="G25" s="3"/>
      <c r="H25" s="56" t="s">
        <v>156</v>
      </c>
      <c r="I25" s="56"/>
      <c r="J25" s="56"/>
      <c r="K25" s="3"/>
      <c r="L25" s="1"/>
    </row>
    <row r="26" spans="1:27" ht="16.5" customHeight="1" x14ac:dyDescent="0.35">
      <c r="A26" s="3"/>
      <c r="B26" s="8"/>
      <c r="C26" s="3"/>
      <c r="D26" s="3"/>
      <c r="E26" s="3"/>
      <c r="F26" s="3"/>
      <c r="G26" s="3"/>
      <c r="H26" s="3"/>
      <c r="I26" s="3"/>
      <c r="J26" s="12"/>
      <c r="K26" s="3"/>
      <c r="L26" s="1"/>
    </row>
    <row r="27" spans="1:27" ht="16.5" customHeight="1" x14ac:dyDescent="0.35">
      <c r="A27" s="3"/>
      <c r="B27" s="8" t="s">
        <v>114</v>
      </c>
      <c r="C27" s="3"/>
      <c r="D27" s="3"/>
      <c r="E27" s="3"/>
      <c r="F27" s="3"/>
      <c r="G27" s="3"/>
      <c r="H27" s="56">
        <v>123456789</v>
      </c>
      <c r="I27" s="56"/>
      <c r="J27" s="56"/>
      <c r="K27" s="3"/>
      <c r="L27" s="1"/>
    </row>
    <row r="28" spans="1:27" ht="16.5" customHeight="1" x14ac:dyDescent="0.35">
      <c r="A28" s="3"/>
      <c r="C28" s="3"/>
      <c r="D28" s="3"/>
      <c r="E28" s="3"/>
      <c r="F28" s="3"/>
      <c r="G28" s="3"/>
      <c r="H28" s="7"/>
      <c r="I28" s="7"/>
      <c r="J28" s="12"/>
      <c r="K28" s="3"/>
      <c r="L28" s="1"/>
      <c r="T28" s="15" t="s">
        <v>136</v>
      </c>
    </row>
    <row r="29" spans="1:27" ht="16.5" customHeight="1" x14ac:dyDescent="0.35">
      <c r="A29" s="3"/>
      <c r="B29" s="50" t="s">
        <v>21</v>
      </c>
      <c r="C29" s="51"/>
      <c r="D29" s="51"/>
      <c r="E29" s="3"/>
      <c r="F29" s="3"/>
      <c r="G29" s="3"/>
      <c r="H29" s="8" t="s">
        <v>67</v>
      </c>
      <c r="I29" s="50" t="s">
        <v>66</v>
      </c>
      <c r="J29" s="12"/>
      <c r="K29" s="3"/>
      <c r="L29" s="1"/>
      <c r="N29" s="29">
        <v>21</v>
      </c>
      <c r="O29">
        <f ca="1">OFFSET($X$1, N29, 0)</f>
        <v>0</v>
      </c>
      <c r="P29">
        <f ca="1">OFFSET($X$1, N29, 1)</f>
        <v>0</v>
      </c>
      <c r="Q29" s="21">
        <f ca="1">IF(LEN(H15) = 0, TODAY(), H15 )</f>
        <v>46174</v>
      </c>
      <c r="R29" s="30">
        <f ca="1">VLOOKUP( Q29, $AA$10:$AB$21, 2 )</f>
        <v>284.62</v>
      </c>
      <c r="T29">
        <f ca="1">VLOOKUP( Q29, $Q$3:$V$18, 1 + P29 )</f>
        <v>45444</v>
      </c>
    </row>
    <row r="30" spans="1:27" ht="16.5" customHeight="1" x14ac:dyDescent="0.35">
      <c r="A30" s="3"/>
      <c r="B30" s="3"/>
      <c r="C30" s="3"/>
      <c r="D30" s="3"/>
      <c r="E30" s="3"/>
      <c r="F30" s="3"/>
      <c r="G30" s="3"/>
      <c r="H30" s="25" t="str">
        <f ca="1">"   " &amp; O30</f>
        <v xml:space="preserve">   Black Start Capable</v>
      </c>
      <c r="I30" s="7"/>
      <c r="J30" s="12"/>
      <c r="K30" s="3"/>
      <c r="L30" s="1"/>
      <c r="N30" s="29">
        <f>IF(N31 = 1, 2, 1)</f>
        <v>1</v>
      </c>
      <c r="O30" t="str">
        <f ca="1">OFFSET($N$1, N30, 0)</f>
        <v>Black Start Capable</v>
      </c>
    </row>
    <row r="31" spans="1:27" ht="16.5" customHeight="1" x14ac:dyDescent="0.35">
      <c r="A31" s="3"/>
      <c r="E31" s="3"/>
      <c r="F31" s="3"/>
      <c r="G31" s="3"/>
      <c r="H31" s="7"/>
      <c r="I31" s="7"/>
      <c r="J31" s="12"/>
      <c r="K31" s="3"/>
      <c r="L31" s="1"/>
      <c r="N31" s="29">
        <v>3</v>
      </c>
      <c r="O31" t="str">
        <f ca="1">OFFSET($AH$1, N31, 0)</f>
        <v>Combustion Turbine</v>
      </c>
      <c r="R31">
        <f ca="1">IF(AND(N33=2, N31&lt;&gt;1),0.02,(OFFSET($AH$1, N31, 1)))</f>
        <v>0.02</v>
      </c>
      <c r="T31" s="23" t="s">
        <v>69</v>
      </c>
      <c r="U31" s="23"/>
      <c r="V31" s="23">
        <f ca="1">P29</f>
        <v>0</v>
      </c>
      <c r="W31" s="23"/>
      <c r="X31" s="23" t="str">
        <f ca="1">"COST OF NET ENTRY ($/MW-DAY) FOR " &amp; TEXT(Q29, "M/D/YYYY") &amp; ":     " &amp; TEXT(T29, "$#,##0.00")</f>
        <v>COST OF NET ENTRY ($/MW-DAY) FOR 6/1/2026:     $45,444.00</v>
      </c>
      <c r="Y31" s="23"/>
      <c r="Z31" s="23"/>
      <c r="AA31" s="23"/>
    </row>
    <row r="32" spans="1:27" ht="16.5" customHeight="1" x14ac:dyDescent="0.35">
      <c r="A32" s="3"/>
      <c r="B32" s="50" t="s">
        <v>118</v>
      </c>
      <c r="C32" s="52"/>
      <c r="D32" s="52"/>
      <c r="E32" s="3"/>
      <c r="F32" s="3"/>
      <c r="G32" s="3"/>
      <c r="H32" s="50" t="s">
        <v>124</v>
      </c>
      <c r="I32" s="7"/>
      <c r="J32" s="12"/>
      <c r="K32" s="3"/>
      <c r="L32" s="1"/>
    </row>
    <row r="33" spans="1:19" ht="16.5" customHeight="1" x14ac:dyDescent="0.35">
      <c r="A33" s="3"/>
      <c r="B33" s="8"/>
      <c r="C33" s="3"/>
      <c r="D33" s="3"/>
      <c r="F33" s="3"/>
      <c r="G33" s="3"/>
      <c r="H33" s="7"/>
      <c r="I33" s="7"/>
      <c r="J33" s="12"/>
      <c r="K33" s="3"/>
      <c r="L33" s="1"/>
      <c r="N33" s="29">
        <v>1</v>
      </c>
      <c r="O33" t="str">
        <f ca="1">OFFSET($AO$1, N33, 0)</f>
        <v>Non-Fuel Assured</v>
      </c>
    </row>
    <row r="34" spans="1:19" ht="16.5" customHeight="1" x14ac:dyDescent="0.35">
      <c r="A34" s="3"/>
      <c r="B34" s="8"/>
      <c r="C34" s="3"/>
      <c r="D34" s="3"/>
      <c r="E34" s="3"/>
      <c r="F34" s="3"/>
      <c r="G34" s="3"/>
      <c r="H34" s="7"/>
      <c r="I34" s="7"/>
      <c r="J34" s="12"/>
      <c r="K34" s="3"/>
      <c r="L34" s="1"/>
    </row>
    <row r="35" spans="1:19" ht="16.5" customHeight="1" x14ac:dyDescent="0.35">
      <c r="A35" s="3"/>
      <c r="B35" s="9" t="s">
        <v>68</v>
      </c>
      <c r="C35" s="3"/>
      <c r="D35" s="3"/>
      <c r="E35" s="3"/>
      <c r="F35" s="3"/>
      <c r="G35" s="3"/>
      <c r="H35" s="7"/>
      <c r="I35" s="7"/>
      <c r="J35" s="12"/>
      <c r="K35" s="3"/>
      <c r="L35" s="1"/>
    </row>
    <row r="36" spans="1:19" ht="16.5" customHeight="1" x14ac:dyDescent="0.35">
      <c r="A36" s="3"/>
      <c r="B36" s="8"/>
      <c r="C36" s="3"/>
      <c r="D36" s="3"/>
      <c r="E36" s="3"/>
      <c r="F36" s="3"/>
      <c r="G36" s="3"/>
      <c r="H36" s="7"/>
      <c r="I36" s="7"/>
      <c r="J36" s="12"/>
      <c r="K36" s="3"/>
      <c r="L36" s="1"/>
    </row>
    <row r="37" spans="1:19" ht="16.5" customHeight="1" x14ac:dyDescent="0.35">
      <c r="A37" s="3"/>
      <c r="B37" s="8" t="s">
        <v>0</v>
      </c>
      <c r="C37" s="3"/>
      <c r="D37" s="3"/>
      <c r="E37" s="3"/>
      <c r="F37" s="3"/>
      <c r="G37" s="3"/>
      <c r="H37" s="53"/>
      <c r="I37" s="53"/>
      <c r="J37" s="14" t="s">
        <v>1</v>
      </c>
      <c r="K37" s="3"/>
      <c r="L37" s="1"/>
      <c r="N37" s="29">
        <f>IF(LEN(H37)=0,0,H37)</f>
        <v>0</v>
      </c>
      <c r="O37" s="15" t="s">
        <v>1</v>
      </c>
    </row>
    <row r="38" spans="1:19" ht="16.5" customHeight="1" x14ac:dyDescent="0.35">
      <c r="A38" s="3"/>
      <c r="B38" s="5"/>
      <c r="C38" s="3"/>
      <c r="D38" s="3"/>
      <c r="E38" s="3"/>
      <c r="F38" s="3"/>
      <c r="G38" s="3"/>
      <c r="H38" s="7"/>
      <c r="I38" s="7"/>
      <c r="J38" s="12"/>
      <c r="K38" s="3"/>
      <c r="L38" s="1"/>
    </row>
    <row r="39" spans="1:19" ht="16.5" customHeight="1" x14ac:dyDescent="0.35">
      <c r="A39" s="3"/>
      <c r="B39" s="23"/>
      <c r="C39" s="23"/>
      <c r="D39" s="23"/>
      <c r="E39" s="23"/>
      <c r="F39" s="23"/>
      <c r="G39" s="23"/>
      <c r="H39" s="23"/>
      <c r="I39" s="23"/>
      <c r="J39" s="23"/>
      <c r="K39" s="3"/>
      <c r="L39" s="1"/>
    </row>
    <row r="40" spans="1:19" ht="16.5" customHeight="1" x14ac:dyDescent="0.35">
      <c r="A40" s="3"/>
      <c r="B40" s="23" t="str">
        <f ca="1">"FIXED BSSCC = (" &amp; TEXT(R29, "$#,##0.00") &amp; " $/MW-DAY) x (" &amp; S40 &amp; " DAYS/YEAR) x (" &amp; N37 &amp; " MW) x (" &amp; TEXT(R31, "0.00") &amp; ") = "</f>
        <v xml:space="preserve">FIXED BSSCC = ($284.62 $/MW-DAY) x (365 DAYS/YEAR) x (0 MW) x (0.02) = </v>
      </c>
      <c r="C40" s="23"/>
      <c r="D40" s="23"/>
      <c r="E40" s="23"/>
      <c r="F40" s="23"/>
      <c r="G40" s="23"/>
      <c r="H40" s="24"/>
      <c r="I40" s="26">
        <f ca="1">N40</f>
        <v>0</v>
      </c>
      <c r="J40" s="12" t="s">
        <v>4</v>
      </c>
      <c r="K40" s="3"/>
      <c r="L40" s="1"/>
      <c r="N40" s="29">
        <f ca="1">R29 * N37 * R31 * S40</f>
        <v>0</v>
      </c>
      <c r="P40" s="37">
        <f>EDATE(H12, 12)</f>
        <v>366</v>
      </c>
      <c r="Q40" s="38">
        <f>YEAR(P40)</f>
        <v>1900</v>
      </c>
      <c r="R40" t="b">
        <f>DAY(EOMONTH(DATE(Q40,2,1),0))=29</f>
        <v>0</v>
      </c>
      <c r="S40">
        <f>IF(R40=TRUE,366,365)</f>
        <v>365</v>
      </c>
    </row>
    <row r="41" spans="1:19" ht="16.5" customHeight="1" x14ac:dyDescent="0.35">
      <c r="A41" s="3"/>
      <c r="B41" s="39" t="str">
        <f>IF(S40=366,"* - Calculation adjusted for leap year","")</f>
        <v/>
      </c>
      <c r="C41" s="3"/>
      <c r="D41" s="3"/>
      <c r="E41" s="3"/>
      <c r="F41" s="3"/>
      <c r="G41" s="3"/>
      <c r="H41" s="7"/>
      <c r="I41" s="7"/>
      <c r="J41" s="12"/>
      <c r="K41" s="3"/>
      <c r="L41" s="1"/>
    </row>
    <row r="42" spans="1:19" ht="16.5" customHeight="1" x14ac:dyDescent="0.35">
      <c r="A42" s="3"/>
      <c r="B42" s="5"/>
      <c r="C42" s="3"/>
      <c r="D42" s="3"/>
      <c r="E42" s="3"/>
      <c r="F42" s="3"/>
      <c r="G42" s="3"/>
      <c r="H42" s="7"/>
      <c r="I42" s="7"/>
      <c r="J42" s="12"/>
      <c r="K42" s="3"/>
      <c r="L42" s="1"/>
    </row>
    <row r="43" spans="1:19" ht="16.5" customHeight="1" x14ac:dyDescent="0.35">
      <c r="A43" s="3"/>
      <c r="B43" s="9" t="s">
        <v>71</v>
      </c>
      <c r="C43" s="3"/>
      <c r="D43" s="3"/>
      <c r="E43" s="3"/>
      <c r="F43" s="3"/>
      <c r="G43" s="3"/>
      <c r="H43" s="7"/>
      <c r="I43" s="7"/>
      <c r="J43" s="12"/>
      <c r="K43" s="3"/>
      <c r="L43" s="1"/>
    </row>
    <row r="44" spans="1:19" ht="16.5" customHeight="1" x14ac:dyDescent="0.35">
      <c r="A44" s="3"/>
      <c r="B44" s="5"/>
      <c r="C44" s="3"/>
      <c r="D44" s="3"/>
      <c r="E44" s="3"/>
      <c r="F44" s="3"/>
      <c r="G44" s="3"/>
      <c r="H44" s="7"/>
      <c r="I44" s="7"/>
      <c r="J44" s="12"/>
      <c r="K44" s="3"/>
      <c r="L44" s="1"/>
    </row>
    <row r="45" spans="1:19" ht="16.5" customHeight="1" x14ac:dyDescent="0.35">
      <c r="A45" s="3"/>
      <c r="B45" s="50" t="s">
        <v>141</v>
      </c>
      <c r="C45" s="51"/>
      <c r="D45" s="51"/>
      <c r="E45" s="3"/>
      <c r="F45" s="3"/>
      <c r="G45" s="8" t="s">
        <v>149</v>
      </c>
      <c r="H45" s="7"/>
      <c r="I45" s="60">
        <f ca="1">R46</f>
        <v>0.01</v>
      </c>
      <c r="J45" s="60"/>
      <c r="K45" s="3"/>
      <c r="L45" s="1"/>
    </row>
    <row r="46" spans="1:19" ht="16.5" customHeight="1" x14ac:dyDescent="0.35">
      <c r="A46" s="3"/>
      <c r="B46" s="5"/>
      <c r="C46" s="3"/>
      <c r="D46" s="3"/>
      <c r="E46" s="3"/>
      <c r="F46" s="3"/>
      <c r="G46" s="3"/>
      <c r="H46" s="7"/>
      <c r="I46" s="7"/>
      <c r="J46" s="12"/>
      <c r="K46" s="3"/>
      <c r="L46" s="1"/>
      <c r="N46" s="29">
        <v>2</v>
      </c>
      <c r="O46" t="str">
        <f ca="1">OFFSET($AS$1, N46, 0)</f>
        <v>1% Energy VOM</v>
      </c>
      <c r="R46">
        <f ca="1">OFFSET($AS$1, N46, 1)</f>
        <v>0.01</v>
      </c>
    </row>
    <row r="47" spans="1:19" ht="16.5" customHeight="1" x14ac:dyDescent="0.35">
      <c r="A47" s="3"/>
      <c r="B47" s="5"/>
      <c r="C47" s="3"/>
      <c r="D47" s="3"/>
      <c r="E47" s="3"/>
      <c r="F47" s="3"/>
      <c r="G47" s="3"/>
      <c r="H47" s="7"/>
      <c r="I47" s="7"/>
      <c r="J47" s="12"/>
      <c r="K47" s="3"/>
      <c r="L47" s="1"/>
    </row>
    <row r="48" spans="1:19" ht="16.5" customHeight="1" x14ac:dyDescent="0.35">
      <c r="A48" s="3"/>
      <c r="B48" s="8" t="s">
        <v>144</v>
      </c>
      <c r="C48" s="3"/>
      <c r="D48" s="3"/>
      <c r="E48" s="3"/>
      <c r="F48" s="3"/>
      <c r="G48" s="3"/>
      <c r="H48" s="64"/>
      <c r="I48" s="53"/>
      <c r="J48" s="14" t="s">
        <v>4</v>
      </c>
      <c r="K48" s="3"/>
      <c r="L48" s="1"/>
    </row>
    <row r="49" spans="1:12" ht="16.5" customHeight="1" x14ac:dyDescent="0.35">
      <c r="A49" s="3"/>
      <c r="B49" s="5"/>
      <c r="C49" s="5" t="s">
        <v>132</v>
      </c>
      <c r="D49" s="3"/>
      <c r="E49" s="3"/>
      <c r="F49" s="3"/>
      <c r="G49" s="3"/>
      <c r="H49" s="7"/>
      <c r="I49" s="7"/>
      <c r="J49" s="12"/>
      <c r="K49" s="3"/>
      <c r="L49" s="1"/>
    </row>
    <row r="50" spans="1:12" ht="16.5" customHeight="1" x14ac:dyDescent="0.35">
      <c r="A50" s="3"/>
      <c r="B50" s="3"/>
      <c r="C50" s="3"/>
      <c r="D50" s="3"/>
      <c r="E50" s="3"/>
      <c r="F50" s="3"/>
      <c r="G50" s="3"/>
      <c r="H50" s="7"/>
      <c r="I50" s="7"/>
      <c r="J50" s="12"/>
      <c r="K50" s="3"/>
      <c r="L50" s="1"/>
    </row>
    <row r="51" spans="1:12" ht="16.5" customHeight="1" x14ac:dyDescent="0.35">
      <c r="A51" s="3"/>
      <c r="B51" s="23"/>
      <c r="C51" s="23"/>
      <c r="D51" s="23"/>
      <c r="E51" s="23"/>
      <c r="F51" s="23"/>
      <c r="G51" s="23"/>
      <c r="H51" s="24"/>
      <c r="I51" s="24"/>
      <c r="J51" s="12"/>
      <c r="K51" s="3"/>
      <c r="L51" s="1"/>
    </row>
    <row r="52" spans="1:12" ht="16.5" customHeight="1" x14ac:dyDescent="0.35">
      <c r="A52" s="3"/>
      <c r="B52" s="23" t="s">
        <v>72</v>
      </c>
      <c r="C52" s="23"/>
      <c r="D52" s="23"/>
      <c r="E52" s="23"/>
      <c r="F52" s="23"/>
      <c r="G52" s="23"/>
      <c r="H52" s="24"/>
      <c r="I52" s="26">
        <f ca="1">IF(N31 = 1, 0, H48 * I45 )</f>
        <v>0</v>
      </c>
      <c r="J52" s="12" t="s">
        <v>4</v>
      </c>
      <c r="K52" s="3"/>
      <c r="L52" s="1"/>
    </row>
    <row r="53" spans="1:12" ht="16.5" customHeight="1" x14ac:dyDescent="0.35">
      <c r="A53" s="3"/>
      <c r="C53" s="3"/>
      <c r="D53" s="3"/>
      <c r="E53" s="3"/>
      <c r="F53" s="3"/>
      <c r="G53" s="3"/>
      <c r="H53" s="7"/>
      <c r="J53" s="12"/>
      <c r="K53" s="3"/>
      <c r="L53" s="1"/>
    </row>
    <row r="54" spans="1:12" ht="16.5" customHeight="1" x14ac:dyDescent="0.35">
      <c r="A54" s="3"/>
      <c r="C54" s="3"/>
      <c r="D54" s="3"/>
      <c r="E54" s="3"/>
      <c r="F54" s="3"/>
      <c r="G54" s="3"/>
      <c r="H54" s="7"/>
      <c r="J54" s="12"/>
      <c r="K54" s="3"/>
      <c r="L54" s="1"/>
    </row>
    <row r="55" spans="1:12" ht="16.5" customHeight="1" x14ac:dyDescent="0.35">
      <c r="A55" s="3"/>
      <c r="B55" s="9" t="s">
        <v>76</v>
      </c>
      <c r="C55" s="3"/>
      <c r="D55" s="3"/>
      <c r="E55" s="3"/>
      <c r="F55" s="3"/>
      <c r="G55" s="3"/>
      <c r="H55" s="7"/>
      <c r="I55" s="7"/>
      <c r="J55" s="12"/>
      <c r="K55" s="3"/>
      <c r="L55" s="1"/>
    </row>
    <row r="56" spans="1:12" ht="16.5" customHeight="1" x14ac:dyDescent="0.35">
      <c r="A56" s="3"/>
      <c r="C56" s="3"/>
      <c r="D56" s="3"/>
      <c r="E56" s="3"/>
      <c r="F56" s="3"/>
      <c r="G56" s="3"/>
      <c r="H56" s="7"/>
      <c r="I56" s="7"/>
      <c r="J56" s="12"/>
      <c r="K56" s="3"/>
      <c r="L56" s="1"/>
    </row>
    <row r="57" spans="1:12" ht="16.5" customHeight="1" x14ac:dyDescent="0.35">
      <c r="A57" s="3"/>
      <c r="B57" s="23" t="s">
        <v>73</v>
      </c>
      <c r="C57" s="3"/>
      <c r="D57" s="3"/>
      <c r="E57" s="3"/>
      <c r="F57" s="3"/>
      <c r="G57" s="3"/>
      <c r="H57" s="7"/>
      <c r="I57" s="26">
        <v>3750</v>
      </c>
      <c r="J57" s="12" t="s">
        <v>4</v>
      </c>
      <c r="K57" s="3"/>
      <c r="L57" s="1"/>
    </row>
    <row r="58" spans="1:12" ht="16.5" customHeight="1" x14ac:dyDescent="0.35">
      <c r="A58" s="3"/>
      <c r="C58" s="3"/>
      <c r="D58" s="3"/>
      <c r="E58" s="3"/>
      <c r="F58" s="3"/>
      <c r="G58" s="3"/>
      <c r="H58" s="7"/>
      <c r="I58" s="7"/>
      <c r="J58" s="12"/>
      <c r="K58" s="3"/>
      <c r="L58" s="1"/>
    </row>
    <row r="59" spans="1:12" ht="16.5" customHeight="1" x14ac:dyDescent="0.35">
      <c r="A59" s="3"/>
      <c r="B59" s="8" t="s">
        <v>74</v>
      </c>
      <c r="C59" s="3"/>
      <c r="D59" s="3"/>
      <c r="E59" s="3"/>
      <c r="F59" s="3"/>
      <c r="G59" s="3"/>
      <c r="H59" s="53">
        <v>1</v>
      </c>
      <c r="I59" s="53"/>
      <c r="J59" s="12"/>
      <c r="K59" s="3"/>
      <c r="L59" s="1"/>
    </row>
    <row r="60" spans="1:12" ht="16.5" customHeight="1" x14ac:dyDescent="0.35">
      <c r="A60" s="3"/>
      <c r="C60" s="3"/>
      <c r="D60" s="3"/>
      <c r="E60" s="3"/>
      <c r="F60" s="3"/>
      <c r="G60" s="3"/>
      <c r="H60" s="7"/>
      <c r="I60" s="7"/>
      <c r="J60" s="12"/>
      <c r="K60" s="3"/>
      <c r="L60" s="1"/>
    </row>
    <row r="61" spans="1:12" ht="16.5" customHeight="1" x14ac:dyDescent="0.35">
      <c r="A61" s="3"/>
      <c r="B61" s="23" t="s">
        <v>75</v>
      </c>
      <c r="C61" s="3"/>
      <c r="D61" s="3"/>
      <c r="E61" s="3"/>
      <c r="F61" s="3"/>
      <c r="G61" s="3"/>
      <c r="H61" s="7"/>
      <c r="I61" s="26">
        <f>I57 / H59</f>
        <v>3750</v>
      </c>
      <c r="J61" s="12" t="s">
        <v>4</v>
      </c>
      <c r="K61" s="3"/>
      <c r="L61" s="1"/>
    </row>
    <row r="62" spans="1:12" ht="16.5" customHeight="1" x14ac:dyDescent="0.35">
      <c r="A62" s="3"/>
      <c r="B62" s="23"/>
      <c r="C62" s="3"/>
      <c r="D62" s="3"/>
      <c r="E62" s="3"/>
      <c r="F62" s="3"/>
      <c r="G62" s="3"/>
      <c r="H62" s="7"/>
      <c r="I62" s="26"/>
      <c r="J62" s="12"/>
      <c r="K62" s="3"/>
      <c r="L62" s="1"/>
    </row>
    <row r="63" spans="1:12" ht="16.5" customHeight="1" x14ac:dyDescent="0.35">
      <c r="A63" s="3"/>
      <c r="C63" s="3"/>
      <c r="D63" s="3"/>
      <c r="E63" s="3"/>
      <c r="F63" s="3"/>
      <c r="G63" s="3"/>
      <c r="H63" s="7"/>
      <c r="I63" s="7"/>
      <c r="J63" s="12"/>
      <c r="K63" s="3"/>
      <c r="L63" s="1"/>
    </row>
    <row r="64" spans="1:12" ht="16.5" customHeight="1" x14ac:dyDescent="0.35">
      <c r="A64" s="3"/>
      <c r="C64" s="3"/>
      <c r="D64" s="3"/>
      <c r="E64" s="3"/>
      <c r="F64" s="3"/>
      <c r="G64" s="3"/>
      <c r="H64" s="7"/>
      <c r="I64" s="7"/>
      <c r="J64" s="12"/>
      <c r="K64" s="3"/>
      <c r="L64" s="1"/>
    </row>
    <row r="65" spans="1:14" ht="16.5" customHeight="1" x14ac:dyDescent="0.35">
      <c r="A65" s="3"/>
      <c r="C65" s="3"/>
      <c r="D65" s="3"/>
      <c r="E65" s="3"/>
      <c r="F65" s="3"/>
      <c r="G65" s="3"/>
      <c r="H65" s="7"/>
      <c r="I65" s="7"/>
      <c r="J65" s="12"/>
      <c r="K65" s="3"/>
      <c r="L65" s="1"/>
    </row>
    <row r="66" spans="1:14" ht="16.5" customHeight="1" x14ac:dyDescent="0.35">
      <c r="A66" s="3"/>
      <c r="B66" s="9" t="s">
        <v>77</v>
      </c>
      <c r="C66" s="3"/>
      <c r="D66" s="3"/>
      <c r="E66" s="3"/>
      <c r="F66" s="3"/>
      <c r="G66" s="3"/>
      <c r="H66" s="7"/>
      <c r="I66" s="7"/>
      <c r="J66" s="12"/>
      <c r="K66" s="3"/>
      <c r="L66" s="1"/>
    </row>
    <row r="67" spans="1:14" ht="16.5" customHeight="1" x14ac:dyDescent="0.35">
      <c r="A67" s="3"/>
      <c r="C67" s="3"/>
      <c r="D67" s="3"/>
      <c r="E67" s="3"/>
      <c r="F67" s="3"/>
      <c r="G67" s="3"/>
      <c r="H67" s="7"/>
      <c r="I67" s="7"/>
      <c r="J67" s="12"/>
      <c r="K67" s="3"/>
      <c r="L67" s="1"/>
    </row>
    <row r="68" spans="1:14" ht="16.5" customHeight="1" x14ac:dyDescent="0.35">
      <c r="A68" s="3"/>
      <c r="B68" s="8" t="s">
        <v>117</v>
      </c>
      <c r="C68" s="3"/>
      <c r="D68" s="3"/>
      <c r="E68" s="3"/>
      <c r="F68" s="3"/>
      <c r="G68" s="3"/>
      <c r="H68" s="64"/>
      <c r="I68" s="64"/>
      <c r="J68" s="14" t="s">
        <v>26</v>
      </c>
      <c r="K68" s="3"/>
      <c r="L68" s="1"/>
    </row>
    <row r="69" spans="1:14" ht="16.5" customHeight="1" x14ac:dyDescent="0.35">
      <c r="A69" s="3"/>
      <c r="C69" s="3"/>
      <c r="D69" s="3"/>
      <c r="E69" s="3"/>
      <c r="F69" s="3"/>
      <c r="G69" s="3"/>
      <c r="H69" s="7"/>
      <c r="I69" s="7"/>
      <c r="J69" s="12"/>
      <c r="K69" s="3"/>
      <c r="L69" s="1"/>
    </row>
    <row r="70" spans="1:14" ht="16.5" customHeight="1" x14ac:dyDescent="0.35">
      <c r="A70" s="3"/>
      <c r="B70" s="8" t="s">
        <v>148</v>
      </c>
      <c r="C70" s="3"/>
      <c r="D70" s="3"/>
      <c r="E70" s="3"/>
      <c r="F70" s="3"/>
      <c r="G70" s="3"/>
      <c r="H70" s="63">
        <f>N70</f>
        <v>0</v>
      </c>
      <c r="I70" s="63"/>
      <c r="J70" s="14" t="s">
        <v>26</v>
      </c>
      <c r="K70" s="3"/>
      <c r="L70" s="1"/>
      <c r="N70">
        <f>IFERROR(ROUND(H73*((H76*H79)/(H68-H73)), 0),0)</f>
        <v>0</v>
      </c>
    </row>
    <row r="71" spans="1:14" ht="16.5" customHeight="1" x14ac:dyDescent="0.35">
      <c r="A71" s="3"/>
      <c r="B71" s="5" t="s">
        <v>115</v>
      </c>
      <c r="C71" s="3"/>
      <c r="D71" s="3"/>
      <c r="E71" s="3"/>
      <c r="F71" s="3"/>
      <c r="G71" s="3"/>
      <c r="H71" s="7"/>
      <c r="I71" s="7"/>
      <c r="J71" s="12"/>
      <c r="K71" s="3"/>
      <c r="L71" s="1"/>
    </row>
    <row r="72" spans="1:14" ht="16.5" customHeight="1" x14ac:dyDescent="0.35">
      <c r="A72" s="3"/>
      <c r="B72" s="5"/>
      <c r="C72" s="3"/>
      <c r="D72" s="3"/>
      <c r="E72" s="3"/>
      <c r="F72" s="3"/>
      <c r="G72" s="3"/>
      <c r="H72" s="7"/>
      <c r="I72" s="7"/>
      <c r="J72" s="12"/>
      <c r="K72" s="3"/>
      <c r="L72" s="1"/>
    </row>
    <row r="73" spans="1:14" ht="16.5" customHeight="1" x14ac:dyDescent="0.35">
      <c r="A73" s="3"/>
      <c r="B73" s="8" t="s">
        <v>147</v>
      </c>
      <c r="C73" s="3"/>
      <c r="D73" s="3"/>
      <c r="E73" s="3"/>
      <c r="F73" s="3"/>
      <c r="G73" s="3"/>
      <c r="H73" s="64"/>
      <c r="I73" s="64"/>
      <c r="J73" s="14" t="s">
        <v>26</v>
      </c>
      <c r="K73" s="3"/>
      <c r="L73" s="1"/>
    </row>
    <row r="74" spans="1:14" ht="16.5" customHeight="1" x14ac:dyDescent="0.35">
      <c r="A74" s="3"/>
      <c r="B74" s="5" t="s">
        <v>116</v>
      </c>
      <c r="C74" s="3"/>
      <c r="D74" s="3"/>
      <c r="E74" s="3"/>
      <c r="F74" s="3"/>
      <c r="G74" s="3"/>
      <c r="H74" s="46"/>
      <c r="I74" s="46"/>
      <c r="K74" s="3"/>
      <c r="L74" s="1"/>
    </row>
    <row r="75" spans="1:14" ht="16.5" customHeight="1" x14ac:dyDescent="0.35">
      <c r="A75" s="3"/>
      <c r="B75" s="3"/>
      <c r="C75" s="3"/>
      <c r="D75" s="3"/>
      <c r="E75" s="3"/>
      <c r="F75" s="3"/>
      <c r="G75" s="3"/>
      <c r="H75" s="7"/>
      <c r="I75" s="7"/>
      <c r="J75" s="12"/>
      <c r="K75" s="3"/>
      <c r="L75" s="1"/>
    </row>
    <row r="76" spans="1:14" ht="16.5" customHeight="1" x14ac:dyDescent="0.35">
      <c r="A76" s="3"/>
      <c r="B76" s="8" t="s">
        <v>78</v>
      </c>
      <c r="C76" s="3"/>
      <c r="D76" s="3"/>
      <c r="E76" s="3"/>
      <c r="F76" s="3"/>
      <c r="G76" s="3"/>
      <c r="H76" s="64"/>
      <c r="I76" s="64"/>
      <c r="J76" s="14" t="s">
        <v>2</v>
      </c>
      <c r="K76" s="3"/>
      <c r="L76" s="1"/>
    </row>
    <row r="77" spans="1:14" ht="16.5" customHeight="1" x14ac:dyDescent="0.35">
      <c r="A77" s="3"/>
      <c r="B77" s="5" t="s">
        <v>6</v>
      </c>
      <c r="C77" s="3"/>
      <c r="D77" s="3"/>
      <c r="E77" s="3"/>
      <c r="F77" s="3"/>
      <c r="G77" s="3"/>
      <c r="H77" s="7"/>
      <c r="I77" s="7"/>
      <c r="J77" s="12"/>
      <c r="K77" s="3"/>
      <c r="L77" s="1"/>
    </row>
    <row r="78" spans="1:14" ht="16.5" customHeight="1" x14ac:dyDescent="0.35">
      <c r="A78" s="3"/>
      <c r="B78" s="3"/>
      <c r="C78" s="3"/>
      <c r="D78" s="3"/>
      <c r="E78" s="3"/>
      <c r="F78" s="3"/>
      <c r="G78" s="3"/>
      <c r="H78" s="7"/>
      <c r="I78" s="7"/>
      <c r="J78" s="12"/>
      <c r="K78" s="3"/>
      <c r="L78" s="1"/>
    </row>
    <row r="79" spans="1:14" ht="16.5" customHeight="1" x14ac:dyDescent="0.35">
      <c r="A79" s="3"/>
      <c r="B79" s="8" t="s">
        <v>81</v>
      </c>
      <c r="C79" s="3"/>
      <c r="D79" s="3"/>
      <c r="E79" s="3"/>
      <c r="F79" s="3"/>
      <c r="G79" s="3"/>
      <c r="H79" s="62">
        <v>16</v>
      </c>
      <c r="I79" s="62"/>
      <c r="J79" s="14" t="s">
        <v>82</v>
      </c>
      <c r="K79" s="3"/>
      <c r="L79" s="1"/>
    </row>
    <row r="80" spans="1:14" ht="16.5" customHeight="1" x14ac:dyDescent="0.35">
      <c r="A80" s="3"/>
      <c r="B80" s="5" t="s">
        <v>83</v>
      </c>
      <c r="C80" s="3"/>
      <c r="D80" s="3"/>
      <c r="E80" s="3"/>
      <c r="F80" s="3"/>
      <c r="G80" s="3"/>
      <c r="H80" s="7"/>
      <c r="I80" s="7"/>
      <c r="J80" s="12"/>
      <c r="K80" s="3"/>
      <c r="L80" s="1"/>
    </row>
    <row r="81" spans="1:15" ht="16.5" customHeight="1" x14ac:dyDescent="0.35">
      <c r="A81" s="3"/>
      <c r="B81" s="3"/>
      <c r="C81" s="3"/>
      <c r="D81" s="3"/>
      <c r="E81" s="3"/>
      <c r="F81" s="3"/>
      <c r="G81" s="3"/>
      <c r="H81" s="7"/>
      <c r="I81" s="7"/>
      <c r="J81" s="12"/>
      <c r="K81" s="3"/>
      <c r="L81" s="1"/>
    </row>
    <row r="82" spans="1:15" ht="16.5" customHeight="1" x14ac:dyDescent="0.35">
      <c r="A82" s="3"/>
      <c r="B82" s="8" t="s">
        <v>28</v>
      </c>
      <c r="C82" s="3"/>
      <c r="D82" s="3"/>
      <c r="E82" s="3"/>
      <c r="F82" s="3"/>
      <c r="G82" s="3"/>
      <c r="H82" s="65">
        <v>3.0049999999999999</v>
      </c>
      <c r="I82" s="65"/>
      <c r="J82" s="14" t="s">
        <v>3</v>
      </c>
      <c r="K82" s="3"/>
      <c r="L82" s="1"/>
    </row>
    <row r="83" spans="1:15" ht="16.5" customHeight="1" x14ac:dyDescent="0.35">
      <c r="A83" s="3"/>
      <c r="B83" s="5" t="s">
        <v>7</v>
      </c>
      <c r="C83" s="3"/>
      <c r="D83" s="3"/>
      <c r="E83" s="3"/>
      <c r="F83" s="3"/>
      <c r="G83" s="3"/>
      <c r="H83" s="7"/>
      <c r="I83" s="7"/>
      <c r="J83" s="12"/>
      <c r="K83" s="3"/>
      <c r="L83" s="1"/>
    </row>
    <row r="84" spans="1:15" ht="16.5" customHeight="1" x14ac:dyDescent="0.35">
      <c r="A84" s="3"/>
      <c r="B84" s="3"/>
      <c r="C84" s="3"/>
      <c r="D84" s="3"/>
      <c r="E84" s="3"/>
      <c r="F84" s="3"/>
      <c r="G84" s="3"/>
      <c r="H84" s="7"/>
      <c r="I84" s="7"/>
      <c r="J84" s="12"/>
      <c r="K84" s="3"/>
      <c r="L84" s="1"/>
    </row>
    <row r="85" spans="1:15" ht="16.5" customHeight="1" x14ac:dyDescent="0.35">
      <c r="A85" s="3"/>
      <c r="B85" s="8" t="s">
        <v>27</v>
      </c>
      <c r="C85" s="3"/>
      <c r="D85" s="3"/>
      <c r="E85" s="3"/>
      <c r="F85" s="3"/>
      <c r="G85" s="3"/>
      <c r="H85" s="53"/>
      <c r="I85" s="53"/>
      <c r="J85" s="14" t="s">
        <v>3</v>
      </c>
      <c r="K85" s="3"/>
      <c r="L85" s="1"/>
    </row>
    <row r="86" spans="1:15" ht="16.5" customHeight="1" x14ac:dyDescent="0.35">
      <c r="A86" s="3"/>
      <c r="B86" s="5" t="s">
        <v>8</v>
      </c>
      <c r="C86" s="3"/>
      <c r="D86" s="3"/>
      <c r="E86" s="3"/>
      <c r="F86" s="3"/>
      <c r="G86" s="3"/>
      <c r="H86" s="7"/>
      <c r="I86" s="7"/>
      <c r="J86" s="12"/>
      <c r="K86" s="3"/>
      <c r="L86" s="1"/>
    </row>
    <row r="87" spans="1:15" ht="16.5" customHeight="1" x14ac:dyDescent="0.35">
      <c r="A87" s="3"/>
      <c r="B87" s="3"/>
      <c r="C87" s="3"/>
      <c r="D87" s="3"/>
      <c r="E87" s="3"/>
      <c r="F87" s="3"/>
      <c r="G87" s="3"/>
      <c r="H87" s="7"/>
      <c r="I87" s="7"/>
      <c r="J87" s="12"/>
      <c r="K87" s="3"/>
      <c r="L87" s="1"/>
    </row>
    <row r="88" spans="1:15" ht="15.5" x14ac:dyDescent="0.35">
      <c r="B88" s="8" t="s">
        <v>79</v>
      </c>
      <c r="H88" s="61">
        <v>6.0400000000000002E-2</v>
      </c>
      <c r="I88" s="61"/>
      <c r="J88" s="14"/>
      <c r="L88" s="1"/>
    </row>
    <row r="89" spans="1:15" x14ac:dyDescent="0.25">
      <c r="L89" s="1"/>
    </row>
    <row r="90" spans="1:15" ht="15.5" x14ac:dyDescent="0.35">
      <c r="B90" s="23" t="s">
        <v>80</v>
      </c>
      <c r="C90" s="3"/>
      <c r="D90" s="3"/>
      <c r="E90" s="3"/>
      <c r="F90" s="3"/>
      <c r="G90" s="3"/>
      <c r="H90" s="7"/>
      <c r="I90" s="26">
        <f xml:space="preserve"> ( H70 + (H76 * H79)) * (H82 + H85) * H88</f>
        <v>0</v>
      </c>
      <c r="J90" s="12" t="s">
        <v>4</v>
      </c>
      <c r="L90" s="1"/>
    </row>
    <row r="91" spans="1:15" ht="16.5" customHeight="1" x14ac:dyDescent="0.35">
      <c r="A91" s="3"/>
      <c r="K91" s="3"/>
      <c r="L91" s="1"/>
    </row>
    <row r="92" spans="1:15" ht="16.5" customHeight="1" x14ac:dyDescent="0.35">
      <c r="A92" s="3"/>
      <c r="B92" s="40" t="s">
        <v>123</v>
      </c>
      <c r="I92" s="41">
        <f>N92</f>
        <v>0.1</v>
      </c>
      <c r="K92" s="3"/>
      <c r="L92" s="1"/>
      <c r="N92" s="29">
        <f>IF(N33=1,0.1,0.2)</f>
        <v>0.1</v>
      </c>
      <c r="O92" s="36" t="s">
        <v>122</v>
      </c>
    </row>
    <row r="93" spans="1:15" ht="16.5" customHeight="1" x14ac:dyDescent="0.35">
      <c r="A93" s="3"/>
      <c r="K93" s="3"/>
      <c r="L93" s="1"/>
    </row>
    <row r="94" spans="1:15" ht="16.5" customHeight="1" x14ac:dyDescent="0.35">
      <c r="A94" s="3"/>
      <c r="B94" s="23" t="s">
        <v>84</v>
      </c>
      <c r="C94" s="3"/>
      <c r="D94" s="3"/>
      <c r="E94" s="3"/>
      <c r="F94" s="3"/>
      <c r="G94" s="3"/>
      <c r="H94" s="7"/>
      <c r="I94" s="26">
        <f ca="1">IF( N31 = 1, ( I61 ), ( I40 + I52 + I61 + I90 ) ) * (1+N92)</f>
        <v>4125</v>
      </c>
      <c r="J94" s="12" t="s">
        <v>4</v>
      </c>
      <c r="K94" s="3"/>
      <c r="L94" s="1"/>
    </row>
    <row r="95" spans="1:15" ht="16.5" customHeight="1" x14ac:dyDescent="0.35">
      <c r="A95" s="3"/>
      <c r="B95" s="5" t="s">
        <v>85</v>
      </c>
      <c r="C95" s="3"/>
      <c r="D95" s="3"/>
      <c r="E95" s="3"/>
      <c r="F95" s="3"/>
      <c r="G95" s="3"/>
      <c r="H95" s="7"/>
      <c r="I95" s="7"/>
      <c r="J95" s="7"/>
      <c r="K95" s="3"/>
      <c r="L95" s="1"/>
    </row>
    <row r="96" spans="1:15" ht="16.5" customHeight="1" x14ac:dyDescent="0.35">
      <c r="A96" s="3"/>
      <c r="B96" s="5"/>
      <c r="C96" s="3"/>
      <c r="D96" s="3"/>
      <c r="E96" s="3"/>
      <c r="F96" s="3"/>
      <c r="G96" s="3"/>
      <c r="H96" s="7"/>
      <c r="I96" s="7"/>
      <c r="J96" s="7"/>
      <c r="K96" s="3"/>
      <c r="L96" s="1"/>
    </row>
    <row r="97" spans="1:13" ht="16.5" customHeight="1" x14ac:dyDescent="0.35">
      <c r="A97" s="3"/>
      <c r="B97" s="3" t="s">
        <v>13</v>
      </c>
      <c r="C97" s="3"/>
      <c r="D97" s="3"/>
      <c r="E97" s="3"/>
      <c r="F97" s="3"/>
      <c r="G97" s="3"/>
      <c r="H97" s="3"/>
      <c r="I97" s="3"/>
      <c r="J97" s="3"/>
      <c r="K97" s="3"/>
      <c r="L97" s="1"/>
    </row>
    <row r="98" spans="1:13" ht="16.5" customHeight="1" x14ac:dyDescent="0.35">
      <c r="A98" s="3"/>
      <c r="B98" s="3"/>
      <c r="C98" s="3"/>
      <c r="D98" s="3"/>
      <c r="E98" s="3"/>
      <c r="F98" s="3"/>
      <c r="G98" s="3"/>
      <c r="H98" s="3"/>
      <c r="I98" s="3"/>
      <c r="J98" s="3"/>
      <c r="K98" s="3"/>
      <c r="L98" s="1"/>
    </row>
    <row r="99" spans="1:13" ht="15.5" x14ac:dyDescent="0.35">
      <c r="B99" s="11" t="s">
        <v>130</v>
      </c>
      <c r="L99" s="1"/>
    </row>
    <row r="100" spans="1:13" ht="16.5" customHeight="1" thickBot="1" x14ac:dyDescent="0.4">
      <c r="A100" s="3"/>
      <c r="B100" s="6"/>
      <c r="C100" s="6"/>
      <c r="D100" s="6"/>
      <c r="E100" s="6"/>
      <c r="F100" s="6"/>
      <c r="G100" s="6"/>
      <c r="H100" s="6"/>
      <c r="I100" s="6"/>
      <c r="J100" s="6"/>
      <c r="K100" s="3"/>
      <c r="L100" s="1"/>
    </row>
    <row r="101" spans="1:13" ht="16.5" customHeight="1" x14ac:dyDescent="0.35">
      <c r="A101" s="3"/>
      <c r="C101" s="3"/>
      <c r="D101" s="3"/>
      <c r="E101" s="3"/>
      <c r="F101" s="3"/>
      <c r="G101" s="3"/>
      <c r="H101" s="7"/>
      <c r="I101" s="7"/>
      <c r="J101" s="7"/>
      <c r="K101" s="3"/>
      <c r="L101" s="1"/>
    </row>
    <row r="102" spans="1:13" ht="16.5" customHeight="1" x14ac:dyDescent="0.35">
      <c r="A102" s="3"/>
      <c r="B102" s="8" t="s">
        <v>16</v>
      </c>
      <c r="C102" s="3"/>
      <c r="D102" s="3"/>
      <c r="E102" s="3"/>
      <c r="F102" s="3"/>
      <c r="G102" s="3"/>
      <c r="H102" s="3"/>
      <c r="I102" s="3"/>
      <c r="J102" s="3"/>
      <c r="K102" s="3"/>
      <c r="L102" s="1"/>
      <c r="M102" s="3"/>
    </row>
    <row r="103" spans="1:13" ht="16.5" customHeight="1" x14ac:dyDescent="0.35">
      <c r="A103" s="3"/>
      <c r="B103" s="3"/>
      <c r="C103" s="3"/>
      <c r="D103" s="3"/>
      <c r="E103" s="3"/>
      <c r="F103" s="3"/>
      <c r="G103" s="3"/>
      <c r="H103" s="3"/>
      <c r="I103" s="3"/>
      <c r="J103" s="3"/>
      <c r="K103" s="3"/>
      <c r="L103" s="1"/>
      <c r="M103" s="3"/>
    </row>
    <row r="104" spans="1:13" ht="16.5" customHeight="1" x14ac:dyDescent="0.35">
      <c r="A104" s="3"/>
      <c r="B104" s="3" t="s">
        <v>17</v>
      </c>
      <c r="D104" s="3"/>
      <c r="E104" s="3"/>
      <c r="F104" s="3"/>
      <c r="G104" s="3"/>
      <c r="H104" s="3"/>
      <c r="I104" s="3"/>
      <c r="J104" s="3"/>
      <c r="K104" s="3"/>
      <c r="L104" s="1"/>
      <c r="M104" s="3"/>
    </row>
    <row r="105" spans="1:13" ht="16.5" customHeight="1" x14ac:dyDescent="0.35">
      <c r="A105" s="3"/>
      <c r="B105" s="3" t="s">
        <v>18</v>
      </c>
      <c r="C105" s="3"/>
      <c r="E105" s="3"/>
      <c r="F105" s="3"/>
      <c r="H105" s="3"/>
      <c r="I105" s="3"/>
      <c r="J105" s="3"/>
      <c r="K105" s="3"/>
      <c r="L105" s="1"/>
      <c r="M105" s="3"/>
    </row>
    <row r="106" spans="1:13" ht="16.5" customHeight="1" x14ac:dyDescent="0.35">
      <c r="A106" s="3"/>
      <c r="B106" s="11" t="s">
        <v>94</v>
      </c>
      <c r="C106" s="3"/>
      <c r="D106" s="3"/>
      <c r="E106" s="3"/>
      <c r="G106" s="3"/>
      <c r="H106" s="4"/>
      <c r="I106" s="4"/>
      <c r="J106" s="4"/>
      <c r="K106" s="3"/>
      <c r="L106" s="1"/>
    </row>
    <row r="107" spans="1:13" ht="16.5" customHeight="1" x14ac:dyDescent="0.35">
      <c r="A107" s="3"/>
      <c r="B107" s="11"/>
      <c r="C107" s="3"/>
      <c r="D107" s="3"/>
      <c r="E107" s="3"/>
      <c r="G107" s="3"/>
      <c r="H107" s="4"/>
      <c r="I107" s="4"/>
      <c r="J107" s="4"/>
      <c r="K107" s="3"/>
      <c r="L107" s="1"/>
    </row>
    <row r="108" spans="1:13" ht="16.25" customHeight="1" x14ac:dyDescent="0.35">
      <c r="A108" s="3"/>
      <c r="B108" s="47" t="s">
        <v>138</v>
      </c>
      <c r="C108" s="3"/>
      <c r="D108" s="3"/>
      <c r="E108" s="3"/>
      <c r="G108" s="3"/>
      <c r="H108" s="4"/>
      <c r="I108" s="4"/>
      <c r="J108" s="4"/>
      <c r="K108" s="3"/>
      <c r="L108" s="1"/>
    </row>
    <row r="109" spans="1:13" ht="29.4" customHeight="1" x14ac:dyDescent="0.35">
      <c r="A109" s="3"/>
      <c r="B109" s="48" t="s">
        <v>150</v>
      </c>
      <c r="C109" s="66" t="s">
        <v>139</v>
      </c>
      <c r="D109" s="67"/>
      <c r="E109" s="67"/>
      <c r="F109" s="67"/>
      <c r="G109" s="67"/>
      <c r="H109" s="67"/>
      <c r="I109" s="67"/>
      <c r="J109" s="67"/>
      <c r="K109" s="3"/>
      <c r="L109" s="1"/>
    </row>
    <row r="110" spans="1:13" ht="16.5" customHeight="1" x14ac:dyDescent="0.35">
      <c r="A110" s="3"/>
      <c r="B110" s="48" t="s">
        <v>151</v>
      </c>
      <c r="C110" s="35" t="s">
        <v>146</v>
      </c>
      <c r="K110" s="3"/>
      <c r="L110" s="1"/>
    </row>
    <row r="111" spans="1:13" ht="16.5" customHeight="1" x14ac:dyDescent="0.35">
      <c r="A111" s="3"/>
      <c r="B111" s="48" t="s">
        <v>152</v>
      </c>
      <c r="C111" s="35" t="s">
        <v>140</v>
      </c>
      <c r="K111" s="3"/>
      <c r="L111" s="1"/>
    </row>
    <row r="112" spans="1:13" ht="16.5" customHeight="1" x14ac:dyDescent="0.35">
      <c r="A112" s="59"/>
      <c r="B112" s="59"/>
      <c r="C112" s="3"/>
      <c r="D112" s="3"/>
      <c r="E112" s="3"/>
      <c r="F112" s="3"/>
      <c r="G112" s="3"/>
      <c r="H112" s="3"/>
      <c r="I112" s="3"/>
      <c r="J112" s="3"/>
      <c r="K112" s="3"/>
      <c r="L112" s="1"/>
    </row>
    <row r="113" spans="1:12" hidden="1" x14ac:dyDescent="0.25">
      <c r="A113" s="1"/>
      <c r="B113" s="1"/>
      <c r="C113" s="1"/>
      <c r="D113" s="1"/>
      <c r="E113" s="1"/>
      <c r="F113" s="1"/>
      <c r="G113" s="1"/>
      <c r="H113" s="1"/>
      <c r="I113" s="1"/>
      <c r="J113" s="1"/>
      <c r="K113" s="1"/>
      <c r="L113" s="1"/>
    </row>
  </sheetData>
  <sheetProtection algorithmName="SHA-512" hashValue="kl071kYkbwLzizvBSW2UPT2AlOFV2NOP9rTRnqwzDX7pH57mHz+pfflr1YN0KVZ81Ev+Xdp7EWzGkQ/T/plaZA==" saltValue="bQCnzy0HgYq/yIn7FuXMQA==" spinCount="100000" sheet="1" objects="1" scenarios="1"/>
  <mergeCells count="24">
    <mergeCell ref="A112:B112"/>
    <mergeCell ref="I45:J45"/>
    <mergeCell ref="H59:I59"/>
    <mergeCell ref="H88:I88"/>
    <mergeCell ref="H79:I79"/>
    <mergeCell ref="H70:I70"/>
    <mergeCell ref="H76:I76"/>
    <mergeCell ref="H82:I82"/>
    <mergeCell ref="H85:I85"/>
    <mergeCell ref="H73:I73"/>
    <mergeCell ref="H68:I68"/>
    <mergeCell ref="C109:J109"/>
    <mergeCell ref="H48:I48"/>
    <mergeCell ref="A2:K3"/>
    <mergeCell ref="I6:J6"/>
    <mergeCell ref="H12:J12"/>
    <mergeCell ref="H18:J18"/>
    <mergeCell ref="H25:J25"/>
    <mergeCell ref="H37:I37"/>
    <mergeCell ref="H21:J21"/>
    <mergeCell ref="H22:J22"/>
    <mergeCell ref="H27:J27"/>
    <mergeCell ref="H15:J15"/>
    <mergeCell ref="H20:J20"/>
  </mergeCells>
  <phoneticPr fontId="8" type="noConversion"/>
  <dataValidations count="5">
    <dataValidation type="decimal" operator="notEqual" allowBlank="1" showInputMessage="1" showErrorMessage="1" errorTitle="Numeric" error="Please enter a numeric value (0.000)!" sqref="H37:I37 H48:I48 H59:I59 I45:J45" xr:uid="{00000000-0002-0000-0000-000000000000}">
      <formula1>0</formula1>
    </dataValidation>
    <dataValidation type="date" allowBlank="1" showInputMessage="1" showErrorMessage="1" error="Please enter a valid date!" promptTitle="Date" sqref="H12:J15" xr:uid="{00000000-0002-0000-0000-000001000000}">
      <formula1>36526</formula1>
      <formula2>1027063</formula2>
    </dataValidation>
    <dataValidation type="decimal" operator="greaterThanOrEqual" allowBlank="1" showInputMessage="1" showErrorMessage="1" errorTitle="Numeric" error="Please enter a numeric value (0.000)!" sqref="H73:I73 H76:I76 H79:I79 H82:I82 H85:I85 H88:I88" xr:uid="{00000000-0002-0000-0000-000002000000}">
      <formula1>0</formula1>
    </dataValidation>
    <dataValidation operator="greaterThanOrEqual" allowBlank="1" showInputMessage="1" showErrorMessage="1" errorTitle="Numeric" error="Please enter a numeric value (0.000)!" sqref="H70:I70" xr:uid="{00000000-0002-0000-0000-000003000000}"/>
    <dataValidation type="decimal" operator="greaterThanOrEqual" allowBlank="1" showInputMessage="1" showErrorMessage="1" errorTitle="numerical" error="Please enter a numeric value (0.000)!" sqref="H68:I68" xr:uid="{00000000-0002-0000-0000-000004000000}">
      <formula1>0</formula1>
    </dataValidation>
  </dataValidations>
  <hyperlinks>
    <hyperlink ref="I6" r:id="rId1" xr:uid="{00000000-0004-0000-0000-000000000000}"/>
    <hyperlink ref="B106" r:id="rId2" xr:uid="{00000000-0004-0000-0000-000001000000}"/>
    <hyperlink ref="I6:J6" r:id="rId3" display="PJM Open Access Transmission Tariff" xr:uid="{00000000-0004-0000-0000-000002000000}"/>
    <hyperlink ref="B99" r:id="rId4" xr:uid="{00000000-0004-0000-0000-000003000000}"/>
  </hyperlinks>
  <pageMargins left="0.75" right="0.75" top="1" bottom="1" header="0.5" footer="0.5"/>
  <pageSetup scale="64" fitToHeight="2" orientation="portrait" r:id="rId5"/>
  <headerFooter alignWithMargins="0"/>
  <drawing r:id="rId6"/>
  <legacyDrawing r:id="rId7"/>
  <mc:AlternateContent xmlns:mc="http://schemas.openxmlformats.org/markup-compatibility/2006">
    <mc:Choice Requires="x14">
      <controls>
        <mc:AlternateContent xmlns:mc="http://schemas.openxmlformats.org/markup-compatibility/2006">
          <mc:Choice Requires="x14">
            <control shapeId="2053" r:id="rId8" name="Drop Down 5">
              <controlPr locked="0" defaultSize="0" autoLine="0" autoPict="0">
                <anchor moveWithCells="1">
                  <from>
                    <xdr:col>1</xdr:col>
                    <xdr:colOff>234950</xdr:colOff>
                    <xdr:row>29</xdr:row>
                    <xdr:rowOff>0</xdr:rowOff>
                  </from>
                  <to>
                    <xdr:col>3</xdr:col>
                    <xdr:colOff>254000</xdr:colOff>
                    <xdr:row>29</xdr:row>
                    <xdr:rowOff>196850</xdr:rowOff>
                  </to>
                </anchor>
              </controlPr>
            </control>
          </mc:Choice>
        </mc:AlternateContent>
        <mc:AlternateContent xmlns:mc="http://schemas.openxmlformats.org/markup-compatibility/2006">
          <mc:Choice Requires="x14">
            <control shapeId="2055" r:id="rId9" name="Drop Down 7">
              <controlPr locked="0" defaultSize="0" autoLine="0" autoPict="0">
                <anchor moveWithCells="1">
                  <from>
                    <xdr:col>8</xdr:col>
                    <xdr:colOff>234950</xdr:colOff>
                    <xdr:row>29</xdr:row>
                    <xdr:rowOff>0</xdr:rowOff>
                  </from>
                  <to>
                    <xdr:col>9</xdr:col>
                    <xdr:colOff>196850</xdr:colOff>
                    <xdr:row>29</xdr:row>
                    <xdr:rowOff>196850</xdr:rowOff>
                  </to>
                </anchor>
              </controlPr>
            </control>
          </mc:Choice>
        </mc:AlternateContent>
        <mc:AlternateContent xmlns:mc="http://schemas.openxmlformats.org/markup-compatibility/2006">
          <mc:Choice Requires="x14">
            <control shapeId="2056" r:id="rId10" name="Drop Down 8">
              <controlPr locked="0" defaultSize="0" autoLine="0" autoPict="0">
                <anchor moveWithCells="1">
                  <from>
                    <xdr:col>1</xdr:col>
                    <xdr:colOff>222250</xdr:colOff>
                    <xdr:row>32</xdr:row>
                    <xdr:rowOff>31750</xdr:rowOff>
                  </from>
                  <to>
                    <xdr:col>4</xdr:col>
                    <xdr:colOff>260350</xdr:colOff>
                    <xdr:row>33</xdr:row>
                    <xdr:rowOff>25400</xdr:rowOff>
                  </to>
                </anchor>
              </controlPr>
            </control>
          </mc:Choice>
        </mc:AlternateContent>
        <mc:AlternateContent xmlns:mc="http://schemas.openxmlformats.org/markup-compatibility/2006">
          <mc:Choice Requires="x14">
            <control shapeId="2057" r:id="rId11" name="Drop Down 9">
              <controlPr locked="0" defaultSize="0" autoLine="0" autoPict="0">
                <anchor moveWithCells="1">
                  <from>
                    <xdr:col>7</xdr:col>
                    <xdr:colOff>222250</xdr:colOff>
                    <xdr:row>32</xdr:row>
                    <xdr:rowOff>31750</xdr:rowOff>
                  </from>
                  <to>
                    <xdr:col>8</xdr:col>
                    <xdr:colOff>158750</xdr:colOff>
                    <xdr:row>33</xdr:row>
                    <xdr:rowOff>25400</xdr:rowOff>
                  </to>
                </anchor>
              </controlPr>
            </control>
          </mc:Choice>
        </mc:AlternateContent>
        <mc:AlternateContent xmlns:mc="http://schemas.openxmlformats.org/markup-compatibility/2006">
          <mc:Choice Requires="x14">
            <control shapeId="2059" r:id="rId12" name="Drop Down 11">
              <controlPr locked="0" defaultSize="0" autoLine="0" autoPict="0">
                <anchor moveWithCells="1">
                  <from>
                    <xdr:col>1</xdr:col>
                    <xdr:colOff>234950</xdr:colOff>
                    <xdr:row>45</xdr:row>
                    <xdr:rowOff>0</xdr:rowOff>
                  </from>
                  <to>
                    <xdr:col>4</xdr:col>
                    <xdr:colOff>273050</xdr:colOff>
                    <xdr:row>45</xdr:row>
                    <xdr:rowOff>196850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2:L45"/>
  <sheetViews>
    <sheetView topLeftCell="A16" workbookViewId="0"/>
  </sheetViews>
  <sheetFormatPr defaultColWidth="0" defaultRowHeight="15.5" x14ac:dyDescent="0.35"/>
  <cols>
    <col min="1" max="1" width="40.453125" style="3" customWidth="1"/>
    <col min="2" max="13" width="9.08984375" style="3" customWidth="1"/>
    <col min="14" max="16384" width="0" style="3" hidden="1"/>
  </cols>
  <sheetData>
    <row r="2" spans="1:1" x14ac:dyDescent="0.35">
      <c r="A2" s="3" t="s">
        <v>95</v>
      </c>
    </row>
    <row r="21" spans="1:11" x14ac:dyDescent="0.35">
      <c r="A21" s="66" t="s">
        <v>96</v>
      </c>
      <c r="B21" s="68"/>
      <c r="C21" s="68"/>
      <c r="D21" s="68"/>
      <c r="E21" s="68"/>
      <c r="F21" s="68"/>
      <c r="G21" s="68"/>
      <c r="H21" s="68"/>
      <c r="I21" s="68"/>
      <c r="J21" s="68"/>
      <c r="K21" s="68"/>
    </row>
    <row r="22" spans="1:11" x14ac:dyDescent="0.35">
      <c r="A22" s="68"/>
      <c r="B22" s="68"/>
      <c r="C22" s="68"/>
      <c r="D22" s="68"/>
      <c r="E22" s="68"/>
      <c r="F22" s="68"/>
      <c r="G22" s="68"/>
      <c r="H22" s="68"/>
      <c r="I22" s="68"/>
      <c r="J22" s="68"/>
      <c r="K22" s="68"/>
    </row>
    <row r="23" spans="1:11" x14ac:dyDescent="0.35">
      <c r="A23" s="68"/>
      <c r="B23" s="68"/>
      <c r="C23" s="68"/>
      <c r="D23" s="68"/>
      <c r="E23" s="68"/>
      <c r="F23" s="68"/>
      <c r="G23" s="68"/>
      <c r="H23" s="68"/>
      <c r="I23" s="68"/>
      <c r="J23" s="68"/>
      <c r="K23" s="68"/>
    </row>
    <row r="24" spans="1:11" x14ac:dyDescent="0.35">
      <c r="A24" s="68"/>
      <c r="B24" s="68"/>
      <c r="C24" s="68"/>
      <c r="D24" s="68"/>
      <c r="E24" s="68"/>
      <c r="F24" s="68"/>
      <c r="G24" s="68"/>
      <c r="H24" s="68"/>
      <c r="I24" s="68"/>
      <c r="J24" s="68"/>
      <c r="K24" s="68"/>
    </row>
    <row r="26" spans="1:11" x14ac:dyDescent="0.35">
      <c r="A26" s="3" t="s">
        <v>97</v>
      </c>
    </row>
    <row r="28" spans="1:11" x14ac:dyDescent="0.35">
      <c r="A28" s="66" t="s">
        <v>98</v>
      </c>
      <c r="B28" s="68"/>
      <c r="C28" s="68"/>
      <c r="D28" s="68"/>
      <c r="E28" s="68"/>
      <c r="F28" s="68"/>
      <c r="G28" s="68"/>
      <c r="H28" s="68"/>
      <c r="I28" s="68"/>
      <c r="J28" s="68"/>
      <c r="K28" s="68"/>
    </row>
    <row r="29" spans="1:11" x14ac:dyDescent="0.35">
      <c r="A29" s="68"/>
      <c r="B29" s="68"/>
      <c r="C29" s="68"/>
      <c r="D29" s="68"/>
      <c r="E29" s="68"/>
      <c r="F29" s="68"/>
      <c r="G29" s="68"/>
      <c r="H29" s="68"/>
      <c r="I29" s="68"/>
      <c r="J29" s="68"/>
      <c r="K29" s="68"/>
    </row>
    <row r="30" spans="1:11" x14ac:dyDescent="0.35">
      <c r="A30" s="68"/>
      <c r="B30" s="68"/>
      <c r="C30" s="68"/>
      <c r="D30" s="68"/>
      <c r="E30" s="68"/>
      <c r="F30" s="68"/>
      <c r="G30" s="68"/>
      <c r="H30" s="68"/>
      <c r="I30" s="68"/>
      <c r="J30" s="68"/>
      <c r="K30" s="68"/>
    </row>
    <row r="31" spans="1:11" x14ac:dyDescent="0.35">
      <c r="A31" s="31"/>
      <c r="B31" s="31"/>
      <c r="C31" s="31"/>
      <c r="D31" s="31"/>
      <c r="E31" s="31"/>
      <c r="F31" s="31"/>
      <c r="G31" s="31"/>
      <c r="H31" s="31"/>
      <c r="I31" s="31"/>
      <c r="J31" s="31"/>
      <c r="K31" s="31"/>
    </row>
    <row r="32" spans="1:11" ht="16" thickBot="1" x14ac:dyDescent="0.4"/>
    <row r="33" spans="1:12" ht="16" thickBot="1" x14ac:dyDescent="0.4">
      <c r="A33" s="69" t="s">
        <v>99</v>
      </c>
      <c r="B33" s="70"/>
      <c r="C33" s="70"/>
      <c r="D33" s="70"/>
      <c r="E33" s="70"/>
      <c r="F33" s="70"/>
      <c r="G33" s="70"/>
      <c r="H33" s="70"/>
      <c r="I33" s="70"/>
      <c r="J33" s="70"/>
      <c r="K33" s="70"/>
      <c r="L33" s="71"/>
    </row>
    <row r="34" spans="1:12" ht="11.25" customHeight="1" x14ac:dyDescent="0.35"/>
    <row r="35" spans="1:12" x14ac:dyDescent="0.35">
      <c r="A35" s="32" t="s">
        <v>100</v>
      </c>
      <c r="B35" s="33" t="s">
        <v>101</v>
      </c>
    </row>
    <row r="36" spans="1:12" x14ac:dyDescent="0.35">
      <c r="A36" s="3" t="s">
        <v>102</v>
      </c>
    </row>
    <row r="37" spans="1:12" x14ac:dyDescent="0.35">
      <c r="A37" s="3" t="s">
        <v>103</v>
      </c>
    </row>
    <row r="38" spans="1:12" x14ac:dyDescent="0.35">
      <c r="A38" s="3" t="s">
        <v>104</v>
      </c>
    </row>
    <row r="39" spans="1:12" x14ac:dyDescent="0.35">
      <c r="A39" s="3" t="s">
        <v>105</v>
      </c>
    </row>
    <row r="40" spans="1:12" x14ac:dyDescent="0.35">
      <c r="A40" s="3" t="s">
        <v>106</v>
      </c>
    </row>
    <row r="41" spans="1:12" x14ac:dyDescent="0.35">
      <c r="A41" s="3" t="s">
        <v>107</v>
      </c>
    </row>
    <row r="42" spans="1:12" x14ac:dyDescent="0.35">
      <c r="A42" s="3" t="s">
        <v>108</v>
      </c>
    </row>
    <row r="44" spans="1:12" x14ac:dyDescent="0.35">
      <c r="A44" s="32" t="s">
        <v>110</v>
      </c>
      <c r="B44" s="33" t="s">
        <v>109</v>
      </c>
    </row>
    <row r="45" spans="1:12" x14ac:dyDescent="0.35">
      <c r="A45" s="3" t="s">
        <v>111</v>
      </c>
    </row>
  </sheetData>
  <sheetProtection password="B4AF" sheet="1" objects="1" scenarios="1"/>
  <mergeCells count="3">
    <mergeCell ref="A21:K24"/>
    <mergeCell ref="A28:K30"/>
    <mergeCell ref="A33:L33"/>
  </mergeCells>
  <pageMargins left="0.7" right="0.7" top="0.75" bottom="0.75" header="0.3" footer="0.3"/>
  <pageSetup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Formulaic Cost Data</vt:lpstr>
      <vt:lpstr>MTSL Information</vt:lpstr>
      <vt:lpstr>'Formulaic Cost Data'!Print_Area</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1970-01-01T04:00:00Z</cp:lastPrinted>
  <dcterms:created xsi:type="dcterms:W3CDTF">1970-01-01T04:00:00Z</dcterms:created>
  <dcterms:modified xsi:type="dcterms:W3CDTF">2026-04-02T14:59:46Z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37be2d-9a50-473d-b372-9d2e4491f364_Enabled">
    <vt:lpwstr>true</vt:lpwstr>
  </property>
  <property fmtid="{D5CDD505-2E9C-101B-9397-08002B2CF9AE}" pid="3" name="MSIP_Label_4b37be2d-9a50-473d-b372-9d2e4491f364_SetDate">
    <vt:lpwstr>2026-02-19T16:06:03Z</vt:lpwstr>
  </property>
  <property fmtid="{D5CDD505-2E9C-101B-9397-08002B2CF9AE}" pid="4" name="MSIP_Label_4b37be2d-9a50-473d-b372-9d2e4491f364_Method">
    <vt:lpwstr>Standard</vt:lpwstr>
  </property>
  <property fmtid="{D5CDD505-2E9C-101B-9397-08002B2CF9AE}" pid="5" name="MSIP_Label_4b37be2d-9a50-473d-b372-9d2e4491f364_Name">
    <vt:lpwstr>Confidential - PJM Personnel Only</vt:lpwstr>
  </property>
  <property fmtid="{D5CDD505-2E9C-101B-9397-08002B2CF9AE}" pid="6" name="MSIP_Label_4b37be2d-9a50-473d-b372-9d2e4491f364_SiteId">
    <vt:lpwstr>2ca508d6-9abf-4628-bb63-2a491e2be6f9</vt:lpwstr>
  </property>
  <property fmtid="{D5CDD505-2E9C-101B-9397-08002B2CF9AE}" pid="7" name="MSIP_Label_4b37be2d-9a50-473d-b372-9d2e4491f364_ActionId">
    <vt:lpwstr>5ad51692-773d-40c7-b31a-b078e380193c</vt:lpwstr>
  </property>
  <property fmtid="{D5CDD505-2E9C-101B-9397-08002B2CF9AE}" pid="8" name="MSIP_Label_4b37be2d-9a50-473d-b372-9d2e4491f364_ContentBits">
    <vt:lpwstr>0</vt:lpwstr>
  </property>
  <property fmtid="{D5CDD505-2E9C-101B-9397-08002B2CF9AE}" pid="9" name="MSIP_Label_4b37be2d-9a50-473d-b372-9d2e4491f364_Tag">
    <vt:lpwstr>10, 3, 0, 1</vt:lpwstr>
  </property>
</Properties>
</file>