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50EFB752-4268-4190-9202-34FE349FB223}" xr6:coauthVersionLast="47" xr6:coauthVersionMax="47" xr10:uidLastSave="{00000000-0000-0000-0000-000000000000}"/>
  <bookViews>
    <workbookView xWindow="-110" yWindow="-110" windowWidth="38620" windowHeight="21100" tabRatio="893" xr2:uid="{00000000-000D-0000-FFFF-FFFF00000000}"/>
  </bookViews>
  <sheets>
    <sheet name="NERC-CIP Specific Cost" sheetId="9" r:id="rId1"/>
    <sheet name="MTSL Information" sheetId="10" r:id="rId2"/>
  </sheets>
  <definedNames>
    <definedName name="_xlnm.Print_Area" localSheetId="0">'NERC-CIP Specific Cost'!$A$1:$K$150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9" l="1"/>
  <c r="P29" i="9"/>
  <c r="S85" i="9"/>
  <c r="I84" i="9" s="1"/>
  <c r="P85" i="9"/>
  <c r="Q29" i="9"/>
  <c r="R29" i="9" l="1"/>
  <c r="N61" i="9"/>
  <c r="N63" i="9"/>
  <c r="N59" i="9"/>
  <c r="N65" i="9" s="1"/>
  <c r="H65" i="9" s="1"/>
  <c r="N77" i="9" s="1"/>
  <c r="N67" i="9"/>
  <c r="I77" i="9" l="1"/>
  <c r="B77" i="9"/>
  <c r="P40" i="9" l="1"/>
  <c r="Q40" i="9" l="1"/>
  <c r="R40" i="9" s="1"/>
  <c r="S40" i="9" s="1"/>
  <c r="B41" i="9" s="1"/>
  <c r="I128" i="9"/>
  <c r="R31" i="9" l="1"/>
  <c r="O33" i="9"/>
  <c r="M106" i="9" l="1"/>
  <c r="H106" i="9" l="1"/>
  <c r="I126" i="9" l="1"/>
  <c r="O29" i="9" l="1"/>
  <c r="N54" i="9"/>
  <c r="N50" i="9"/>
  <c r="N48" i="9"/>
  <c r="N46" i="9"/>
  <c r="I99" i="9"/>
  <c r="O31" i="9"/>
  <c r="I90" i="9" s="1"/>
  <c r="N30" i="9"/>
  <c r="O30" i="9" s="1"/>
  <c r="H30" i="9" s="1"/>
  <c r="S4" i="9"/>
  <c r="T4" i="9" s="1"/>
  <c r="S3" i="9"/>
  <c r="T3" i="9" s="1"/>
  <c r="N37" i="9" l="1"/>
  <c r="N40" i="9" s="1"/>
  <c r="N52" i="9"/>
  <c r="G52" i="9" l="1"/>
  <c r="B76" i="9"/>
  <c r="N76" i="9"/>
  <c r="I76" i="9" s="1"/>
  <c r="I79" i="9" s="1"/>
  <c r="B40" i="9"/>
  <c r="I40" i="9" l="1"/>
  <c r="I130" i="9" s="1"/>
</calcChain>
</file>

<file path=xl/sharedStrings.xml><?xml version="1.0" encoding="utf-8"?>
<sst xmlns="http://schemas.openxmlformats.org/spreadsheetml/2006/main" count="204" uniqueCount="175">
  <si>
    <t>MW</t>
  </si>
  <si>
    <t>GAL/HR</t>
  </si>
  <si>
    <t>$/GAL</t>
  </si>
  <si>
    <t>$</t>
  </si>
  <si>
    <t>BLACK START GENERATING UNIT NAME</t>
  </si>
  <si>
    <t xml:space="preserve">      For Oil Fired Units</t>
  </si>
  <si>
    <t xml:space="preserve">      As defined in Schedule 6A</t>
  </si>
  <si>
    <t xml:space="preserve">      If Necessary</t>
  </si>
  <si>
    <t>COST DATA SUBMITTED BY</t>
  </si>
  <si>
    <t>COST DATA SUBMITTED ON</t>
  </si>
  <si>
    <t>NAME:</t>
  </si>
  <si>
    <t>DATE:</t>
  </si>
  <si>
    <t>PJM Open Access Transmission Tariff</t>
  </si>
  <si>
    <r>
      <t xml:space="preserve">Details of Black Start Revenue Requirements can be found in </t>
    </r>
    <r>
      <rPr>
        <b/>
        <sz val="12"/>
        <rFont val="Arial"/>
        <family val="2"/>
      </rPr>
      <t>Schedule 6A</t>
    </r>
    <r>
      <rPr>
        <sz val="12"/>
        <rFont val="Arial"/>
        <family val="2"/>
      </rPr>
      <t xml:space="preserve"> of the </t>
    </r>
  </si>
  <si>
    <t>SUBMISSION PROCEDURE</t>
  </si>
  <si>
    <t>FOR AUDITING PURPOSES, SUBMIT THIS EXCEL FILE USING THE BLACKSTART XLS UPLOAD PROCESS*</t>
  </si>
  <si>
    <r>
      <t xml:space="preserve">*Submit .xls files only.  If you are concerned that your file did not transfer properly, please contact </t>
    </r>
    <r>
      <rPr>
        <b/>
        <sz val="12"/>
        <rFont val="Arial"/>
        <family val="2"/>
      </rPr>
      <t xml:space="preserve">blackstart@pjm.com </t>
    </r>
  </si>
  <si>
    <t>Engineering</t>
  </si>
  <si>
    <t>Construction</t>
  </si>
  <si>
    <t>Miscellaneous Expenses</t>
  </si>
  <si>
    <t>YR(S)</t>
  </si>
  <si>
    <t>TOTAL</t>
  </si>
  <si>
    <t xml:space="preserve">      As defined in Cost Development Guidelines (VOM does not include the 10% adder for Cost Capped Operations)</t>
  </si>
  <si>
    <t>TRANSMISSION ZONE</t>
  </si>
  <si>
    <t>Combustion Turbine</t>
  </si>
  <si>
    <t>Hydroelectric</t>
  </si>
  <si>
    <t>Diesel</t>
  </si>
  <si>
    <t>Automatic Load Rejection</t>
  </si>
  <si>
    <t>GAL</t>
  </si>
  <si>
    <t>FUEL HANDLING (BASIS)</t>
  </si>
  <si>
    <t>FUEL COST (COMMODITY FWD STRIP)</t>
  </si>
  <si>
    <t>Black Start Class</t>
  </si>
  <si>
    <t>Black Start Capable</t>
  </si>
  <si>
    <t>Cost of New Entry</t>
  </si>
  <si>
    <t>Start</t>
  </si>
  <si>
    <t>Area 1</t>
  </si>
  <si>
    <t>Area 2</t>
  </si>
  <si>
    <t>Area 3</t>
  </si>
  <si>
    <t>Transco</t>
  </si>
  <si>
    <t>CONE Area</t>
  </si>
  <si>
    <t>PS</t>
  </si>
  <si>
    <t>PECO</t>
  </si>
  <si>
    <t>PPL</t>
  </si>
  <si>
    <t>BGE</t>
  </si>
  <si>
    <t>JCPL</t>
  </si>
  <si>
    <t>MetEd</t>
  </si>
  <si>
    <t>Penelec</t>
  </si>
  <si>
    <t>PEPCO</t>
  </si>
  <si>
    <t>AE</t>
  </si>
  <si>
    <t>DPL</t>
  </si>
  <si>
    <t>RECO</t>
  </si>
  <si>
    <t>APS</t>
  </si>
  <si>
    <t>ComED</t>
  </si>
  <si>
    <t>AEP</t>
  </si>
  <si>
    <t>Dayton</t>
  </si>
  <si>
    <t>DLCo</t>
  </si>
  <si>
    <t>Dominion</t>
  </si>
  <si>
    <t>CONE Area Definitions</t>
  </si>
  <si>
    <t>CONE Area 1: AE, DPL, JCPL, PECO, PS, RECO</t>
  </si>
  <si>
    <t>Resource Types</t>
  </si>
  <si>
    <t>Age</t>
  </si>
  <si>
    <t>Remaining</t>
  </si>
  <si>
    <t>Levelized CRF</t>
  </si>
  <si>
    <t>1 to 5 years</t>
  </si>
  <si>
    <t>6 to 10 years</t>
  </si>
  <si>
    <t>11 to 15 years</t>
  </si>
  <si>
    <t>16+ years</t>
  </si>
  <si>
    <t>ATSI</t>
  </si>
  <si>
    <t>RESOURCE TYPE</t>
  </si>
  <si>
    <t>RESOURCE CLASS</t>
  </si>
  <si>
    <t>X</t>
  </si>
  <si>
    <t>VARIABLE BSSCC =</t>
  </si>
  <si>
    <t>ANNUAL TRAINING COST PER PLANT</t>
  </si>
  <si>
    <t>CRITICAL RESOURCES PER PLANT</t>
  </si>
  <si>
    <t xml:space="preserve">TRAINING BSSCC (PER RESOURCE) = </t>
  </si>
  <si>
    <t>FUEL BURN RATE</t>
  </si>
  <si>
    <t>BOND RATE (BAA1)</t>
  </si>
  <si>
    <t xml:space="preserve">FUEL STORAGE BSSCC (PER RESOURCE) = </t>
  </si>
  <si>
    <t>RUN HOURS</t>
  </si>
  <si>
    <t>HR</t>
  </si>
  <si>
    <t xml:space="preserve">      From Resources's Restoration Plan, 16 unless specified</t>
  </si>
  <si>
    <t>ESTIMATED TOTAL ANNUAL BLACK START SERVICE COST =</t>
  </si>
  <si>
    <t>SECTION 3: VARIABLE BLACK START SERVICE COST COMPONENT</t>
  </si>
  <si>
    <t>SECTION 4: TRAINING BLACK START SERVICE COST COMPONENT</t>
  </si>
  <si>
    <t>SECTION 5: FUEL STORAGE BLACK START SERVICE COST COMPONENT</t>
  </si>
  <si>
    <r>
      <t>Note:</t>
    </r>
    <r>
      <rPr>
        <sz val="12"/>
        <rFont val="Arial"/>
        <family val="2"/>
      </rPr>
      <t xml:space="preserve"> All data must be submitted on an unit by unit basis</t>
    </r>
  </si>
  <si>
    <t xml:space="preserve">         PJM BLACK START NERC-CIP SPECIFIC COST DATA FORM</t>
  </si>
  <si>
    <t>UNIT AGE</t>
  </si>
  <si>
    <t>FORECASTED REMAINING UNIT LIFE</t>
  </si>
  <si>
    <t>SECTION 1: BASE FORMULA RATE COST COMPONENT</t>
  </si>
  <si>
    <t>BLACK START NERC-CIP UNIT CAPACITY</t>
  </si>
  <si>
    <t>(BLACK START NERC-CIP UNIT CAPACITY IS CAPPED AT 100 MW FOR HYDRO UNIT OR 50 MW FOR DIESEL OR CT UNIT)</t>
  </si>
  <si>
    <t>NOTE: All detailed calculations and documentation of actual cost components must accompany this actual cost filing form</t>
  </si>
  <si>
    <t>and be submitted to PJM and the MMU before approval. Additional costs that are exceptions to Schedule 6A</t>
  </si>
  <si>
    <t>may be submitted as attachments to this form.</t>
  </si>
  <si>
    <t>CONE Area 2: BGE, PEPCO</t>
  </si>
  <si>
    <t>CONE Area 4: MetEd, Penelec, PPL</t>
  </si>
  <si>
    <t>DEOK</t>
  </si>
  <si>
    <t>Area 4</t>
  </si>
  <si>
    <t>Area 5</t>
  </si>
  <si>
    <t>CONE Area 3: AEP, APS, ATSI, ComED, Dayton, DEOK, Duquesne, EKPC</t>
  </si>
  <si>
    <t>EKPC</t>
  </si>
  <si>
    <t>CONE Area 5: Dominion after 2018 CONE Area 3</t>
  </si>
  <si>
    <t>https://www.pjm.com/-/media/etools/edart/edart-user-guide.ashx?la=en</t>
  </si>
  <si>
    <t xml:space="preserve">Guidance for MTSL (minimum tank suction level) </t>
  </si>
  <si>
    <t>Per PJM OATT Schedule 6A Black Start Service ["MTSL" is the "minimum tank suction level" and shall apply where no direct current pumps are available for the Black Start Unit.  In the case where more than one Black Start Unit shares a common fuel tank, only one Black Start Unit will be eligible for the recovery of this volume in its fuel storage cost calculation.  The MTSL for the other Black Start Unit(s) sharing the common fuel tank shall be zero.]</t>
  </si>
  <si>
    <t xml:space="preserve">MTSL is the amount of fuel at the bottom of a tank which cannot be recovered for use.  </t>
  </si>
  <si>
    <t>The MMU recommends that for oil tanks which are shared with other resources that only a proportionate share of the MTSL be allocated for black start units.  Using the following formula:  (Unit Fuel Burn Rate X Minimum Run Hours) / (Tank Capacity - MTSL) = %; then multiple the product of % X MTSL to receive the MMU's Black Start MTSL</t>
  </si>
  <si>
    <t>Example for tank capacity of 4,000,000 gallons; Minimum Tank Suction Level of 800,000 gallons; and Black Start Fuel Burn of 192,000 gallons</t>
  </si>
  <si>
    <t>MMU MTSL Example:</t>
  </si>
  <si>
    <t xml:space="preserve">(to be used to enter MTSL in MIRA) </t>
  </si>
  <si>
    <r>
      <rPr>
        <b/>
        <sz val="12"/>
        <rFont val="Arial"/>
        <family val="2"/>
      </rPr>
      <t xml:space="preserve">Tank Capacity </t>
    </r>
    <r>
      <rPr>
        <sz val="12"/>
        <rFont val="Arial"/>
        <family val="2"/>
      </rPr>
      <t>= 4,000,000 gals</t>
    </r>
  </si>
  <si>
    <r>
      <rPr>
        <b/>
        <sz val="12"/>
        <rFont val="Arial"/>
        <family val="2"/>
      </rPr>
      <t>MTSL</t>
    </r>
    <r>
      <rPr>
        <sz val="12"/>
        <rFont val="Arial"/>
        <family val="2"/>
      </rPr>
      <t xml:space="preserve"> = 800,000 gals</t>
    </r>
  </si>
  <si>
    <r>
      <rPr>
        <b/>
        <sz val="12"/>
        <rFont val="Arial"/>
        <family val="2"/>
      </rPr>
      <t>Unit Fuel Burn Rate =</t>
    </r>
    <r>
      <rPr>
        <sz val="12"/>
        <rFont val="Arial"/>
        <family val="2"/>
      </rPr>
      <t xml:space="preserve"> 12,000 gals per hour</t>
    </r>
  </si>
  <si>
    <r>
      <rPr>
        <b/>
        <sz val="12"/>
        <rFont val="Arial"/>
        <family val="2"/>
      </rPr>
      <t xml:space="preserve">Minimum Run Hours </t>
    </r>
    <r>
      <rPr>
        <sz val="12"/>
        <rFont val="Arial"/>
        <family val="2"/>
      </rPr>
      <t>= 16 hours</t>
    </r>
  </si>
  <si>
    <r>
      <rPr>
        <b/>
        <sz val="12"/>
        <rFont val="Arial"/>
        <family val="2"/>
      </rPr>
      <t>Total Black Start Fuel Burn</t>
    </r>
    <r>
      <rPr>
        <sz val="12"/>
        <rFont val="Arial"/>
        <family val="2"/>
      </rPr>
      <t xml:space="preserve"> = 192,000 gals</t>
    </r>
  </si>
  <si>
    <r>
      <rPr>
        <b/>
        <sz val="12"/>
        <rFont val="Arial"/>
        <family val="2"/>
      </rPr>
      <t xml:space="preserve">Black Start Tank Ratio </t>
    </r>
    <r>
      <rPr>
        <sz val="12"/>
        <rFont val="Arial"/>
        <family val="2"/>
      </rPr>
      <t>= (Unit Fuel Burn Rate X 16) / (Tank Capacity  - MTSL) =  (12,000 gals/hr X 16 hrs)/(4,000,000 gals - 800,000 gls) = 6%</t>
    </r>
  </si>
  <si>
    <r>
      <rPr>
        <b/>
        <sz val="12"/>
        <rFont val="Arial"/>
        <family val="2"/>
      </rPr>
      <t>MMU</t>
    </r>
    <r>
      <rPr>
        <sz val="12"/>
        <rFont val="Arial"/>
        <family val="2"/>
      </rPr>
      <t xml:space="preserve"> </t>
    </r>
    <r>
      <rPr>
        <b/>
        <sz val="12"/>
        <rFont val="Arial"/>
        <family val="2"/>
      </rPr>
      <t>Black Start MTSL</t>
    </r>
    <r>
      <rPr>
        <sz val="12"/>
        <rFont val="Arial"/>
        <family val="2"/>
      </rPr>
      <t xml:space="preserve"> = Black Start Tank Ratio X MTSL = 6.0% X 800,000 gals = 48,000 gals</t>
    </r>
  </si>
  <si>
    <t xml:space="preserve">(to be used to enter MTSL in this workbook and submit to PJM) </t>
  </si>
  <si>
    <t xml:space="preserve">ACTUAL MTSL Example:  </t>
  </si>
  <si>
    <r>
      <rPr>
        <b/>
        <sz val="12"/>
        <rFont val="Arial"/>
        <family val="2"/>
      </rPr>
      <t>ACTUAL MTSL</t>
    </r>
    <r>
      <rPr>
        <sz val="12"/>
        <rFont val="Arial"/>
        <family val="2"/>
      </rPr>
      <t xml:space="preserve"> = 800,000 gals</t>
    </r>
  </si>
  <si>
    <t>EMAIL:</t>
  </si>
  <si>
    <t>PHONE #:</t>
  </si>
  <si>
    <t>BLACK START GENERATING UNIT ID</t>
  </si>
  <si>
    <t xml:space="preserve">      For Oil Fired Units, please enter Black Start/Energy Tank Ratio MTSL submitted in the MIRA Black Start Module</t>
  </si>
  <si>
    <t xml:space="preserve">      For Oil Fired Units, please enter fuel tank's MTSL</t>
  </si>
  <si>
    <t>TOTAL TANK VOLUME</t>
  </si>
  <si>
    <t>DATE UNIT ENTERED BLACK START SERVICE</t>
  </si>
  <si>
    <t>FUEL ASSURANCE</t>
  </si>
  <si>
    <t>Fuel Assurance</t>
  </si>
  <si>
    <t>Non-Fuel Assured</t>
  </si>
  <si>
    <t>Fuel Assured</t>
  </si>
  <si>
    <t>INCENTIVE FACTOR (Z) =</t>
  </si>
  <si>
    <t>FUEL ASSURANCE TYPE</t>
  </si>
  <si>
    <t>Fuel Assurance Type</t>
  </si>
  <si>
    <t>Fuel Storage</t>
  </si>
  <si>
    <t>Multiple Pipelines</t>
  </si>
  <si>
    <t>90% Confidence</t>
  </si>
  <si>
    <t>N/A</t>
  </si>
  <si>
    <t>Black Start RFP and Fuel Assurance FAQ</t>
  </si>
  <si>
    <t>B:  FUEL ASSURANCE CAPITAL EXPENSE CATEGORIES (if applicable)</t>
  </si>
  <si>
    <t>Capital Recovery Type</t>
  </si>
  <si>
    <t>Black Start and Fuel Assurance</t>
  </si>
  <si>
    <t>Black Start Only</t>
  </si>
  <si>
    <t>Fuel Assurance Only</t>
  </si>
  <si>
    <t>FA CRF RATE</t>
  </si>
  <si>
    <t>Posted CRF Rates</t>
  </si>
  <si>
    <t>NERC-CIP CRF</t>
  </si>
  <si>
    <t>SECTION 2: CAPITAL COST COMPONENT</t>
  </si>
  <si>
    <t>(CONTACT INFORMATION)</t>
  </si>
  <si>
    <t>FIXED BSCC Value</t>
  </si>
  <si>
    <t>Handy Whitman</t>
  </si>
  <si>
    <t>Fixed Value</t>
  </si>
  <si>
    <r>
      <t>REVENUE EFFECTIVE DATE</t>
    </r>
    <r>
      <rPr>
        <b/>
        <vertAlign val="superscript"/>
        <sz val="12"/>
        <rFont val="Arial"/>
        <family val="2"/>
      </rPr>
      <t>1</t>
    </r>
  </si>
  <si>
    <t>Notes:</t>
  </si>
  <si>
    <t>For units submitting annual revenues, default value is June 1 of the delivery year.  If entering black start service, contact PJM for effective date,</t>
  </si>
  <si>
    <t>Please refernce the worksheet named "MTSL Information" that is located as a separate worksheet in this workbook.</t>
  </si>
  <si>
    <t>VOM ALLOCATION</t>
  </si>
  <si>
    <t>VOM Allocation</t>
  </si>
  <si>
    <t>1% Energy VOM</t>
  </si>
  <si>
    <t>ENERGY VOM / BLACK START O&amp;M</t>
  </si>
  <si>
    <t>Black Start O&amp;M Costs</t>
  </si>
  <si>
    <r>
      <t xml:space="preserve">If custom allocation is required, please contact PJM at </t>
    </r>
    <r>
      <rPr>
        <b/>
        <sz val="12"/>
        <rFont val="Arial"/>
        <family val="2"/>
      </rPr>
      <t>blackstart@pjm.com</t>
    </r>
    <r>
      <rPr>
        <sz val="12"/>
        <rFont val="Arial"/>
        <family val="2"/>
      </rPr>
      <t xml:space="preserve"> </t>
    </r>
  </si>
  <si>
    <r>
      <t>ACTUAL MINIMUM TANK SUCTION LEVEL (MTSL)</t>
    </r>
    <r>
      <rPr>
        <b/>
        <vertAlign val="superscript"/>
        <sz val="12"/>
        <rFont val="Arial"/>
        <family val="2"/>
      </rPr>
      <t>3</t>
    </r>
  </si>
  <si>
    <r>
      <t>MMU MINIMUM TANK SUCTION LEVEL (MTSL)</t>
    </r>
    <r>
      <rPr>
        <b/>
        <vertAlign val="superscript"/>
        <sz val="12"/>
        <rFont val="Arial"/>
        <family val="2"/>
      </rPr>
      <t>3</t>
    </r>
  </si>
  <si>
    <r>
      <t>ALLOCATION FACTOR (Y)</t>
    </r>
    <r>
      <rPr>
        <b/>
        <vertAlign val="superscript"/>
        <sz val="12"/>
        <rFont val="Arial"/>
        <family val="2"/>
      </rPr>
      <t>2</t>
    </r>
  </si>
  <si>
    <t>1.</t>
  </si>
  <si>
    <t>2.</t>
  </si>
  <si>
    <t>3.</t>
  </si>
  <si>
    <t>John Doe</t>
  </si>
  <si>
    <t>joe.doe@abc.com</t>
  </si>
  <si>
    <t>(xxx) xxx-xxxx</t>
  </si>
  <si>
    <t>Unit Name 1</t>
  </si>
  <si>
    <t>A:  NERC-CIP CAPITAL EXPENSE CATEGORIES (if applicable)</t>
  </si>
  <si>
    <t>CAPITAL COST RECOVERY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</si>
</sst>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mm\ /\ dd\ /\ yyyy"/>
    <numFmt numFmtId="165" formatCode="_(* #,##0.00_);_(* \(#,##0.00\)"/>
    <numFmt numFmtId="166" formatCode="0.000"/>
  </numFmts>
  <fonts count="24" x14ac:knownFonts="1">
    <font>
      <sz val="10"/>
      <name val="Arial"/>
    </font>
    <font>
      <sz val="10"/>
      <name val="Arial"/>
      <family val="2"/>
    </font>
    <font>
      <b/>
      <sz val="18"/>
      <name val="Arial"/>
      <family val="2"/>
    </font>
    <font>
      <sz val="12"/>
      <name val="Arial"/>
      <family val="2"/>
    </font>
    <font>
      <b/>
      <i/>
      <sz val="12"/>
      <name val="Arial"/>
      <family val="2"/>
    </font>
    <font>
      <i/>
      <sz val="12"/>
      <name val="Arial"/>
      <family val="2"/>
    </font>
    <font>
      <sz val="10"/>
      <name val="Arial"/>
      <family val="2"/>
    </font>
    <font>
      <b/>
      <sz val="12"/>
      <name val="Arial"/>
      <family val="2"/>
    </font>
    <font>
      <sz val="8"/>
      <name val="Arial"/>
      <family val="2"/>
    </font>
    <font>
      <u/>
      <sz val="10"/>
      <color indexed="12"/>
      <name val="Arial"/>
      <family val="2"/>
    </font>
    <font>
      <b/>
      <u/>
      <sz val="12"/>
      <name val="Arial"/>
      <family val="2"/>
    </font>
    <font>
      <sz val="12"/>
      <name val="Arial"/>
      <family val="2"/>
    </font>
    <font>
      <u/>
      <sz val="12"/>
      <color indexed="12"/>
      <name val="Arial"/>
      <family val="2"/>
    </font>
    <font>
      <b/>
      <u/>
      <sz val="10"/>
      <name val="Arial"/>
      <family val="2"/>
    </font>
    <font>
      <sz val="11"/>
      <name val="Arial"/>
      <family val="2"/>
    </font>
    <font>
      <i/>
      <sz val="10"/>
      <name val="Arial"/>
      <family val="2"/>
    </font>
    <font>
      <b/>
      <sz val="10"/>
      <color theme="1"/>
      <name val="Arial"/>
      <family val="2"/>
    </font>
    <font>
      <b/>
      <u/>
      <sz val="10"/>
      <color theme="1"/>
      <name val="Arial"/>
      <family val="2"/>
    </font>
    <font>
      <b/>
      <sz val="10"/>
      <name val="Arial"/>
      <family val="2"/>
    </font>
    <font>
      <sz val="10"/>
      <color rgb="FF040C28"/>
      <name val="Roboto"/>
    </font>
    <font>
      <i/>
      <sz val="11"/>
      <name val="Arial"/>
      <family val="2"/>
    </font>
    <font>
      <b/>
      <sz val="11"/>
      <name val="Arial"/>
      <family val="2"/>
    </font>
    <font>
      <b/>
      <sz val="12"/>
      <color rgb="FFFF0000"/>
      <name val="Arial"/>
      <family val="2"/>
    </font>
    <font>
      <b/>
      <vertAlign val="superscript"/>
      <sz val="12"/>
      <name val="Arial"/>
      <family val="2"/>
    </font>
  </fonts>
  <fills count="6">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7">
    <xf numFmtId="0" fontId="0" fillId="0" borderId="0" xfId="0"/>
    <xf numFmtId="0" fontId="0" fillId="2" borderId="0" xfId="0" applyFill="1"/>
    <xf numFmtId="0" fontId="0" fillId="0" borderId="1" xfId="0" applyBorder="1"/>
    <xf numFmtId="0" fontId="3" fillId="0" borderId="0" xfId="0" applyFont="1"/>
    <xf numFmtId="164" fontId="3" fillId="0" borderId="0" xfId="0" applyNumberFormat="1" applyFont="1" applyAlignment="1">
      <alignment horizontal="center"/>
    </xf>
    <xf numFmtId="0" fontId="5" fillId="0" borderId="0" xfId="0" applyFont="1"/>
    <xf numFmtId="0" fontId="3" fillId="0" borderId="1" xfId="0" applyFont="1" applyBorder="1"/>
    <xf numFmtId="0" fontId="3" fillId="0" borderId="0" xfId="0" applyFont="1" applyAlignment="1">
      <alignment horizontal="center"/>
    </xf>
    <xf numFmtId="0" fontId="7" fillId="0" borderId="0" xfId="0" applyFont="1"/>
    <xf numFmtId="0" fontId="10" fillId="0" borderId="0" xfId="0" applyFont="1"/>
    <xf numFmtId="0" fontId="11" fillId="0" borderId="0" xfId="0" applyFont="1"/>
    <xf numFmtId="0" fontId="12" fillId="0" borderId="0" xfId="2" applyFont="1" applyAlignment="1" applyProtection="1"/>
    <xf numFmtId="0" fontId="3" fillId="0" borderId="0" xfId="0" applyFont="1" applyAlignment="1">
      <alignment horizontal="right"/>
    </xf>
    <xf numFmtId="164" fontId="3" fillId="0" borderId="0" xfId="0" applyNumberFormat="1" applyFont="1" applyAlignment="1">
      <alignment horizontal="right"/>
    </xf>
    <xf numFmtId="0" fontId="3" fillId="0" borderId="2" xfId="0" applyFont="1" applyBorder="1" applyAlignment="1">
      <alignment horizontal="right"/>
    </xf>
    <xf numFmtId="0" fontId="6" fillId="0" borderId="0" xfId="0" applyFont="1"/>
    <xf numFmtId="0" fontId="17" fillId="3" borderId="0" xfId="0" applyFont="1" applyFill="1" applyProtection="1">
      <protection hidden="1"/>
    </xf>
    <xf numFmtId="0" fontId="0" fillId="3" borderId="0" xfId="0" applyFill="1" applyProtection="1">
      <protection hidden="1"/>
    </xf>
    <xf numFmtId="14" fontId="0" fillId="3" borderId="0" xfId="0" applyNumberFormat="1" applyFill="1" applyProtection="1">
      <protection hidden="1"/>
    </xf>
    <xf numFmtId="2" fontId="0" fillId="3" borderId="0" xfId="0" applyNumberFormat="1" applyFill="1" applyProtection="1">
      <protection hidden="1"/>
    </xf>
    <xf numFmtId="0" fontId="16" fillId="3" borderId="0" xfId="0" applyFont="1" applyFill="1" applyProtection="1">
      <protection hidden="1"/>
    </xf>
    <xf numFmtId="14" fontId="0" fillId="0" borderId="0" xfId="0" applyNumberFormat="1"/>
    <xf numFmtId="0" fontId="13"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left"/>
    </xf>
    <xf numFmtId="165" fontId="3" fillId="0" borderId="0" xfId="1" applyNumberFormat="1" applyFont="1" applyBorder="1" applyAlignment="1">
      <alignment horizontal="right"/>
    </xf>
    <xf numFmtId="0" fontId="17" fillId="3" borderId="0" xfId="0" applyFont="1" applyFill="1" applyProtection="1">
      <protection locked="0" hidden="1"/>
    </xf>
    <xf numFmtId="0" fontId="0" fillId="3" borderId="0" xfId="0" applyFill="1" applyProtection="1">
      <protection locked="0" hidden="1"/>
    </xf>
    <xf numFmtId="0" fontId="0" fillId="0" borderId="0" xfId="0" applyProtection="1">
      <protection locked="0"/>
    </xf>
    <xf numFmtId="0" fontId="0" fillId="4" borderId="0" xfId="0" applyFill="1"/>
    <xf numFmtId="0" fontId="3" fillId="0" borderId="0" xfId="0" applyFont="1" applyAlignment="1" applyProtection="1">
      <alignment horizontal="left"/>
      <protection locked="0"/>
    </xf>
    <xf numFmtId="4" fontId="3" fillId="0" borderId="0" xfId="0" applyNumberFormat="1" applyFont="1" applyAlignment="1">
      <alignment horizontal="right"/>
    </xf>
    <xf numFmtId="2" fontId="3" fillId="0" borderId="0" xfId="0" applyNumberFormat="1" applyFont="1" applyAlignment="1">
      <alignment horizontal="right"/>
    </xf>
    <xf numFmtId="0" fontId="6" fillId="3" borderId="0" xfId="0" applyFont="1" applyFill="1" applyProtection="1">
      <protection hidden="1"/>
    </xf>
    <xf numFmtId="2" fontId="0" fillId="0" borderId="0" xfId="0" applyNumberFormat="1"/>
    <xf numFmtId="0" fontId="0" fillId="0" borderId="0" xfId="0" applyAlignment="1">
      <alignment wrapText="1"/>
    </xf>
    <xf numFmtId="0" fontId="4" fillId="5" borderId="0" xfId="0" applyFont="1" applyFill="1"/>
    <xf numFmtId="0" fontId="15" fillId="0" borderId="0" xfId="0" applyFont="1"/>
    <xf numFmtId="0" fontId="3" fillId="0" borderId="0" xfId="0" quotePrefix="1" applyFont="1"/>
    <xf numFmtId="0" fontId="18" fillId="0" borderId="0" xfId="0" applyFont="1"/>
    <xf numFmtId="14" fontId="19" fillId="0" borderId="0" xfId="0" applyNumberFormat="1" applyFont="1"/>
    <xf numFmtId="1" fontId="0" fillId="0" borderId="0" xfId="0" applyNumberFormat="1"/>
    <xf numFmtId="0" fontId="20" fillId="0" borderId="0" xfId="0" applyFont="1"/>
    <xf numFmtId="0" fontId="21" fillId="0" borderId="0" xfId="0" applyFont="1"/>
    <xf numFmtId="165" fontId="7" fillId="0" borderId="0" xfId="1" applyNumberFormat="1" applyFont="1" applyBorder="1" applyAlignment="1">
      <alignment horizontal="right"/>
    </xf>
    <xf numFmtId="166" fontId="3" fillId="0" borderId="0" xfId="0" applyNumberFormat="1" applyFont="1" applyAlignment="1" applyProtection="1">
      <alignment horizontal="center"/>
      <protection locked="0"/>
    </xf>
    <xf numFmtId="3" fontId="3" fillId="0" borderId="0" xfId="0" applyNumberFormat="1" applyFont="1"/>
    <xf numFmtId="3" fontId="3" fillId="0" borderId="0" xfId="0" applyNumberFormat="1" applyFont="1" applyAlignment="1">
      <alignment horizontal="center"/>
    </xf>
    <xf numFmtId="0" fontId="9" fillId="0" borderId="0" xfId="2" applyAlignment="1" applyProtection="1"/>
    <xf numFmtId="4" fontId="0" fillId="0" borderId="0" xfId="0" applyNumberFormat="1"/>
    <xf numFmtId="4" fontId="0" fillId="0" borderId="0" xfId="0" applyNumberFormat="1" applyAlignment="1">
      <alignment horizontal="left"/>
    </xf>
    <xf numFmtId="0" fontId="18" fillId="3" borderId="0" xfId="0" applyFont="1" applyFill="1" applyProtection="1">
      <protection hidden="1"/>
    </xf>
    <xf numFmtId="14" fontId="6" fillId="0" borderId="0" xfId="0" applyNumberFormat="1" applyFont="1"/>
    <xf numFmtId="8" fontId="0" fillId="0" borderId="0" xfId="0" applyNumberFormat="1"/>
    <xf numFmtId="166" fontId="0" fillId="0" borderId="0" xfId="0" applyNumberFormat="1"/>
    <xf numFmtId="0" fontId="7" fillId="0" borderId="0" xfId="0" quotePrefix="1" applyFont="1"/>
    <xf numFmtId="0" fontId="3" fillId="0" borderId="0" xfId="0" quotePrefix="1" applyFont="1" applyAlignment="1">
      <alignment horizontal="center" vertical="center"/>
    </xf>
    <xf numFmtId="164" fontId="3" fillId="0" borderId="0" xfId="0" applyNumberFormat="1" applyFont="1" applyAlignment="1">
      <alignment horizontal="left"/>
    </xf>
    <xf numFmtId="0" fontId="7" fillId="5" borderId="0" xfId="0" applyFont="1" applyFill="1"/>
    <xf numFmtId="0" fontId="3" fillId="5" borderId="0" xfId="0" applyFont="1" applyFill="1"/>
    <xf numFmtId="0" fontId="0" fillId="5" borderId="0" xfId="0" applyFill="1"/>
    <xf numFmtId="4" fontId="7" fillId="0" borderId="0" xfId="0" applyNumberFormat="1" applyFont="1" applyAlignment="1">
      <alignment horizontal="right"/>
    </xf>
    <xf numFmtId="0" fontId="7" fillId="0" borderId="0" xfId="0" applyFont="1" applyAlignment="1">
      <alignment horizontal="right"/>
    </xf>
    <xf numFmtId="0" fontId="3" fillId="0" borderId="2" xfId="0" applyFont="1" applyBorder="1" applyAlignment="1">
      <alignment horizontal="center"/>
    </xf>
    <xf numFmtId="0" fontId="3" fillId="5" borderId="2" xfId="0" applyFont="1" applyFill="1" applyBorder="1" applyAlignment="1" applyProtection="1">
      <alignment horizontal="right"/>
      <protection locked="0"/>
    </xf>
    <xf numFmtId="164" fontId="3" fillId="5" borderId="2" xfId="0" applyNumberFormat="1" applyFont="1" applyFill="1" applyBorder="1" applyAlignment="1" applyProtection="1">
      <alignment horizontal="left"/>
      <protection locked="0"/>
    </xf>
    <xf numFmtId="4" fontId="3" fillId="5" borderId="2" xfId="0" applyNumberFormat="1" applyFont="1" applyFill="1" applyBorder="1" applyAlignment="1" applyProtection="1">
      <alignment horizontal="right"/>
      <protection locked="0"/>
    </xf>
    <xf numFmtId="0" fontId="8" fillId="0" borderId="0" xfId="0" applyFont="1" applyAlignment="1">
      <alignment horizontal="left" vertical="center"/>
    </xf>
    <xf numFmtId="4" fontId="3" fillId="0" borderId="2" xfId="0" applyNumberFormat="1" applyFont="1" applyBorder="1" applyAlignment="1">
      <alignment horizontal="right"/>
    </xf>
    <xf numFmtId="166" fontId="3" fillId="5" borderId="2" xfId="0" applyNumberFormat="1" applyFont="1" applyFill="1" applyBorder="1" applyAlignment="1" applyProtection="1">
      <alignment horizontal="center"/>
      <protection locked="0"/>
    </xf>
    <xf numFmtId="3" fontId="3" fillId="5" borderId="2" xfId="0" applyNumberFormat="1" applyFont="1" applyFill="1" applyBorder="1" applyAlignment="1" applyProtection="1">
      <alignment horizontal="center"/>
      <protection locked="0"/>
    </xf>
    <xf numFmtId="0" fontId="22" fillId="0" borderId="2" xfId="0" applyFont="1" applyBorder="1" applyAlignment="1">
      <alignment horizontal="center"/>
    </xf>
    <xf numFmtId="0" fontId="7" fillId="5" borderId="2" xfId="0" applyFont="1"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10" fontId="22" fillId="0" borderId="2" xfId="0" applyNumberFormat="1" applyFont="1" applyBorder="1" applyAlignment="1">
      <alignment horizontal="center"/>
    </xf>
    <xf numFmtId="3" fontId="3" fillId="0" borderId="2" xfId="0" applyNumberFormat="1" applyFont="1" applyBorder="1" applyAlignment="1">
      <alignment horizontal="center"/>
    </xf>
    <xf numFmtId="0" fontId="3" fillId="0" borderId="0" xfId="0" applyFont="1" applyAlignment="1">
      <alignment wrapText="1"/>
    </xf>
    <xf numFmtId="0" fontId="0" fillId="0" borderId="0" xfId="0"/>
    <xf numFmtId="0" fontId="2" fillId="0" borderId="0" xfId="0" applyFont="1" applyAlignment="1">
      <alignment horizontal="center" vertical="center"/>
    </xf>
    <xf numFmtId="0" fontId="12" fillId="0" borderId="0" xfId="2" applyFont="1" applyAlignment="1" applyProtection="1">
      <alignment horizontal="left"/>
    </xf>
    <xf numFmtId="0" fontId="3" fillId="5" borderId="2" xfId="0" applyFont="1" applyFill="1" applyBorder="1" applyAlignment="1" applyProtection="1">
      <alignment horizontal="left"/>
      <protection locked="0"/>
    </xf>
    <xf numFmtId="164" fontId="3" fillId="0" borderId="6" xfId="0" applyNumberFormat="1" applyFont="1" applyBorder="1" applyAlignment="1">
      <alignment horizontal="left"/>
    </xf>
    <xf numFmtId="0" fontId="0" fillId="0" borderId="0" xfId="0" applyAlignment="1">
      <alignment wrapText="1"/>
    </xf>
    <xf numFmtId="0" fontId="3" fillId="5" borderId="3" xfId="0" applyFont="1" applyFill="1" applyBorder="1"/>
    <xf numFmtId="0" fontId="0" fillId="5" borderId="4" xfId="0" applyFill="1" applyBorder="1"/>
    <xf numFmtId="0" fontId="0" fillId="5" borderId="5" xfId="0" applyFill="1" applyBorder="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2" fmlaLink="$N$29" fmlaRange="$X$2:$X$22" noThreeD="1" sel="21" val="13"/>
</file>

<file path=xl/ctrlProps/ctrlProp2.xml><?xml version="1.0" encoding="utf-8"?>
<formControlPr xmlns="http://schemas.microsoft.com/office/spreadsheetml/2009/9/main" objectType="Drop" dropStyle="combo" dx="22" fmlaLink="$N$31" fmlaRange="$AH$2:$AH$5" noThreeD="1" sel="3" val="0"/>
</file>

<file path=xl/ctrlProps/ctrlProp3.xml><?xml version="1.0" encoding="utf-8"?>
<formControlPr xmlns="http://schemas.microsoft.com/office/spreadsheetml/2009/9/main" objectType="Drop" dropStyle="combo" dx="22" fmlaLink="$N$33" fmlaRange="$AO$2:$AO$3" noThreeD="1" sel="1" val="0"/>
</file>

<file path=xl/ctrlProps/ctrlProp4.xml><?xml version="1.0" encoding="utf-8"?>
<formControlPr xmlns="http://schemas.microsoft.com/office/spreadsheetml/2009/9/main" objectType="Drop" dropStyle="combo" dx="22" fmlaRange="$AQ$2:$AQ$5" noThreeD="1" sel="4" val="0"/>
</file>

<file path=xl/ctrlProps/ctrlProp5.xml><?xml version="1.0" encoding="utf-8"?>
<formControlPr xmlns="http://schemas.microsoft.com/office/spreadsheetml/2009/9/main" objectType="Drop" dropStyle="combo" dx="22" fmlaLink="$N$45" fmlaRange="$AX$2:$AX$3" noThreeD="1" sel="2" val="0"/>
</file>

<file path=xl/ctrlProps/ctrlProp6.xml><?xml version="1.0" encoding="utf-8"?>
<formControlPr xmlns="http://schemas.microsoft.com/office/spreadsheetml/2009/9/main" objectType="Drop" dropStyle="combo" dx="22" fmlaLink="$O$85" fmlaRange="$AX$2:$AX$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57150</xdr:colOff>
      <xdr:row>2</xdr:row>
      <xdr:rowOff>55245</xdr:rowOff>
    </xdr:to>
    <xdr:pic>
      <xdr:nvPicPr>
        <xdr:cNvPr id="9459" name="Picture 1" descr="pjmlogo">
          <a:extLst>
            <a:ext uri="{FF2B5EF4-FFF2-40B4-BE49-F238E27FC236}">
              <a16:creationId xmlns:a16="http://schemas.microsoft.com/office/drawing/2014/main" id="{00000000-0008-0000-0200-0000F3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0</xdr:row>
      <xdr:rowOff>104775</xdr:rowOff>
    </xdr:from>
    <xdr:to>
      <xdr:col>3</xdr:col>
      <xdr:colOff>57150</xdr:colOff>
      <xdr:row>2</xdr:row>
      <xdr:rowOff>55245</xdr:rowOff>
    </xdr:to>
    <xdr:pic>
      <xdr:nvPicPr>
        <xdr:cNvPr id="9460" name="Picture 2" descr="pjmlogo">
          <a:extLst>
            <a:ext uri="{FF2B5EF4-FFF2-40B4-BE49-F238E27FC236}">
              <a16:creationId xmlns:a16="http://schemas.microsoft.com/office/drawing/2014/main" id="{00000000-0008-0000-0200-0000F4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234950</xdr:colOff>
          <xdr:row>29</xdr:row>
          <xdr:rowOff>0</xdr:rowOff>
        </xdr:from>
        <xdr:to>
          <xdr:col>3</xdr:col>
          <xdr:colOff>254000</xdr:colOff>
          <xdr:row>29</xdr:row>
          <xdr:rowOff>196850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234950</xdr:colOff>
          <xdr:row>29</xdr:row>
          <xdr:rowOff>0</xdr:rowOff>
        </xdr:from>
        <xdr:to>
          <xdr:col>8</xdr:col>
          <xdr:colOff>2012950</xdr:colOff>
          <xdr:row>29</xdr:row>
          <xdr:rowOff>196850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69850</xdr:rowOff>
        </xdr:from>
        <xdr:to>
          <xdr:col>4</xdr:col>
          <xdr:colOff>228600</xdr:colOff>
          <xdr:row>33</xdr:row>
          <xdr:rowOff>63500</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31750</xdr:rowOff>
        </xdr:from>
        <xdr:to>
          <xdr:col>8</xdr:col>
          <xdr:colOff>25400</xdr:colOff>
          <xdr:row>33</xdr:row>
          <xdr:rowOff>25400</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84</xdr:row>
          <xdr:rowOff>0</xdr:rowOff>
        </xdr:from>
        <xdr:to>
          <xdr:col>4</xdr:col>
          <xdr:colOff>273050</xdr:colOff>
          <xdr:row>84</xdr:row>
          <xdr:rowOff>196850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84</xdr:row>
          <xdr:rowOff>0</xdr:rowOff>
        </xdr:from>
        <xdr:to>
          <xdr:col>4</xdr:col>
          <xdr:colOff>292100</xdr:colOff>
          <xdr:row>85</xdr:row>
          <xdr:rowOff>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2</xdr:row>
      <xdr:rowOff>180975</xdr:rowOff>
    </xdr:from>
    <xdr:to>
      <xdr:col>8</xdr:col>
      <xdr:colOff>238125</xdr:colOff>
      <xdr:row>18</xdr:row>
      <xdr:rowOff>57150</xdr:rowOff>
    </xdr:to>
    <xdr:pic>
      <xdr:nvPicPr>
        <xdr:cNvPr id="10248" name="Picture 1">
          <a:extLst>
            <a:ext uri="{FF2B5EF4-FFF2-40B4-BE49-F238E27FC236}">
              <a16:creationId xmlns:a16="http://schemas.microsoft.com/office/drawing/2014/main" id="{00000000-0008-0000-0300-000008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61975"/>
          <a:ext cx="6905625"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3" Type="http://schemas.openxmlformats.org/officeDocument/2006/relationships/hyperlink" Target="https://www.pjm.com/directory/merged-tariffs/oatt.pdf"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2" Type="http://schemas.openxmlformats.org/officeDocument/2006/relationships/hyperlink" Target="https://www.pjm.com/-/media/etools/edart/edart-user-guide.ashx?la=en" TargetMode="External"/><Relationship Id="rId1" Type="http://schemas.openxmlformats.org/officeDocument/2006/relationships/hyperlink" Target="http://www.pjm.com/documents/downloads/agreements/tariff.pdf" TargetMode="External"/><Relationship Id="rId6" Type="http://schemas.openxmlformats.org/officeDocument/2006/relationships/hyperlink" Target="https://www.pjm.com/-/media/markets-ops/ancillary/black-start-service/2024-pjm-calculated-annual-capital-recovery-factor.ashx" TargetMode="External"/><Relationship Id="rId11" Type="http://schemas.openxmlformats.org/officeDocument/2006/relationships/ctrlProp" Target="../ctrlProps/ctrlProp2.xml"/><Relationship Id="rId5" Type="http://schemas.openxmlformats.org/officeDocument/2006/relationships/hyperlink" Target="https://www.pjm.com/-/media/markets-ops/ancillary/black-start-service/2024-pjm-calculated-annual-capital-recovery-factor.ashx" TargetMode="External"/><Relationship Id="rId15" Type="http://schemas.openxmlformats.org/officeDocument/2006/relationships/ctrlProp" Target="../ctrlProps/ctrlProp6.xml"/><Relationship Id="rId10" Type="http://schemas.openxmlformats.org/officeDocument/2006/relationships/ctrlProp" Target="../ctrlProps/ctrlProp1.xml"/><Relationship Id="rId4" Type="http://schemas.openxmlformats.org/officeDocument/2006/relationships/hyperlink" Target="https://www.pjm.com/-/media/markets-ops/ancillary/black-start-service/rto-wide-rfp-for-black-start-service-and-black-start-fuel-assurance-faqs.ashx"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Y155"/>
  <sheetViews>
    <sheetView showGridLines="0" tabSelected="1" zoomScaleNormal="100" zoomScaleSheetLayoutView="90" workbookViewId="0">
      <selection activeCell="H12" sqref="H12:J12"/>
    </sheetView>
  </sheetViews>
  <sheetFormatPr defaultColWidth="0" defaultRowHeight="12.5" zeroHeight="1" outlineLevelCol="1" x14ac:dyDescent="0.25"/>
  <cols>
    <col min="1" max="1" width="4.6328125" customWidth="1"/>
    <col min="2" max="6" width="8.6328125" customWidth="1"/>
    <col min="7" max="7" width="16" customWidth="1"/>
    <col min="8" max="8" width="29.54296875" customWidth="1"/>
    <col min="9" max="9" width="31" customWidth="1"/>
    <col min="10" max="10" width="10.54296875" customWidth="1"/>
    <col min="11" max="11" width="10" customWidth="1"/>
    <col min="12" max="12" width="2.54296875" hidden="1" customWidth="1" outlineLevel="1"/>
    <col min="13" max="13" width="4.6328125" hidden="1" customWidth="1" outlineLevel="1"/>
    <col min="14" max="14" width="13.08984375" style="29" hidden="1" customWidth="1" outlineLevel="1"/>
    <col min="15" max="15" width="9.08984375" hidden="1" customWidth="1" outlineLevel="1"/>
    <col min="16" max="16" width="11.453125" hidden="1" customWidth="1" outlineLevel="1"/>
    <col min="17" max="17" width="9.08984375" hidden="1" customWidth="1" outlineLevel="1"/>
    <col min="18" max="32" width="9.08984375" hidden="1" customWidth="1"/>
    <col min="33" max="33" width="11.08984375" hidden="1" customWidth="1"/>
    <col min="34" max="34" width="22.6328125" hidden="1" customWidth="1"/>
    <col min="35" max="36" width="9.08984375" hidden="1" customWidth="1"/>
    <col min="37" max="37" width="12.90625" hidden="1" customWidth="1"/>
    <col min="38" max="38" width="10.90625" hidden="1" customWidth="1"/>
    <col min="39" max="39" width="14.36328125" hidden="1" customWidth="1"/>
    <col min="40" max="16384" width="9.08984375" hidden="1"/>
  </cols>
  <sheetData>
    <row r="1" spans="1:51" ht="16.5" customHeight="1" x14ac:dyDescent="0.3">
      <c r="L1" s="1"/>
      <c r="N1" s="27" t="s">
        <v>31</v>
      </c>
      <c r="Q1" s="16" t="s">
        <v>33</v>
      </c>
      <c r="R1" s="17"/>
      <c r="S1" s="17"/>
      <c r="T1" s="17"/>
      <c r="U1" s="17"/>
      <c r="V1" s="17"/>
      <c r="X1" s="16" t="s">
        <v>38</v>
      </c>
      <c r="Y1" s="16" t="s">
        <v>39</v>
      </c>
      <c r="AA1" s="20" t="s">
        <v>57</v>
      </c>
      <c r="AH1" s="16" t="s">
        <v>59</v>
      </c>
      <c r="AI1" s="22" t="s">
        <v>70</v>
      </c>
      <c r="AK1" s="16" t="s">
        <v>60</v>
      </c>
      <c r="AL1" s="16" t="s">
        <v>61</v>
      </c>
      <c r="AM1" s="16" t="s">
        <v>62</v>
      </c>
      <c r="AO1" s="16" t="s">
        <v>129</v>
      </c>
      <c r="AQ1" s="16" t="s">
        <v>134</v>
      </c>
      <c r="AT1" s="16" t="s">
        <v>141</v>
      </c>
      <c r="AX1" s="22" t="s">
        <v>158</v>
      </c>
    </row>
    <row r="2" spans="1:51" ht="16.5" customHeight="1" x14ac:dyDescent="0.3">
      <c r="A2" s="79" t="s">
        <v>86</v>
      </c>
      <c r="B2" s="79"/>
      <c r="C2" s="79"/>
      <c r="D2" s="79"/>
      <c r="E2" s="79"/>
      <c r="F2" s="79"/>
      <c r="G2" s="79"/>
      <c r="H2" s="79"/>
      <c r="I2" s="79"/>
      <c r="J2" s="79"/>
      <c r="K2" s="79"/>
      <c r="L2" s="1"/>
      <c r="N2" s="28" t="s">
        <v>32</v>
      </c>
      <c r="Q2" s="16" t="s">
        <v>34</v>
      </c>
      <c r="R2" s="16" t="s">
        <v>35</v>
      </c>
      <c r="S2" s="16" t="s">
        <v>36</v>
      </c>
      <c r="T2" s="16" t="s">
        <v>37</v>
      </c>
      <c r="U2" s="16" t="s">
        <v>98</v>
      </c>
      <c r="V2" s="16" t="s">
        <v>99</v>
      </c>
      <c r="X2" s="17" t="s">
        <v>40</v>
      </c>
      <c r="Y2" s="17">
        <v>1</v>
      </c>
      <c r="AA2" s="17" t="s">
        <v>58</v>
      </c>
      <c r="AH2" s="17" t="s">
        <v>27</v>
      </c>
      <c r="AI2">
        <v>0</v>
      </c>
      <c r="AK2" s="17" t="s">
        <v>63</v>
      </c>
      <c r="AL2" s="17">
        <v>20</v>
      </c>
      <c r="AM2" s="17">
        <v>0.125</v>
      </c>
      <c r="AO2" s="15" t="s">
        <v>130</v>
      </c>
      <c r="AQ2" s="15" t="s">
        <v>135</v>
      </c>
      <c r="AT2" t="s">
        <v>143</v>
      </c>
      <c r="AX2" s="15" t="s">
        <v>161</v>
      </c>
      <c r="AY2">
        <v>1</v>
      </c>
    </row>
    <row r="3" spans="1:51" ht="16.5" customHeight="1" x14ac:dyDescent="0.25">
      <c r="A3" s="79"/>
      <c r="B3" s="79"/>
      <c r="C3" s="79"/>
      <c r="D3" s="79"/>
      <c r="E3" s="79"/>
      <c r="F3" s="79"/>
      <c r="G3" s="79"/>
      <c r="H3" s="79"/>
      <c r="I3" s="79"/>
      <c r="J3" s="79"/>
      <c r="K3" s="79"/>
      <c r="L3" s="1"/>
      <c r="N3" s="28" t="s">
        <v>27</v>
      </c>
      <c r="Q3" s="18">
        <v>39965</v>
      </c>
      <c r="R3" s="17">
        <v>161.71</v>
      </c>
      <c r="S3" s="19">
        <f>R3</f>
        <v>161.71</v>
      </c>
      <c r="T3" s="19">
        <f>S3</f>
        <v>161.71</v>
      </c>
      <c r="U3" s="19"/>
      <c r="V3" s="19"/>
      <c r="X3" s="17" t="s">
        <v>41</v>
      </c>
      <c r="Y3" s="17">
        <v>1</v>
      </c>
      <c r="AA3" s="17" t="s">
        <v>95</v>
      </c>
      <c r="AH3" s="17" t="s">
        <v>25</v>
      </c>
      <c r="AI3">
        <v>0.01</v>
      </c>
      <c r="AK3" s="17" t="s">
        <v>64</v>
      </c>
      <c r="AL3" s="17">
        <v>15</v>
      </c>
      <c r="AM3" s="17">
        <v>0.14599999999999999</v>
      </c>
      <c r="AO3" s="15" t="s">
        <v>131</v>
      </c>
      <c r="AQ3" s="15" t="s">
        <v>136</v>
      </c>
      <c r="AT3" t="s">
        <v>142</v>
      </c>
      <c r="AX3" s="15" t="s">
        <v>159</v>
      </c>
      <c r="AY3">
        <v>0.01</v>
      </c>
    </row>
    <row r="4" spans="1:51" ht="16.5" customHeight="1" thickBot="1" x14ac:dyDescent="0.3">
      <c r="B4" s="2"/>
      <c r="C4" s="2"/>
      <c r="D4" s="2"/>
      <c r="E4" s="2"/>
      <c r="F4" s="2"/>
      <c r="G4" s="2"/>
      <c r="H4" s="2"/>
      <c r="I4" s="2"/>
      <c r="J4" s="2"/>
      <c r="L4" s="1"/>
      <c r="Q4" s="18">
        <v>40330</v>
      </c>
      <c r="R4" s="17">
        <v>163.46</v>
      </c>
      <c r="S4" s="19">
        <f>R4</f>
        <v>163.46</v>
      </c>
      <c r="T4" s="19">
        <f>S4</f>
        <v>163.46</v>
      </c>
      <c r="U4" s="19"/>
      <c r="V4" s="19"/>
      <c r="X4" s="17" t="s">
        <v>42</v>
      </c>
      <c r="Y4" s="17">
        <v>4</v>
      </c>
      <c r="AA4" s="34" t="s">
        <v>100</v>
      </c>
      <c r="AH4" s="17" t="s">
        <v>24</v>
      </c>
      <c r="AI4">
        <v>0.02</v>
      </c>
      <c r="AK4" s="17" t="s">
        <v>65</v>
      </c>
      <c r="AL4" s="17">
        <v>10</v>
      </c>
      <c r="AM4" s="17">
        <v>0.19800000000000001</v>
      </c>
      <c r="AQ4" s="15" t="s">
        <v>137</v>
      </c>
      <c r="AT4" t="s">
        <v>144</v>
      </c>
    </row>
    <row r="5" spans="1:51" ht="16.5" customHeight="1" x14ac:dyDescent="0.25">
      <c r="L5" s="1"/>
      <c r="Q5" s="18">
        <v>40695</v>
      </c>
      <c r="R5" s="17">
        <v>160.76</v>
      </c>
      <c r="S5" s="17">
        <v>160.76</v>
      </c>
      <c r="T5" s="17">
        <v>160.76</v>
      </c>
      <c r="U5" s="17">
        <v>160.76</v>
      </c>
      <c r="V5" s="17">
        <v>160.76</v>
      </c>
      <c r="X5" s="17" t="s">
        <v>43</v>
      </c>
      <c r="Y5" s="17">
        <v>2</v>
      </c>
      <c r="AA5" s="17" t="s">
        <v>96</v>
      </c>
      <c r="AH5" s="17" t="s">
        <v>26</v>
      </c>
      <c r="AI5">
        <v>0.02</v>
      </c>
      <c r="AK5" s="17" t="s">
        <v>66</v>
      </c>
      <c r="AL5" s="17">
        <v>5</v>
      </c>
      <c r="AM5" s="17">
        <v>0.36299999999999999</v>
      </c>
      <c r="AQ5" s="15" t="s">
        <v>138</v>
      </c>
    </row>
    <row r="6" spans="1:51" ht="16.5" customHeight="1" x14ac:dyDescent="0.35">
      <c r="A6" s="3"/>
      <c r="B6" s="10" t="s">
        <v>13</v>
      </c>
      <c r="C6" s="3"/>
      <c r="D6" s="3"/>
      <c r="E6" s="3"/>
      <c r="F6" s="3"/>
      <c r="G6" s="3"/>
      <c r="H6" s="3"/>
      <c r="I6" s="80" t="s">
        <v>12</v>
      </c>
      <c r="J6" s="80"/>
      <c r="K6" s="3"/>
      <c r="L6" s="1"/>
      <c r="Q6" s="18">
        <v>41061</v>
      </c>
      <c r="R6" s="17">
        <v>198.81</v>
      </c>
      <c r="S6" s="17">
        <v>165.07</v>
      </c>
      <c r="T6" s="17">
        <v>286.13</v>
      </c>
      <c r="U6" s="17">
        <v>165.07</v>
      </c>
      <c r="V6" s="17">
        <v>286.13</v>
      </c>
      <c r="X6" s="17" t="s">
        <v>44</v>
      </c>
      <c r="Y6" s="17">
        <v>1</v>
      </c>
      <c r="AA6" s="17" t="s">
        <v>102</v>
      </c>
    </row>
    <row r="7" spans="1:51" ht="16.5" customHeight="1" x14ac:dyDescent="0.35">
      <c r="A7" s="3"/>
      <c r="B7" s="3"/>
      <c r="C7" s="3"/>
      <c r="D7" s="3"/>
      <c r="E7" s="3"/>
      <c r="F7" s="3"/>
      <c r="G7" s="3"/>
      <c r="H7" s="3"/>
      <c r="I7" s="3"/>
      <c r="J7" s="3"/>
      <c r="K7" s="3"/>
      <c r="L7" s="1"/>
      <c r="Q7" s="18">
        <v>41426</v>
      </c>
      <c r="R7" s="19">
        <v>244.61</v>
      </c>
      <c r="S7" s="19">
        <v>212.89</v>
      </c>
      <c r="T7" s="19">
        <v>320.47000000000003</v>
      </c>
      <c r="U7" s="19">
        <v>256.7</v>
      </c>
      <c r="V7" s="19">
        <v>231.08</v>
      </c>
      <c r="X7" s="17" t="s">
        <v>45</v>
      </c>
      <c r="Y7" s="17">
        <v>4</v>
      </c>
    </row>
    <row r="8" spans="1:51" ht="16.5" customHeight="1" x14ac:dyDescent="0.35">
      <c r="A8" s="3"/>
      <c r="B8" s="9" t="s">
        <v>85</v>
      </c>
      <c r="D8" s="3"/>
      <c r="E8" s="3"/>
      <c r="F8" s="3"/>
      <c r="G8" s="3"/>
      <c r="H8" s="3"/>
      <c r="I8" s="3"/>
      <c r="J8" s="3"/>
      <c r="K8" s="3"/>
      <c r="L8" s="1"/>
      <c r="Q8" s="21">
        <v>41791</v>
      </c>
      <c r="R8" s="35">
        <v>257.83</v>
      </c>
      <c r="S8" s="35">
        <v>226.79</v>
      </c>
      <c r="T8" s="35">
        <v>338.78</v>
      </c>
      <c r="U8" s="35">
        <v>267</v>
      </c>
      <c r="V8" s="35">
        <v>247.91</v>
      </c>
      <c r="X8" s="17" t="s">
        <v>46</v>
      </c>
      <c r="Y8" s="17">
        <v>4</v>
      </c>
      <c r="AA8" s="52" t="s">
        <v>150</v>
      </c>
    </row>
    <row r="9" spans="1:51" ht="16.5" customHeight="1" x14ac:dyDescent="0.35">
      <c r="A9" s="3"/>
      <c r="B9" s="9"/>
      <c r="D9" s="3"/>
      <c r="E9" s="3"/>
      <c r="F9" s="3"/>
      <c r="G9" s="3"/>
      <c r="H9" s="3"/>
      <c r="I9" s="3"/>
      <c r="J9" s="3"/>
      <c r="K9" s="3"/>
      <c r="L9" s="1"/>
      <c r="Q9" s="21">
        <v>42156</v>
      </c>
      <c r="R9" s="35">
        <v>295.32</v>
      </c>
      <c r="S9" s="35">
        <v>251.82</v>
      </c>
      <c r="T9" s="35">
        <v>337.09</v>
      </c>
      <c r="U9" s="35">
        <v>276.97000000000003</v>
      </c>
      <c r="V9" s="35">
        <v>270.62</v>
      </c>
      <c r="X9" s="17" t="s">
        <v>47</v>
      </c>
      <c r="Y9" s="17">
        <v>2</v>
      </c>
      <c r="AB9" s="40" t="s">
        <v>152</v>
      </c>
      <c r="AC9" s="40" t="s">
        <v>151</v>
      </c>
    </row>
    <row r="10" spans="1:51" ht="16.5" customHeight="1" x14ac:dyDescent="0.35">
      <c r="A10" s="3"/>
      <c r="B10" s="9"/>
      <c r="D10" s="3"/>
      <c r="E10" s="3"/>
      <c r="F10" s="3"/>
      <c r="G10" s="3"/>
      <c r="H10" s="3"/>
      <c r="I10" s="3"/>
      <c r="J10" s="12"/>
      <c r="K10" s="3"/>
      <c r="L10" s="1"/>
      <c r="Q10" s="21">
        <v>42522</v>
      </c>
      <c r="R10" s="35">
        <v>311.16000000000003</v>
      </c>
      <c r="S10" s="35">
        <v>261.14</v>
      </c>
      <c r="T10" s="35">
        <v>342.01</v>
      </c>
      <c r="U10" s="35">
        <v>305.05</v>
      </c>
      <c r="V10" s="35">
        <v>242.72</v>
      </c>
      <c r="X10" s="17" t="s">
        <v>48</v>
      </c>
      <c r="Y10" s="17">
        <v>1</v>
      </c>
      <c r="AA10" s="53">
        <v>45901</v>
      </c>
      <c r="AB10" s="54">
        <v>272.62</v>
      </c>
      <c r="AC10" s="55">
        <v>1</v>
      </c>
    </row>
    <row r="11" spans="1:51" ht="16.5" customHeight="1" x14ac:dyDescent="0.35">
      <c r="A11" s="3"/>
      <c r="C11" s="3"/>
      <c r="D11" s="3"/>
      <c r="E11" s="3"/>
      <c r="F11" s="3"/>
      <c r="G11" s="3"/>
      <c r="H11" s="3"/>
      <c r="I11" s="3"/>
      <c r="J11" s="12"/>
      <c r="K11" s="3"/>
      <c r="L11" s="1"/>
      <c r="Q11" s="21">
        <v>42887</v>
      </c>
      <c r="R11" s="35">
        <v>345.2</v>
      </c>
      <c r="S11" s="35">
        <v>295.31</v>
      </c>
      <c r="T11" s="35">
        <v>352.63</v>
      </c>
      <c r="U11" s="35">
        <v>334.43</v>
      </c>
      <c r="V11" s="35">
        <v>273.56</v>
      </c>
      <c r="X11" s="17" t="s">
        <v>49</v>
      </c>
      <c r="Y11" s="17">
        <v>1</v>
      </c>
      <c r="AA11" s="21">
        <v>46174</v>
      </c>
      <c r="AB11" s="54">
        <f>ROUND(AB10*AC11,2)</f>
        <v>284.62</v>
      </c>
      <c r="AC11">
        <v>1.044</v>
      </c>
    </row>
    <row r="12" spans="1:51" ht="16.5" customHeight="1" x14ac:dyDescent="0.35">
      <c r="A12" s="3"/>
      <c r="B12" s="8" t="s">
        <v>9</v>
      </c>
      <c r="C12" s="3"/>
      <c r="D12" s="3"/>
      <c r="E12" s="3"/>
      <c r="F12" s="3"/>
      <c r="G12" s="5" t="s">
        <v>11</v>
      </c>
      <c r="H12" s="66"/>
      <c r="I12" s="66"/>
      <c r="J12" s="66"/>
      <c r="K12" s="3"/>
      <c r="L12" s="1"/>
      <c r="Q12" s="21">
        <v>43252</v>
      </c>
      <c r="R12" s="35">
        <v>266.73</v>
      </c>
      <c r="S12" s="35">
        <v>227.73</v>
      </c>
      <c r="T12" s="35">
        <v>263.57</v>
      </c>
      <c r="U12" s="35">
        <v>247.58</v>
      </c>
      <c r="V12" s="35">
        <v>263.57</v>
      </c>
      <c r="X12" s="17" t="s">
        <v>50</v>
      </c>
      <c r="Y12" s="17">
        <v>1</v>
      </c>
    </row>
    <row r="13" spans="1:51" ht="16.5" customHeight="1" x14ac:dyDescent="0.35">
      <c r="A13" s="3"/>
      <c r="B13" s="8"/>
      <c r="C13" s="3"/>
      <c r="D13" s="3"/>
      <c r="E13" s="3"/>
      <c r="F13" s="3"/>
      <c r="G13" s="3"/>
      <c r="H13" s="4"/>
      <c r="I13" s="4"/>
      <c r="J13" s="13"/>
      <c r="K13" s="3"/>
      <c r="L13" s="1"/>
      <c r="Q13" s="21">
        <v>43617</v>
      </c>
      <c r="R13" s="35">
        <v>264.91000000000003</v>
      </c>
      <c r="S13" s="35">
        <v>214.75</v>
      </c>
      <c r="T13" s="35">
        <v>264.39999999999998</v>
      </c>
      <c r="U13" s="35">
        <v>224.36</v>
      </c>
      <c r="V13" s="35">
        <v>264.39999999999998</v>
      </c>
      <c r="X13" s="17" t="s">
        <v>51</v>
      </c>
      <c r="Y13" s="17">
        <v>3</v>
      </c>
    </row>
    <row r="14" spans="1:51" ht="16.5" customHeight="1" x14ac:dyDescent="0.35">
      <c r="A14" s="3"/>
      <c r="B14" s="3"/>
      <c r="D14" s="3"/>
      <c r="E14" s="3"/>
      <c r="F14" s="3"/>
      <c r="G14" s="3"/>
      <c r="H14" s="3"/>
      <c r="I14" s="3"/>
      <c r="J14" s="12"/>
      <c r="K14" s="3"/>
      <c r="L14" s="1"/>
      <c r="Q14" s="21">
        <v>43983</v>
      </c>
      <c r="R14">
        <v>264.44</v>
      </c>
      <c r="S14">
        <v>189.09</v>
      </c>
      <c r="T14" s="35">
        <v>264.88</v>
      </c>
      <c r="U14" s="35">
        <v>209.5205409426344</v>
      </c>
      <c r="V14" s="35">
        <v>264.87661014211903</v>
      </c>
      <c r="X14" s="17" t="s">
        <v>52</v>
      </c>
      <c r="Y14" s="17">
        <v>3</v>
      </c>
    </row>
    <row r="15" spans="1:51" ht="16.5" customHeight="1" x14ac:dyDescent="0.35">
      <c r="A15" s="3"/>
      <c r="B15" s="8" t="s">
        <v>153</v>
      </c>
      <c r="C15" s="3"/>
      <c r="D15" s="3"/>
      <c r="E15" s="3"/>
      <c r="F15" s="3"/>
      <c r="G15" s="5" t="s">
        <v>11</v>
      </c>
      <c r="H15" s="66">
        <v>46174</v>
      </c>
      <c r="I15" s="66"/>
      <c r="J15" s="66"/>
      <c r="K15" s="3"/>
      <c r="L15" s="1"/>
      <c r="Q15" s="21">
        <v>44348</v>
      </c>
      <c r="R15" s="35">
        <v>295.29000000000002</v>
      </c>
      <c r="S15" s="35">
        <v>249.27</v>
      </c>
      <c r="T15" s="35">
        <v>298.17</v>
      </c>
      <c r="U15" s="35">
        <v>253.22</v>
      </c>
      <c r="X15" s="17" t="s">
        <v>53</v>
      </c>
      <c r="Y15" s="17">
        <v>3</v>
      </c>
    </row>
    <row r="16" spans="1:51" ht="16.5" customHeight="1" x14ac:dyDescent="0.35">
      <c r="A16" s="3"/>
      <c r="B16" s="8"/>
      <c r="C16" s="3"/>
      <c r="D16" s="3"/>
      <c r="E16" s="3"/>
      <c r="F16" s="3"/>
      <c r="G16" s="3"/>
      <c r="H16" s="4"/>
      <c r="I16" s="4"/>
      <c r="J16" s="13"/>
      <c r="K16" s="3"/>
      <c r="L16" s="1"/>
      <c r="Q16" s="21">
        <v>44713</v>
      </c>
      <c r="R16" s="35">
        <v>246.18</v>
      </c>
      <c r="S16" s="35">
        <v>230.6</v>
      </c>
      <c r="T16" s="35">
        <v>216.12</v>
      </c>
      <c r="U16" s="35">
        <v>207.02</v>
      </c>
      <c r="X16" s="17" t="s">
        <v>54</v>
      </c>
      <c r="Y16" s="17">
        <v>3</v>
      </c>
    </row>
    <row r="17" spans="1:25" ht="16.5" customHeight="1" x14ac:dyDescent="0.35">
      <c r="A17" s="3"/>
      <c r="B17" s="3"/>
      <c r="D17" s="3"/>
      <c r="E17" s="3"/>
      <c r="F17" s="3"/>
      <c r="G17" s="3"/>
      <c r="H17" s="3"/>
      <c r="I17" s="3"/>
      <c r="J17" s="12"/>
      <c r="K17" s="3"/>
      <c r="L17" s="1"/>
      <c r="Q17" s="21">
        <v>45078</v>
      </c>
      <c r="R17" s="35">
        <v>276.67</v>
      </c>
      <c r="S17" s="35">
        <v>232.39</v>
      </c>
      <c r="T17" s="35">
        <v>243.59</v>
      </c>
      <c r="U17" s="35">
        <v>249.51</v>
      </c>
      <c r="X17" s="17" t="s">
        <v>55</v>
      </c>
      <c r="Y17" s="17">
        <v>3</v>
      </c>
    </row>
    <row r="18" spans="1:25" ht="16.5" customHeight="1" x14ac:dyDescent="0.35">
      <c r="A18" s="3"/>
      <c r="B18" s="8" t="s">
        <v>8</v>
      </c>
      <c r="C18" s="3"/>
      <c r="D18" s="3"/>
      <c r="E18" s="3"/>
      <c r="F18" s="3"/>
      <c r="G18" s="5" t="s">
        <v>10</v>
      </c>
      <c r="H18" s="66" t="s">
        <v>169</v>
      </c>
      <c r="I18" s="66"/>
      <c r="J18" s="66"/>
      <c r="K18" s="3"/>
      <c r="L18" s="1"/>
      <c r="Q18" s="21">
        <v>45444</v>
      </c>
      <c r="R18" s="35">
        <v>296.7</v>
      </c>
      <c r="S18" s="35">
        <v>247.97</v>
      </c>
      <c r="T18" s="35">
        <v>258.74</v>
      </c>
      <c r="U18">
        <v>265.37</v>
      </c>
      <c r="X18" s="17" t="s">
        <v>56</v>
      </c>
      <c r="Y18" s="17">
        <v>3</v>
      </c>
    </row>
    <row r="19" spans="1:25" ht="16.5" customHeight="1" x14ac:dyDescent="0.35">
      <c r="A19" s="3"/>
      <c r="B19" s="8" t="s">
        <v>149</v>
      </c>
      <c r="C19" s="3"/>
      <c r="D19" s="3"/>
      <c r="E19" s="3"/>
      <c r="F19" s="3"/>
      <c r="G19" s="5"/>
      <c r="H19" s="58"/>
      <c r="I19" s="58"/>
      <c r="J19" s="58"/>
      <c r="K19" s="3"/>
      <c r="L19" s="1"/>
      <c r="X19" s="17" t="s">
        <v>67</v>
      </c>
      <c r="Y19" s="17">
        <v>3</v>
      </c>
    </row>
    <row r="20" spans="1:25" ht="16.5" customHeight="1" x14ac:dyDescent="0.35">
      <c r="A20" s="3"/>
      <c r="C20" s="3"/>
      <c r="D20" s="3"/>
      <c r="E20" s="3"/>
      <c r="F20" s="3"/>
      <c r="G20" s="5" t="s">
        <v>121</v>
      </c>
      <c r="H20" s="66" t="s">
        <v>170</v>
      </c>
      <c r="I20" s="66"/>
      <c r="J20" s="66"/>
      <c r="K20" s="3"/>
      <c r="L20" s="1"/>
      <c r="X20" s="17" t="s">
        <v>97</v>
      </c>
      <c r="Y20" s="17">
        <v>3</v>
      </c>
    </row>
    <row r="21" spans="1:25" ht="16.5" customHeight="1" x14ac:dyDescent="0.35">
      <c r="A21" s="3"/>
      <c r="B21" s="8"/>
      <c r="C21" s="3"/>
      <c r="D21" s="3"/>
      <c r="E21" s="3"/>
      <c r="F21" s="3"/>
      <c r="G21" s="5"/>
      <c r="H21" s="82"/>
      <c r="I21" s="82"/>
      <c r="J21" s="82"/>
      <c r="K21" s="3"/>
      <c r="L21" s="1"/>
      <c r="X21" s="17" t="s">
        <v>101</v>
      </c>
      <c r="Y21" s="17">
        <v>3</v>
      </c>
    </row>
    <row r="22" spans="1:25" ht="16.5" customHeight="1" x14ac:dyDescent="0.35">
      <c r="A22" s="3"/>
      <c r="B22" s="8"/>
      <c r="C22" s="3"/>
      <c r="D22" s="3"/>
      <c r="E22" s="3"/>
      <c r="F22" s="3"/>
      <c r="G22" s="5" t="s">
        <v>122</v>
      </c>
      <c r="H22" s="66" t="s">
        <v>171</v>
      </c>
      <c r="I22" s="66"/>
      <c r="J22" s="66"/>
      <c r="K22" s="3"/>
      <c r="L22" s="1"/>
      <c r="X22" s="17"/>
      <c r="Y22" s="17"/>
    </row>
    <row r="23" spans="1:25" ht="16.5" customHeight="1" x14ac:dyDescent="0.35">
      <c r="A23" s="3"/>
      <c r="K23" s="3"/>
      <c r="L23" s="1"/>
    </row>
    <row r="24" spans="1:25" ht="16.5" customHeight="1" x14ac:dyDescent="0.35">
      <c r="A24" s="3"/>
      <c r="K24" s="3"/>
      <c r="L24" s="1"/>
    </row>
    <row r="25" spans="1:25" ht="16.5" customHeight="1" x14ac:dyDescent="0.35">
      <c r="A25" s="3"/>
      <c r="B25" s="8" t="s">
        <v>4</v>
      </c>
      <c r="C25" s="3"/>
      <c r="D25" s="3"/>
      <c r="E25" s="3"/>
      <c r="F25" s="3"/>
      <c r="G25" s="3"/>
      <c r="H25" s="81" t="s">
        <v>172</v>
      </c>
      <c r="I25" s="81"/>
      <c r="J25" s="81"/>
      <c r="K25" s="3"/>
      <c r="L25" s="1"/>
    </row>
    <row r="26" spans="1:25" ht="16.5" customHeight="1" x14ac:dyDescent="0.35">
      <c r="A26" s="3"/>
      <c r="B26" s="3"/>
      <c r="C26" s="3"/>
      <c r="D26" s="3"/>
      <c r="E26" s="3"/>
      <c r="F26" s="3"/>
      <c r="G26" s="3"/>
      <c r="H26" s="3"/>
      <c r="I26" s="3"/>
      <c r="J26" s="12"/>
      <c r="K26" s="3"/>
      <c r="L26" s="1"/>
    </row>
    <row r="27" spans="1:25" ht="16.5" customHeight="1" x14ac:dyDescent="0.35">
      <c r="A27" s="3"/>
      <c r="B27" s="8" t="s">
        <v>123</v>
      </c>
      <c r="C27" s="3"/>
      <c r="D27" s="3"/>
      <c r="E27" s="3"/>
      <c r="F27" s="3"/>
      <c r="G27" s="3"/>
      <c r="H27" s="81">
        <v>123456789</v>
      </c>
      <c r="I27" s="81"/>
      <c r="J27" s="81"/>
      <c r="K27" s="3"/>
      <c r="L27" s="1"/>
    </row>
    <row r="28" spans="1:25" ht="16.5" customHeight="1" x14ac:dyDescent="0.35">
      <c r="A28" s="3"/>
      <c r="C28" s="3"/>
      <c r="D28" s="3"/>
      <c r="E28" s="3"/>
      <c r="F28" s="3"/>
      <c r="G28" s="3"/>
      <c r="H28" s="7"/>
      <c r="I28" s="7"/>
      <c r="J28" s="12"/>
      <c r="K28" s="3"/>
      <c r="L28" s="1"/>
    </row>
    <row r="29" spans="1:25" ht="16.5" customHeight="1" x14ac:dyDescent="0.35">
      <c r="A29" s="3"/>
      <c r="B29" s="59" t="s">
        <v>23</v>
      </c>
      <c r="C29" s="60"/>
      <c r="D29" s="60"/>
      <c r="E29" s="3"/>
      <c r="F29" s="3"/>
      <c r="G29" s="3"/>
      <c r="H29" s="8" t="s">
        <v>69</v>
      </c>
      <c r="I29" s="59" t="s">
        <v>68</v>
      </c>
      <c r="J29" s="12"/>
      <c r="K29" s="3"/>
      <c r="L29" s="1"/>
      <c r="N29" s="29">
        <v>21</v>
      </c>
      <c r="O29">
        <f ca="1">OFFSET($X$1, N29, 0)</f>
        <v>0</v>
      </c>
      <c r="P29">
        <f ca="1">OFFSET($X$1, N29, 1)</f>
        <v>0</v>
      </c>
      <c r="Q29" s="21">
        <f ca="1">IF(LEN(H15) = 0, TODAY(), H15 )</f>
        <v>46174</v>
      </c>
      <c r="R29" s="35">
        <f ca="1">VLOOKUP( Q29, $AA$10:$AB$21, 2)</f>
        <v>284.62</v>
      </c>
    </row>
    <row r="30" spans="1:25" ht="16.5" customHeight="1" x14ac:dyDescent="0.35">
      <c r="A30" s="3"/>
      <c r="B30" s="3"/>
      <c r="C30" s="3"/>
      <c r="D30" s="3"/>
      <c r="E30" s="3"/>
      <c r="F30" s="3"/>
      <c r="G30" s="3"/>
      <c r="H30" s="25" t="str">
        <f ca="1">"   " &amp; O30</f>
        <v xml:space="preserve">   Black Start Capable</v>
      </c>
      <c r="I30" s="7"/>
      <c r="J30" s="12"/>
      <c r="K30" s="3"/>
      <c r="L30" s="1"/>
      <c r="N30" s="29">
        <f>IF(N31 = 1, 2, 1)</f>
        <v>1</v>
      </c>
      <c r="O30" t="str">
        <f ca="1">OFFSET($N$1, N30, 0)</f>
        <v>Black Start Capable</v>
      </c>
    </row>
    <row r="31" spans="1:25" ht="16.5" customHeight="1" x14ac:dyDescent="0.35">
      <c r="A31" s="3"/>
      <c r="E31" s="3"/>
      <c r="F31" s="3"/>
      <c r="G31" s="3"/>
      <c r="H31" s="7"/>
      <c r="I31" s="7"/>
      <c r="J31" s="12"/>
      <c r="K31" s="3"/>
      <c r="L31" s="1"/>
      <c r="N31" s="29">
        <v>3</v>
      </c>
      <c r="O31" t="str">
        <f ca="1">OFFSET($AH$1, N31, 0)</f>
        <v>Combustion Turbine</v>
      </c>
      <c r="R31">
        <f ca="1">IF(AND(N33=2, N31&lt;&gt;1),0.02,(OFFSET($AH$1, N31, 1)))</f>
        <v>0.02</v>
      </c>
    </row>
    <row r="32" spans="1:25" ht="16.5" customHeight="1" x14ac:dyDescent="0.35">
      <c r="A32" s="3"/>
      <c r="B32" s="59" t="s">
        <v>128</v>
      </c>
      <c r="C32" s="61"/>
      <c r="D32" s="61"/>
      <c r="E32" s="3"/>
      <c r="F32" s="3"/>
      <c r="G32" s="3"/>
      <c r="H32" s="59" t="s">
        <v>133</v>
      </c>
      <c r="I32" s="7"/>
      <c r="J32" s="12"/>
      <c r="K32" s="3"/>
      <c r="L32" s="1"/>
    </row>
    <row r="33" spans="1:19" ht="16.5" customHeight="1" x14ac:dyDescent="0.35">
      <c r="A33" s="3"/>
      <c r="E33" s="3"/>
      <c r="F33" s="3"/>
      <c r="G33" s="3"/>
      <c r="H33" s="7"/>
      <c r="I33" s="7"/>
      <c r="J33" s="12"/>
      <c r="K33" s="3"/>
      <c r="L33" s="1"/>
      <c r="N33" s="29">
        <v>1</v>
      </c>
      <c r="O33" t="str">
        <f ca="1">OFFSET($AO$1, N33, 0)</f>
        <v>Non-Fuel Assured</v>
      </c>
    </row>
    <row r="34" spans="1:19" ht="16.5" customHeight="1" x14ac:dyDescent="0.35">
      <c r="A34" s="3"/>
      <c r="B34" s="8"/>
      <c r="C34" s="3"/>
      <c r="D34" s="3"/>
      <c r="E34" s="3"/>
      <c r="F34" s="3"/>
      <c r="G34" s="3"/>
      <c r="H34" s="7"/>
      <c r="I34" s="7"/>
      <c r="J34" s="12"/>
      <c r="K34" s="3"/>
      <c r="L34" s="1"/>
    </row>
    <row r="35" spans="1:19" ht="16.5" customHeight="1" x14ac:dyDescent="0.35">
      <c r="A35" s="3"/>
      <c r="B35" s="9" t="s">
        <v>89</v>
      </c>
      <c r="C35" s="3"/>
      <c r="D35" s="3"/>
      <c r="E35" s="3"/>
      <c r="F35" s="3"/>
      <c r="G35" s="3"/>
      <c r="H35" s="7"/>
      <c r="I35" s="7"/>
      <c r="J35" s="12"/>
      <c r="K35" s="3"/>
      <c r="L35" s="1"/>
    </row>
    <row r="36" spans="1:19" ht="16.5" customHeight="1" x14ac:dyDescent="0.35">
      <c r="A36" s="3"/>
      <c r="B36" s="8"/>
      <c r="C36" s="3"/>
      <c r="D36" s="3"/>
      <c r="E36" s="3"/>
      <c r="F36" s="3"/>
      <c r="G36" s="3"/>
      <c r="H36" s="7"/>
      <c r="I36" s="7"/>
      <c r="J36" s="12"/>
      <c r="K36" s="3"/>
      <c r="L36" s="1"/>
    </row>
    <row r="37" spans="1:19" ht="16.5" customHeight="1" x14ac:dyDescent="0.35">
      <c r="A37" s="3"/>
      <c r="B37" s="8" t="s">
        <v>90</v>
      </c>
      <c r="C37" s="3"/>
      <c r="D37" s="3"/>
      <c r="E37" s="3"/>
      <c r="F37" s="3"/>
      <c r="G37" s="3"/>
      <c r="H37" s="65"/>
      <c r="I37" s="65"/>
      <c r="J37" s="14" t="s">
        <v>0</v>
      </c>
      <c r="K37" s="3"/>
      <c r="L37" s="1"/>
      <c r="N37" s="29">
        <f>IF(LEN(H37)=0,0,IF(O31="Hydroelectric", MIN(100,H37), MIN(50,H37)))</f>
        <v>0</v>
      </c>
      <c r="O37" s="15" t="s">
        <v>0</v>
      </c>
    </row>
    <row r="38" spans="1:19" ht="16.5" customHeight="1" x14ac:dyDescent="0.35">
      <c r="A38" s="3"/>
      <c r="B38" s="23" t="s">
        <v>91</v>
      </c>
      <c r="C38" s="3"/>
      <c r="D38" s="3"/>
      <c r="E38" s="3"/>
      <c r="F38" s="3"/>
      <c r="G38" s="3"/>
      <c r="H38" s="31"/>
      <c r="I38" s="31"/>
      <c r="J38" s="12"/>
      <c r="K38" s="3"/>
      <c r="L38" s="1"/>
      <c r="O38" s="15"/>
    </row>
    <row r="39" spans="1:19" ht="16.5" customHeight="1" x14ac:dyDescent="0.35">
      <c r="A39" s="3"/>
      <c r="B39" s="23"/>
      <c r="C39" s="23"/>
      <c r="D39" s="23"/>
      <c r="E39" s="23"/>
      <c r="F39" s="23"/>
      <c r="G39" s="23"/>
      <c r="H39" s="23"/>
      <c r="I39" s="23"/>
      <c r="J39" s="23"/>
      <c r="K39" s="3"/>
      <c r="L39" s="1"/>
    </row>
    <row r="40" spans="1:19" ht="16.5" customHeight="1" x14ac:dyDescent="0.35">
      <c r="A40" s="3"/>
      <c r="B40" s="23" t="str">
        <f ca="1">"BASE FORMULA RATE = (" &amp; TEXT(R29, "$#,##0.00") &amp; " $/MW-DAY) x (" &amp; S40 &amp; " DAYS/YEAR) x (" &amp; N37 &amp; " MW) x (" &amp; TEXT(R31, "0.00") &amp; ") = "</f>
        <v xml:space="preserve">BASE FORMULA RATE = ($284.62 $/MW-DAY) x (365 DAYS/YEAR) x (0 MW) x (0.02) = </v>
      </c>
      <c r="C40" s="23"/>
      <c r="D40" s="23"/>
      <c r="E40" s="23"/>
      <c r="F40" s="23"/>
      <c r="G40" s="23"/>
      <c r="H40" s="24"/>
      <c r="I40" s="26">
        <f ca="1">N40</f>
        <v>0</v>
      </c>
      <c r="J40" s="12" t="s">
        <v>3</v>
      </c>
      <c r="K40" s="3"/>
      <c r="L40" s="1"/>
      <c r="N40" s="29">
        <f ca="1">R29 * N37 * R31 * 365</f>
        <v>0</v>
      </c>
      <c r="P40" s="41">
        <f>EDATE(H12, 12)</f>
        <v>366</v>
      </c>
      <c r="Q40" s="42">
        <f>YEAR(P40)</f>
        <v>1900</v>
      </c>
      <c r="R40" t="b">
        <f>DAY(EOMONTH(DATE(Q40,2,1),0))=29</f>
        <v>0</v>
      </c>
      <c r="S40">
        <f>IF(R40=TRUE,366,365)</f>
        <v>365</v>
      </c>
    </row>
    <row r="41" spans="1:19" ht="16.5" customHeight="1" x14ac:dyDescent="0.35">
      <c r="A41" s="3"/>
      <c r="B41" s="43" t="str">
        <f>IF(S40=366,"* - Calculation adjusted for leap year","")</f>
        <v/>
      </c>
      <c r="C41" s="3"/>
      <c r="D41" s="3"/>
      <c r="E41" s="3"/>
      <c r="F41" s="3"/>
      <c r="G41" s="3"/>
      <c r="H41" s="7"/>
      <c r="I41" s="7"/>
      <c r="J41" s="12"/>
      <c r="K41" s="3"/>
      <c r="L41" s="1"/>
    </row>
    <row r="42" spans="1:19" ht="16.5" customHeight="1" x14ac:dyDescent="0.35">
      <c r="A42" s="3"/>
      <c r="B42" s="9" t="s">
        <v>148</v>
      </c>
      <c r="C42" s="3"/>
      <c r="D42" s="3"/>
      <c r="E42" s="3"/>
      <c r="F42" s="3"/>
      <c r="G42" s="3"/>
      <c r="H42" s="3"/>
      <c r="I42" s="3"/>
      <c r="J42" s="3"/>
      <c r="K42" s="12"/>
      <c r="L42" s="1"/>
    </row>
    <row r="43" spans="1:19" ht="16.5" customHeight="1" x14ac:dyDescent="0.35">
      <c r="A43" s="3"/>
      <c r="C43" s="3"/>
      <c r="D43" s="3"/>
      <c r="E43" s="3"/>
      <c r="F43" s="3"/>
      <c r="G43" s="3"/>
      <c r="H43" s="3"/>
      <c r="I43" s="3"/>
      <c r="J43" s="3"/>
      <c r="K43" s="12"/>
      <c r="L43" s="1"/>
    </row>
    <row r="44" spans="1:19" ht="16.5" customHeight="1" x14ac:dyDescent="0.35">
      <c r="A44" s="3"/>
      <c r="B44" s="8" t="s">
        <v>173</v>
      </c>
      <c r="C44" s="3"/>
      <c r="D44" s="3"/>
      <c r="E44" s="3"/>
      <c r="F44" s="3"/>
      <c r="G44" s="3"/>
      <c r="H44" s="7"/>
      <c r="I44" s="7"/>
      <c r="J44" s="7"/>
      <c r="K44" s="12"/>
      <c r="L44" s="1"/>
    </row>
    <row r="45" spans="1:19" ht="16.5" customHeight="1" x14ac:dyDescent="0.35">
      <c r="A45" s="3"/>
      <c r="C45" s="3"/>
      <c r="D45" s="3"/>
      <c r="E45" s="3"/>
      <c r="F45" s="3"/>
      <c r="G45" s="3"/>
      <c r="H45" s="3"/>
      <c r="I45" s="3"/>
      <c r="J45" s="3"/>
      <c r="K45" s="12"/>
      <c r="L45" s="1"/>
      <c r="N45" s="29">
        <v>2</v>
      </c>
    </row>
    <row r="46" spans="1:19" ht="16.5" customHeight="1" x14ac:dyDescent="0.35">
      <c r="A46" s="3"/>
      <c r="B46" s="10"/>
      <c r="C46" s="10" t="s">
        <v>17</v>
      </c>
      <c r="D46" s="10"/>
      <c r="E46" s="3"/>
      <c r="F46" s="3"/>
      <c r="G46" s="67"/>
      <c r="H46" s="67"/>
      <c r="I46" s="67"/>
      <c r="J46" s="14" t="s">
        <v>3</v>
      </c>
      <c r="K46" s="30"/>
      <c r="M46" s="29"/>
      <c r="N46">
        <f>G46</f>
        <v>0</v>
      </c>
    </row>
    <row r="47" spans="1:19" ht="16.5" customHeight="1" x14ac:dyDescent="0.35">
      <c r="A47" s="3"/>
      <c r="C47" s="3"/>
      <c r="D47" s="3"/>
      <c r="E47" s="3"/>
      <c r="F47" s="3"/>
      <c r="G47" s="3"/>
      <c r="H47" s="3"/>
      <c r="I47" s="3"/>
      <c r="J47" s="12"/>
      <c r="K47" s="30"/>
      <c r="M47" s="29"/>
      <c r="N47"/>
    </row>
    <row r="48" spans="1:19" ht="16.5" customHeight="1" x14ac:dyDescent="0.35">
      <c r="A48" s="3"/>
      <c r="B48" s="10"/>
      <c r="C48" s="10" t="s">
        <v>18</v>
      </c>
      <c r="D48" s="10"/>
      <c r="E48" s="3"/>
      <c r="F48" s="3"/>
      <c r="G48" s="65">
        <v>0</v>
      </c>
      <c r="H48" s="65"/>
      <c r="I48" s="65"/>
      <c r="J48" s="14" t="s">
        <v>3</v>
      </c>
      <c r="K48" s="30"/>
      <c r="M48" s="29"/>
      <c r="N48">
        <f>G48</f>
        <v>0</v>
      </c>
    </row>
    <row r="49" spans="1:14" ht="16.5" customHeight="1" x14ac:dyDescent="0.35">
      <c r="A49" s="3"/>
      <c r="C49" s="3"/>
      <c r="D49" s="3"/>
      <c r="E49" s="3"/>
      <c r="F49" s="3"/>
      <c r="G49" s="3"/>
      <c r="H49" s="3"/>
      <c r="I49" s="3"/>
      <c r="J49" s="12"/>
      <c r="K49" s="30"/>
      <c r="M49" s="29"/>
      <c r="N49"/>
    </row>
    <row r="50" spans="1:14" ht="16.5" customHeight="1" x14ac:dyDescent="0.35">
      <c r="A50" s="3"/>
      <c r="B50" s="10"/>
      <c r="C50" s="10" t="s">
        <v>19</v>
      </c>
      <c r="D50" s="10"/>
      <c r="E50" s="3"/>
      <c r="F50" s="3"/>
      <c r="G50" s="65">
        <v>0</v>
      </c>
      <c r="H50" s="65"/>
      <c r="I50" s="65"/>
      <c r="J50" s="14" t="s">
        <v>3</v>
      </c>
      <c r="K50" s="30"/>
      <c r="M50" s="29"/>
      <c r="N50">
        <f>G50</f>
        <v>0</v>
      </c>
    </row>
    <row r="51" spans="1:14" ht="16.5" customHeight="1" x14ac:dyDescent="0.35">
      <c r="A51" s="3"/>
      <c r="B51" s="10"/>
      <c r="C51" s="10"/>
      <c r="D51" s="10"/>
      <c r="E51" s="3"/>
      <c r="F51" s="3"/>
      <c r="G51" s="7"/>
      <c r="H51" s="7"/>
      <c r="I51" s="7"/>
      <c r="J51" s="12"/>
      <c r="K51" s="30"/>
      <c r="M51" s="29"/>
      <c r="N51"/>
    </row>
    <row r="52" spans="1:14" ht="16.5" customHeight="1" x14ac:dyDescent="0.35">
      <c r="A52" s="3"/>
      <c r="B52" s="10"/>
      <c r="C52" s="3" t="s">
        <v>21</v>
      </c>
      <c r="D52" s="10"/>
      <c r="E52" s="3"/>
      <c r="F52" s="3"/>
      <c r="G52" s="69">
        <f>N52</f>
        <v>0</v>
      </c>
      <c r="H52" s="69"/>
      <c r="I52" s="69"/>
      <c r="J52" s="14" t="s">
        <v>3</v>
      </c>
      <c r="K52" s="30"/>
      <c r="M52" s="29"/>
      <c r="N52">
        <f>SUM(N46,N48,N50)</f>
        <v>0</v>
      </c>
    </row>
    <row r="53" spans="1:14" ht="16.5" customHeight="1" x14ac:dyDescent="0.35">
      <c r="A53" s="3"/>
      <c r="B53" s="10"/>
      <c r="C53" s="3"/>
      <c r="D53" s="3"/>
      <c r="E53" s="3"/>
      <c r="F53" s="3"/>
      <c r="G53" s="3"/>
      <c r="H53" s="3"/>
      <c r="I53" s="3"/>
      <c r="J53" s="3"/>
      <c r="K53" s="12"/>
      <c r="L53" s="1"/>
    </row>
    <row r="54" spans="1:14" ht="16.5" customHeight="1" x14ac:dyDescent="0.35">
      <c r="A54" s="3"/>
      <c r="B54" s="8"/>
      <c r="C54" s="8" t="s">
        <v>147</v>
      </c>
      <c r="D54" s="3"/>
      <c r="E54" s="3"/>
      <c r="F54" s="3"/>
      <c r="G54" s="3"/>
      <c r="H54" s="70"/>
      <c r="I54" s="70"/>
      <c r="J54" s="70"/>
      <c r="K54" s="30"/>
      <c r="M54" s="29"/>
      <c r="N54">
        <f>H54</f>
        <v>0</v>
      </c>
    </row>
    <row r="55" spans="1:14" ht="16.5" customHeight="1" x14ac:dyDescent="0.35">
      <c r="A55" s="3"/>
      <c r="B55" s="8"/>
      <c r="C55" s="49" t="s">
        <v>146</v>
      </c>
      <c r="D55" s="3"/>
      <c r="E55" s="3"/>
      <c r="F55" s="3"/>
      <c r="G55" s="3"/>
      <c r="H55" s="46"/>
      <c r="I55" s="46"/>
      <c r="J55" s="46"/>
      <c r="K55" s="30"/>
      <c r="M55" s="29"/>
      <c r="N55"/>
    </row>
    <row r="56" spans="1:14" ht="16.5" customHeight="1" x14ac:dyDescent="0.35">
      <c r="A56" s="3"/>
      <c r="B56" s="8"/>
      <c r="C56" s="3"/>
      <c r="D56" s="3"/>
      <c r="E56" s="3"/>
      <c r="F56" s="3"/>
      <c r="G56" s="3"/>
      <c r="H56" s="46"/>
      <c r="I56" s="46"/>
      <c r="J56" s="46"/>
      <c r="K56" s="30"/>
      <c r="M56" s="29"/>
      <c r="N56"/>
    </row>
    <row r="57" spans="1:14" ht="16.5" customHeight="1" x14ac:dyDescent="0.35">
      <c r="A57" s="3"/>
      <c r="B57" s="8" t="s">
        <v>140</v>
      </c>
      <c r="C57" s="3"/>
      <c r="D57" s="3"/>
      <c r="E57" s="3"/>
      <c r="F57" s="3"/>
      <c r="G57" s="3"/>
      <c r="H57" s="7"/>
      <c r="I57" s="7"/>
      <c r="J57" s="12"/>
      <c r="K57" s="12"/>
      <c r="M57" s="29"/>
      <c r="N57"/>
    </row>
    <row r="58" spans="1:14" ht="16.5" customHeight="1" x14ac:dyDescent="0.35">
      <c r="A58" s="3"/>
      <c r="C58" s="3"/>
      <c r="D58" s="3"/>
      <c r="E58" s="3"/>
      <c r="F58" s="3"/>
      <c r="G58" s="3"/>
      <c r="H58" s="3"/>
      <c r="I58" s="3"/>
      <c r="J58" s="12"/>
      <c r="K58" s="12"/>
      <c r="M58" s="29"/>
      <c r="N58"/>
    </row>
    <row r="59" spans="1:14" ht="16.5" customHeight="1" x14ac:dyDescent="0.35">
      <c r="A59" s="3"/>
      <c r="B59" s="10"/>
      <c r="C59" s="3"/>
      <c r="D59" s="10" t="s">
        <v>17</v>
      </c>
      <c r="E59" s="10"/>
      <c r="F59" s="3"/>
      <c r="G59" s="3"/>
      <c r="H59" s="67">
        <v>0</v>
      </c>
      <c r="I59" s="67"/>
      <c r="J59" s="14" t="s">
        <v>3</v>
      </c>
      <c r="K59" s="12"/>
      <c r="M59" s="29"/>
      <c r="N59" s="51">
        <f>H59</f>
        <v>0</v>
      </c>
    </row>
    <row r="60" spans="1:14" ht="16.5" customHeight="1" x14ac:dyDescent="0.35">
      <c r="A60" s="3"/>
      <c r="C60" s="3"/>
      <c r="D60" s="3"/>
      <c r="E60" s="3"/>
      <c r="F60" s="3"/>
      <c r="G60" s="3"/>
      <c r="H60" s="47"/>
      <c r="I60" s="47"/>
      <c r="J60" s="12"/>
      <c r="K60" s="12"/>
      <c r="M60" s="29"/>
      <c r="N60" s="50"/>
    </row>
    <row r="61" spans="1:14" ht="16.5" customHeight="1" x14ac:dyDescent="0.35">
      <c r="A61" s="3"/>
      <c r="B61" s="10"/>
      <c r="C61" s="3"/>
      <c r="D61" s="10" t="s">
        <v>18</v>
      </c>
      <c r="E61" s="10"/>
      <c r="F61" s="3"/>
      <c r="G61" s="3"/>
      <c r="H61" s="67">
        <v>0</v>
      </c>
      <c r="I61" s="67"/>
      <c r="J61" s="14" t="s">
        <v>3</v>
      </c>
      <c r="K61" s="12"/>
      <c r="M61" s="29"/>
      <c r="N61" s="50">
        <f t="shared" ref="N61:N63" si="0">H61</f>
        <v>0</v>
      </c>
    </row>
    <row r="62" spans="1:14" ht="16.5" customHeight="1" x14ac:dyDescent="0.35">
      <c r="A62" s="3"/>
      <c r="C62" s="3"/>
      <c r="D62" s="3"/>
      <c r="E62" s="3"/>
      <c r="F62" s="3"/>
      <c r="G62" s="3"/>
      <c r="H62" s="47"/>
      <c r="I62" s="47"/>
      <c r="J62" s="12"/>
      <c r="K62" s="12"/>
      <c r="M62" s="29"/>
      <c r="N62" s="50"/>
    </row>
    <row r="63" spans="1:14" ht="16.5" customHeight="1" x14ac:dyDescent="0.35">
      <c r="A63" s="3"/>
      <c r="B63" s="10"/>
      <c r="C63" s="3"/>
      <c r="D63" s="10" t="s">
        <v>19</v>
      </c>
      <c r="E63" s="10"/>
      <c r="F63" s="3"/>
      <c r="G63" s="3"/>
      <c r="H63" s="67">
        <v>0</v>
      </c>
      <c r="I63" s="67"/>
      <c r="J63" s="14" t="s">
        <v>3</v>
      </c>
      <c r="K63" s="12"/>
      <c r="M63" s="29"/>
      <c r="N63" s="50">
        <f t="shared" si="0"/>
        <v>0</v>
      </c>
    </row>
    <row r="64" spans="1:14" ht="16.5" customHeight="1" x14ac:dyDescent="0.35">
      <c r="A64" s="3"/>
      <c r="B64" s="10"/>
      <c r="C64" s="3"/>
      <c r="D64" s="10"/>
      <c r="E64" s="10"/>
      <c r="F64" s="3"/>
      <c r="G64" s="3"/>
      <c r="H64" s="48"/>
      <c r="I64" s="48"/>
      <c r="J64" s="12"/>
      <c r="K64" s="12"/>
      <c r="M64" s="29"/>
      <c r="N64"/>
    </row>
    <row r="65" spans="1:14" ht="16.5" customHeight="1" x14ac:dyDescent="0.35">
      <c r="A65" s="3"/>
      <c r="B65" s="10"/>
      <c r="C65" s="3"/>
      <c r="D65" s="3" t="s">
        <v>21</v>
      </c>
      <c r="E65" s="10"/>
      <c r="F65" s="3"/>
      <c r="G65" s="3"/>
      <c r="H65" s="69">
        <f>N65</f>
        <v>0</v>
      </c>
      <c r="I65" s="69"/>
      <c r="J65" s="14" t="s">
        <v>3</v>
      </c>
      <c r="K65" s="12"/>
      <c r="M65" s="29"/>
      <c r="N65" s="50">
        <f>IF(N33=2,SUM(N59,N61,N63),0)</f>
        <v>0</v>
      </c>
    </row>
    <row r="66" spans="1:14" ht="16.5" customHeight="1" x14ac:dyDescent="0.35">
      <c r="A66" s="3"/>
      <c r="B66" s="10"/>
      <c r="C66" s="3"/>
      <c r="D66" s="3"/>
      <c r="E66" s="10"/>
      <c r="F66" s="3"/>
      <c r="G66" s="3"/>
      <c r="H66" s="33"/>
      <c r="I66" s="33"/>
      <c r="J66" s="12"/>
      <c r="K66" s="12"/>
      <c r="M66" s="29"/>
    </row>
    <row r="67" spans="1:14" ht="16.5" customHeight="1" x14ac:dyDescent="0.35">
      <c r="A67" s="3"/>
      <c r="B67" s="10"/>
      <c r="C67" s="8" t="s">
        <v>145</v>
      </c>
      <c r="D67" s="3"/>
      <c r="E67" s="10"/>
      <c r="F67" s="3"/>
      <c r="G67" s="3"/>
      <c r="H67" s="70"/>
      <c r="I67" s="70"/>
      <c r="J67" s="70"/>
      <c r="K67" s="12"/>
      <c r="M67" s="29"/>
      <c r="N67">
        <f>H67</f>
        <v>0</v>
      </c>
    </row>
    <row r="68" spans="1:14" ht="16.5" customHeight="1" x14ac:dyDescent="0.35">
      <c r="A68" s="3"/>
      <c r="B68" s="8"/>
      <c r="C68" s="49" t="s">
        <v>146</v>
      </c>
      <c r="D68" s="3"/>
      <c r="E68" s="3"/>
      <c r="F68" s="3"/>
      <c r="G68" s="3"/>
      <c r="H68" s="46"/>
      <c r="I68" s="46"/>
      <c r="J68" s="46"/>
      <c r="K68" s="30"/>
      <c r="M68" s="29"/>
      <c r="N68"/>
    </row>
    <row r="69" spans="1:14" ht="16.5" customHeight="1" x14ac:dyDescent="0.35">
      <c r="A69" s="3"/>
      <c r="B69" s="8"/>
      <c r="C69" s="3"/>
      <c r="D69" s="3"/>
      <c r="E69" s="3"/>
      <c r="F69" s="3"/>
      <c r="G69" s="3"/>
      <c r="H69" s="46"/>
      <c r="I69" s="46"/>
      <c r="J69" s="46"/>
      <c r="K69" s="30"/>
      <c r="M69" s="29"/>
      <c r="N69"/>
    </row>
    <row r="70" spans="1:14" ht="16.5" customHeight="1" x14ac:dyDescent="0.35">
      <c r="A70" s="3"/>
      <c r="B70" s="8" t="s">
        <v>87</v>
      </c>
      <c r="C70" s="3"/>
      <c r="D70" s="3"/>
      <c r="E70" s="3"/>
      <c r="F70" s="3"/>
      <c r="G70" s="3"/>
      <c r="H70" s="74"/>
      <c r="I70" s="74"/>
      <c r="J70" s="14" t="s">
        <v>20</v>
      </c>
      <c r="K70" s="30"/>
      <c r="M70" s="29"/>
      <c r="N70"/>
    </row>
    <row r="71" spans="1:14" ht="16.5" customHeight="1" x14ac:dyDescent="0.35">
      <c r="A71" s="3"/>
      <c r="B71" s="8"/>
      <c r="C71" s="3"/>
      <c r="D71" s="3"/>
      <c r="E71" s="3"/>
      <c r="F71" s="3"/>
      <c r="G71" s="3"/>
      <c r="H71" s="7"/>
      <c r="I71" s="7"/>
      <c r="J71" s="12"/>
      <c r="K71" s="30"/>
      <c r="M71" s="29"/>
      <c r="N71"/>
    </row>
    <row r="72" spans="1:14" ht="16.5" customHeight="1" x14ac:dyDescent="0.35">
      <c r="A72" s="3"/>
      <c r="B72" s="8" t="s">
        <v>127</v>
      </c>
      <c r="C72" s="3"/>
      <c r="D72" s="3"/>
      <c r="E72" s="3"/>
      <c r="F72" s="3"/>
      <c r="G72" s="3"/>
      <c r="H72" s="66"/>
      <c r="I72" s="66"/>
      <c r="J72" s="12"/>
      <c r="K72" s="30"/>
      <c r="M72" s="29"/>
      <c r="N72"/>
    </row>
    <row r="73" spans="1:14" ht="16.5" customHeight="1" x14ac:dyDescent="0.35">
      <c r="A73" s="3"/>
      <c r="B73" s="8"/>
      <c r="C73" s="3"/>
      <c r="D73" s="3"/>
      <c r="E73" s="3"/>
      <c r="F73" s="3"/>
      <c r="G73" s="3"/>
      <c r="H73" s="7"/>
      <c r="I73" s="7"/>
      <c r="J73" s="12"/>
      <c r="K73" s="30"/>
      <c r="M73" s="29"/>
      <c r="N73"/>
    </row>
    <row r="74" spans="1:14" ht="16.5" customHeight="1" x14ac:dyDescent="0.35">
      <c r="A74" s="3"/>
      <c r="B74" s="8" t="s">
        <v>88</v>
      </c>
      <c r="C74" s="3"/>
      <c r="D74" s="3"/>
      <c r="E74" s="3"/>
      <c r="F74" s="3"/>
      <c r="G74" s="3"/>
      <c r="H74" s="74"/>
      <c r="I74" s="74"/>
      <c r="J74" s="14" t="s">
        <v>20</v>
      </c>
      <c r="K74" s="30"/>
      <c r="M74" s="29"/>
      <c r="N74"/>
    </row>
    <row r="75" spans="1:14" ht="16.5" customHeight="1" x14ac:dyDescent="0.35">
      <c r="A75" s="3"/>
      <c r="B75" s="8"/>
      <c r="C75" s="3"/>
      <c r="D75" s="3"/>
      <c r="E75" s="3"/>
      <c r="F75" s="3"/>
      <c r="G75" s="3"/>
      <c r="H75" s="7"/>
      <c r="I75" s="7"/>
      <c r="J75" s="12"/>
      <c r="K75" s="30"/>
      <c r="M75" s="29"/>
      <c r="N75"/>
    </row>
    <row r="76" spans="1:14" ht="16.5" customHeight="1" x14ac:dyDescent="0.35">
      <c r="A76" s="3"/>
      <c r="B76" s="3" t="str">
        <f>"NERC-CIP RECOVERY = ( " &amp; TEXT(N52, "$#,##0.00") &amp; "  ) x ( " &amp; N54 &amp;"  )  = "</f>
        <v xml:space="preserve">NERC-CIP RECOVERY = ( $0.00  ) x ( 0  )  = </v>
      </c>
      <c r="C76" s="3"/>
      <c r="D76" s="3"/>
      <c r="E76" s="3"/>
      <c r="F76" s="3"/>
      <c r="G76" s="3"/>
      <c r="H76" s="7"/>
      <c r="I76" s="32">
        <f>N76</f>
        <v>0</v>
      </c>
      <c r="J76" s="12" t="s">
        <v>3</v>
      </c>
      <c r="K76" s="30"/>
      <c r="M76" s="29"/>
      <c r="N76">
        <f>N54*N52</f>
        <v>0</v>
      </c>
    </row>
    <row r="77" spans="1:14" ht="16.5" customHeight="1" x14ac:dyDescent="0.35">
      <c r="A77" s="3"/>
      <c r="B77" s="3" t="str">
        <f>"FA CAPITAL COST RECOVERY = ( " &amp; TEXT(N65, "$#,##0.00") &amp; "  ) x ( " &amp; N67 &amp;"  )  = "</f>
        <v xml:space="preserve">FA CAPITAL COST RECOVERY = ( $0.00  ) x ( 0  )  = </v>
      </c>
      <c r="C77" s="3"/>
      <c r="D77" s="3"/>
      <c r="E77" s="3"/>
      <c r="F77" s="3"/>
      <c r="G77" s="3"/>
      <c r="H77" s="7"/>
      <c r="I77" s="32">
        <f>N77</f>
        <v>0</v>
      </c>
      <c r="J77" s="12" t="s">
        <v>3</v>
      </c>
      <c r="K77" s="30"/>
      <c r="M77" s="29"/>
      <c r="N77">
        <f>H67*H65</f>
        <v>0</v>
      </c>
    </row>
    <row r="78" spans="1:14" ht="16.5" customHeight="1" x14ac:dyDescent="0.35">
      <c r="A78" s="3"/>
      <c r="B78" s="5"/>
      <c r="C78" s="3"/>
      <c r="D78" s="3"/>
      <c r="E78" s="3"/>
      <c r="F78" s="3"/>
      <c r="G78" s="3"/>
      <c r="H78" s="7"/>
      <c r="I78" s="7"/>
      <c r="J78" s="12"/>
      <c r="K78" s="3"/>
      <c r="L78" s="1"/>
    </row>
    <row r="79" spans="1:14" ht="16.5" customHeight="1" x14ac:dyDescent="0.35">
      <c r="A79" s="3"/>
      <c r="B79" s="8" t="s">
        <v>174</v>
      </c>
      <c r="C79" s="3"/>
      <c r="D79" s="3"/>
      <c r="E79" s="3"/>
      <c r="F79" s="3"/>
      <c r="G79" s="3"/>
      <c r="H79" s="7"/>
      <c r="I79" s="62">
        <f>I76+I77</f>
        <v>0</v>
      </c>
      <c r="J79" s="63" t="s">
        <v>3</v>
      </c>
      <c r="K79" s="3"/>
      <c r="L79" s="1"/>
    </row>
    <row r="80" spans="1:14" ht="16.5" customHeight="1" x14ac:dyDescent="0.35">
      <c r="A80" s="3"/>
      <c r="B80" s="5"/>
      <c r="C80" s="3"/>
      <c r="D80" s="3"/>
      <c r="E80" s="3"/>
      <c r="F80" s="3"/>
      <c r="G80" s="3"/>
      <c r="H80" s="7"/>
      <c r="I80" s="7"/>
      <c r="J80" s="12"/>
      <c r="K80" s="3"/>
      <c r="L80" s="1"/>
    </row>
    <row r="81" spans="1:19" ht="16.5" customHeight="1" x14ac:dyDescent="0.35">
      <c r="A81" s="3"/>
      <c r="B81" s="5"/>
      <c r="C81" s="3"/>
      <c r="D81" s="3"/>
      <c r="E81" s="3"/>
      <c r="F81" s="3"/>
      <c r="G81" s="3"/>
      <c r="H81" s="7"/>
      <c r="I81" s="7"/>
      <c r="J81" s="12"/>
      <c r="K81" s="3"/>
      <c r="L81" s="1"/>
    </row>
    <row r="82" spans="1:19" ht="16.5" customHeight="1" x14ac:dyDescent="0.35">
      <c r="A82" s="3"/>
      <c r="B82" s="9" t="s">
        <v>82</v>
      </c>
      <c r="C82" s="3"/>
      <c r="D82" s="3"/>
      <c r="E82" s="3"/>
      <c r="F82" s="3"/>
      <c r="G82" s="3"/>
      <c r="H82" s="7"/>
      <c r="I82" s="7"/>
      <c r="J82" s="12"/>
      <c r="K82" s="3"/>
      <c r="L82" s="1"/>
    </row>
    <row r="83" spans="1:19" ht="16.5" customHeight="1" x14ac:dyDescent="0.35">
      <c r="A83" s="3"/>
      <c r="B83" s="5"/>
      <c r="C83" s="3"/>
      <c r="D83" s="3"/>
      <c r="E83" s="3"/>
      <c r="F83" s="3"/>
      <c r="G83" s="3"/>
      <c r="H83" s="7"/>
      <c r="I83" s="7"/>
      <c r="J83" s="12"/>
      <c r="K83" s="3"/>
      <c r="L83" s="1"/>
    </row>
    <row r="84" spans="1:19" ht="16.5" customHeight="1" x14ac:dyDescent="0.35">
      <c r="A84" s="3"/>
      <c r="B84" s="59" t="s">
        <v>157</v>
      </c>
      <c r="C84" s="60"/>
      <c r="D84" s="60"/>
      <c r="E84" s="3"/>
      <c r="F84" s="3"/>
      <c r="G84" s="8" t="s">
        <v>165</v>
      </c>
      <c r="H84" s="7"/>
      <c r="I84" s="64">
        <f ca="1">S85</f>
        <v>1</v>
      </c>
      <c r="J84" s="64"/>
      <c r="K84" s="3"/>
      <c r="L84" s="1"/>
    </row>
    <row r="85" spans="1:19" ht="16.5" customHeight="1" x14ac:dyDescent="0.35">
      <c r="A85" s="3"/>
      <c r="B85" s="5"/>
      <c r="C85" s="3"/>
      <c r="D85" s="3"/>
      <c r="E85" s="3"/>
      <c r="F85" s="3"/>
      <c r="G85" s="3"/>
      <c r="H85" s="7"/>
      <c r="I85" s="7"/>
      <c r="J85" s="12"/>
      <c r="K85" s="3"/>
      <c r="L85" s="1"/>
      <c r="O85" s="29">
        <v>1</v>
      </c>
      <c r="P85" t="str">
        <f ca="1">OFFSET($AX$1,O85,0)</f>
        <v>Black Start O&amp;M Costs</v>
      </c>
      <c r="S85">
        <f ca="1">OFFSET($AX$1,O85,1)</f>
        <v>1</v>
      </c>
    </row>
    <row r="86" spans="1:19" ht="16.5" customHeight="1" x14ac:dyDescent="0.35">
      <c r="A86" s="3"/>
      <c r="B86" s="5"/>
      <c r="C86" s="3"/>
      <c r="D86" s="3"/>
      <c r="E86" s="3"/>
      <c r="F86" s="3"/>
      <c r="G86" s="3"/>
      <c r="H86" s="7"/>
      <c r="I86" s="7"/>
      <c r="J86" s="12"/>
      <c r="K86" s="3"/>
      <c r="L86" s="1"/>
    </row>
    <row r="87" spans="1:19" ht="16.5" customHeight="1" x14ac:dyDescent="0.35">
      <c r="A87" s="3"/>
      <c r="B87" s="8" t="s">
        <v>160</v>
      </c>
      <c r="C87" s="3"/>
      <c r="D87" s="3"/>
      <c r="E87" s="3"/>
      <c r="F87" s="3"/>
      <c r="G87" s="3"/>
      <c r="H87" s="71"/>
      <c r="I87" s="71"/>
      <c r="J87" s="14" t="s">
        <v>3</v>
      </c>
      <c r="K87" s="3"/>
      <c r="L87" s="1"/>
    </row>
    <row r="88" spans="1:19" ht="16.5" customHeight="1" x14ac:dyDescent="0.35">
      <c r="A88" s="3"/>
      <c r="B88" s="5" t="s">
        <v>22</v>
      </c>
      <c r="C88" s="3"/>
      <c r="D88" s="3"/>
      <c r="E88" s="3"/>
      <c r="F88" s="3"/>
      <c r="G88" s="3"/>
      <c r="H88" s="7"/>
      <c r="I88" s="7"/>
      <c r="J88" s="12"/>
      <c r="K88" s="3"/>
      <c r="L88" s="1"/>
    </row>
    <row r="89" spans="1:19" ht="15.5" x14ac:dyDescent="0.35">
      <c r="A89" s="3"/>
      <c r="B89" s="3"/>
      <c r="C89" s="3"/>
      <c r="D89" s="3"/>
      <c r="E89" s="3"/>
      <c r="F89" s="3"/>
      <c r="G89" s="3"/>
      <c r="H89" s="7"/>
      <c r="I89" s="7"/>
      <c r="J89" s="12"/>
      <c r="K89" s="3"/>
    </row>
    <row r="90" spans="1:19" ht="16.5" customHeight="1" x14ac:dyDescent="0.35">
      <c r="A90" s="3"/>
      <c r="B90" s="23" t="s">
        <v>71</v>
      </c>
      <c r="C90" s="23"/>
      <c r="D90" s="23"/>
      <c r="E90" s="23"/>
      <c r="F90" s="23"/>
      <c r="G90" s="23"/>
      <c r="H90" s="24"/>
      <c r="I90" s="26">
        <f ca="1">IF(O31 = 1, 0, H87 * I84 )</f>
        <v>0</v>
      </c>
      <c r="J90" s="12" t="s">
        <v>3</v>
      </c>
      <c r="K90" s="3"/>
      <c r="L90" s="1"/>
    </row>
    <row r="91" spans="1:19" ht="16.5" customHeight="1" x14ac:dyDescent="0.35">
      <c r="A91" s="3"/>
      <c r="C91" s="3"/>
      <c r="D91" s="3"/>
      <c r="E91" s="3"/>
      <c r="F91" s="3"/>
      <c r="G91" s="3"/>
      <c r="H91" s="7"/>
      <c r="J91" s="12"/>
      <c r="K91" s="3"/>
      <c r="L91" s="1"/>
    </row>
    <row r="92" spans="1:19" ht="16.5" customHeight="1" x14ac:dyDescent="0.35">
      <c r="A92" s="3"/>
      <c r="C92" s="3"/>
      <c r="D92" s="3"/>
      <c r="E92" s="3"/>
      <c r="F92" s="3"/>
      <c r="G92" s="3"/>
      <c r="H92" s="7"/>
      <c r="J92" s="12"/>
      <c r="K92" s="3"/>
      <c r="L92" s="1"/>
    </row>
    <row r="93" spans="1:19" ht="16.5" customHeight="1" x14ac:dyDescent="0.35">
      <c r="A93" s="3"/>
      <c r="B93" s="9" t="s">
        <v>83</v>
      </c>
      <c r="C93" s="3"/>
      <c r="D93" s="3"/>
      <c r="E93" s="3"/>
      <c r="F93" s="3"/>
      <c r="G93" s="3"/>
      <c r="H93" s="7"/>
      <c r="I93" s="7"/>
      <c r="J93" s="12"/>
      <c r="K93" s="3"/>
      <c r="L93" s="1"/>
    </row>
    <row r="94" spans="1:19" ht="16.5" customHeight="1" x14ac:dyDescent="0.35">
      <c r="A94" s="3"/>
      <c r="C94" s="3"/>
      <c r="D94" s="3"/>
      <c r="E94" s="3"/>
      <c r="F94" s="3"/>
      <c r="G94" s="3"/>
      <c r="H94" s="7"/>
      <c r="I94" s="7"/>
      <c r="J94" s="12"/>
      <c r="K94" s="3"/>
      <c r="L94" s="1"/>
    </row>
    <row r="95" spans="1:19" ht="16.5" customHeight="1" x14ac:dyDescent="0.35">
      <c r="A95" s="3"/>
      <c r="B95" s="23" t="s">
        <v>72</v>
      </c>
      <c r="C95" s="3"/>
      <c r="D95" s="3"/>
      <c r="E95" s="3"/>
      <c r="F95" s="3"/>
      <c r="G95" s="3"/>
      <c r="H95" s="7"/>
      <c r="I95" s="26">
        <v>3750</v>
      </c>
      <c r="J95" s="12" t="s">
        <v>3</v>
      </c>
      <c r="K95" s="3"/>
      <c r="L95" s="1"/>
    </row>
    <row r="96" spans="1:19" ht="15.5" x14ac:dyDescent="0.35">
      <c r="A96" s="3"/>
      <c r="C96" s="3"/>
      <c r="D96" s="3"/>
      <c r="E96" s="3"/>
      <c r="F96" s="3"/>
      <c r="G96" s="3"/>
      <c r="H96" s="7"/>
      <c r="I96" s="7"/>
      <c r="J96" s="12"/>
      <c r="K96" s="3"/>
      <c r="L96" s="1"/>
    </row>
    <row r="97" spans="1:39" ht="16.5" customHeight="1" x14ac:dyDescent="0.35">
      <c r="A97" s="3"/>
      <c r="B97" s="8" t="s">
        <v>73</v>
      </c>
      <c r="C97" s="3"/>
      <c r="D97" s="3"/>
      <c r="E97" s="3"/>
      <c r="F97" s="3"/>
      <c r="G97" s="3"/>
      <c r="H97" s="74">
        <v>2</v>
      </c>
      <c r="I97" s="74"/>
      <c r="J97" s="12"/>
      <c r="K97" s="3"/>
      <c r="L97" s="1"/>
    </row>
    <row r="98" spans="1:39" ht="16.5" customHeight="1" x14ac:dyDescent="0.35">
      <c r="A98" s="3"/>
      <c r="C98" s="3"/>
      <c r="D98" s="3"/>
      <c r="E98" s="3"/>
      <c r="F98" s="3"/>
      <c r="G98" s="3"/>
      <c r="H98" s="7"/>
      <c r="I98" s="7"/>
      <c r="J98" s="12"/>
      <c r="K98" s="3"/>
      <c r="L98" s="1"/>
    </row>
    <row r="99" spans="1:39" s="29" customFormat="1" ht="16.5" customHeight="1" x14ac:dyDescent="0.35">
      <c r="A99" s="3"/>
      <c r="B99" s="23" t="s">
        <v>74</v>
      </c>
      <c r="C99" s="3"/>
      <c r="D99" s="3"/>
      <c r="E99" s="3"/>
      <c r="F99" s="3"/>
      <c r="G99" s="3"/>
      <c r="H99" s="7"/>
      <c r="I99" s="26">
        <f>I95 / H97</f>
        <v>1875</v>
      </c>
      <c r="J99" s="12" t="s">
        <v>3</v>
      </c>
      <c r="K99" s="3"/>
      <c r="L99" s="1"/>
      <c r="M99" s="3"/>
      <c r="O99"/>
      <c r="P99"/>
      <c r="Q99"/>
      <c r="R99"/>
      <c r="S99"/>
      <c r="T99"/>
      <c r="U99"/>
      <c r="V99"/>
      <c r="W99"/>
      <c r="X99"/>
      <c r="Y99"/>
      <c r="Z99"/>
      <c r="AA99"/>
      <c r="AB99"/>
      <c r="AC99"/>
      <c r="AD99"/>
      <c r="AE99"/>
      <c r="AF99"/>
      <c r="AG99"/>
      <c r="AH99"/>
      <c r="AI99"/>
      <c r="AJ99"/>
      <c r="AK99"/>
      <c r="AL99"/>
      <c r="AM99"/>
    </row>
    <row r="100" spans="1:39" s="29" customFormat="1" ht="16.5" customHeight="1" x14ac:dyDescent="0.35">
      <c r="A100" s="3"/>
      <c r="B100"/>
      <c r="C100" s="3"/>
      <c r="D100" s="3"/>
      <c r="E100" s="3"/>
      <c r="F100" s="3"/>
      <c r="G100" s="3"/>
      <c r="H100" s="7"/>
      <c r="I100" s="7"/>
      <c r="J100" s="12"/>
      <c r="K100" s="3"/>
      <c r="L100" s="1"/>
      <c r="M100" s="3"/>
      <c r="O100"/>
      <c r="P100"/>
      <c r="Q100"/>
      <c r="R100"/>
      <c r="S100"/>
      <c r="T100"/>
      <c r="U100"/>
      <c r="V100"/>
      <c r="W100"/>
      <c r="X100"/>
      <c r="Y100"/>
      <c r="Z100"/>
      <c r="AA100"/>
      <c r="AB100"/>
      <c r="AC100"/>
      <c r="AD100"/>
      <c r="AE100"/>
      <c r="AF100"/>
      <c r="AG100"/>
      <c r="AH100"/>
      <c r="AI100"/>
      <c r="AJ100"/>
      <c r="AK100"/>
      <c r="AL100"/>
      <c r="AM100"/>
    </row>
    <row r="101" spans="1:39" s="29" customFormat="1" ht="16.5" customHeight="1" x14ac:dyDescent="0.35">
      <c r="A101" s="3"/>
      <c r="B101"/>
      <c r="C101" s="3"/>
      <c r="D101" s="3"/>
      <c r="E101" s="3"/>
      <c r="F101" s="3"/>
      <c r="G101" s="3"/>
      <c r="H101" s="7"/>
      <c r="I101" s="7"/>
      <c r="J101" s="12"/>
      <c r="K101" s="3"/>
      <c r="L101" s="1"/>
      <c r="M101" s="3"/>
      <c r="O101"/>
      <c r="P101"/>
      <c r="Q101"/>
      <c r="R101"/>
      <c r="S101"/>
      <c r="T101"/>
      <c r="U101"/>
      <c r="V101"/>
      <c r="W101"/>
      <c r="X101"/>
      <c r="Y101"/>
      <c r="Z101"/>
      <c r="AA101"/>
      <c r="AB101"/>
      <c r="AC101"/>
      <c r="AD101"/>
      <c r="AE101"/>
      <c r="AF101"/>
      <c r="AG101"/>
      <c r="AH101"/>
      <c r="AI101"/>
      <c r="AJ101"/>
      <c r="AK101"/>
      <c r="AL101"/>
      <c r="AM101"/>
    </row>
    <row r="102" spans="1:39" s="29" customFormat="1" ht="16.5" customHeight="1" x14ac:dyDescent="0.35">
      <c r="A102" s="3"/>
      <c r="B102" s="9" t="s">
        <v>84</v>
      </c>
      <c r="C102" s="3"/>
      <c r="D102" s="3"/>
      <c r="E102" s="3"/>
      <c r="F102" s="3"/>
      <c r="G102" s="3"/>
      <c r="H102" s="7"/>
      <c r="I102" s="7"/>
      <c r="J102" s="12"/>
      <c r="K102" s="3"/>
      <c r="L102" s="1"/>
      <c r="M102" s="3"/>
      <c r="O102"/>
      <c r="P102"/>
      <c r="Q102"/>
      <c r="R102"/>
      <c r="S102"/>
      <c r="T102"/>
      <c r="U102"/>
      <c r="V102"/>
      <c r="W102"/>
      <c r="X102"/>
      <c r="Y102"/>
      <c r="Z102"/>
      <c r="AA102"/>
      <c r="AB102"/>
      <c r="AC102"/>
      <c r="AD102"/>
      <c r="AE102"/>
      <c r="AF102"/>
      <c r="AG102"/>
      <c r="AH102"/>
      <c r="AI102"/>
      <c r="AJ102"/>
      <c r="AK102"/>
      <c r="AL102"/>
      <c r="AM102"/>
    </row>
    <row r="103" spans="1:39" s="29" customFormat="1" ht="16.5" customHeight="1" x14ac:dyDescent="0.35">
      <c r="A103" s="3"/>
      <c r="B103"/>
      <c r="C103" s="3"/>
      <c r="D103" s="3"/>
      <c r="E103" s="3"/>
      <c r="F103" s="3"/>
      <c r="G103" s="3"/>
      <c r="H103" s="7"/>
      <c r="I103" s="7"/>
      <c r="J103" s="12"/>
      <c r="K103" s="3"/>
      <c r="L103" s="1"/>
      <c r="M103"/>
      <c r="O103"/>
      <c r="P103"/>
      <c r="Q103"/>
      <c r="R103"/>
      <c r="S103"/>
      <c r="T103"/>
      <c r="U103"/>
      <c r="V103"/>
      <c r="W103"/>
      <c r="X103"/>
      <c r="Y103"/>
      <c r="Z103"/>
      <c r="AA103"/>
      <c r="AB103"/>
      <c r="AC103"/>
      <c r="AD103"/>
      <c r="AE103"/>
      <c r="AF103"/>
      <c r="AG103"/>
      <c r="AH103"/>
      <c r="AI103"/>
      <c r="AJ103"/>
      <c r="AK103"/>
      <c r="AL103"/>
      <c r="AM103"/>
    </row>
    <row r="104" spans="1:39" s="29" customFormat="1" ht="16.5" customHeight="1" x14ac:dyDescent="0.35">
      <c r="A104" s="3"/>
      <c r="B104" s="8" t="s">
        <v>126</v>
      </c>
      <c r="C104" s="3"/>
      <c r="D104" s="3"/>
      <c r="E104" s="3"/>
      <c r="F104" s="3"/>
      <c r="G104" s="3"/>
      <c r="H104" s="71"/>
      <c r="I104" s="71"/>
      <c r="J104" s="14" t="s">
        <v>28</v>
      </c>
      <c r="K104" s="3"/>
      <c r="L104" s="1"/>
      <c r="M104"/>
      <c r="O104"/>
      <c r="P104"/>
      <c r="Q104"/>
      <c r="R104"/>
      <c r="S104"/>
      <c r="T104"/>
      <c r="U104"/>
      <c r="V104"/>
      <c r="W104"/>
      <c r="X104"/>
      <c r="Y104"/>
      <c r="Z104"/>
      <c r="AA104"/>
      <c r="AB104"/>
      <c r="AC104"/>
      <c r="AD104"/>
      <c r="AE104"/>
      <c r="AF104"/>
      <c r="AG104"/>
      <c r="AH104"/>
      <c r="AI104"/>
      <c r="AJ104"/>
      <c r="AK104"/>
      <c r="AL104"/>
      <c r="AM104"/>
    </row>
    <row r="105" spans="1:39" s="29" customFormat="1" ht="16.5" customHeight="1" x14ac:dyDescent="0.35">
      <c r="A105" s="3"/>
      <c r="B105"/>
      <c r="C105" s="3"/>
      <c r="D105" s="3"/>
      <c r="E105" s="3"/>
      <c r="F105" s="3"/>
      <c r="G105" s="3"/>
      <c r="H105" s="7"/>
      <c r="I105" s="7"/>
      <c r="J105" s="12"/>
      <c r="K105" s="3"/>
      <c r="L105" s="1"/>
      <c r="M105"/>
      <c r="O105"/>
      <c r="P105"/>
      <c r="Q105"/>
      <c r="R105"/>
      <c r="S105"/>
      <c r="T105"/>
      <c r="U105"/>
      <c r="V105"/>
      <c r="W105"/>
      <c r="X105"/>
      <c r="Y105"/>
      <c r="Z105"/>
      <c r="AA105"/>
      <c r="AB105"/>
      <c r="AC105"/>
      <c r="AD105"/>
      <c r="AE105"/>
      <c r="AF105"/>
      <c r="AG105"/>
      <c r="AH105"/>
      <c r="AI105"/>
      <c r="AJ105"/>
      <c r="AK105"/>
      <c r="AL105"/>
      <c r="AM105"/>
    </row>
    <row r="106" spans="1:39" ht="16.5" customHeight="1" x14ac:dyDescent="0.35">
      <c r="A106" s="3"/>
      <c r="B106" s="8" t="s">
        <v>164</v>
      </c>
      <c r="C106" s="3"/>
      <c r="D106" s="3"/>
      <c r="E106" s="3"/>
      <c r="F106" s="3"/>
      <c r="G106" s="3"/>
      <c r="H106" s="76">
        <f>M106</f>
        <v>0</v>
      </c>
      <c r="I106" s="76"/>
      <c r="J106" s="14" t="s">
        <v>28</v>
      </c>
      <c r="K106" s="3"/>
      <c r="L106" s="1"/>
      <c r="M106">
        <f>IFERROR(ROUND(H109*((H112*H115)/(H104-H109)), 0),0)</f>
        <v>0</v>
      </c>
    </row>
    <row r="107" spans="1:39" ht="16.5" customHeight="1" x14ac:dyDescent="0.35">
      <c r="A107" s="3"/>
      <c r="B107" s="5" t="s">
        <v>124</v>
      </c>
      <c r="C107" s="3"/>
      <c r="D107" s="3"/>
      <c r="E107" s="3"/>
      <c r="F107" s="3"/>
      <c r="G107" s="3"/>
      <c r="H107" s="7"/>
      <c r="I107" s="7"/>
      <c r="J107" s="12"/>
      <c r="K107" s="3"/>
      <c r="L107" s="1"/>
    </row>
    <row r="108" spans="1:39" ht="16.5" customHeight="1" x14ac:dyDescent="0.35">
      <c r="A108" s="3"/>
      <c r="B108" s="5"/>
      <c r="C108" s="3"/>
      <c r="D108" s="3"/>
      <c r="E108" s="3"/>
      <c r="F108" s="3"/>
      <c r="G108" s="3"/>
      <c r="H108" s="7"/>
      <c r="I108" s="7"/>
      <c r="J108" s="12"/>
      <c r="K108" s="3"/>
      <c r="L108" s="1"/>
    </row>
    <row r="109" spans="1:39" ht="16.5" customHeight="1" x14ac:dyDescent="0.35">
      <c r="A109" s="3"/>
      <c r="B109" s="8" t="s">
        <v>163</v>
      </c>
      <c r="C109" s="3"/>
      <c r="D109" s="3"/>
      <c r="E109" s="3"/>
      <c r="F109" s="3"/>
      <c r="G109" s="3"/>
      <c r="H109" s="71"/>
      <c r="I109" s="71"/>
      <c r="J109" s="14" t="s">
        <v>28</v>
      </c>
      <c r="K109" s="3"/>
      <c r="L109" s="1"/>
    </row>
    <row r="110" spans="1:39" ht="16.5" customHeight="1" x14ac:dyDescent="0.35">
      <c r="A110" s="3"/>
      <c r="B110" s="5" t="s">
        <v>125</v>
      </c>
      <c r="C110" s="3"/>
      <c r="D110" s="3"/>
      <c r="E110" s="3"/>
      <c r="F110" s="3"/>
      <c r="G110" s="3"/>
      <c r="K110" s="3"/>
      <c r="L110" s="1"/>
    </row>
    <row r="111" spans="1:39" s="29" customFormat="1" ht="16.5" customHeight="1" x14ac:dyDescent="0.35">
      <c r="A111" s="3"/>
      <c r="B111" s="3"/>
      <c r="C111" s="3"/>
      <c r="D111" s="3"/>
      <c r="E111" s="3"/>
      <c r="F111" s="3"/>
      <c r="G111" s="3"/>
      <c r="H111" s="7"/>
      <c r="I111" s="7"/>
      <c r="J111" s="12"/>
      <c r="K111" s="3"/>
      <c r="L111" s="1"/>
      <c r="M111"/>
      <c r="O111"/>
      <c r="P111"/>
      <c r="Q111"/>
      <c r="R111"/>
      <c r="S111"/>
      <c r="T111"/>
      <c r="U111"/>
      <c r="V111"/>
      <c r="W111"/>
      <c r="X111"/>
      <c r="Y111"/>
      <c r="Z111"/>
      <c r="AA111"/>
      <c r="AB111"/>
      <c r="AC111"/>
      <c r="AD111"/>
      <c r="AE111"/>
      <c r="AF111"/>
      <c r="AG111"/>
      <c r="AH111"/>
      <c r="AI111"/>
      <c r="AJ111"/>
      <c r="AK111"/>
      <c r="AL111"/>
      <c r="AM111"/>
    </row>
    <row r="112" spans="1:39" s="29" customFormat="1" ht="15.5" x14ac:dyDescent="0.35">
      <c r="A112" s="3"/>
      <c r="B112" s="8" t="s">
        <v>75</v>
      </c>
      <c r="C112" s="3"/>
      <c r="D112" s="3"/>
      <c r="E112" s="3"/>
      <c r="F112" s="3"/>
      <c r="G112" s="3"/>
      <c r="H112" s="71"/>
      <c r="I112" s="71"/>
      <c r="J112" s="14" t="s">
        <v>1</v>
      </c>
      <c r="K112" s="3"/>
      <c r="L112" s="1"/>
      <c r="M112"/>
      <c r="O112"/>
      <c r="P112"/>
      <c r="Q112"/>
      <c r="R112"/>
      <c r="S112"/>
      <c r="T112"/>
      <c r="U112"/>
      <c r="V112"/>
      <c r="W112"/>
      <c r="X112"/>
      <c r="Y112"/>
      <c r="Z112"/>
      <c r="AA112"/>
      <c r="AB112"/>
      <c r="AC112"/>
      <c r="AD112"/>
      <c r="AE112"/>
      <c r="AF112"/>
      <c r="AG112"/>
      <c r="AH112"/>
      <c r="AI112"/>
      <c r="AJ112"/>
      <c r="AK112"/>
      <c r="AL112"/>
      <c r="AM112"/>
    </row>
    <row r="113" spans="1:11" ht="15.5" x14ac:dyDescent="0.35">
      <c r="A113" s="3"/>
      <c r="B113" s="5" t="s">
        <v>5</v>
      </c>
      <c r="C113" s="3"/>
      <c r="D113" s="3"/>
      <c r="E113" s="3"/>
      <c r="F113" s="3"/>
      <c r="G113" s="3"/>
      <c r="H113" s="7"/>
      <c r="I113" s="7"/>
      <c r="J113" s="12"/>
      <c r="K113" s="3"/>
    </row>
    <row r="114" spans="1:11" ht="15.5" x14ac:dyDescent="0.35">
      <c r="A114" s="3"/>
      <c r="B114" s="3"/>
      <c r="C114" s="3"/>
      <c r="D114" s="3"/>
      <c r="E114" s="3"/>
      <c r="F114" s="3"/>
      <c r="G114" s="3"/>
      <c r="H114" s="7"/>
      <c r="I114" s="7"/>
      <c r="J114" s="12"/>
      <c r="K114" s="3"/>
    </row>
    <row r="115" spans="1:11" ht="15.5" x14ac:dyDescent="0.35">
      <c r="A115" s="3"/>
      <c r="B115" s="8" t="s">
        <v>78</v>
      </c>
      <c r="C115" s="3"/>
      <c r="D115" s="3"/>
      <c r="E115" s="3"/>
      <c r="F115" s="3"/>
      <c r="G115" s="3"/>
      <c r="H115" s="73">
        <v>16</v>
      </c>
      <c r="I115" s="73"/>
      <c r="J115" s="14" t="s">
        <v>79</v>
      </c>
      <c r="K115" s="3"/>
    </row>
    <row r="116" spans="1:11" ht="15.5" x14ac:dyDescent="0.35">
      <c r="A116" s="3"/>
      <c r="B116" s="5" t="s">
        <v>80</v>
      </c>
      <c r="C116" s="3"/>
      <c r="D116" s="3"/>
      <c r="E116" s="3"/>
      <c r="F116" s="3"/>
      <c r="G116" s="3"/>
      <c r="H116" s="7"/>
      <c r="I116" s="7"/>
      <c r="J116" s="12"/>
      <c r="K116" s="3"/>
    </row>
    <row r="117" spans="1:11" ht="15.5" x14ac:dyDescent="0.35">
      <c r="A117" s="3"/>
      <c r="B117" s="3"/>
      <c r="C117" s="3"/>
      <c r="D117" s="3"/>
      <c r="E117" s="3"/>
      <c r="F117" s="3"/>
      <c r="G117" s="3"/>
      <c r="H117" s="7"/>
      <c r="I117" s="7"/>
      <c r="J117" s="12"/>
      <c r="K117" s="3"/>
    </row>
    <row r="118" spans="1:11" ht="15.5" x14ac:dyDescent="0.35">
      <c r="A118" s="3"/>
      <c r="B118" s="8" t="s">
        <v>30</v>
      </c>
      <c r="C118" s="3"/>
      <c r="D118" s="3"/>
      <c r="E118" s="3"/>
      <c r="F118" s="3"/>
      <c r="G118" s="3"/>
      <c r="H118" s="72">
        <v>3.0049999999999999</v>
      </c>
      <c r="I118" s="72"/>
      <c r="J118" s="14" t="s">
        <v>2</v>
      </c>
      <c r="K118" s="3"/>
    </row>
    <row r="119" spans="1:11" ht="15.5" x14ac:dyDescent="0.35">
      <c r="A119" s="3"/>
      <c r="B119" s="5" t="s">
        <v>6</v>
      </c>
      <c r="C119" s="3"/>
      <c r="D119" s="3"/>
      <c r="E119" s="3"/>
      <c r="F119" s="3"/>
      <c r="G119" s="3"/>
      <c r="H119" s="7"/>
      <c r="I119" s="7"/>
      <c r="J119" s="12"/>
      <c r="K119" s="3"/>
    </row>
    <row r="120" spans="1:11" ht="15.5" x14ac:dyDescent="0.35">
      <c r="A120" s="3"/>
      <c r="B120" s="3"/>
      <c r="C120" s="3"/>
      <c r="D120" s="3"/>
      <c r="E120" s="3"/>
      <c r="F120" s="3"/>
      <c r="G120" s="3"/>
      <c r="H120" s="7"/>
      <c r="I120" s="7"/>
      <c r="J120" s="12"/>
      <c r="K120" s="3"/>
    </row>
    <row r="121" spans="1:11" ht="15.5" x14ac:dyDescent="0.35">
      <c r="A121" s="3"/>
      <c r="B121" s="8" t="s">
        <v>29</v>
      </c>
      <c r="C121" s="3"/>
      <c r="D121" s="3"/>
      <c r="E121" s="3"/>
      <c r="F121" s="3"/>
      <c r="G121" s="3"/>
      <c r="H121" s="74"/>
      <c r="I121" s="74"/>
      <c r="J121" s="14" t="s">
        <v>2</v>
      </c>
      <c r="K121" s="3"/>
    </row>
    <row r="122" spans="1:11" ht="15.5" x14ac:dyDescent="0.35">
      <c r="A122" s="3"/>
      <c r="B122" s="5" t="s">
        <v>7</v>
      </c>
      <c r="C122" s="3"/>
      <c r="D122" s="3"/>
      <c r="E122" s="3"/>
      <c r="F122" s="3"/>
      <c r="G122" s="3"/>
      <c r="H122" s="7"/>
      <c r="I122" s="7"/>
      <c r="J122" s="12"/>
      <c r="K122" s="3"/>
    </row>
    <row r="123" spans="1:11" ht="15.5" x14ac:dyDescent="0.35">
      <c r="A123" s="3"/>
      <c r="B123" s="3"/>
      <c r="C123" s="3"/>
      <c r="D123" s="3"/>
      <c r="E123" s="3"/>
      <c r="F123" s="3"/>
      <c r="G123" s="3"/>
      <c r="H123" s="7"/>
      <c r="I123" s="7"/>
      <c r="J123" s="12"/>
      <c r="K123" s="3"/>
    </row>
    <row r="124" spans="1:11" ht="15.5" x14ac:dyDescent="0.35">
      <c r="B124" s="8" t="s">
        <v>76</v>
      </c>
      <c r="H124" s="75">
        <v>6.0400000000000002E-2</v>
      </c>
      <c r="I124" s="75"/>
      <c r="J124" s="14"/>
    </row>
    <row r="125" spans="1:11" x14ac:dyDescent="0.25"/>
    <row r="126" spans="1:11" ht="15.5" x14ac:dyDescent="0.35">
      <c r="B126" s="23" t="s">
        <v>77</v>
      </c>
      <c r="C126" s="3"/>
      <c r="D126" s="3"/>
      <c r="E126" s="3"/>
      <c r="F126" s="3"/>
      <c r="G126" s="3"/>
      <c r="H126" s="7"/>
      <c r="I126" s="26">
        <f xml:space="preserve"> ( H106 + (H112 * H115)) * (H118 + H121) * H124</f>
        <v>0</v>
      </c>
      <c r="J126" s="12" t="s">
        <v>3</v>
      </c>
    </row>
    <row r="127" spans="1:11" ht="15.5" x14ac:dyDescent="0.35">
      <c r="A127" s="3"/>
      <c r="K127" s="3"/>
    </row>
    <row r="128" spans="1:11" ht="15.5" x14ac:dyDescent="0.35">
      <c r="A128" s="3"/>
      <c r="B128" s="44" t="s">
        <v>132</v>
      </c>
      <c r="I128" s="45">
        <f>0</f>
        <v>0</v>
      </c>
      <c r="K128" s="3"/>
    </row>
    <row r="129" spans="1:11" ht="15.5" x14ac:dyDescent="0.35">
      <c r="A129" s="3"/>
      <c r="K129" s="3"/>
    </row>
    <row r="130" spans="1:11" ht="15.5" x14ac:dyDescent="0.35">
      <c r="A130" s="3"/>
      <c r="B130" s="23" t="s">
        <v>81</v>
      </c>
      <c r="I130" s="26">
        <f ca="1">I76+I77+I99+I126+I90+I40</f>
        <v>1875</v>
      </c>
      <c r="J130" s="12" t="s">
        <v>3</v>
      </c>
      <c r="K130" s="3"/>
    </row>
    <row r="131" spans="1:11" ht="15.5" x14ac:dyDescent="0.35">
      <c r="A131" s="3"/>
      <c r="B131" s="23"/>
      <c r="C131" s="3"/>
      <c r="D131" s="3"/>
      <c r="E131" s="3"/>
      <c r="F131" s="3"/>
      <c r="G131" s="3"/>
      <c r="H131" s="7"/>
      <c r="I131" s="26"/>
      <c r="J131" s="12"/>
      <c r="K131" s="3"/>
    </row>
    <row r="132" spans="1:11" ht="15.5" x14ac:dyDescent="0.35">
      <c r="A132" s="3"/>
      <c r="B132" s="3" t="s">
        <v>92</v>
      </c>
      <c r="C132" s="3"/>
      <c r="D132" s="3"/>
      <c r="E132" s="3"/>
      <c r="F132" s="3"/>
      <c r="G132" s="3"/>
      <c r="H132" s="7"/>
      <c r="I132" s="7"/>
      <c r="J132" s="7"/>
      <c r="K132" s="3"/>
    </row>
    <row r="133" spans="1:11" ht="15.5" x14ac:dyDescent="0.35">
      <c r="A133" s="3"/>
      <c r="B133" s="3"/>
      <c r="C133" s="3" t="s">
        <v>93</v>
      </c>
      <c r="D133" s="3"/>
      <c r="E133" s="3"/>
      <c r="F133" s="3"/>
      <c r="G133" s="3"/>
      <c r="H133" s="7"/>
      <c r="I133" s="7"/>
      <c r="J133" s="7"/>
      <c r="K133" s="3"/>
    </row>
    <row r="134" spans="1:11" ht="15.5" x14ac:dyDescent="0.35">
      <c r="A134" s="3"/>
      <c r="C134" s="3" t="s">
        <v>94</v>
      </c>
      <c r="D134" s="3"/>
      <c r="E134" s="3"/>
      <c r="F134" s="3"/>
      <c r="G134" s="3"/>
      <c r="H134" s="3"/>
      <c r="I134" s="3"/>
      <c r="J134" s="3"/>
      <c r="K134" s="3"/>
    </row>
    <row r="135" spans="1:11" ht="15.5" x14ac:dyDescent="0.35">
      <c r="A135" s="3"/>
      <c r="C135" s="3"/>
      <c r="D135" s="3"/>
      <c r="E135" s="3"/>
      <c r="F135" s="3"/>
      <c r="G135" s="3"/>
      <c r="H135" s="3"/>
      <c r="I135" s="3"/>
      <c r="J135" s="3"/>
      <c r="K135" s="3"/>
    </row>
    <row r="136" spans="1:11" ht="15.5" x14ac:dyDescent="0.35">
      <c r="A136" s="3"/>
      <c r="B136" s="11" t="s">
        <v>139</v>
      </c>
      <c r="C136" s="3"/>
      <c r="D136" s="3"/>
      <c r="E136" s="3"/>
      <c r="F136" s="3"/>
      <c r="G136" s="3"/>
      <c r="H136" s="3"/>
      <c r="I136" s="3"/>
      <c r="J136" s="3"/>
      <c r="K136" s="3"/>
    </row>
    <row r="137" spans="1:11" x14ac:dyDescent="0.25"/>
    <row r="138" spans="1:11" ht="16" thickBot="1" x14ac:dyDescent="0.4">
      <c r="A138" s="3"/>
      <c r="B138" s="6"/>
      <c r="C138" s="6"/>
      <c r="D138" s="6"/>
      <c r="E138" s="6"/>
      <c r="F138" s="6"/>
      <c r="G138" s="6"/>
      <c r="H138" s="6"/>
      <c r="I138" s="6"/>
      <c r="J138" s="6"/>
      <c r="K138" s="3"/>
    </row>
    <row r="139" spans="1:11" ht="15.5" x14ac:dyDescent="0.35">
      <c r="A139" s="3"/>
      <c r="C139" s="3"/>
      <c r="D139" s="3"/>
      <c r="E139" s="3"/>
      <c r="F139" s="3"/>
      <c r="G139" s="3"/>
      <c r="H139" s="7"/>
      <c r="I139" s="7"/>
      <c r="J139" s="7"/>
      <c r="K139" s="3"/>
    </row>
    <row r="140" spans="1:11" ht="15.5" x14ac:dyDescent="0.35">
      <c r="A140" s="3"/>
      <c r="B140" s="8" t="s">
        <v>14</v>
      </c>
      <c r="C140" s="3"/>
      <c r="D140" s="3"/>
      <c r="E140" s="3"/>
      <c r="F140" s="3"/>
      <c r="G140" s="3"/>
      <c r="H140" s="3"/>
      <c r="I140" s="3"/>
      <c r="J140" s="3"/>
      <c r="K140" s="3"/>
    </row>
    <row r="141" spans="1:11" ht="15.5" x14ac:dyDescent="0.35">
      <c r="A141" s="3"/>
      <c r="B141" s="3"/>
      <c r="C141" s="3"/>
      <c r="D141" s="3"/>
      <c r="E141" s="3"/>
      <c r="F141" s="3"/>
      <c r="G141" s="3"/>
      <c r="H141" s="3"/>
      <c r="I141" s="3"/>
      <c r="J141" s="3"/>
      <c r="K141" s="3"/>
    </row>
    <row r="142" spans="1:11" ht="15.5" x14ac:dyDescent="0.35">
      <c r="A142" s="3"/>
      <c r="B142" s="3" t="s">
        <v>15</v>
      </c>
      <c r="D142" s="3"/>
      <c r="E142" s="3"/>
      <c r="F142" s="3"/>
      <c r="G142" s="3"/>
      <c r="H142" s="3"/>
      <c r="I142" s="3"/>
      <c r="J142" s="3"/>
      <c r="K142" s="3"/>
    </row>
    <row r="143" spans="1:11" ht="15.5" x14ac:dyDescent="0.35">
      <c r="A143" s="3"/>
      <c r="B143" s="3" t="s">
        <v>16</v>
      </c>
      <c r="C143" s="3"/>
      <c r="E143" s="3"/>
      <c r="F143" s="3"/>
      <c r="H143" s="3"/>
      <c r="I143" s="3"/>
      <c r="J143" s="3"/>
      <c r="K143" s="3"/>
    </row>
    <row r="144" spans="1:11" ht="15.5" x14ac:dyDescent="0.35">
      <c r="A144" s="3"/>
      <c r="B144" s="11" t="s">
        <v>103</v>
      </c>
      <c r="C144" s="3"/>
      <c r="D144" s="3"/>
      <c r="E144" s="3"/>
      <c r="G144" s="3"/>
      <c r="H144" s="4"/>
      <c r="I144" s="4"/>
      <c r="J144" s="4"/>
      <c r="K144" s="3"/>
    </row>
    <row r="145" spans="1:12" ht="15.5" x14ac:dyDescent="0.35">
      <c r="A145" s="3"/>
      <c r="B145" s="3"/>
      <c r="C145" s="3"/>
      <c r="D145" s="3"/>
      <c r="E145" s="3"/>
      <c r="F145" s="3"/>
      <c r="G145" s="3"/>
      <c r="H145" s="3"/>
      <c r="I145" s="3"/>
      <c r="J145" s="3"/>
      <c r="K145" s="3"/>
    </row>
    <row r="146" spans="1:12" ht="16.25" customHeight="1" x14ac:dyDescent="0.35">
      <c r="A146" s="3"/>
      <c r="B146" s="56" t="s">
        <v>154</v>
      </c>
      <c r="C146" s="3"/>
      <c r="D146" s="3"/>
      <c r="E146" s="3"/>
      <c r="G146" s="3"/>
      <c r="H146" s="4"/>
      <c r="I146" s="4"/>
      <c r="J146" s="4"/>
      <c r="K146" s="3"/>
      <c r="L146" s="1"/>
    </row>
    <row r="147" spans="1:12" ht="29.4" customHeight="1" x14ac:dyDescent="0.35">
      <c r="A147" s="3"/>
      <c r="B147" s="57" t="s">
        <v>166</v>
      </c>
      <c r="C147" s="77" t="s">
        <v>155</v>
      </c>
      <c r="D147" s="78"/>
      <c r="E147" s="78"/>
      <c r="F147" s="78"/>
      <c r="G147" s="78"/>
      <c r="H147" s="78"/>
      <c r="I147" s="78"/>
      <c r="J147" s="78"/>
      <c r="K147" s="3"/>
      <c r="L147" s="1"/>
    </row>
    <row r="148" spans="1:12" ht="16.5" customHeight="1" x14ac:dyDescent="0.35">
      <c r="A148" s="3"/>
      <c r="B148" s="57" t="s">
        <v>167</v>
      </c>
      <c r="C148" s="39" t="s">
        <v>162</v>
      </c>
      <c r="K148" s="3"/>
      <c r="L148" s="1"/>
    </row>
    <row r="149" spans="1:12" ht="16.5" customHeight="1" x14ac:dyDescent="0.35">
      <c r="A149" s="3"/>
      <c r="B149" s="57" t="s">
        <v>168</v>
      </c>
      <c r="C149" s="39" t="s">
        <v>156</v>
      </c>
      <c r="K149" s="3"/>
      <c r="L149" s="1"/>
    </row>
    <row r="150" spans="1:12" ht="15.5" x14ac:dyDescent="0.35">
      <c r="A150" s="68"/>
      <c r="B150" s="68"/>
      <c r="C150" s="3"/>
      <c r="D150" s="3"/>
      <c r="E150" s="3"/>
      <c r="F150" s="3"/>
      <c r="G150" s="3"/>
      <c r="H150" s="3"/>
      <c r="I150" s="3"/>
      <c r="J150" s="3"/>
      <c r="K150" s="3"/>
    </row>
    <row r="151" spans="1:12" hidden="1" x14ac:dyDescent="0.25">
      <c r="A151" s="1"/>
      <c r="B151" s="1"/>
      <c r="C151" s="1"/>
      <c r="D151" s="1"/>
      <c r="E151" s="1"/>
      <c r="F151" s="1"/>
      <c r="G151" s="1"/>
      <c r="H151" s="1"/>
      <c r="I151" s="1"/>
      <c r="J151" s="1"/>
      <c r="K151" s="1"/>
    </row>
    <row r="152" spans="1:12" x14ac:dyDescent="0.25"/>
    <row r="153" spans="1:12" x14ac:dyDescent="0.25"/>
    <row r="154" spans="1:12" x14ac:dyDescent="0.25"/>
    <row r="155" spans="1:12" x14ac:dyDescent="0.25"/>
  </sheetData>
  <sheetProtection algorithmName="SHA-512" hashValue="yrdSXAfRH9zROQMTRNUmzwPWJAgGu9cHvLo3MATD4hN/xZ3LJ1I545YYFpqKJE/XuTWNzzgTdOrUD4imeXGuGg==" saltValue="LXBFAtmlfC9sVgeUhBvpQg==" spinCount="100000" sheet="1" objects="1" scenarios="1"/>
  <mergeCells count="37">
    <mergeCell ref="C147:J147"/>
    <mergeCell ref="A2:K3"/>
    <mergeCell ref="I6:J6"/>
    <mergeCell ref="H12:J12"/>
    <mergeCell ref="H15:J15"/>
    <mergeCell ref="H27:J27"/>
    <mergeCell ref="H18:J18"/>
    <mergeCell ref="H20:J20"/>
    <mergeCell ref="H74:I74"/>
    <mergeCell ref="H87:I87"/>
    <mergeCell ref="H21:J21"/>
    <mergeCell ref="H25:J25"/>
    <mergeCell ref="H65:I65"/>
    <mergeCell ref="H67:J67"/>
    <mergeCell ref="G46:I46"/>
    <mergeCell ref="G48:I48"/>
    <mergeCell ref="H22:J22"/>
    <mergeCell ref="A150:B150"/>
    <mergeCell ref="G52:I52"/>
    <mergeCell ref="H54:J54"/>
    <mergeCell ref="H112:I112"/>
    <mergeCell ref="H118:I118"/>
    <mergeCell ref="H115:I115"/>
    <mergeCell ref="H121:I121"/>
    <mergeCell ref="H124:I124"/>
    <mergeCell ref="H97:I97"/>
    <mergeCell ref="H106:I106"/>
    <mergeCell ref="H70:I70"/>
    <mergeCell ref="H109:I109"/>
    <mergeCell ref="H104:I104"/>
    <mergeCell ref="H61:I61"/>
    <mergeCell ref="H63:I63"/>
    <mergeCell ref="I84:J84"/>
    <mergeCell ref="H37:I37"/>
    <mergeCell ref="G50:I50"/>
    <mergeCell ref="H72:I72"/>
    <mergeCell ref="H59:I59"/>
  </mergeCells>
  <dataValidations count="10">
    <dataValidation type="decimal" operator="greaterThanOrEqual" allowBlank="1" showInputMessage="1" showErrorMessage="1" errorTitle="Numeric" error="Please enter a numeric value (0.000)!" sqref="H118:I118 H112:I112 H115:I115 H109:I109 H121:I121 H106:I106 H124:I124" xr:uid="{00000000-0002-0000-0200-000000000000}">
      <formula1>0</formula1>
    </dataValidation>
    <dataValidation type="decimal" operator="notEqual" allowBlank="1" showInputMessage="1" showErrorMessage="1" errorTitle="Numeric" error="Please enter a numeric value (0.000)!" sqref="H97:I97 H87:I87 H37:I38 I84:J84" xr:uid="{00000000-0002-0000-0200-000001000000}">
      <formula1>0</formula1>
    </dataValidation>
    <dataValidation type="date" allowBlank="1" showInputMessage="1" showErrorMessage="1" error="Please enter a valid date!" promptTitle="Date" sqref="H12:J12 H72:J72 H15:J15" xr:uid="{00000000-0002-0000-0200-000002000000}">
      <formula1>36526</formula1>
      <formula2>1027063</formula2>
    </dataValidation>
    <dataValidation type="decimal" operator="greaterThanOrEqual" allowBlank="1" showInputMessage="1" showErrorMessage="1" errorTitle="Numeric" error="Please enter a Numeric Value (0.00)!" sqref="G46:I46 G48:I48 G50:I50" xr:uid="{00000000-0002-0000-0200-000003000000}">
      <formula1>0</formula1>
    </dataValidation>
    <dataValidation type="decimal" operator="greaterThan" allowBlank="1" showInputMessage="1" showErrorMessage="1" errorTitle="Numeric" error="Please enter a Numeric Value (0.000)!" sqref="H54:J56 H68:J69" xr:uid="{00000000-0002-0000-0200-000004000000}">
      <formula1>0</formula1>
    </dataValidation>
    <dataValidation type="decimal" operator="greaterThanOrEqual" allowBlank="1" showInputMessage="1" showErrorMessage="1" errorTitle="Numeric" error="Please enter a numeric value (0.00)!" sqref="H70:I70" xr:uid="{00000000-0002-0000-0200-000005000000}">
      <formula1>0</formula1>
    </dataValidation>
    <dataValidation type="decimal" operator="greaterThanOrEqual" allowBlank="1" showInputMessage="1" showErrorMessage="1" errorTitle="Numeric" error="Please enter a Numeric value (0.00)!" sqref="H74:I74" xr:uid="{00000000-0002-0000-0200-000006000000}">
      <formula1>0</formula1>
    </dataValidation>
    <dataValidation type="decimal" operator="greaterThanOrEqual" allowBlank="1" showInputMessage="1" showErrorMessage="1" errorTitle="numerical" error="Please enter a numeric value (0.000)!" sqref="H104:I104" xr:uid="{CB4B2E42-27DE-42AF-94AF-4B691469B6C4}">
      <formula1>0</formula1>
    </dataValidation>
    <dataValidation type="decimal" operator="greaterThanOrEqual" allowBlank="1" showInputMessage="1" showErrorMessage="1" errorTitle="Numeric" error="Please enter a Numeric Value (0.000)!" sqref="H63:I63 H61:I61 H59:I59" xr:uid="{00000000-0002-0000-0200-000008000000}">
      <formula1>0</formula1>
    </dataValidation>
    <dataValidation type="decimal" operator="greaterThan" allowBlank="1" showInputMessage="1" showErrorMessage="1" sqref="H67:J67" xr:uid="{00000000-0002-0000-0200-000009000000}">
      <formula1>0</formula1>
    </dataValidation>
  </dataValidations>
  <hyperlinks>
    <hyperlink ref="I6" r:id="rId1" xr:uid="{00000000-0004-0000-0200-000000000000}"/>
    <hyperlink ref="B144" r:id="rId2" xr:uid="{00000000-0004-0000-0200-000001000000}"/>
    <hyperlink ref="I6:J6" r:id="rId3" display="PJM Open Access Transmission Tariff" xr:uid="{00000000-0004-0000-0200-000002000000}"/>
    <hyperlink ref="B136" r:id="rId4" xr:uid="{00000000-0004-0000-0200-000003000000}"/>
    <hyperlink ref="C55" r:id="rId5" xr:uid="{00000000-0004-0000-0200-000004000000}"/>
    <hyperlink ref="C68" r:id="rId6" xr:uid="{00000000-0004-0000-0200-000005000000}"/>
  </hyperlinks>
  <pageMargins left="0.75" right="0.75" top="1" bottom="1" header="0.5" footer="0.5"/>
  <pageSetup scale="55" fitToHeight="2" orientation="portrait" r:id="rId7"/>
  <headerFooter alignWithMargins="0"/>
  <rowBreaks count="1" manualBreakCount="1">
    <brk id="78"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9217" r:id="rId10" name="Drop Down 1">
              <controlPr locked="0" defaultSize="0" autoLine="0" autoPict="0">
                <anchor moveWithCells="1">
                  <from>
                    <xdr:col>1</xdr:col>
                    <xdr:colOff>234950</xdr:colOff>
                    <xdr:row>29</xdr:row>
                    <xdr:rowOff>0</xdr:rowOff>
                  </from>
                  <to>
                    <xdr:col>3</xdr:col>
                    <xdr:colOff>254000</xdr:colOff>
                    <xdr:row>29</xdr:row>
                    <xdr:rowOff>196850</xdr:rowOff>
                  </to>
                </anchor>
              </controlPr>
            </control>
          </mc:Choice>
        </mc:AlternateContent>
        <mc:AlternateContent xmlns:mc="http://schemas.openxmlformats.org/markup-compatibility/2006">
          <mc:Choice Requires="x14">
            <control shapeId="9218" r:id="rId11" name="Drop Down 2">
              <controlPr locked="0" defaultSize="0" autoLine="0" autoPict="0">
                <anchor moveWithCells="1">
                  <from>
                    <xdr:col>8</xdr:col>
                    <xdr:colOff>234950</xdr:colOff>
                    <xdr:row>29</xdr:row>
                    <xdr:rowOff>0</xdr:rowOff>
                  </from>
                  <to>
                    <xdr:col>8</xdr:col>
                    <xdr:colOff>2012950</xdr:colOff>
                    <xdr:row>29</xdr:row>
                    <xdr:rowOff>196850</xdr:rowOff>
                  </to>
                </anchor>
              </controlPr>
            </control>
          </mc:Choice>
        </mc:AlternateContent>
        <mc:AlternateContent xmlns:mc="http://schemas.openxmlformats.org/markup-compatibility/2006">
          <mc:Choice Requires="x14">
            <control shapeId="9219" r:id="rId12" name="Drop Down 3">
              <controlPr locked="0" defaultSize="0" autoLine="0" autoPict="0">
                <anchor moveWithCells="1">
                  <from>
                    <xdr:col>1</xdr:col>
                    <xdr:colOff>190500</xdr:colOff>
                    <xdr:row>32</xdr:row>
                    <xdr:rowOff>69850</xdr:rowOff>
                  </from>
                  <to>
                    <xdr:col>4</xdr:col>
                    <xdr:colOff>228600</xdr:colOff>
                    <xdr:row>33</xdr:row>
                    <xdr:rowOff>63500</xdr:rowOff>
                  </to>
                </anchor>
              </controlPr>
            </control>
          </mc:Choice>
        </mc:AlternateContent>
        <mc:AlternateContent xmlns:mc="http://schemas.openxmlformats.org/markup-compatibility/2006">
          <mc:Choice Requires="x14">
            <control shapeId="9220" r:id="rId13" name="Drop Down 4">
              <controlPr locked="0" defaultSize="0" autoLine="0" autoPict="0">
                <anchor moveWithCells="1">
                  <from>
                    <xdr:col>7</xdr:col>
                    <xdr:colOff>222250</xdr:colOff>
                    <xdr:row>32</xdr:row>
                    <xdr:rowOff>31750</xdr:rowOff>
                  </from>
                  <to>
                    <xdr:col>8</xdr:col>
                    <xdr:colOff>25400</xdr:colOff>
                    <xdr:row>33</xdr:row>
                    <xdr:rowOff>25400</xdr:rowOff>
                  </to>
                </anchor>
              </controlPr>
            </control>
          </mc:Choice>
        </mc:AlternateContent>
        <mc:AlternateContent xmlns:mc="http://schemas.openxmlformats.org/markup-compatibility/2006">
          <mc:Choice Requires="x14">
            <control shapeId="9221" r:id="rId14" name="Drop Down 5">
              <controlPr locked="0" defaultSize="0" autoLine="0" autoPict="0">
                <anchor moveWithCells="1">
                  <from>
                    <xdr:col>1</xdr:col>
                    <xdr:colOff>234950</xdr:colOff>
                    <xdr:row>84</xdr:row>
                    <xdr:rowOff>0</xdr:rowOff>
                  </from>
                  <to>
                    <xdr:col>4</xdr:col>
                    <xdr:colOff>273050</xdr:colOff>
                    <xdr:row>84</xdr:row>
                    <xdr:rowOff>196850</xdr:rowOff>
                  </to>
                </anchor>
              </controlPr>
            </control>
          </mc:Choice>
        </mc:AlternateContent>
        <mc:AlternateContent xmlns:mc="http://schemas.openxmlformats.org/markup-compatibility/2006">
          <mc:Choice Requires="x14">
            <control shapeId="9223" r:id="rId15" name="Drop Down 7">
              <controlPr locked="0" defaultSize="0" autoLine="0" autoPict="0">
                <anchor moveWithCells="1">
                  <from>
                    <xdr:col>1</xdr:col>
                    <xdr:colOff>234950</xdr:colOff>
                    <xdr:row>84</xdr:row>
                    <xdr:rowOff>0</xdr:rowOff>
                  </from>
                  <to>
                    <xdr:col>4</xdr:col>
                    <xdr:colOff>292100</xdr:colOff>
                    <xdr:row>85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L45"/>
  <sheetViews>
    <sheetView workbookViewId="0">
      <selection activeCell="E37" sqref="E37"/>
    </sheetView>
  </sheetViews>
  <sheetFormatPr defaultColWidth="0" defaultRowHeight="15.5" x14ac:dyDescent="0.35"/>
  <cols>
    <col min="1" max="1" width="40.453125" style="3" customWidth="1"/>
    <col min="2" max="13" width="9.08984375" style="3" customWidth="1"/>
    <col min="14" max="16384" width="0" style="3" hidden="1"/>
  </cols>
  <sheetData>
    <row r="2" spans="1:1" x14ac:dyDescent="0.35">
      <c r="A2" s="3" t="s">
        <v>104</v>
      </c>
    </row>
    <row r="21" spans="1:11" x14ac:dyDescent="0.35">
      <c r="A21" s="77" t="s">
        <v>105</v>
      </c>
      <c r="B21" s="83"/>
      <c r="C21" s="83"/>
      <c r="D21" s="83"/>
      <c r="E21" s="83"/>
      <c r="F21" s="83"/>
      <c r="G21" s="83"/>
      <c r="H21" s="83"/>
      <c r="I21" s="83"/>
      <c r="J21" s="83"/>
      <c r="K21" s="83"/>
    </row>
    <row r="22" spans="1:11" x14ac:dyDescent="0.35">
      <c r="A22" s="83"/>
      <c r="B22" s="83"/>
      <c r="C22" s="83"/>
      <c r="D22" s="83"/>
      <c r="E22" s="83"/>
      <c r="F22" s="83"/>
      <c r="G22" s="83"/>
      <c r="H22" s="83"/>
      <c r="I22" s="83"/>
      <c r="J22" s="83"/>
      <c r="K22" s="83"/>
    </row>
    <row r="23" spans="1:11" x14ac:dyDescent="0.35">
      <c r="A23" s="83"/>
      <c r="B23" s="83"/>
      <c r="C23" s="83"/>
      <c r="D23" s="83"/>
      <c r="E23" s="83"/>
      <c r="F23" s="83"/>
      <c r="G23" s="83"/>
      <c r="H23" s="83"/>
      <c r="I23" s="83"/>
      <c r="J23" s="83"/>
      <c r="K23" s="83"/>
    </row>
    <row r="24" spans="1:11" x14ac:dyDescent="0.35">
      <c r="A24" s="83"/>
      <c r="B24" s="83"/>
      <c r="C24" s="83"/>
      <c r="D24" s="83"/>
      <c r="E24" s="83"/>
      <c r="F24" s="83"/>
      <c r="G24" s="83"/>
      <c r="H24" s="83"/>
      <c r="I24" s="83"/>
      <c r="J24" s="83"/>
      <c r="K24" s="83"/>
    </row>
    <row r="26" spans="1:11" x14ac:dyDescent="0.35">
      <c r="A26" s="3" t="s">
        <v>106</v>
      </c>
    </row>
    <row r="28" spans="1:11" x14ac:dyDescent="0.35">
      <c r="A28" s="77" t="s">
        <v>107</v>
      </c>
      <c r="B28" s="83"/>
      <c r="C28" s="83"/>
      <c r="D28" s="83"/>
      <c r="E28" s="83"/>
      <c r="F28" s="83"/>
      <c r="G28" s="83"/>
      <c r="H28" s="83"/>
      <c r="I28" s="83"/>
      <c r="J28" s="83"/>
      <c r="K28" s="83"/>
    </row>
    <row r="29" spans="1:11" x14ac:dyDescent="0.35">
      <c r="A29" s="83"/>
      <c r="B29" s="83"/>
      <c r="C29" s="83"/>
      <c r="D29" s="83"/>
      <c r="E29" s="83"/>
      <c r="F29" s="83"/>
      <c r="G29" s="83"/>
      <c r="H29" s="83"/>
      <c r="I29" s="83"/>
      <c r="J29" s="83"/>
      <c r="K29" s="83"/>
    </row>
    <row r="30" spans="1:11" x14ac:dyDescent="0.35">
      <c r="A30" s="83"/>
      <c r="B30" s="83"/>
      <c r="C30" s="83"/>
      <c r="D30" s="83"/>
      <c r="E30" s="83"/>
      <c r="F30" s="83"/>
      <c r="G30" s="83"/>
      <c r="H30" s="83"/>
      <c r="I30" s="83"/>
      <c r="J30" s="83"/>
      <c r="K30" s="83"/>
    </row>
    <row r="31" spans="1:11" x14ac:dyDescent="0.35">
      <c r="A31" s="36"/>
      <c r="B31" s="36"/>
      <c r="C31" s="36"/>
      <c r="D31" s="36"/>
      <c r="E31" s="36"/>
      <c r="F31" s="36"/>
      <c r="G31" s="36"/>
      <c r="H31" s="36"/>
      <c r="I31" s="36"/>
      <c r="J31" s="36"/>
      <c r="K31" s="36"/>
    </row>
    <row r="32" spans="1:11" ht="16" thickBot="1" x14ac:dyDescent="0.4"/>
    <row r="33" spans="1:12" ht="16" thickBot="1" x14ac:dyDescent="0.4">
      <c r="A33" s="84" t="s">
        <v>108</v>
      </c>
      <c r="B33" s="85"/>
      <c r="C33" s="85"/>
      <c r="D33" s="85"/>
      <c r="E33" s="85"/>
      <c r="F33" s="85"/>
      <c r="G33" s="85"/>
      <c r="H33" s="85"/>
      <c r="I33" s="85"/>
      <c r="J33" s="85"/>
      <c r="K33" s="85"/>
      <c r="L33" s="86"/>
    </row>
    <row r="34" spans="1:12" ht="11.25" customHeight="1" x14ac:dyDescent="0.35"/>
    <row r="35" spans="1:12" x14ac:dyDescent="0.35">
      <c r="A35" s="37" t="s">
        <v>109</v>
      </c>
      <c r="B35" s="38" t="s">
        <v>110</v>
      </c>
    </row>
    <row r="36" spans="1:12" x14ac:dyDescent="0.35">
      <c r="A36" s="3" t="s">
        <v>111</v>
      </c>
    </row>
    <row r="37" spans="1:12" x14ac:dyDescent="0.35">
      <c r="A37" s="3" t="s">
        <v>112</v>
      </c>
    </row>
    <row r="38" spans="1:12" x14ac:dyDescent="0.35">
      <c r="A38" s="3" t="s">
        <v>113</v>
      </c>
    </row>
    <row r="39" spans="1:12" x14ac:dyDescent="0.35">
      <c r="A39" s="3" t="s">
        <v>114</v>
      </c>
    </row>
    <row r="40" spans="1:12" x14ac:dyDescent="0.35">
      <c r="A40" s="3" t="s">
        <v>115</v>
      </c>
    </row>
    <row r="41" spans="1:12" x14ac:dyDescent="0.35">
      <c r="A41" s="3" t="s">
        <v>116</v>
      </c>
    </row>
    <row r="42" spans="1:12" x14ac:dyDescent="0.35">
      <c r="A42" s="3" t="s">
        <v>117</v>
      </c>
    </row>
    <row r="44" spans="1:12" x14ac:dyDescent="0.35">
      <c r="A44" s="37" t="s">
        <v>119</v>
      </c>
      <c r="B44" s="38" t="s">
        <v>118</v>
      </c>
    </row>
    <row r="45" spans="1:12" x14ac:dyDescent="0.35">
      <c r="A45" s="3" t="s">
        <v>120</v>
      </c>
    </row>
  </sheetData>
  <sheetProtection password="B4AF" sheet="1" objects="1" scenarios="1"/>
  <mergeCells count="3">
    <mergeCell ref="A21:K24"/>
    <mergeCell ref="A28:K30"/>
    <mergeCell ref="A33:L33"/>
  </mergeCell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NERC-CIP Specific Cost</vt:lpstr>
      <vt:lpstr>MTSL Information</vt:lpstr>
      <vt:lpstr>'NERC-CIP Specific Cost'!Print_Area</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1970-01-01T04:00:00Z</cp:lastPrinted>
  <dcterms:created xsi:type="dcterms:W3CDTF">1970-01-01T04:00:00Z</dcterms:created>
  <dcterms:modified xsi:type="dcterms:W3CDTF">2026-04-02T15:02:31Z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2026-02-19T16:06:03Z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5ad51692-773d-40c7-b31a-b078e380193c</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