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mmed\Desktop\Offer Cap Penalty\"/>
    </mc:Choice>
  </mc:AlternateContent>
  <bookViews>
    <workbookView xWindow="0" yWindow="0" windowWidth="25200" windowHeight="11400"/>
  </bookViews>
  <sheets>
    <sheet name="Summary" sheetId="1" r:id="rId1"/>
    <sheet name="Monthly Calculation" sheetId="2" r:id="rId2"/>
    <sheet name="2024 Annual Calculation" sheetId="5" r:id="rId3"/>
    <sheet name="2025 Annual Calculation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6" l="1"/>
  <c r="F14" i="6"/>
  <c r="D14" i="6"/>
  <c r="J14" i="6" l="1"/>
  <c r="J5" i="5"/>
  <c r="F14" i="5"/>
  <c r="H14" i="5" l="1"/>
  <c r="J3" i="5" l="1"/>
  <c r="J4" i="5"/>
  <c r="J6" i="5"/>
  <c r="J7" i="5"/>
  <c r="J8" i="5"/>
  <c r="J9" i="5"/>
  <c r="J10" i="5"/>
  <c r="J11" i="5"/>
  <c r="J12" i="5"/>
  <c r="J13" i="5"/>
  <c r="J2" i="5"/>
  <c r="I14" i="5"/>
  <c r="J14" i="5" l="1"/>
  <c r="D14" i="5"/>
  <c r="C14" i="5" l="1"/>
  <c r="B17" i="1" s="1"/>
  <c r="J15" i="2" l="1"/>
  <c r="H15" i="2"/>
  <c r="F15" i="2"/>
  <c r="D15" i="2"/>
  <c r="J14" i="2" l="1"/>
  <c r="H14" i="2"/>
  <c r="F14" i="2"/>
  <c r="D14" i="2"/>
  <c r="J13" i="2" l="1"/>
  <c r="H13" i="2"/>
  <c r="F13" i="2"/>
  <c r="D13" i="2"/>
  <c r="J12" i="2" l="1"/>
  <c r="H12" i="2"/>
  <c r="F12" i="2"/>
  <c r="D12" i="2"/>
  <c r="J11" i="2" l="1"/>
  <c r="H11" i="2"/>
  <c r="F11" i="2"/>
  <c r="D11" i="2"/>
  <c r="J10" i="2" l="1"/>
  <c r="H10" i="2"/>
  <c r="F10" i="2"/>
  <c r="D10" i="2"/>
  <c r="J9" i="2" l="1"/>
  <c r="H9" i="2"/>
  <c r="F9" i="2"/>
  <c r="D9" i="2"/>
  <c r="J8" i="2" l="1"/>
  <c r="H8" i="2"/>
  <c r="F8" i="2"/>
  <c r="D8" i="2"/>
  <c r="J7" i="2" l="1"/>
  <c r="H7" i="2"/>
  <c r="F7" i="2"/>
  <c r="D7" i="2"/>
  <c r="J5" i="2" l="1"/>
  <c r="J6" i="2"/>
  <c r="H6" i="2"/>
  <c r="F6" i="2"/>
  <c r="D6" i="2"/>
  <c r="F5" i="2" l="1"/>
  <c r="D3" i="2"/>
  <c r="D4" i="2"/>
  <c r="D5" i="2"/>
  <c r="F4" i="2"/>
  <c r="J4" i="2" l="1"/>
  <c r="J3" i="2"/>
  <c r="H5" i="2"/>
  <c r="H4" i="2" l="1"/>
  <c r="H3" i="2"/>
  <c r="F3" i="2" l="1"/>
  <c r="K3" i="2" l="1"/>
  <c r="L3" i="2" s="1"/>
  <c r="B3" i="2" s="1"/>
  <c r="B4" i="1" s="1"/>
  <c r="K15" i="2" l="1"/>
  <c r="L15" i="2" s="1"/>
  <c r="B15" i="2" s="1"/>
  <c r="B16" i="1" s="1"/>
  <c r="K14" i="2"/>
  <c r="L14" i="2" s="1"/>
  <c r="B14" i="2" s="1"/>
  <c r="B15" i="1" s="1"/>
  <c r="K13" i="2"/>
  <c r="L13" i="2" s="1"/>
  <c r="B13" i="2" s="1"/>
  <c r="B14" i="1" s="1"/>
  <c r="K12" i="2"/>
  <c r="L12" i="2" s="1"/>
  <c r="B12" i="2" s="1"/>
  <c r="B13" i="1" s="1"/>
  <c r="K11" i="2"/>
  <c r="L11" i="2" s="1"/>
  <c r="B11" i="2" s="1"/>
  <c r="B12" i="1" s="1"/>
  <c r="K10" i="2"/>
  <c r="L10" i="2" s="1"/>
  <c r="B10" i="2" s="1"/>
  <c r="B11" i="1" s="1"/>
  <c r="K9" i="2"/>
  <c r="L9" i="2" s="1"/>
  <c r="B9" i="2" s="1"/>
  <c r="B10" i="1" s="1"/>
  <c r="K8" i="2"/>
  <c r="L8" i="2" s="1"/>
  <c r="B8" i="2" s="1"/>
  <c r="B9" i="1" s="1"/>
  <c r="K7" i="2"/>
  <c r="L7" i="2" s="1"/>
  <c r="B7" i="2" s="1"/>
  <c r="B8" i="1" s="1"/>
  <c r="K6" i="2"/>
  <c r="L6" i="2" s="1"/>
  <c r="B6" i="2" s="1"/>
  <c r="B7" i="1" s="1"/>
  <c r="K4" i="2"/>
  <c r="L4" i="2" s="1"/>
  <c r="B4" i="2" s="1"/>
  <c r="B5" i="1" s="1"/>
  <c r="K5" i="2"/>
  <c r="L5" i="2" s="1"/>
  <c r="B5" i="2" s="1"/>
  <c r="B6" i="1" s="1"/>
  <c r="B2" i="2" l="1"/>
  <c r="B3" i="1" s="1"/>
  <c r="H14" i="6" l="1"/>
  <c r="C14" i="6" s="1"/>
  <c r="B18" i="1" s="1"/>
</calcChain>
</file>

<file path=xl/sharedStrings.xml><?xml version="1.0" encoding="utf-8"?>
<sst xmlns="http://schemas.openxmlformats.org/spreadsheetml/2006/main" count="96" uniqueCount="22">
  <si>
    <t>Total Penalty ($)</t>
  </si>
  <si>
    <t>Days in Period</t>
  </si>
  <si>
    <t>Total Shortfall (MWh)</t>
  </si>
  <si>
    <t>Effective Date</t>
  </si>
  <si>
    <t>Average Value of Penalty ($/MWh)</t>
  </si>
  <si>
    <t>Total Hours Of Synchronized Reserve Events Greater Than or Equal to 10 Minutes</t>
  </si>
  <si>
    <r>
      <t>Average</t>
    </r>
    <r>
      <rPr>
        <sz val="11"/>
        <color theme="1"/>
        <rFont val="Arial"/>
        <family val="2"/>
        <scheme val="minor"/>
      </rPr>
      <t xml:space="preserve"> Response Rate</t>
    </r>
  </si>
  <si>
    <t>Synchronized Reserve Offer Cap Penalty</t>
  </si>
  <si>
    <t>Daylight Savings Time Adder</t>
  </si>
  <si>
    <t>Monthly Response Rate</t>
  </si>
  <si>
    <t>Monthly Time Of Synchronized Reserve Events Greater Than or Equal to 10 Minutes</t>
  </si>
  <si>
    <t>Total Hours in Period</t>
  </si>
  <si>
    <t>N/A</t>
  </si>
  <si>
    <t>Actual Month</t>
  </si>
  <si>
    <t>Monthly Penalty ($)</t>
  </si>
  <si>
    <t>Monthly Shortfall (MWh)</t>
  </si>
  <si>
    <t>Penalty ($)</t>
  </si>
  <si>
    <t>Shortfall (MWh)</t>
  </si>
  <si>
    <t>Response</t>
  </si>
  <si>
    <t>Assignment</t>
  </si>
  <si>
    <t>Response (MW)</t>
  </si>
  <si>
    <t>Assignment (MW)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</si>
</sst>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mm/dd/yyyy"/>
    <numFmt numFmtId="166" formatCode="hh:mm:ss"/>
  </numFmts>
  <fonts count="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2" fontId="0" fillId="0" borderId="2" xfId="1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0" fontId="0" fillId="0" borderId="2" xfId="1" applyNumberFormat="1" applyFont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166" fontId="0" fillId="0" borderId="0" xfId="1" applyNumberFormat="1" applyFon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4" fontId="0" fillId="0" borderId="0" xfId="0" applyNumberFormat="1" applyFont="1" applyFill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sqref="A1:B1"/>
    </sheetView>
  </sheetViews>
  <sheetFormatPr defaultColWidth="30.625" defaultRowHeight="14.25" x14ac:dyDescent="0.2"/>
  <cols>
    <col min="1" max="1" width="30.625" style="8"/>
    <col min="2" max="16384" width="30.625" style="1"/>
  </cols>
  <sheetData>
    <row r="1" spans="1:2" x14ac:dyDescent="0.2">
      <c r="A1" s="24" t="s">
        <v>7</v>
      </c>
      <c r="B1" s="24"/>
    </row>
    <row r="2" spans="1:2" x14ac:dyDescent="0.2">
      <c r="A2" s="10" t="s">
        <v>3</v>
      </c>
      <c r="B2" s="11" t="s">
        <v>4</v>
      </c>
    </row>
    <row r="3" spans="1:2" x14ac:dyDescent="0.2">
      <c r="A3" s="8">
        <v>44835</v>
      </c>
      <c r="B3" s="7">
        <f>ROUND(VLOOKUP(A3, 'Monthly Calculation'!A:B, 2, FALSE), 2)</f>
        <v>0.02</v>
      </c>
    </row>
    <row r="4" spans="1:2" x14ac:dyDescent="0.2">
      <c r="A4" s="8">
        <v>44896</v>
      </c>
      <c r="B4" s="1">
        <f>ROUND(VLOOKUP(A4, 'Monthly Calculation'!A:B, 2, FALSE), 2)</f>
        <v>0.11</v>
      </c>
    </row>
    <row r="5" spans="1:2" x14ac:dyDescent="0.2">
      <c r="A5" s="8">
        <v>44927</v>
      </c>
      <c r="B5" s="1">
        <f>ROUND(VLOOKUP(A5, 'Monthly Calculation'!A:B, 2, FALSE), 2)</f>
        <v>0.09</v>
      </c>
    </row>
    <row r="6" spans="1:2" x14ac:dyDescent="0.2">
      <c r="A6" s="8">
        <v>44958</v>
      </c>
      <c r="B6" s="1">
        <f>ROUND(VLOOKUP(A6, 'Monthly Calculation'!A:B, 2, FALSE), 2)</f>
        <v>0.14000000000000001</v>
      </c>
    </row>
    <row r="7" spans="1:2" x14ac:dyDescent="0.2">
      <c r="A7" s="8">
        <v>44986</v>
      </c>
      <c r="B7" s="1">
        <f>ROUND(VLOOKUP(A7, 'Monthly Calculation'!A:B, 2, FALSE), 2)</f>
        <v>0.11</v>
      </c>
    </row>
    <row r="8" spans="1:2" x14ac:dyDescent="0.2">
      <c r="A8" s="8">
        <v>45017</v>
      </c>
      <c r="B8" s="1">
        <f>ROUND(VLOOKUP(A8, 'Monthly Calculation'!A:B, 2, FALSE), 2)</f>
        <v>0.09</v>
      </c>
    </row>
    <row r="9" spans="1:2" x14ac:dyDescent="0.2">
      <c r="A9" s="8">
        <v>45047</v>
      </c>
      <c r="B9" s="1">
        <f>ROUND(VLOOKUP(A9, 'Monthly Calculation'!A:B, 2, FALSE), 2)</f>
        <v>7.0000000000000007E-2</v>
      </c>
    </row>
    <row r="10" spans="1:2" x14ac:dyDescent="0.2">
      <c r="A10" s="8">
        <v>45078</v>
      </c>
      <c r="B10" s="1">
        <f>ROUND(VLOOKUP(A10, 'Monthly Calculation'!A:B, 2, FALSE), 2)</f>
        <v>0.06</v>
      </c>
    </row>
    <row r="11" spans="1:2" x14ac:dyDescent="0.2">
      <c r="A11" s="8">
        <v>45108</v>
      </c>
      <c r="B11" s="1">
        <f>ROUND(VLOOKUP(A11, 'Monthly Calculation'!A:B, 2, FALSE), 2)</f>
        <v>0.06</v>
      </c>
    </row>
    <row r="12" spans="1:2" x14ac:dyDescent="0.2">
      <c r="A12" s="8">
        <v>45139</v>
      </c>
      <c r="B12" s="1">
        <f>ROUND(VLOOKUP(A12, 'Monthly Calculation'!A:B, 2, FALSE), 2)</f>
        <v>0.05</v>
      </c>
    </row>
    <row r="13" spans="1:2" x14ac:dyDescent="0.2">
      <c r="A13" s="8">
        <v>45170</v>
      </c>
      <c r="B13" s="1">
        <f>ROUND(VLOOKUP(A13, 'Monthly Calculation'!A:B, 2, FALSE), 2)</f>
        <v>0.05</v>
      </c>
    </row>
    <row r="14" spans="1:2" x14ac:dyDescent="0.2">
      <c r="A14" s="8">
        <v>45200</v>
      </c>
      <c r="B14" s="1">
        <f>ROUND(VLOOKUP(A14, 'Monthly Calculation'!A:B, 2, FALSE), 2)</f>
        <v>0.04</v>
      </c>
    </row>
    <row r="15" spans="1:2" x14ac:dyDescent="0.2">
      <c r="A15" s="8">
        <v>45231</v>
      </c>
      <c r="B15" s="1">
        <f>ROUND(VLOOKUP(A15, 'Monthly Calculation'!A:B, 2, FALSE), 2)</f>
        <v>0.04</v>
      </c>
    </row>
    <row r="16" spans="1:2" x14ac:dyDescent="0.2">
      <c r="A16" s="8">
        <v>45261</v>
      </c>
      <c r="B16" s="1">
        <f>ROUND(VLOOKUP(A16, 'Monthly Calculation'!A:B, 2, FALSE), 2)</f>
        <v>0.04</v>
      </c>
    </row>
    <row r="17" spans="1:2" x14ac:dyDescent="0.2">
      <c r="A17" s="8">
        <v>45292</v>
      </c>
      <c r="B17" s="1">
        <f>ROUND(VLOOKUP(A17, '2024 Annual Calculation'!A:C, 3, FALSE), 2)</f>
        <v>0.04</v>
      </c>
    </row>
    <row r="18" spans="1:2" x14ac:dyDescent="0.2">
      <c r="A18" s="8">
        <v>45658</v>
      </c>
      <c r="B18" s="7">
        <f>ROUND(VLOOKUP(A18, '2025 Annual Calculation'!A:C, 3, FALSE), 2)</f>
        <v>0</v>
      </c>
    </row>
  </sheetData>
  <mergeCells count="1">
    <mergeCell ref="A1:B1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/>
  </sheetViews>
  <sheetFormatPr defaultColWidth="22.625" defaultRowHeight="15" customHeight="1" x14ac:dyDescent="0.2"/>
  <cols>
    <col min="1" max="1" width="22.625" style="2"/>
    <col min="2" max="16384" width="22.625" style="1"/>
  </cols>
  <sheetData>
    <row r="1" spans="1:13" s="3" customFormat="1" ht="60" customHeight="1" x14ac:dyDescent="0.2">
      <c r="A1" s="10" t="s">
        <v>3</v>
      </c>
      <c r="B1" s="9" t="s">
        <v>4</v>
      </c>
      <c r="C1" s="9" t="s">
        <v>14</v>
      </c>
      <c r="D1" s="3" t="s">
        <v>0</v>
      </c>
      <c r="E1" s="3" t="s">
        <v>15</v>
      </c>
      <c r="F1" s="9" t="s">
        <v>2</v>
      </c>
      <c r="G1" s="9" t="s">
        <v>9</v>
      </c>
      <c r="H1" s="3" t="s">
        <v>6</v>
      </c>
      <c r="I1" s="9" t="s">
        <v>10</v>
      </c>
      <c r="J1" s="9" t="s">
        <v>5</v>
      </c>
      <c r="K1" s="3" t="s">
        <v>1</v>
      </c>
      <c r="L1" s="3" t="s">
        <v>11</v>
      </c>
      <c r="M1" s="3" t="s">
        <v>8</v>
      </c>
    </row>
    <row r="2" spans="1:13" ht="15" customHeight="1" x14ac:dyDescent="0.2">
      <c r="A2" s="2">
        <v>44835</v>
      </c>
      <c r="B2" s="6">
        <f t="shared" ref="B2:B15" si="0">(D2/F2) * (1-H2) * (J2/L2)</f>
        <v>1.7002832783278327E-2</v>
      </c>
      <c r="C2" s="6"/>
      <c r="D2" s="6">
        <v>218840</v>
      </c>
      <c r="E2" s="6"/>
      <c r="F2" s="6">
        <v>494</v>
      </c>
      <c r="G2" s="6"/>
      <c r="H2" s="5">
        <v>0.753</v>
      </c>
      <c r="I2" s="12"/>
      <c r="J2" s="6">
        <v>1.1299999999999999</v>
      </c>
      <c r="K2" s="6"/>
      <c r="L2" s="4">
        <v>7272</v>
      </c>
    </row>
    <row r="3" spans="1:13" ht="15" customHeight="1" x14ac:dyDescent="0.2">
      <c r="A3" s="2">
        <v>44896</v>
      </c>
      <c r="B3" s="6">
        <f t="shared" si="0"/>
        <v>0.10517268010077938</v>
      </c>
      <c r="C3" s="6">
        <v>215917.64</v>
      </c>
      <c r="D3" s="6">
        <f>SUM($C$3:C3)</f>
        <v>215917.64</v>
      </c>
      <c r="E3" s="6">
        <v>255.3</v>
      </c>
      <c r="F3" s="6">
        <f>SUM($E$3:E3)</f>
        <v>255.3</v>
      </c>
      <c r="G3" s="5">
        <v>0.30521502771946812</v>
      </c>
      <c r="H3" s="5">
        <f>AVERAGE($G$3:G3)</f>
        <v>0.30521502771946812</v>
      </c>
      <c r="I3" s="12">
        <v>8.2407407389837317E-3</v>
      </c>
      <c r="J3" s="6">
        <f>(HOUR(SUM($I$3:I3)))+(((MINUTE(SUM($I$3:I3)))+((SECOND(SUM($I$3:I3))))/60)/60)</f>
        <v>0.19777777777777777</v>
      </c>
      <c r="K3" s="1">
        <f>(31+15)</f>
        <v>46</v>
      </c>
      <c r="L3" s="4">
        <f>(K3*24)+M3</f>
        <v>1105</v>
      </c>
      <c r="M3" s="1">
        <v>1</v>
      </c>
    </row>
    <row r="4" spans="1:13" ht="15" customHeight="1" x14ac:dyDescent="0.2">
      <c r="A4" s="2">
        <v>44927</v>
      </c>
      <c r="B4" s="6">
        <f t="shared" si="0"/>
        <v>9.1265047969250682E-2</v>
      </c>
      <c r="C4" s="6">
        <v>77556.08</v>
      </c>
      <c r="D4" s="6">
        <f>SUM($C$3:C4)</f>
        <v>293473.72000000003</v>
      </c>
      <c r="E4" s="6">
        <v>233.46799999999999</v>
      </c>
      <c r="F4" s="6">
        <f>SUM($E$3:E4)</f>
        <v>488.76800000000003</v>
      </c>
      <c r="G4" s="5">
        <v>0.53156164230101399</v>
      </c>
      <c r="H4" s="5">
        <f>AVERAGE($G$3:G4)</f>
        <v>0.41838833501024109</v>
      </c>
      <c r="I4" s="12">
        <v>1.1631944449618459E-2</v>
      </c>
      <c r="J4" s="6">
        <f>(HOUR(SUM($I$3:I4)))+(((MINUTE(SUM($I$3:I4)))+((SECOND(SUM($I$3:I4))))/60)/60)</f>
        <v>0.47694444444444445</v>
      </c>
      <c r="K4" s="1">
        <f>(31+30+15)</f>
        <v>76</v>
      </c>
      <c r="L4" s="4">
        <f t="shared" ref="L4:L15" si="1">(K4*24)+M4</f>
        <v>1825</v>
      </c>
      <c r="M4" s="1">
        <v>1</v>
      </c>
    </row>
    <row r="5" spans="1:13" ht="15" customHeight="1" x14ac:dyDescent="0.2">
      <c r="A5" s="2">
        <v>44958</v>
      </c>
      <c r="B5" s="6">
        <f t="shared" si="0"/>
        <v>0.13685474669771522</v>
      </c>
      <c r="C5" s="6">
        <v>3523716</v>
      </c>
      <c r="D5" s="6">
        <f>SUM($C$3:C5)</f>
        <v>3817189.72</v>
      </c>
      <c r="E5" s="6">
        <v>33527.616999999998</v>
      </c>
      <c r="F5" s="6">
        <f>SUM($E$3:E5)</f>
        <v>34016.384999999995</v>
      </c>
      <c r="G5" s="5">
        <v>0.42335175961459948</v>
      </c>
      <c r="H5" s="5">
        <f>AVERAGE($G$3:G5)</f>
        <v>0.42004280987836057</v>
      </c>
      <c r="I5" s="12">
        <v>0.20521990740962792</v>
      </c>
      <c r="J5" s="6">
        <f>(HOUR(SUM($I$3:I5)))+(((MINUTE(SUM($I$3:I5)))+((SECOND(SUM($I$3:I5))))/60)/60)</f>
        <v>5.402222222222222</v>
      </c>
      <c r="K5" s="1">
        <f>(31+30+31+15)</f>
        <v>107</v>
      </c>
      <c r="L5" s="4">
        <f t="shared" si="1"/>
        <v>2569</v>
      </c>
      <c r="M5" s="1">
        <v>1</v>
      </c>
    </row>
    <row r="6" spans="1:13" ht="15" customHeight="1" x14ac:dyDescent="0.2">
      <c r="A6" s="2">
        <v>44986</v>
      </c>
      <c r="B6" s="6">
        <f t="shared" si="0"/>
        <v>0.10612129316825548</v>
      </c>
      <c r="C6" s="6">
        <v>0</v>
      </c>
      <c r="D6" s="6">
        <f>SUM($C$3:C6)</f>
        <v>3817189.72</v>
      </c>
      <c r="E6" s="6">
        <v>0</v>
      </c>
      <c r="F6" s="6">
        <f>SUM($E$3:E6)</f>
        <v>34016.384999999995</v>
      </c>
      <c r="G6" s="1" t="s">
        <v>12</v>
      </c>
      <c r="H6" s="5">
        <f>AVERAGE($G$3:G6)</f>
        <v>0.42004280987836057</v>
      </c>
      <c r="I6" s="12">
        <v>0</v>
      </c>
      <c r="J6" s="6">
        <f>(HOUR(SUM($I$3:I6)))+(((MINUTE(SUM($I$3:I6)))+((SECOND(SUM($I$3:I6))))/60)/60)</f>
        <v>5.402222222222222</v>
      </c>
      <c r="K6" s="1">
        <f>(31+30+31+31+15)</f>
        <v>138</v>
      </c>
      <c r="L6" s="4">
        <f t="shared" si="1"/>
        <v>3313</v>
      </c>
      <c r="M6" s="1">
        <v>1</v>
      </c>
    </row>
    <row r="7" spans="1:13" ht="15" customHeight="1" x14ac:dyDescent="0.2">
      <c r="A7" s="2">
        <v>45017</v>
      </c>
      <c r="B7" s="6">
        <f t="shared" si="0"/>
        <v>8.8247952878120081E-2</v>
      </c>
      <c r="C7" s="6">
        <v>0</v>
      </c>
      <c r="D7" s="6">
        <f>SUM($C$3:C7)</f>
        <v>3817189.72</v>
      </c>
      <c r="E7" s="6">
        <v>0</v>
      </c>
      <c r="F7" s="6">
        <f>SUM($E$3:E7)</f>
        <v>34016.384999999995</v>
      </c>
      <c r="G7" s="1" t="s">
        <v>12</v>
      </c>
      <c r="H7" s="5">
        <f>AVERAGE($G$3:G7)</f>
        <v>0.42004280987836057</v>
      </c>
      <c r="I7" s="12">
        <v>0</v>
      </c>
      <c r="J7" s="6">
        <f>(HOUR(SUM($I$3:I7)))+(((MINUTE(SUM($I$3:I7)))+((SECOND(SUM($I$3:I7))))/60)/60)</f>
        <v>5.402222222222222</v>
      </c>
      <c r="K7" s="1">
        <f>(31+30+31+31+28+15)</f>
        <v>166</v>
      </c>
      <c r="L7" s="4">
        <f t="shared" si="1"/>
        <v>3984</v>
      </c>
      <c r="M7" s="1">
        <v>0</v>
      </c>
    </row>
    <row r="8" spans="1:13" ht="15" customHeight="1" x14ac:dyDescent="0.2">
      <c r="A8" s="2">
        <v>45047</v>
      </c>
      <c r="B8" s="6">
        <f t="shared" si="0"/>
        <v>7.4361219176486984E-2</v>
      </c>
      <c r="C8" s="6">
        <v>0</v>
      </c>
      <c r="D8" s="6">
        <f>SUM($C$3:C8)</f>
        <v>3817189.72</v>
      </c>
      <c r="E8" s="6">
        <v>0</v>
      </c>
      <c r="F8" s="6">
        <f>SUM($E$3:E8)</f>
        <v>34016.384999999995</v>
      </c>
      <c r="G8" s="1" t="s">
        <v>12</v>
      </c>
      <c r="H8" s="5">
        <f>AVERAGE($G$3:G8)</f>
        <v>0.42004280987836057</v>
      </c>
      <c r="I8" s="12">
        <v>0</v>
      </c>
      <c r="J8" s="6">
        <f>(HOUR(SUM($I$3:I8)))+(((MINUTE(SUM($I$3:I8)))+((SECOND(SUM($I$3:I8))))/60)/60)</f>
        <v>5.402222222222222</v>
      </c>
      <c r="K8" s="1">
        <f>(31+30+31+31+28+31+15)</f>
        <v>197</v>
      </c>
      <c r="L8" s="4">
        <f t="shared" si="1"/>
        <v>4728</v>
      </c>
      <c r="M8" s="1">
        <v>0</v>
      </c>
    </row>
    <row r="9" spans="1:13" ht="15" customHeight="1" x14ac:dyDescent="0.2">
      <c r="A9" s="2">
        <v>45078</v>
      </c>
      <c r="B9" s="6">
        <f t="shared" si="0"/>
        <v>6.4533745276510721E-2</v>
      </c>
      <c r="C9" s="6">
        <v>0</v>
      </c>
      <c r="D9" s="6">
        <f>SUM($C$3:C9)</f>
        <v>3817189.72</v>
      </c>
      <c r="E9" s="6">
        <v>0</v>
      </c>
      <c r="F9" s="6">
        <f>SUM($E$3:E9)</f>
        <v>34016.384999999995</v>
      </c>
      <c r="G9" s="1" t="s">
        <v>12</v>
      </c>
      <c r="H9" s="5">
        <f>AVERAGE($G$3:G9)</f>
        <v>0.42004280987836057</v>
      </c>
      <c r="I9" s="12">
        <v>0</v>
      </c>
      <c r="J9" s="6">
        <f>(HOUR(SUM($I$3:I9)))+(((MINUTE(SUM($I$3:I9)))+((SECOND(SUM($I$3:I9))))/60)/60)</f>
        <v>5.402222222222222</v>
      </c>
      <c r="K9" s="1">
        <f>(31+30+31+31+28+31+30+15)</f>
        <v>227</v>
      </c>
      <c r="L9" s="4">
        <f t="shared" si="1"/>
        <v>5448</v>
      </c>
      <c r="M9" s="1">
        <v>0</v>
      </c>
    </row>
    <row r="10" spans="1:13" ht="15" customHeight="1" x14ac:dyDescent="0.2">
      <c r="A10" s="2">
        <v>45108</v>
      </c>
      <c r="B10" s="6">
        <f t="shared" si="0"/>
        <v>5.6779690611503619E-2</v>
      </c>
      <c r="C10" s="6">
        <v>0</v>
      </c>
      <c r="D10" s="6">
        <f>SUM($C$3:C10)</f>
        <v>3817189.72</v>
      </c>
      <c r="E10" s="6">
        <v>0</v>
      </c>
      <c r="F10" s="6">
        <f>SUM($E$3:E10)</f>
        <v>34016.384999999995</v>
      </c>
      <c r="G10" s="1" t="s">
        <v>12</v>
      </c>
      <c r="H10" s="5">
        <f>AVERAGE($G$3:G10)</f>
        <v>0.42004280987836057</v>
      </c>
      <c r="I10" s="12">
        <v>0</v>
      </c>
      <c r="J10" s="6">
        <f>(HOUR(SUM($I$3:I10)))+(((MINUTE(SUM($I$3:I10)))+((SECOND(SUM($I$3:I10))))/60)/60)</f>
        <v>5.402222222222222</v>
      </c>
      <c r="K10" s="1">
        <f>(31+30+31+31+28+31+30+31+15)</f>
        <v>258</v>
      </c>
      <c r="L10" s="4">
        <f t="shared" si="1"/>
        <v>6192</v>
      </c>
      <c r="M10" s="1">
        <v>0</v>
      </c>
    </row>
    <row r="11" spans="1:13" ht="15" customHeight="1" x14ac:dyDescent="0.2">
      <c r="A11" s="2">
        <v>45139</v>
      </c>
      <c r="B11" s="6">
        <f t="shared" si="0"/>
        <v>5.0865139506138662E-2</v>
      </c>
      <c r="C11" s="6">
        <v>0</v>
      </c>
      <c r="D11" s="6">
        <f>SUM($C$3:C11)</f>
        <v>3817189.72</v>
      </c>
      <c r="E11" s="6">
        <v>0</v>
      </c>
      <c r="F11" s="6">
        <f>SUM($E$3:E11)</f>
        <v>34016.384999999995</v>
      </c>
      <c r="G11" s="1" t="s">
        <v>12</v>
      </c>
      <c r="H11" s="5">
        <f>AVERAGE($G$3:G11)</f>
        <v>0.42004280987836057</v>
      </c>
      <c r="I11" s="12">
        <v>0</v>
      </c>
      <c r="J11" s="6">
        <f>(HOUR(SUM($I$3:I11)))+(((MINUTE(SUM($I$3:I11)))+((SECOND(SUM($I$3:I11))))/60)/60)</f>
        <v>5.402222222222222</v>
      </c>
      <c r="K11" s="1">
        <f>(31+30+31+31+28+31+30+31+30+15)</f>
        <v>288</v>
      </c>
      <c r="L11" s="4">
        <f t="shared" si="1"/>
        <v>6912</v>
      </c>
      <c r="M11" s="1">
        <v>0</v>
      </c>
    </row>
    <row r="12" spans="1:13" ht="15" customHeight="1" x14ac:dyDescent="0.2">
      <c r="A12" s="2">
        <v>45170</v>
      </c>
      <c r="B12" s="6">
        <f t="shared" si="0"/>
        <v>4.5922132218708257E-2</v>
      </c>
      <c r="C12" s="6">
        <v>0</v>
      </c>
      <c r="D12" s="6">
        <f>SUM($C$3:C12)</f>
        <v>3817189.72</v>
      </c>
      <c r="E12" s="6">
        <v>0</v>
      </c>
      <c r="F12" s="6">
        <f>SUM($E$3:E12)</f>
        <v>34016.384999999995</v>
      </c>
      <c r="G12" s="1" t="s">
        <v>12</v>
      </c>
      <c r="H12" s="5">
        <f>AVERAGE($G$3:G12)</f>
        <v>0.42004280987836057</v>
      </c>
      <c r="I12" s="12">
        <v>0</v>
      </c>
      <c r="J12" s="6">
        <f>(HOUR(SUM($I$3:I12)))+(((MINUTE(SUM($I$3:I12)))+((SECOND(SUM($I$3:I12))))/60)/60)</f>
        <v>5.402222222222222</v>
      </c>
      <c r="K12" s="1">
        <f>(31+30+31+31+28+31+30+31+30+31+15)</f>
        <v>319</v>
      </c>
      <c r="L12" s="4">
        <f t="shared" si="1"/>
        <v>7656</v>
      </c>
      <c r="M12" s="1">
        <v>0</v>
      </c>
    </row>
    <row r="13" spans="1:13" ht="15" customHeight="1" x14ac:dyDescent="0.2">
      <c r="A13" s="2">
        <v>45200</v>
      </c>
      <c r="B13" s="6">
        <f t="shared" si="0"/>
        <v>4.1854743365051246E-2</v>
      </c>
      <c r="C13" s="6">
        <v>0</v>
      </c>
      <c r="D13" s="6">
        <f>SUM($C$3:C13)</f>
        <v>3817189.72</v>
      </c>
      <c r="E13" s="6">
        <v>0</v>
      </c>
      <c r="F13" s="6">
        <f>SUM($E$3:E13)</f>
        <v>34016.384999999995</v>
      </c>
      <c r="G13" s="1" t="s">
        <v>12</v>
      </c>
      <c r="H13" s="5">
        <f>AVERAGE($G$3:G13)</f>
        <v>0.42004280987836057</v>
      </c>
      <c r="I13" s="12">
        <v>0</v>
      </c>
      <c r="J13" s="6">
        <f>(HOUR(SUM($I$3:I13)))+(((MINUTE(SUM($I$3:I13)))+((SECOND(SUM($I$3:I13))))/60)/60)</f>
        <v>5.402222222222222</v>
      </c>
      <c r="K13" s="1">
        <f>(31+30+31+31+28+31+30+31+30+31+31+15)</f>
        <v>350</v>
      </c>
      <c r="L13" s="4">
        <f t="shared" si="1"/>
        <v>8400</v>
      </c>
      <c r="M13" s="1">
        <v>0</v>
      </c>
    </row>
    <row r="14" spans="1:13" ht="15" customHeight="1" x14ac:dyDescent="0.2">
      <c r="A14" s="2">
        <v>45231</v>
      </c>
      <c r="B14" s="6">
        <f t="shared" si="0"/>
        <v>3.8550421520441934E-2</v>
      </c>
      <c r="C14" s="6">
        <v>0</v>
      </c>
      <c r="D14" s="6">
        <f>SUM($C$3:C14)</f>
        <v>3817189.72</v>
      </c>
      <c r="E14" s="6">
        <v>0</v>
      </c>
      <c r="F14" s="6">
        <f>SUM($E$3:E14)</f>
        <v>34016.384999999995</v>
      </c>
      <c r="G14" s="1" t="s">
        <v>12</v>
      </c>
      <c r="H14" s="5">
        <f>AVERAGE($G$3:G14)</f>
        <v>0.42004280987836057</v>
      </c>
      <c r="I14" s="12">
        <v>0</v>
      </c>
      <c r="J14" s="6">
        <f>(HOUR(SUM($I$3:I14)))+(((MINUTE(SUM($I$3:I14)))+((SECOND(SUM($I$3:I14))))/60)/60)</f>
        <v>5.402222222222222</v>
      </c>
      <c r="K14" s="1">
        <f>(31+30+31+31+28+31+30+31+30+31+31+30+15)</f>
        <v>380</v>
      </c>
      <c r="L14" s="4">
        <f t="shared" si="1"/>
        <v>9120</v>
      </c>
      <c r="M14" s="1">
        <v>0</v>
      </c>
    </row>
    <row r="15" spans="1:13" ht="15" customHeight="1" x14ac:dyDescent="0.2">
      <c r="A15" s="13">
        <v>45261</v>
      </c>
      <c r="B15" s="14">
        <f t="shared" si="0"/>
        <v>3.5639112444645758E-2</v>
      </c>
      <c r="C15" s="14">
        <v>0</v>
      </c>
      <c r="D15" s="14">
        <f>SUM($C$3:C15)</f>
        <v>3817189.72</v>
      </c>
      <c r="E15" s="14">
        <v>0</v>
      </c>
      <c r="F15" s="14">
        <f>SUM($E$3:E15)</f>
        <v>34016.384999999995</v>
      </c>
      <c r="G15" s="15" t="s">
        <v>12</v>
      </c>
      <c r="H15" s="16">
        <f>AVERAGE($G$3:G15)</f>
        <v>0.42004280987836057</v>
      </c>
      <c r="I15" s="17">
        <v>0</v>
      </c>
      <c r="J15" s="14">
        <f>(HOUR(SUM($I$3:I15)))+(((MINUTE(SUM($I$3:I15)))+((SECOND(SUM($I$3:I15))))/60)/60)</f>
        <v>5.402222222222222</v>
      </c>
      <c r="K15" s="15">
        <f>(31+30+31+31+28+31+30+31+30+31+31+30+31+15)</f>
        <v>411</v>
      </c>
      <c r="L15" s="18">
        <f t="shared" si="1"/>
        <v>9865</v>
      </c>
      <c r="M15" s="15">
        <v>1</v>
      </c>
    </row>
  </sheetData>
  <pageMargins left="0.7" right="0.7" top="0.75" bottom="0.75" header="0.3" footer="0.3"/>
  <pageSetup orientation="portrait" horizontalDpi="90" verticalDpi="90" r:id="rId1"/>
  <ignoredErrors>
    <ignoredError sqref="D4:D15 H4:H5 J4:J15 F4:F1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/>
  </sheetViews>
  <sheetFormatPr defaultColWidth="22.625" defaultRowHeight="15" customHeight="1" x14ac:dyDescent="0.2"/>
  <cols>
    <col min="1" max="2" width="22.625" style="2"/>
    <col min="3" max="16384" width="22.625" style="1"/>
  </cols>
  <sheetData>
    <row r="1" spans="1:10" s="3" customFormat="1" ht="60" customHeight="1" x14ac:dyDescent="0.2">
      <c r="A1" s="10" t="s">
        <v>3</v>
      </c>
      <c r="B1" s="10" t="s">
        <v>13</v>
      </c>
      <c r="C1" s="9" t="s">
        <v>4</v>
      </c>
      <c r="D1" s="9" t="s">
        <v>16</v>
      </c>
      <c r="E1" s="3" t="s">
        <v>17</v>
      </c>
      <c r="F1" s="3" t="s">
        <v>18</v>
      </c>
      <c r="G1" s="9" t="s">
        <v>19</v>
      </c>
      <c r="H1" s="9" t="s">
        <v>10</v>
      </c>
      <c r="I1" s="3" t="s">
        <v>1</v>
      </c>
      <c r="J1" s="3" t="s">
        <v>11</v>
      </c>
    </row>
    <row r="2" spans="1:10" ht="15" customHeight="1" x14ac:dyDescent="0.2">
      <c r="A2" s="2" t="s">
        <v>12</v>
      </c>
      <c r="B2" s="2">
        <v>44866</v>
      </c>
      <c r="C2" s="6" t="s">
        <v>12</v>
      </c>
      <c r="D2" s="6">
        <v>77556.08</v>
      </c>
      <c r="E2" s="6">
        <v>233.46799999999999</v>
      </c>
      <c r="F2" s="6">
        <v>948.99700000000018</v>
      </c>
      <c r="G2" s="6">
        <v>1785.3</v>
      </c>
      <c r="H2" s="12">
        <v>1.1631944449618459E-2</v>
      </c>
      <c r="I2" s="21">
        <v>30</v>
      </c>
      <c r="J2" s="4">
        <f>(I2*24)</f>
        <v>720</v>
      </c>
    </row>
    <row r="3" spans="1:10" ht="15" customHeight="1" x14ac:dyDescent="0.2">
      <c r="A3" s="2" t="s">
        <v>12</v>
      </c>
      <c r="B3" s="2">
        <v>44896</v>
      </c>
      <c r="C3" s="6" t="s">
        <v>12</v>
      </c>
      <c r="D3" s="6">
        <v>1465318.69</v>
      </c>
      <c r="E3" s="6">
        <v>30471.438999999998</v>
      </c>
      <c r="F3" s="6">
        <v>2884.3470000000002</v>
      </c>
      <c r="G3" s="6">
        <v>8165.3</v>
      </c>
      <c r="H3" s="12">
        <v>0.185023148151231</v>
      </c>
      <c r="I3" s="21">
        <v>31</v>
      </c>
      <c r="J3" s="4">
        <f t="shared" ref="J3:J13" si="0">(I3*24)</f>
        <v>744</v>
      </c>
    </row>
    <row r="4" spans="1:10" ht="15" customHeight="1" x14ac:dyDescent="0.2">
      <c r="A4" s="2" t="s">
        <v>12</v>
      </c>
      <c r="B4" s="2">
        <v>44927</v>
      </c>
      <c r="C4" s="6" t="s">
        <v>12</v>
      </c>
      <c r="D4" s="6">
        <v>2058397.31</v>
      </c>
      <c r="E4" s="6">
        <v>3056.1770000000001</v>
      </c>
      <c r="F4" s="6">
        <v>2300.442</v>
      </c>
      <c r="G4" s="6">
        <v>4081.7000000000007</v>
      </c>
      <c r="H4" s="12">
        <v>2.0196759258396924E-2</v>
      </c>
      <c r="I4" s="21">
        <v>31</v>
      </c>
      <c r="J4" s="4">
        <f t="shared" si="0"/>
        <v>744</v>
      </c>
    </row>
    <row r="5" spans="1:10" ht="15" customHeight="1" x14ac:dyDescent="0.2">
      <c r="A5" s="2" t="s">
        <v>12</v>
      </c>
      <c r="B5" s="2">
        <v>44958</v>
      </c>
      <c r="C5" s="6" t="s">
        <v>12</v>
      </c>
      <c r="D5" s="6">
        <v>0</v>
      </c>
      <c r="E5" s="6">
        <v>0</v>
      </c>
      <c r="F5" s="6">
        <v>0</v>
      </c>
      <c r="G5" s="6">
        <v>0</v>
      </c>
      <c r="H5" s="12">
        <v>0</v>
      </c>
      <c r="I5" s="21">
        <v>28</v>
      </c>
      <c r="J5" s="4">
        <f t="shared" si="0"/>
        <v>672</v>
      </c>
    </row>
    <row r="6" spans="1:10" ht="15" customHeight="1" x14ac:dyDescent="0.2">
      <c r="A6" s="2" t="s">
        <v>12</v>
      </c>
      <c r="B6" s="2">
        <v>44986</v>
      </c>
      <c r="C6" s="6" t="s">
        <v>12</v>
      </c>
      <c r="D6" s="6">
        <v>0</v>
      </c>
      <c r="E6" s="6">
        <v>0</v>
      </c>
      <c r="F6" s="6">
        <v>0</v>
      </c>
      <c r="G6" s="6">
        <v>0</v>
      </c>
      <c r="H6" s="12">
        <v>0</v>
      </c>
      <c r="I6" s="21">
        <v>31</v>
      </c>
      <c r="J6" s="4">
        <f t="shared" si="0"/>
        <v>744</v>
      </c>
    </row>
    <row r="7" spans="1:10" ht="15" customHeight="1" x14ac:dyDescent="0.2">
      <c r="A7" s="2" t="s">
        <v>12</v>
      </c>
      <c r="B7" s="2">
        <v>45017</v>
      </c>
      <c r="C7" s="6" t="s">
        <v>12</v>
      </c>
      <c r="D7" s="6">
        <v>0</v>
      </c>
      <c r="E7" s="6">
        <v>0</v>
      </c>
      <c r="F7" s="6">
        <v>0</v>
      </c>
      <c r="G7" s="6">
        <v>0</v>
      </c>
      <c r="H7" s="12">
        <v>0</v>
      </c>
      <c r="I7" s="21">
        <v>30</v>
      </c>
      <c r="J7" s="4">
        <f t="shared" si="0"/>
        <v>720</v>
      </c>
    </row>
    <row r="8" spans="1:10" ht="15" customHeight="1" x14ac:dyDescent="0.2">
      <c r="A8" s="2" t="s">
        <v>12</v>
      </c>
      <c r="B8" s="2">
        <v>45047</v>
      </c>
      <c r="C8" s="6" t="s">
        <v>12</v>
      </c>
      <c r="D8" s="6">
        <v>0</v>
      </c>
      <c r="E8" s="6">
        <v>0</v>
      </c>
      <c r="F8" s="6">
        <v>0</v>
      </c>
      <c r="G8" s="6">
        <v>0</v>
      </c>
      <c r="H8" s="12">
        <v>0</v>
      </c>
      <c r="I8" s="21">
        <v>31</v>
      </c>
      <c r="J8" s="4">
        <f t="shared" si="0"/>
        <v>744</v>
      </c>
    </row>
    <row r="9" spans="1:10" ht="15" customHeight="1" x14ac:dyDescent="0.2">
      <c r="A9" s="2" t="s">
        <v>12</v>
      </c>
      <c r="B9" s="2">
        <v>45078</v>
      </c>
      <c r="C9" s="6" t="s">
        <v>12</v>
      </c>
      <c r="D9" s="6">
        <v>0</v>
      </c>
      <c r="E9" s="6">
        <v>0</v>
      </c>
      <c r="F9" s="6">
        <v>0</v>
      </c>
      <c r="G9" s="6">
        <v>0</v>
      </c>
      <c r="H9" s="12">
        <v>0</v>
      </c>
      <c r="I9" s="21">
        <v>30</v>
      </c>
      <c r="J9" s="4">
        <f t="shared" si="0"/>
        <v>720</v>
      </c>
    </row>
    <row r="10" spans="1:10" ht="15" customHeight="1" x14ac:dyDescent="0.2">
      <c r="A10" s="2" t="s">
        <v>12</v>
      </c>
      <c r="B10" s="2">
        <v>45108</v>
      </c>
      <c r="C10" s="6" t="s">
        <v>12</v>
      </c>
      <c r="D10" s="6">
        <v>0</v>
      </c>
      <c r="E10" s="6">
        <v>0</v>
      </c>
      <c r="F10" s="6">
        <v>0</v>
      </c>
      <c r="G10" s="6">
        <v>0</v>
      </c>
      <c r="H10" s="12">
        <v>0</v>
      </c>
      <c r="I10" s="21">
        <v>31</v>
      </c>
      <c r="J10" s="4">
        <f t="shared" si="0"/>
        <v>744</v>
      </c>
    </row>
    <row r="11" spans="1:10" ht="15" customHeight="1" x14ac:dyDescent="0.2">
      <c r="A11" s="2" t="s">
        <v>12</v>
      </c>
      <c r="B11" s="2">
        <v>45139</v>
      </c>
      <c r="C11" s="6" t="s">
        <v>12</v>
      </c>
      <c r="D11" s="6">
        <v>0</v>
      </c>
      <c r="E11" s="6">
        <v>0</v>
      </c>
      <c r="F11" s="6">
        <v>0</v>
      </c>
      <c r="G11" s="6">
        <v>0</v>
      </c>
      <c r="H11" s="12">
        <v>0</v>
      </c>
      <c r="I11" s="21">
        <v>31</v>
      </c>
      <c r="J11" s="4">
        <f t="shared" si="0"/>
        <v>744</v>
      </c>
    </row>
    <row r="12" spans="1:10" ht="15" customHeight="1" x14ac:dyDescent="0.2">
      <c r="A12" s="2" t="s">
        <v>12</v>
      </c>
      <c r="B12" s="2">
        <v>45170</v>
      </c>
      <c r="C12" s="6" t="s">
        <v>12</v>
      </c>
      <c r="D12" s="6">
        <v>0</v>
      </c>
      <c r="E12" s="6">
        <v>0</v>
      </c>
      <c r="F12" s="6">
        <v>0</v>
      </c>
      <c r="G12" s="6">
        <v>0</v>
      </c>
      <c r="H12" s="12">
        <v>0</v>
      </c>
      <c r="I12" s="21">
        <v>30</v>
      </c>
      <c r="J12" s="4">
        <f t="shared" si="0"/>
        <v>720</v>
      </c>
    </row>
    <row r="13" spans="1:10" ht="15" customHeight="1" x14ac:dyDescent="0.2">
      <c r="A13" s="13" t="s">
        <v>12</v>
      </c>
      <c r="B13" s="13">
        <v>45200</v>
      </c>
      <c r="C13" s="6" t="s">
        <v>12</v>
      </c>
      <c r="D13" s="6">
        <v>0</v>
      </c>
      <c r="E13" s="6">
        <v>0</v>
      </c>
      <c r="F13" s="6">
        <v>0</v>
      </c>
      <c r="G13" s="6">
        <v>0</v>
      </c>
      <c r="H13" s="12">
        <v>0</v>
      </c>
      <c r="I13" s="21">
        <v>31</v>
      </c>
      <c r="J13" s="4">
        <f t="shared" si="0"/>
        <v>744</v>
      </c>
    </row>
    <row r="14" spans="1:10" ht="15" customHeight="1" x14ac:dyDescent="0.2">
      <c r="A14" s="2">
        <v>45292</v>
      </c>
      <c r="B14" s="2" t="s">
        <v>12</v>
      </c>
      <c r="C14" s="19">
        <f>(D14/E14) * (1-F14) * (H14/J14)</f>
        <v>3.5671909180492727E-2</v>
      </c>
      <c r="D14" s="19">
        <f>SUM(D2:D13)</f>
        <v>3601272.08</v>
      </c>
      <c r="E14" s="19">
        <v>33761.083995277775</v>
      </c>
      <c r="F14" s="25">
        <f>(SUM(F2:F13))/(SUM(G2:G13))</f>
        <v>0.43711907527632671</v>
      </c>
      <c r="G14" s="25"/>
      <c r="H14" s="23">
        <f>(HOUR(SUM($H$2:H13)))+(((MINUTE(SUM($H$2:H13)))+((SECOND(SUM($H$2:H13))))/60)/60)</f>
        <v>5.2044444444444444</v>
      </c>
      <c r="I14" s="22">
        <f>SUM(I2:I13)</f>
        <v>365</v>
      </c>
      <c r="J14" s="20">
        <f>SUM(J2:J13)</f>
        <v>8760</v>
      </c>
    </row>
    <row r="16" spans="1:10" ht="15" customHeight="1" x14ac:dyDescent="0.2">
      <c r="E16" s="6"/>
    </row>
  </sheetData>
  <mergeCells count="1">
    <mergeCell ref="F14:G14"/>
  </mergeCells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/>
  </sheetViews>
  <sheetFormatPr defaultColWidth="22.625" defaultRowHeight="15" customHeight="1" x14ac:dyDescent="0.2"/>
  <cols>
    <col min="1" max="2" width="22.625" style="2"/>
    <col min="3" max="16384" width="22.625" style="1"/>
  </cols>
  <sheetData>
    <row r="1" spans="1:10" s="3" customFormat="1" ht="60" customHeight="1" x14ac:dyDescent="0.2">
      <c r="A1" s="10" t="s">
        <v>3</v>
      </c>
      <c r="B1" s="10" t="s">
        <v>13</v>
      </c>
      <c r="C1" s="9" t="s">
        <v>4</v>
      </c>
      <c r="D1" s="9" t="s">
        <v>16</v>
      </c>
      <c r="E1" s="3" t="s">
        <v>17</v>
      </c>
      <c r="F1" s="3" t="s">
        <v>20</v>
      </c>
      <c r="G1" s="9" t="s">
        <v>21</v>
      </c>
      <c r="H1" s="9" t="s">
        <v>10</v>
      </c>
      <c r="I1" s="3" t="s">
        <v>1</v>
      </c>
      <c r="J1" s="3" t="s">
        <v>11</v>
      </c>
    </row>
    <row r="2" spans="1:10" ht="15" customHeight="1" x14ac:dyDescent="0.2">
      <c r="A2" s="26" t="s">
        <v>12</v>
      </c>
      <c r="B2" s="26">
        <v>45231</v>
      </c>
      <c r="C2" s="27" t="s">
        <v>12</v>
      </c>
      <c r="D2" s="27">
        <v>0</v>
      </c>
      <c r="E2" s="27">
        <v>0</v>
      </c>
      <c r="F2" s="27">
        <v>0</v>
      </c>
      <c r="G2" s="27">
        <v>0</v>
      </c>
      <c r="H2" s="28">
        <v>0</v>
      </c>
      <c r="I2" s="29">
        <v>30</v>
      </c>
      <c r="J2" s="30">
        <v>721</v>
      </c>
    </row>
    <row r="3" spans="1:10" ht="15" customHeight="1" x14ac:dyDescent="0.2">
      <c r="A3" s="26" t="s">
        <v>12</v>
      </c>
      <c r="B3" s="26">
        <v>45261</v>
      </c>
      <c r="C3" s="27" t="s">
        <v>12</v>
      </c>
      <c r="D3" s="27">
        <v>407183.23</v>
      </c>
      <c r="E3" s="27">
        <v>260.48297916666667</v>
      </c>
      <c r="F3" s="27">
        <v>1436.165</v>
      </c>
      <c r="G3" s="27">
        <v>2712</v>
      </c>
      <c r="H3" s="28">
        <v>8.5069444444444437E-3</v>
      </c>
      <c r="I3" s="29">
        <v>31</v>
      </c>
      <c r="J3" s="30">
        <v>744</v>
      </c>
    </row>
    <row r="4" spans="1:10" ht="15" customHeight="1" x14ac:dyDescent="0.2">
      <c r="A4" s="26" t="s">
        <v>12</v>
      </c>
      <c r="B4" s="26">
        <v>45292</v>
      </c>
      <c r="C4" s="27" t="s">
        <v>12</v>
      </c>
      <c r="D4" s="27">
        <v>0</v>
      </c>
      <c r="E4" s="27">
        <v>0</v>
      </c>
      <c r="F4" s="27">
        <v>0</v>
      </c>
      <c r="G4" s="27">
        <v>0</v>
      </c>
      <c r="H4" s="28">
        <v>0</v>
      </c>
      <c r="I4" s="29">
        <v>31</v>
      </c>
      <c r="J4" s="30">
        <v>744</v>
      </c>
    </row>
    <row r="5" spans="1:10" ht="15" customHeight="1" x14ac:dyDescent="0.2">
      <c r="A5" s="26" t="s">
        <v>12</v>
      </c>
      <c r="B5" s="26">
        <v>45323</v>
      </c>
      <c r="C5" s="27" t="s">
        <v>12</v>
      </c>
      <c r="D5" s="27">
        <v>262251.21999999997</v>
      </c>
      <c r="E5" s="27">
        <v>249.93513722222218</v>
      </c>
      <c r="F5" s="27">
        <v>725.85399999999993</v>
      </c>
      <c r="G5" s="27">
        <v>1943.3999999999999</v>
      </c>
      <c r="H5" s="28">
        <v>8.5532407407408195E-3</v>
      </c>
      <c r="I5" s="29">
        <v>29</v>
      </c>
      <c r="J5" s="30">
        <v>696</v>
      </c>
    </row>
    <row r="6" spans="1:10" ht="15" customHeight="1" x14ac:dyDescent="0.2">
      <c r="A6" s="26" t="s">
        <v>12</v>
      </c>
      <c r="B6" s="26">
        <v>45352</v>
      </c>
      <c r="C6" s="27" t="s">
        <v>12</v>
      </c>
      <c r="D6" s="27">
        <v>0</v>
      </c>
      <c r="E6" s="27">
        <v>0</v>
      </c>
      <c r="F6" s="27">
        <v>0</v>
      </c>
      <c r="G6" s="27">
        <v>0</v>
      </c>
      <c r="H6" s="28">
        <v>0</v>
      </c>
      <c r="I6" s="29">
        <v>31</v>
      </c>
      <c r="J6" s="30">
        <v>743</v>
      </c>
    </row>
    <row r="7" spans="1:10" ht="15" customHeight="1" x14ac:dyDescent="0.2">
      <c r="A7" s="26" t="s">
        <v>12</v>
      </c>
      <c r="B7" s="26">
        <v>45383</v>
      </c>
      <c r="C7" s="27" t="s">
        <v>12</v>
      </c>
      <c r="D7" s="27">
        <v>0</v>
      </c>
      <c r="E7" s="27">
        <v>0</v>
      </c>
      <c r="F7" s="27">
        <v>0</v>
      </c>
      <c r="G7" s="27">
        <v>0</v>
      </c>
      <c r="H7" s="28">
        <v>0</v>
      </c>
      <c r="I7" s="29">
        <v>30</v>
      </c>
      <c r="J7" s="30">
        <v>720</v>
      </c>
    </row>
    <row r="8" spans="1:10" ht="15" customHeight="1" x14ac:dyDescent="0.2">
      <c r="A8" s="26" t="s">
        <v>12</v>
      </c>
      <c r="B8" s="26">
        <v>45413</v>
      </c>
      <c r="C8" s="27" t="s">
        <v>12</v>
      </c>
      <c r="D8" s="27">
        <v>0</v>
      </c>
      <c r="E8" s="27">
        <v>0</v>
      </c>
      <c r="F8" s="27">
        <v>0</v>
      </c>
      <c r="G8" s="27">
        <v>0</v>
      </c>
      <c r="H8" s="28">
        <v>0</v>
      </c>
      <c r="I8" s="29">
        <v>31</v>
      </c>
      <c r="J8" s="30">
        <v>744</v>
      </c>
    </row>
    <row r="9" spans="1:10" ht="15" customHeight="1" x14ac:dyDescent="0.2">
      <c r="A9" s="26" t="s">
        <v>12</v>
      </c>
      <c r="B9" s="26">
        <v>45444</v>
      </c>
      <c r="C9" s="27" t="s">
        <v>12</v>
      </c>
      <c r="D9" s="27">
        <v>0</v>
      </c>
      <c r="E9" s="27">
        <v>0</v>
      </c>
      <c r="F9" s="27">
        <v>0</v>
      </c>
      <c r="G9" s="27">
        <v>0</v>
      </c>
      <c r="H9" s="28">
        <v>0</v>
      </c>
      <c r="I9" s="29">
        <v>30</v>
      </c>
      <c r="J9" s="30">
        <v>720</v>
      </c>
    </row>
    <row r="10" spans="1:10" ht="15" customHeight="1" x14ac:dyDescent="0.2">
      <c r="A10" s="26" t="s">
        <v>12</v>
      </c>
      <c r="B10" s="26">
        <v>45474</v>
      </c>
      <c r="C10" s="27" t="s">
        <v>12</v>
      </c>
      <c r="D10" s="31">
        <v>726264.83</v>
      </c>
      <c r="E10" s="27">
        <v>527.60283250000009</v>
      </c>
      <c r="F10" s="27">
        <v>3245.1669999999995</v>
      </c>
      <c r="G10" s="27">
        <v>5613.6</v>
      </c>
      <c r="H10" s="28">
        <v>1.7118055555555751E-2</v>
      </c>
      <c r="I10" s="29">
        <v>31</v>
      </c>
      <c r="J10" s="30">
        <v>744</v>
      </c>
    </row>
    <row r="11" spans="1:10" ht="15" customHeight="1" x14ac:dyDescent="0.2">
      <c r="A11" s="26" t="s">
        <v>12</v>
      </c>
      <c r="B11" s="26">
        <v>45505</v>
      </c>
      <c r="C11" s="27" t="s">
        <v>12</v>
      </c>
      <c r="D11" s="31">
        <v>306544.21000000002</v>
      </c>
      <c r="E11" s="27">
        <v>159.21457083333331</v>
      </c>
      <c r="F11" s="27">
        <v>1342.395</v>
      </c>
      <c r="G11" s="27">
        <v>1945.1</v>
      </c>
      <c r="H11" s="28">
        <v>1.10069444444445E-2</v>
      </c>
      <c r="I11" s="29">
        <v>31</v>
      </c>
      <c r="J11" s="30">
        <v>744</v>
      </c>
    </row>
    <row r="12" spans="1:10" ht="15" customHeight="1" x14ac:dyDescent="0.2">
      <c r="A12" s="26" t="s">
        <v>12</v>
      </c>
      <c r="B12" s="26">
        <v>45536</v>
      </c>
      <c r="C12" s="27" t="s">
        <v>12</v>
      </c>
      <c r="D12" s="27">
        <v>0</v>
      </c>
      <c r="E12" s="27">
        <v>0</v>
      </c>
      <c r="F12" s="27">
        <v>0</v>
      </c>
      <c r="G12" s="27">
        <v>0</v>
      </c>
      <c r="H12" s="28">
        <v>0</v>
      </c>
      <c r="I12" s="29">
        <v>30</v>
      </c>
      <c r="J12" s="30">
        <v>720</v>
      </c>
    </row>
    <row r="13" spans="1:10" ht="15" customHeight="1" x14ac:dyDescent="0.2">
      <c r="A13" s="32" t="s">
        <v>12</v>
      </c>
      <c r="B13" s="32">
        <v>45566</v>
      </c>
      <c r="C13" s="27" t="s">
        <v>12</v>
      </c>
      <c r="D13" s="27">
        <v>0</v>
      </c>
      <c r="E13" s="27">
        <v>0</v>
      </c>
      <c r="F13" s="27">
        <v>0</v>
      </c>
      <c r="G13" s="27">
        <v>0</v>
      </c>
      <c r="H13" s="28">
        <v>0</v>
      </c>
      <c r="I13" s="29">
        <v>31</v>
      </c>
      <c r="J13" s="30">
        <v>744</v>
      </c>
    </row>
    <row r="14" spans="1:10" ht="15" customHeight="1" x14ac:dyDescent="0.2">
      <c r="A14" s="2">
        <v>45658</v>
      </c>
      <c r="B14" s="2" t="s">
        <v>12</v>
      </c>
      <c r="C14" s="19">
        <f>(D14/E14) * (1-F14) * (H14/J14)</f>
        <v>2.7849073387257251E-3</v>
      </c>
      <c r="D14" s="19">
        <f>SUM(D2:D13)</f>
        <v>1702243.4899999998</v>
      </c>
      <c r="E14" s="19">
        <v>33761.083995277775</v>
      </c>
      <c r="F14" s="25">
        <f>(SUM(F2:F13))/(SUM(G2:G13))</f>
        <v>0.55260567704538199</v>
      </c>
      <c r="G14" s="25"/>
      <c r="H14" s="23">
        <f>(HOUR(SUM($H$2:H13)))+(((MINUTE(SUM($H$2:H13)))+((SECOND(SUM($H$2:H13))))/60)/60)</f>
        <v>1.0844444444444445</v>
      </c>
      <c r="I14" s="22">
        <f>SUM(I2:I13)</f>
        <v>366</v>
      </c>
      <c r="J14" s="20">
        <f>SUM(J2:J13)</f>
        <v>8784</v>
      </c>
    </row>
  </sheetData>
  <mergeCells count="1">
    <mergeCell ref="F14:G14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Monthly Calculation</vt:lpstr>
      <vt:lpstr>2024 Annual Calculation</vt:lpstr>
      <vt:lpstr>2025 Annual Calculation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DMK</dc:creator>
  <cp:lastModifiedBy>DMK</cp:lastModifiedBy>
  <dcterms:created xsi:type="dcterms:W3CDTF">2019-10-29T21:38:08Z</dcterms:created>
  <dcterms:modified xsi:type="dcterms:W3CDTF">2024-12-03T21:35:31Z</dcterms:modified>
</cp:coreProperties>
</file>