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rp\shares\home\Bachut\My Documents\"/>
    </mc:Choice>
  </mc:AlternateContent>
  <bookViews>
    <workbookView xWindow="105" yWindow="90" windowWidth="14940" windowHeight="9045" tabRatio="870"/>
  </bookViews>
  <sheets>
    <sheet name="PJM Buy Bids-Sell Offers" sheetId="28" r:id="rId1"/>
    <sheet name="3rd IA Configuration" sheetId="27" r:id="rId2"/>
    <sheet name="3rd IA Parameters" sheetId="25" r:id="rId3"/>
    <sheet name="BRA Parameters" sheetId="26" r:id="rId4"/>
  </sheets>
  <definedNames>
    <definedName name="_xlnm.Print_Area" localSheetId="1">'3rd IA Configuration'!$A$1:$P$20</definedName>
    <definedName name="_xlnm.Print_Area" localSheetId="2">'3rd IA Parameters'!$A$1:$P$89</definedName>
    <definedName name="_xlnm.Print_Area" localSheetId="3">'BRA Parameters'!$A$1:$P$76</definedName>
    <definedName name="_xlnm.Print_Area" localSheetId="0">'PJM Buy Bids-Sell Offers'!$A$1:$J$25</definedName>
  </definedNames>
  <calcPr calcId="162913"/>
</workbook>
</file>

<file path=xl/calcChain.xml><?xml version="1.0" encoding="utf-8"?>
<calcChain xmlns="http://schemas.openxmlformats.org/spreadsheetml/2006/main">
  <c r="C16" i="25" l="1"/>
  <c r="D16" i="25"/>
  <c r="E16" i="25"/>
  <c r="F16" i="25"/>
  <c r="G16" i="25"/>
  <c r="H16" i="25"/>
  <c r="I16" i="25"/>
  <c r="J16" i="25"/>
  <c r="K16" i="25"/>
  <c r="L16" i="25"/>
  <c r="M16" i="25"/>
  <c r="N16" i="25"/>
  <c r="O16" i="25"/>
  <c r="P16" i="25"/>
  <c r="Q16" i="25"/>
  <c r="C17" i="25"/>
  <c r="D17" i="25"/>
  <c r="E17" i="25"/>
  <c r="F17" i="25"/>
  <c r="G17" i="25"/>
  <c r="H17" i="25"/>
  <c r="I17" i="25"/>
  <c r="J17" i="25"/>
  <c r="K17" i="25"/>
  <c r="L17" i="25"/>
  <c r="M17" i="25"/>
  <c r="N17" i="25"/>
  <c r="O17" i="25"/>
  <c r="P17" i="25"/>
  <c r="Q17" i="25"/>
  <c r="B17" i="25"/>
  <c r="B16" i="25"/>
  <c r="J15" i="25" l="1"/>
  <c r="F15" i="25"/>
  <c r="G15" i="25"/>
  <c r="F24" i="25"/>
  <c r="F32" i="25"/>
  <c r="C41" i="26"/>
  <c r="Q18" i="25"/>
  <c r="P18" i="25"/>
  <c r="O18" i="25"/>
  <c r="N18" i="25"/>
  <c r="M18" i="25"/>
  <c r="L18" i="25"/>
  <c r="K18" i="25"/>
  <c r="J18" i="25"/>
  <c r="I18" i="25"/>
  <c r="H18" i="25"/>
  <c r="G18" i="25"/>
  <c r="F18" i="25"/>
  <c r="E18" i="25"/>
  <c r="D18" i="25"/>
  <c r="C18" i="25"/>
  <c r="B18" i="25"/>
  <c r="C6" i="27" l="1"/>
  <c r="D6" i="27"/>
  <c r="E6" i="27"/>
  <c r="F6" i="27"/>
  <c r="G6" i="27"/>
  <c r="H6" i="27"/>
  <c r="I6" i="27"/>
  <c r="J6" i="27"/>
  <c r="K6" i="27"/>
  <c r="L6" i="27"/>
  <c r="M6" i="27"/>
  <c r="N6" i="27"/>
  <c r="O6" i="27"/>
  <c r="P6" i="27"/>
  <c r="Q6" i="27"/>
  <c r="B6" i="27"/>
  <c r="H74" i="26" l="1"/>
  <c r="F74" i="26"/>
  <c r="H72" i="26"/>
  <c r="F72" i="26"/>
  <c r="H71" i="26"/>
  <c r="F71" i="26"/>
  <c r="E41" i="26" s="1"/>
  <c r="H70" i="26"/>
  <c r="H73" i="26" s="1"/>
  <c r="C13" i="26" s="1"/>
  <c r="C14" i="26" s="1"/>
  <c r="F70" i="26"/>
  <c r="F73" i="26" s="1"/>
  <c r="I69" i="26"/>
  <c r="I68" i="26"/>
  <c r="I67" i="26"/>
  <c r="I66" i="26"/>
  <c r="I65" i="26"/>
  <c r="I64" i="26"/>
  <c r="I63" i="26"/>
  <c r="I62" i="26"/>
  <c r="I61" i="26"/>
  <c r="I60" i="26"/>
  <c r="I59" i="26"/>
  <c r="I58" i="26"/>
  <c r="I57" i="26"/>
  <c r="I56" i="26"/>
  <c r="I55" i="26"/>
  <c r="I54" i="26"/>
  <c r="I53" i="26"/>
  <c r="I52" i="26"/>
  <c r="I51" i="26"/>
  <c r="I49" i="26"/>
  <c r="I48" i="26"/>
  <c r="I47" i="26"/>
  <c r="I46" i="26"/>
  <c r="I45" i="26"/>
  <c r="H45" i="26"/>
  <c r="F45" i="26"/>
  <c r="E45" i="26"/>
  <c r="Q41" i="26"/>
  <c r="P41" i="26"/>
  <c r="M41" i="26"/>
  <c r="L41" i="26"/>
  <c r="H41" i="26"/>
  <c r="Q38" i="26"/>
  <c r="P38" i="26"/>
  <c r="O38" i="26"/>
  <c r="N38" i="26"/>
  <c r="M38" i="26"/>
  <c r="L38" i="26"/>
  <c r="K38" i="26"/>
  <c r="J38" i="26"/>
  <c r="I38" i="26"/>
  <c r="H38" i="26"/>
  <c r="G38" i="26"/>
  <c r="F38" i="26"/>
  <c r="E38" i="26"/>
  <c r="D38" i="26"/>
  <c r="C38" i="26"/>
  <c r="B38" i="26"/>
  <c r="M32" i="26"/>
  <c r="I32" i="26"/>
  <c r="E32" i="26"/>
  <c r="D32" i="26"/>
  <c r="C32" i="26"/>
  <c r="B32" i="26"/>
  <c r="M29" i="26"/>
  <c r="E29" i="26"/>
  <c r="B29" i="26"/>
  <c r="I28" i="26"/>
  <c r="E28" i="26"/>
  <c r="Q21" i="26"/>
  <c r="P21" i="26"/>
  <c r="O21" i="26"/>
  <c r="N21" i="26"/>
  <c r="M21" i="26"/>
  <c r="L21" i="26"/>
  <c r="K21" i="26"/>
  <c r="J21" i="26"/>
  <c r="I21" i="26"/>
  <c r="I29" i="26" s="1"/>
  <c r="H21" i="26"/>
  <c r="G21" i="26"/>
  <c r="F21" i="26"/>
  <c r="E21" i="26"/>
  <c r="D21" i="26"/>
  <c r="D29" i="26" s="1"/>
  <c r="C21" i="26"/>
  <c r="C29" i="26" s="1"/>
  <c r="B21" i="26"/>
  <c r="Q20" i="26"/>
  <c r="P20" i="26"/>
  <c r="O20" i="26"/>
  <c r="N20" i="26"/>
  <c r="M20" i="26"/>
  <c r="M28" i="26" s="1"/>
  <c r="L20" i="26"/>
  <c r="K20" i="26"/>
  <c r="J20" i="26"/>
  <c r="I20" i="26"/>
  <c r="H20" i="26"/>
  <c r="G20" i="26"/>
  <c r="F20" i="26"/>
  <c r="E20" i="26"/>
  <c r="D20" i="26"/>
  <c r="D28" i="26" s="1"/>
  <c r="C20" i="26"/>
  <c r="C28" i="26" s="1"/>
  <c r="B20" i="26"/>
  <c r="B28" i="26" s="1"/>
  <c r="Q15" i="26"/>
  <c r="Q25" i="26" s="1"/>
  <c r="P14" i="26"/>
  <c r="P15" i="26" s="1"/>
  <c r="O14" i="26"/>
  <c r="O15" i="26" s="1"/>
  <c r="N14" i="26"/>
  <c r="N15" i="26" s="1"/>
  <c r="J14" i="26"/>
  <c r="J15" i="26" s="1"/>
  <c r="I14" i="26"/>
  <c r="I15" i="26" s="1"/>
  <c r="H14" i="26"/>
  <c r="H15" i="26" s="1"/>
  <c r="B14" i="26"/>
  <c r="P13" i="26"/>
  <c r="O13" i="26"/>
  <c r="N13" i="26"/>
  <c r="M13" i="26"/>
  <c r="M14" i="26" s="1"/>
  <c r="M15" i="26" s="1"/>
  <c r="L13" i="26"/>
  <c r="L14" i="26" s="1"/>
  <c r="L15" i="26" s="1"/>
  <c r="K13" i="26"/>
  <c r="K14" i="26" s="1"/>
  <c r="K15" i="26" s="1"/>
  <c r="J13" i="26"/>
  <c r="I13" i="26"/>
  <c r="H13" i="26"/>
  <c r="G13" i="26"/>
  <c r="G14" i="26" s="1"/>
  <c r="G15" i="26" s="1"/>
  <c r="F13" i="26"/>
  <c r="F14" i="26" s="1"/>
  <c r="F15" i="26" s="1"/>
  <c r="E13" i="26"/>
  <c r="E14" i="26" s="1"/>
  <c r="B13" i="26"/>
  <c r="B7" i="26"/>
  <c r="B12" i="26" s="1"/>
  <c r="B15" i="26" s="1"/>
  <c r="Q30" i="25"/>
  <c r="P30" i="25"/>
  <c r="O30" i="25"/>
  <c r="N30" i="25"/>
  <c r="M30" i="25"/>
  <c r="L30" i="25"/>
  <c r="K30" i="25"/>
  <c r="J30" i="25"/>
  <c r="I30" i="25"/>
  <c r="H30" i="25"/>
  <c r="G30" i="25"/>
  <c r="F30" i="25"/>
  <c r="E30" i="25"/>
  <c r="D30" i="25"/>
  <c r="C30" i="25"/>
  <c r="B30" i="25"/>
  <c r="Q21" i="25"/>
  <c r="Q29" i="25" s="1"/>
  <c r="P21" i="25"/>
  <c r="P29" i="25" s="1"/>
  <c r="O34" i="25"/>
  <c r="N34" i="25"/>
  <c r="M21" i="25"/>
  <c r="M29" i="25" s="1"/>
  <c r="L34" i="25"/>
  <c r="G21" i="25"/>
  <c r="G29" i="25" s="1"/>
  <c r="F21" i="25"/>
  <c r="F29" i="25" s="1"/>
  <c r="E21" i="25"/>
  <c r="E29" i="25" s="1"/>
  <c r="D21" i="25"/>
  <c r="D29" i="25" s="1"/>
  <c r="C34" i="25"/>
  <c r="B34" i="25"/>
  <c r="F20" i="25"/>
  <c r="F28" i="25" s="1"/>
  <c r="Q14" i="25"/>
  <c r="O14" i="25"/>
  <c r="N14" i="25"/>
  <c r="M14" i="25"/>
  <c r="L14" i="25"/>
  <c r="K14" i="25"/>
  <c r="J14" i="25"/>
  <c r="I14" i="25"/>
  <c r="H14" i="25"/>
  <c r="G14" i="25"/>
  <c r="F14" i="25"/>
  <c r="E14" i="25"/>
  <c r="D14" i="25"/>
  <c r="C14" i="25"/>
  <c r="P14" i="25"/>
  <c r="B14" i="25"/>
  <c r="Q8" i="27"/>
  <c r="P8" i="27"/>
  <c r="O8" i="27"/>
  <c r="N8" i="27"/>
  <c r="M8" i="27"/>
  <c r="L8" i="27"/>
  <c r="K8" i="27"/>
  <c r="J8" i="27"/>
  <c r="I8" i="27"/>
  <c r="H8" i="27"/>
  <c r="G8" i="27"/>
  <c r="F8" i="27"/>
  <c r="E8" i="27"/>
  <c r="D8" i="27"/>
  <c r="C8" i="27"/>
  <c r="B12" i="25"/>
  <c r="F34" i="25" l="1"/>
  <c r="G34" i="25"/>
  <c r="K15" i="25"/>
  <c r="K5" i="27" s="1"/>
  <c r="K7" i="27" s="1"/>
  <c r="K12" i="27" s="1"/>
  <c r="K13" i="27" s="1"/>
  <c r="K15" i="27" s="1"/>
  <c r="N15" i="25"/>
  <c r="N5" i="27" s="1"/>
  <c r="N7" i="27" s="1"/>
  <c r="N12" i="27" s="1"/>
  <c r="N13" i="27" s="1"/>
  <c r="N15" i="27" s="1"/>
  <c r="O15" i="25"/>
  <c r="D15" i="25"/>
  <c r="D5" i="27" s="1"/>
  <c r="D7" i="27" s="1"/>
  <c r="D12" i="27" s="1"/>
  <c r="P15" i="25"/>
  <c r="P5" i="27" s="1"/>
  <c r="P7" i="27" s="1"/>
  <c r="P12" i="27" s="1"/>
  <c r="P13" i="27" s="1"/>
  <c r="P15" i="27" s="1"/>
  <c r="I15" i="25"/>
  <c r="I5" i="27" s="1"/>
  <c r="I7" i="27" s="1"/>
  <c r="I12" i="27" s="1"/>
  <c r="I13" i="27" s="1"/>
  <c r="I15" i="27" s="1"/>
  <c r="L20" i="25"/>
  <c r="L28" i="25" s="1"/>
  <c r="D34" i="25"/>
  <c r="Q15" i="25"/>
  <c r="Q5" i="27" s="1"/>
  <c r="Q7" i="27" s="1"/>
  <c r="Q12" i="27" s="1"/>
  <c r="Q13" i="27" s="1"/>
  <c r="Q15" i="27" s="1"/>
  <c r="F5" i="27"/>
  <c r="F7" i="27" s="1"/>
  <c r="F12" i="27" s="1"/>
  <c r="F15" i="27" s="1"/>
  <c r="M34" i="25"/>
  <c r="E15" i="25"/>
  <c r="E5" i="27" s="1"/>
  <c r="E7" i="27" s="1"/>
  <c r="E12" i="27" s="1"/>
  <c r="E15" i="27" s="1"/>
  <c r="P34" i="25"/>
  <c r="B15" i="25"/>
  <c r="B5" i="27" s="1"/>
  <c r="B7" i="27" s="1"/>
  <c r="B12" i="27" s="1"/>
  <c r="H20" i="25"/>
  <c r="H28" i="25" s="1"/>
  <c r="J5" i="27"/>
  <c r="J7" i="27" s="1"/>
  <c r="J12" i="27" s="1"/>
  <c r="J15" i="27" s="1"/>
  <c r="M20" i="25"/>
  <c r="M28" i="25" s="1"/>
  <c r="I20" i="25"/>
  <c r="I28" i="25" s="1"/>
  <c r="J20" i="25"/>
  <c r="J28" i="25" s="1"/>
  <c r="L15" i="25"/>
  <c r="L5" i="27" s="1"/>
  <c r="L7" i="27" s="1"/>
  <c r="L12" i="27" s="1"/>
  <c r="L13" i="27" s="1"/>
  <c r="L15" i="27" s="1"/>
  <c r="C20" i="25"/>
  <c r="C28" i="25" s="1"/>
  <c r="O20" i="25"/>
  <c r="O28" i="25" s="1"/>
  <c r="K20" i="25"/>
  <c r="K28" i="25" s="1"/>
  <c r="M15" i="25"/>
  <c r="M5" i="27" s="1"/>
  <c r="M7" i="27" s="1"/>
  <c r="M12" i="27" s="1"/>
  <c r="M13" i="27" s="1"/>
  <c r="M15" i="27" s="1"/>
  <c r="D20" i="25"/>
  <c r="D28" i="25" s="1"/>
  <c r="P20" i="25"/>
  <c r="P28" i="25" s="1"/>
  <c r="L24" i="26"/>
  <c r="L23" i="26"/>
  <c r="L25" i="26"/>
  <c r="G24" i="26"/>
  <c r="G25" i="26"/>
  <c r="G23" i="26"/>
  <c r="I24" i="26"/>
  <c r="I34" i="26" s="1"/>
  <c r="I23" i="26"/>
  <c r="I33" i="26" s="1"/>
  <c r="I25" i="26"/>
  <c r="J24" i="26"/>
  <c r="J23" i="26"/>
  <c r="J25" i="26"/>
  <c r="N23" i="26"/>
  <c r="N25" i="26"/>
  <c r="N24" i="26"/>
  <c r="C15" i="26"/>
  <c r="O25" i="26"/>
  <c r="O23" i="26"/>
  <c r="O24" i="26"/>
  <c r="K24" i="26"/>
  <c r="K23" i="26"/>
  <c r="K25" i="26"/>
  <c r="P23" i="26"/>
  <c r="P25" i="26"/>
  <c r="P24" i="26"/>
  <c r="M24" i="26"/>
  <c r="M34" i="26" s="1"/>
  <c r="M23" i="26"/>
  <c r="M33" i="26" s="1"/>
  <c r="M25" i="26"/>
  <c r="B23" i="26"/>
  <c r="B33" i="26" s="1"/>
  <c r="B25" i="26"/>
  <c r="B24" i="26"/>
  <c r="B34" i="26" s="1"/>
  <c r="E15" i="26"/>
  <c r="F25" i="26"/>
  <c r="F24" i="26"/>
  <c r="F23" i="26"/>
  <c r="H25" i="26"/>
  <c r="H24" i="26"/>
  <c r="H23" i="26"/>
  <c r="Q23" i="26"/>
  <c r="D41" i="26"/>
  <c r="Q24" i="26"/>
  <c r="D13" i="26"/>
  <c r="D14" i="26" s="1"/>
  <c r="D15" i="26" s="1"/>
  <c r="I23" i="25"/>
  <c r="I31" i="25" s="1"/>
  <c r="I25" i="25"/>
  <c r="I33" i="25" s="1"/>
  <c r="K24" i="25"/>
  <c r="K32" i="25" s="1"/>
  <c r="K23" i="25"/>
  <c r="K31" i="25" s="1"/>
  <c r="O23" i="25"/>
  <c r="O31" i="25" s="1"/>
  <c r="O24" i="25"/>
  <c r="O32" i="25" s="1"/>
  <c r="H21" i="25"/>
  <c r="H29" i="25" s="1"/>
  <c r="I21" i="25"/>
  <c r="I29" i="25" s="1"/>
  <c r="E34" i="25"/>
  <c r="Q34" i="25"/>
  <c r="B20" i="25"/>
  <c r="B28" i="25" s="1"/>
  <c r="N20" i="25"/>
  <c r="N28" i="25" s="1"/>
  <c r="J21" i="25"/>
  <c r="J29" i="25" s="1"/>
  <c r="C15" i="25"/>
  <c r="C5" i="27" s="1"/>
  <c r="C7" i="27" s="1"/>
  <c r="C12" i="27" s="1"/>
  <c r="C15" i="27" s="1"/>
  <c r="K21" i="25"/>
  <c r="K29" i="25" s="1"/>
  <c r="H15" i="25"/>
  <c r="H5" i="27" s="1"/>
  <c r="H7" i="27" s="1"/>
  <c r="H12" i="27" s="1"/>
  <c r="H13" i="27" s="1"/>
  <c r="H15" i="27" s="1"/>
  <c r="L21" i="25"/>
  <c r="L29" i="25" s="1"/>
  <c r="H34" i="25"/>
  <c r="E20" i="25"/>
  <c r="E28" i="25" s="1"/>
  <c r="Q20" i="25"/>
  <c r="Q28" i="25" s="1"/>
  <c r="I34" i="25"/>
  <c r="B21" i="25"/>
  <c r="B29" i="25" s="1"/>
  <c r="N21" i="25"/>
  <c r="N29" i="25" s="1"/>
  <c r="J34" i="25"/>
  <c r="G20" i="25"/>
  <c r="G28" i="25" s="1"/>
  <c r="C21" i="25"/>
  <c r="C29" i="25" s="1"/>
  <c r="O21" i="25"/>
  <c r="O29" i="25" s="1"/>
  <c r="K34" i="25"/>
  <c r="O25" i="25" l="1"/>
  <c r="O33" i="25" s="1"/>
  <c r="O5" i="27"/>
  <c r="O7" i="27" s="1"/>
  <c r="O12" i="27" s="1"/>
  <c r="O13" i="27" s="1"/>
  <c r="O15" i="27" s="1"/>
  <c r="N24" i="25"/>
  <c r="N32" i="25" s="1"/>
  <c r="I24" i="25"/>
  <c r="I32" i="25" s="1"/>
  <c r="C13" i="27"/>
  <c r="N25" i="25"/>
  <c r="N33" i="25" s="1"/>
  <c r="G25" i="25"/>
  <c r="G33" i="25" s="1"/>
  <c r="G5" i="27"/>
  <c r="G7" i="27" s="1"/>
  <c r="G12" i="27" s="1"/>
  <c r="G13" i="27" s="1"/>
  <c r="G15" i="27" s="1"/>
  <c r="N23" i="25"/>
  <c r="N31" i="25" s="1"/>
  <c r="K25" i="25"/>
  <c r="K33" i="25" s="1"/>
  <c r="B24" i="25"/>
  <c r="B32" i="25" s="1"/>
  <c r="B25" i="25"/>
  <c r="B33" i="25" s="1"/>
  <c r="B23" i="25"/>
  <c r="B31" i="25" s="1"/>
  <c r="G24" i="25"/>
  <c r="G32" i="25" s="1"/>
  <c r="G23" i="25"/>
  <c r="G31" i="25" s="1"/>
  <c r="D15" i="27"/>
  <c r="D13" i="27"/>
  <c r="E13" i="27"/>
  <c r="J13" i="27"/>
  <c r="D23" i="26"/>
  <c r="D33" i="26" s="1"/>
  <c r="D25" i="26"/>
  <c r="D24" i="26"/>
  <c r="D34" i="26" s="1"/>
  <c r="I37" i="26"/>
  <c r="I36" i="26"/>
  <c r="I35" i="26" s="1"/>
  <c r="E25" i="26"/>
  <c r="E23" i="26"/>
  <c r="E33" i="26" s="1"/>
  <c r="E24" i="26"/>
  <c r="E34" i="26" s="1"/>
  <c r="B36" i="26"/>
  <c r="B35" i="26" s="1"/>
  <c r="B37" i="26"/>
  <c r="M37" i="26"/>
  <c r="M36" i="26"/>
  <c r="M35" i="26" s="1"/>
  <c r="C23" i="26"/>
  <c r="C33" i="26" s="1"/>
  <c r="C25" i="26"/>
  <c r="C24" i="26"/>
  <c r="C34" i="26" s="1"/>
  <c r="C23" i="25"/>
  <c r="C31" i="25" s="1"/>
  <c r="C25" i="25"/>
  <c r="C33" i="25" s="1"/>
  <c r="C24" i="25"/>
  <c r="C32" i="25" s="1"/>
  <c r="M23" i="25"/>
  <c r="M31" i="25" s="1"/>
  <c r="M25" i="25"/>
  <c r="M33" i="25" s="1"/>
  <c r="M24" i="25"/>
  <c r="M32" i="25" s="1"/>
  <c r="L23" i="25"/>
  <c r="L31" i="25" s="1"/>
  <c r="L25" i="25"/>
  <c r="L33" i="25" s="1"/>
  <c r="L24" i="25"/>
  <c r="L32" i="25" s="1"/>
  <c r="H24" i="25"/>
  <c r="H32" i="25" s="1"/>
  <c r="H23" i="25"/>
  <c r="H31" i="25" s="1"/>
  <c r="H25" i="25"/>
  <c r="H33" i="25" s="1"/>
  <c r="J24" i="25"/>
  <c r="J32" i="25" s="1"/>
  <c r="J23" i="25"/>
  <c r="J31" i="25" s="1"/>
  <c r="J25" i="25"/>
  <c r="J33" i="25" s="1"/>
  <c r="F25" i="25"/>
  <c r="F33" i="25" s="1"/>
  <c r="F23" i="25"/>
  <c r="F31" i="25" s="1"/>
  <c r="Q25" i="25"/>
  <c r="Q33" i="25" s="1"/>
  <c r="Q24" i="25"/>
  <c r="Q32" i="25" s="1"/>
  <c r="Q23" i="25"/>
  <c r="Q31" i="25" s="1"/>
  <c r="E25" i="25"/>
  <c r="E33" i="25" s="1"/>
  <c r="E24" i="25"/>
  <c r="E32" i="25" s="1"/>
  <c r="E23" i="25"/>
  <c r="E31" i="25" s="1"/>
  <c r="P25" i="25"/>
  <c r="P33" i="25" s="1"/>
  <c r="P24" i="25"/>
  <c r="P32" i="25" s="1"/>
  <c r="P23" i="25"/>
  <c r="P31" i="25" s="1"/>
  <c r="D25" i="25"/>
  <c r="D33" i="25" s="1"/>
  <c r="D24" i="25"/>
  <c r="D32" i="25" s="1"/>
  <c r="D23" i="25"/>
  <c r="D31" i="25" s="1"/>
  <c r="B13" i="27" l="1"/>
  <c r="F13" i="27"/>
  <c r="D36" i="26"/>
  <c r="D35" i="26" s="1"/>
  <c r="D37" i="26"/>
  <c r="C36" i="26"/>
  <c r="C35" i="26" s="1"/>
  <c r="C37" i="26"/>
  <c r="E37" i="26"/>
  <c r="E36" i="26"/>
  <c r="E35" i="26" s="1"/>
</calcChain>
</file>

<file path=xl/sharedStrings.xml><?xml version="1.0" encoding="utf-8"?>
<sst xmlns="http://schemas.openxmlformats.org/spreadsheetml/2006/main" count="1108" uniqueCount="170">
  <si>
    <t>APS</t>
  </si>
  <si>
    <t>DPL</t>
  </si>
  <si>
    <t>AE</t>
  </si>
  <si>
    <t>BGE</t>
  </si>
  <si>
    <t>DLCO</t>
  </si>
  <si>
    <t>JCPL</t>
  </si>
  <si>
    <t>PEPCO</t>
  </si>
  <si>
    <t xml:space="preserve"> </t>
  </si>
  <si>
    <t>RTO</t>
  </si>
  <si>
    <t>SWMAAC</t>
  </si>
  <si>
    <t>EMAAC</t>
  </si>
  <si>
    <t>MAAC</t>
  </si>
  <si>
    <t>COMED</t>
  </si>
  <si>
    <t>DAYTON</t>
  </si>
  <si>
    <t>DOM</t>
  </si>
  <si>
    <t>METED</t>
  </si>
  <si>
    <t>RECO</t>
  </si>
  <si>
    <t>DPL SOUTH</t>
  </si>
  <si>
    <t>ATSI</t>
  </si>
  <si>
    <t>AEP</t>
  </si>
  <si>
    <t>DEOK</t>
  </si>
  <si>
    <t>EKPC</t>
  </si>
  <si>
    <t>Notes:</t>
  </si>
  <si>
    <t xml:space="preserve">Installed Reserve Margin (IRM) </t>
  </si>
  <si>
    <t>Forecast Pool Requirement (FPR)</t>
  </si>
  <si>
    <t>Preliminary Forecast Peak Load</t>
  </si>
  <si>
    <t>Locational Deliverability Area</t>
  </si>
  <si>
    <t>PS</t>
  </si>
  <si>
    <t>PS NORTH</t>
  </si>
  <si>
    <t>ATSI-Cleveland</t>
  </si>
  <si>
    <t>PL</t>
  </si>
  <si>
    <t>CETO</t>
  </si>
  <si>
    <t>NA</t>
  </si>
  <si>
    <t>CETL</t>
  </si>
  <si>
    <t>Reliability Requirement</t>
  </si>
  <si>
    <t>Preliminary FRR Obligation</t>
  </si>
  <si>
    <t>Reliability Requirement adjusted for FRR</t>
  </si>
  <si>
    <t>Gross CONE, $/MW-Day (UCAP Price)</t>
  </si>
  <si>
    <t>Net CONE, $/MW-Day (UCAP Price)</t>
  </si>
  <si>
    <t>Variable Resource Requirement Curve:</t>
  </si>
  <si>
    <t>Point (a) UCAP Price, $/MW-Day</t>
  </si>
  <si>
    <t>Point (b) UCAP Price, $/MW-Day</t>
  </si>
  <si>
    <t>Point (c) UCAP Price, $/MW-Day</t>
  </si>
  <si>
    <t>Point (a) UCAP Level, MW</t>
  </si>
  <si>
    <t>Point (b) UCAP Level, MW</t>
  </si>
  <si>
    <t>Point (c) UCAP Level, MW</t>
  </si>
  <si>
    <t>VRR Curve adjusted for PRD:</t>
  </si>
  <si>
    <t>Point (a1) UCAP Price, $/MW-Day</t>
  </si>
  <si>
    <t>Point (b1) UCAP Price, $/MW-Day</t>
  </si>
  <si>
    <t>Point (prd1) UCAP Price, $/MW-Day</t>
  </si>
  <si>
    <t>Point (prd2) UCAP Price, $/MW-Day</t>
  </si>
  <si>
    <t>Point (a1) UCAP Level, MW</t>
  </si>
  <si>
    <t>Point (b1) UCAP Level, MW</t>
  </si>
  <si>
    <t>Point (prd1) UCAP Level, MW</t>
  </si>
  <si>
    <t>Point (prd2) UCAP Level, MW</t>
  </si>
  <si>
    <t>Pre-Auction Credit Rate, $/MW</t>
  </si>
  <si>
    <t>Participant-Funded ICTRs Awarded</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</si>
  <si>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</si>
  <si>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</si>
  <si>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</si>
  <si>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</si>
  <si>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</si>
  <si>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</si>
  <si>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</si>
  <si>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</si>
  <si>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Preliminary Zonal Peak Load Forecast less FRR load</t>
  </si>
  <si>
    <t>*</t>
  </si>
  <si>
    <t>ATSI-CLEVELAND</t>
  </si>
  <si>
    <t>PECO</t>
  </si>
  <si>
    <t>PENLC</t>
  </si>
  <si>
    <t>PL (incl. UGI)</t>
  </si>
  <si>
    <t>Western MAAC</t>
  </si>
  <si>
    <t>Western PJM</t>
  </si>
  <si>
    <t>* LDA has adequate internal resources to meet the reliability criterion.</t>
  </si>
  <si>
    <t>Limiting conditions at the CETL for modeled LDAs:</t>
  </si>
  <si>
    <t xml:space="preserve">LDA      </t>
  </si>
  <si>
    <t>PSNORTH</t>
  </si>
  <si>
    <t>DPLSOUTH</t>
  </si>
  <si>
    <t>OVEC</t>
  </si>
  <si>
    <t>Nominated PRD Value, MW</t>
  </si>
  <si>
    <t>Total Peak Load of FRR Entities</t>
  </si>
  <si>
    <t>Limiting Facility</t>
  </si>
  <si>
    <t>Violation</t>
  </si>
  <si>
    <t xml:space="preserve">  </t>
  </si>
  <si>
    <t>Voltage</t>
  </si>
  <si>
    <t>Thermal</t>
  </si>
  <si>
    <t>&gt;115%</t>
  </si>
  <si>
    <t>EE Addback (UCAP)</t>
  </si>
  <si>
    <t>ATSI-C</t>
  </si>
  <si>
    <t>3rd IA Reliability Requirement</t>
  </si>
  <si>
    <t>Change in Reliability Requirement * (1)</t>
  </si>
  <si>
    <t>Additional Buy Bids *** (3)</t>
  </si>
  <si>
    <t>Net of (1), (2), and (3)</t>
  </si>
  <si>
    <t>Rest of LDA PJM Buy Bid Quantity Unadjusted</t>
  </si>
  <si>
    <t>Rest of LDA PJM Buy Bid Quantity Adjusted ****</t>
  </si>
  <si>
    <t>Capacity Import Limit Margin for 3rd IA</t>
  </si>
  <si>
    <t xml:space="preserve"> * As per Section 5.4.(c) of the PJM OATT, the reliability requirement for the RTO and each LDA will be updated since the change in reliability requirement for the RTO exceeds the lesser of the 500 MW or 1% threshold.</t>
  </si>
  <si>
    <t xml:space="preserve"> ** No updates in CETL values.</t>
  </si>
  <si>
    <t xml:space="preserve"> *** Additional Buy Bids to account for election of Non-Viable MWs related to Prior CIL Exception External Resources which were deemed not Operationally Deliverable for the Delivery Year to be requested for 3rd Incremental Auction. None received.</t>
  </si>
  <si>
    <t xml:space="preserve"> **** PJM Sell Offer and PJM Buy Bid quantities in nested LDAs may be adjusted in some cases to take into account any reliability impacts on the total LDA.</t>
  </si>
  <si>
    <t>Change in CETL from BRA to 3rd IA **</t>
  </si>
  <si>
    <t>Capacity Import Limit Margin remaining after BRA</t>
  </si>
  <si>
    <t>Uncleared PJM Buy Bids from previous IA (2)</t>
  </si>
  <si>
    <t>PJM Buy Bids &amp; Sell Offers</t>
  </si>
  <si>
    <t>Price Points for PJM Buy Bids and PJM Sell Offers **</t>
  </si>
  <si>
    <t>Location</t>
  </si>
  <si>
    <t>Rest of LDA PJM Buy Bid (MW) *</t>
  </si>
  <si>
    <t>Point 1 x-axis (MW)</t>
  </si>
  <si>
    <t>Point 1 y-axis ($/MW-Day)</t>
  </si>
  <si>
    <t>Point 2 x-axis (MW)</t>
  </si>
  <si>
    <t>Point 2 y-axis ($/MW-Day)</t>
  </si>
  <si>
    <t>Point 3 x-axis (MW)</t>
  </si>
  <si>
    <t>Point 3 y-axis ($/MW-Day)</t>
  </si>
  <si>
    <t>RTO (Rest of)</t>
  </si>
  <si>
    <t>MAAC (Rest of)</t>
  </si>
  <si>
    <t>EMAAC (Rest of)</t>
  </si>
  <si>
    <t>SWMAAC (Rest of)</t>
  </si>
  <si>
    <t>PS (Rest of)</t>
  </si>
  <si>
    <t>ATSI (Rest of)</t>
  </si>
  <si>
    <t>TOTAL</t>
  </si>
  <si>
    <t xml:space="preserve">   * A PJM Sell Offer is indicated by a negative PJM Buy Bid.</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</si>
  <si>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</si>
  <si>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BRA Reliability Requirement</t>
  </si>
  <si>
    <t>Point 4 x-axis (MW)</t>
  </si>
  <si>
    <t>Point 4 y-axis ($/MW-Day)</t>
  </si>
  <si>
    <t xml:space="preserve">Configuration of 3rd Incremental Auction for 2025/2026 Delivery Year </t>
  </si>
  <si>
    <t>2025/2026 RPM 3rd Incremental Auction Planning Parameters</t>
  </si>
  <si>
    <t>MRC...https://www.pjm.com/-/media/DotCom/committees-groups/committees/mrc/2025/20250123/20250123-item-05---1-irm-fpr-and-elcc-for-25-26-3ia---presentation.pdf</t>
  </si>
  <si>
    <t>Pool-Wide Accredited UCAP Factor</t>
  </si>
  <si>
    <t>Percent Internal Resource Requirement</t>
  </si>
  <si>
    <t>2025/2026 RPM Base Residual Auction Planning Parameters</t>
  </si>
  <si>
    <t>endorsed at the March 20, 2024 MRC meeting https://www.pjm.com/-/media/committees-groups/committees/mrc/2024/20240320/20240320-item-05---irm-fpr-and-elcc-for-25-26-bra---presentation.ashx</t>
  </si>
  <si>
    <t>endorsed at the March 20, 2024 MRC meeting.</t>
  </si>
  <si>
    <t>2023 Zonal W/N Coincident Peak Loads</t>
  </si>
  <si>
    <t>&gt;2,328.8</t>
  </si>
  <si>
    <t>&gt;1,846.9</t>
  </si>
  <si>
    <t>&gt;2,154.0</t>
  </si>
  <si>
    <t>&gt;1,335.2</t>
  </si>
  <si>
    <t>&gt;1,015.5</t>
  </si>
  <si>
    <t>&gt;4,345.9</t>
  </si>
  <si>
    <t>&gt;1,728.5</t>
  </si>
  <si>
    <t>&gt;3,335.0</t>
  </si>
  <si>
    <t>&gt;361.1</t>
  </si>
  <si>
    <t>4/11/2024 - Added PRD to Planning Parameters</t>
  </si>
  <si>
    <t>4/11/2024 - Note:  EE and FRR data is not currently final and will be added to the Planning Parameters after the appropriate submission deadlines</t>
  </si>
  <si>
    <t>6/5/2024 - Updated to include FRR values</t>
  </si>
  <si>
    <t>7/10/2024 - Updated to include EE addback values</t>
  </si>
  <si>
    <t>8/5/24 - Final EE addback values and Post-Auction Credit Rates</t>
  </si>
  <si>
    <t>2025/2026 3rd Incremental Auction Configuration</t>
  </si>
  <si>
    <t>2025 Load Forecast Report with adjustments for load served outside PJM...https://www.pjm.com/-/media/DotCom/library/reports-notices/load-forecast/2025-load-report.pdf</t>
  </si>
  <si>
    <t>--</t>
  </si>
  <si>
    <t>Smithburg 500/230 kV transformer #4 for the loss of East Windsor -Smithburg  230 kV line</t>
  </si>
  <si>
    <t xml:space="preserve">No Limit identified - External facility limit (Pineville 500/345 kV transformer pre-contingency)  </t>
  </si>
  <si>
    <t>Aldene - Stanley Terrance  230kV   for the loss of WEST ORANGE - ORANGE HEIGHTS 230 kV
Roseland - Williams PIPE   230 kV for the loss of Roseland - Cedar Grove 230 kV</t>
  </si>
  <si>
    <t>Wescosville 500/138 kV transformer pre-contingency</t>
  </si>
  <si>
    <t>Brunswick - Meadow Road 230 kV ckt Z2331 for the loss of Metuchen -Pierson Ave - Meadow Rd- Deans 230 kV ckt s2219
Aldene - Stanley Terrance  230kV  for the loss of WEST ORANGE - ORANGE HEIGHTS 230 kV
Roseland - Williams PIPE 230 kV for the loss of Roseland - Cedar Grove 230 kV
Kitattiny - Bush 230 kVline for the loss of Portland - Martins Creek 230 kV</t>
  </si>
  <si>
    <t>Keeney - Rock Springs 500 kV line for the loss of Peach Bottom - Limerick 500 kV line
Cool Spring - Milford 230 kV line for the loss of the Indian River - Mildord 230 kV line</t>
  </si>
  <si>
    <t>Lewistown - Juniata 230 kV line in pre-contingency</t>
  </si>
  <si>
    <t>345 kV line Sporn - Kyger Creek for the loss of 345 kV line Don Marquis - Biers Run</t>
  </si>
  <si>
    <t>Voltage drop at various buses including PUMPHREY 115 kV bus for the loss of Brighton - Conastone 500 kV line</t>
  </si>
  <si>
    <t>Austinburg - Sanborn 138 kV  for the loss of Stacy - Leroy Center 138 kV
Barberton - Alcoa 138 kV   for the loss of  Juniper - Star 345 kV</t>
  </si>
  <si>
    <t>345 kV line Wylie Ridge - Toronto for the loss of two 345/138 kV transformers at Wylie Ridge</t>
  </si>
  <si>
    <t>Boonetown- South Reading 230 kv line for the loss of Lauschtown 500/230kv T3
Nottingham- Nottreac 230 kv line for the loss of Conastone - Peachbottom 500 kv line</t>
  </si>
  <si>
    <t>Conastone - Peach Bottom 500 kV line pre contingency overload</t>
  </si>
  <si>
    <t>Cool Spring - Milford 230 kV for the loss of the Indian River - Mildord 230 kV</t>
  </si>
  <si>
    <t>Voltage collapse for the loss of Brandon Shore unit 1</t>
  </si>
  <si>
    <t>2024 Load Forecast Report with adjustments for load served outside PJM.</t>
  </si>
  <si>
    <t>Update 1/31/25 - PJM reposted the gross CONE and net CONE UCAP values used for the VRR curves as part of the 25/26 Third Incremental Auction planning parameters to reflect the applicable ELCC Class Rating for the Reference Resource rather than the pool-wide average Accredited UCAP Factor. The reposted CONE values show a de minimus difference between the previously posted and updated values.</t>
  </si>
  <si>
    <t>Post-Auction Credit Rate, $/MW</t>
  </si>
  <si>
    <t>Update 3/17/25 - Added Post-Auction Credit Rate to 3rd IA Parameters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</si>
</sst>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0.0"/>
    <numFmt numFmtId="166" formatCode="0.0%"/>
    <numFmt numFmtId="167" formatCode="0.0000"/>
    <numFmt numFmtId="168" formatCode="0.0"/>
    <numFmt numFmtId="169" formatCode="0.00000"/>
    <numFmt numFmtId="170" formatCode="&quot;$&quot;#,##0"/>
    <numFmt numFmtId="171" formatCode="0.0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color theme="1"/>
      <name val="Calibri"/>
      <family val="2"/>
      <scheme val="minor"/>
    </font>
    <font>
      <sz val="10"/>
      <color rgb="FFFF0000"/>
      <name val="Arial"/>
      <family val="2"/>
    </font>
    <font>
      <sz val="10"/>
      <color theme="1"/>
      <name val="Arial"/>
      <family val="2"/>
    </font>
    <font>
      <b/>
      <sz val="14"/>
      <color rgb="FFFF0000"/>
      <name val="Arial"/>
      <family val="2"/>
    </font>
    <font>
      <b/>
      <sz val="12"/>
      <color rgb="FFFF0000"/>
      <name val="Arial"/>
      <family val="2"/>
    </font>
    <font>
      <b/>
      <sz val="10"/>
      <name val="Arial"/>
      <family val="2"/>
    </font>
    <font>
      <sz val="12"/>
      <color theme="1"/>
      <name val="Arial"/>
      <family val="2"/>
    </font>
    <font>
      <sz val="11"/>
      <name val="Arial"/>
      <family val="2"/>
    </font>
    <font>
      <b/>
      <sz val="12"/>
      <color theme="1"/>
      <name val="Arial"/>
      <family val="2"/>
    </font>
    <font>
      <b/>
      <sz val="14"/>
      <name val="Calibri"/>
      <family val="2"/>
      <scheme val="minor"/>
    </font>
    <font>
      <b/>
      <sz val="14"/>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10"/>
      <name val="Calibri"/>
      <family val="2"/>
      <scheme val="minor"/>
    </font>
    <font>
      <b/>
      <sz val="11"/>
      <color theme="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D05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33">
    <xf numFmtId="0" fontId="0" fillId="0" borderId="0"/>
    <xf numFmtId="43" fontId="12" fillId="0" borderId="0" applyFont="0" applyFill="0" applyBorder="0" applyAlignment="0" applyProtection="0"/>
    <xf numFmtId="0" fontId="11" fillId="0" borderId="0"/>
    <xf numFmtId="0" fontId="10" fillId="0" borderId="0">
      <alignment wrapText="1"/>
    </xf>
    <xf numFmtId="0" fontId="10" fillId="0" borderId="0"/>
    <xf numFmtId="0" fontId="12" fillId="0" borderId="0"/>
    <xf numFmtId="9" fontId="6"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4" fontId="10" fillId="0" borderId="0" applyFont="0" applyFill="0" applyBorder="0" applyAlignment="0" applyProtection="0"/>
    <xf numFmtId="0" fontId="10" fillId="0" borderId="0"/>
    <xf numFmtId="0" fontId="5" fillId="0" borderId="0"/>
    <xf numFmtId="9" fontId="10" fillId="0" borderId="0" applyFont="0" applyFill="0" applyBorder="0" applyAlignment="0" applyProtection="0"/>
    <xf numFmtId="0" fontId="14" fillId="0" borderId="0"/>
    <xf numFmtId="0" fontId="6" fillId="0" borderId="0"/>
    <xf numFmtId="0" fontId="14" fillId="0" borderId="0"/>
    <xf numFmtId="0" fontId="4" fillId="0" borderId="0"/>
    <xf numFmtId="0" fontId="6" fillId="0" borderId="0"/>
    <xf numFmtId="0" fontId="6" fillId="0" borderId="0">
      <alignment wrapText="1"/>
    </xf>
    <xf numFmtId="43" fontId="6" fillId="0" borderId="0" applyFont="0" applyFill="0" applyBorder="0" applyAlignment="0" applyProtection="0"/>
    <xf numFmtId="43" fontId="3" fillId="0" borderId="0" applyFont="0" applyFill="0" applyBorder="0" applyAlignment="0" applyProtection="0"/>
    <xf numFmtId="0" fontId="6" fillId="0" borderId="0"/>
    <xf numFmtId="0" fontId="6" fillId="0" borderId="0"/>
    <xf numFmtId="0" fontId="3" fillId="0" borderId="0"/>
    <xf numFmtId="43" fontId="6"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0" fontId="6" fillId="0" borderId="0"/>
    <xf numFmtId="0" fontId="3" fillId="0" borderId="0"/>
    <xf numFmtId="9" fontId="6" fillId="0" borderId="0" applyFont="0" applyFill="0" applyBorder="0" applyAlignment="0" applyProtection="0"/>
    <xf numFmtId="0" fontId="3" fillId="0" borderId="0"/>
    <xf numFmtId="0" fontId="2" fillId="0" borderId="0"/>
    <xf numFmtId="0" fontId="1" fillId="0" borderId="0"/>
  </cellStyleXfs>
  <cellXfs count="266">
    <xf numFmtId="0" fontId="0" fillId="0" borderId="0" xfId="0"/>
    <xf numFmtId="0" fontId="6" fillId="0" borderId="0" xfId="0" applyFont="1"/>
    <xf numFmtId="0" fontId="7" fillId="0" borderId="0" xfId="0" applyFont="1" applyBorder="1" applyAlignment="1">
      <alignment horizontal="left" vertical="center"/>
    </xf>
    <xf numFmtId="0" fontId="15" fillId="0" borderId="0" xfId="0" applyFont="1" applyBorder="1" applyAlignment="1">
      <alignment horizontal="left" vertical="center"/>
    </xf>
    <xf numFmtId="0" fontId="0" fillId="0" borderId="0" xfId="0" applyAlignment="1">
      <alignment horizontal="center"/>
    </xf>
    <xf numFmtId="0" fontId="7" fillId="0" borderId="0" xfId="0" applyFont="1" applyBorder="1" applyAlignment="1">
      <alignment horizontal="center" vertical="center"/>
    </xf>
    <xf numFmtId="0" fontId="8" fillId="0" borderId="0" xfId="0" applyFont="1" applyBorder="1" applyAlignment="1">
      <alignment horizontal="center"/>
    </xf>
    <xf numFmtId="165" fontId="16" fillId="0" borderId="0" xfId="0" applyNumberFormat="1" applyFont="1" applyBorder="1" applyAlignment="1">
      <alignment horizontal="left" vertical="center"/>
    </xf>
    <xf numFmtId="0" fontId="9" fillId="0" borderId="0" xfId="0" applyFont="1" applyBorder="1" applyAlignment="1">
      <alignment horizontal="left" vertical="center"/>
    </xf>
    <xf numFmtId="0" fontId="16" fillId="0" borderId="0" xfId="0" applyFont="1" applyBorder="1" applyAlignment="1">
      <alignment horizontal="left" vertical="center"/>
    </xf>
    <xf numFmtId="1" fontId="16" fillId="0" borderId="0" xfId="0" applyNumberFormat="1" applyFont="1" applyBorder="1" applyAlignment="1">
      <alignment horizontal="left" vertical="center"/>
    </xf>
    <xf numFmtId="0" fontId="7" fillId="0" borderId="11" xfId="0" applyFont="1" applyBorder="1" applyAlignment="1">
      <alignment horizontal="center"/>
    </xf>
    <xf numFmtId="164" fontId="9" fillId="0" borderId="1" xfId="0" applyNumberFormat="1" applyFont="1" applyBorder="1" applyAlignment="1">
      <alignment horizontal="center" vertical="center"/>
    </xf>
    <xf numFmtId="0" fontId="17"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9" fillId="0" borderId="2" xfId="0" applyFont="1" applyBorder="1" applyAlignment="1">
      <alignment horizontal="left" vertical="center" wrapText="1"/>
    </xf>
    <xf numFmtId="165" fontId="9" fillId="0" borderId="1" xfId="0" applyNumberFormat="1" applyFont="1" applyBorder="1" applyAlignment="1">
      <alignment horizontal="right" vertical="center"/>
    </xf>
    <xf numFmtId="165" fontId="9" fillId="0" borderId="1" xfId="0" applyNumberFormat="1" applyFont="1" applyFill="1" applyBorder="1" applyAlignment="1">
      <alignment horizontal="right" vertical="center"/>
    </xf>
    <xf numFmtId="3" fontId="9" fillId="0" borderId="1" xfId="0" applyNumberFormat="1" applyFont="1" applyBorder="1" applyAlignment="1">
      <alignment horizontal="right" vertical="center"/>
    </xf>
    <xf numFmtId="1" fontId="9" fillId="0" borderId="2" xfId="0" applyNumberFormat="1" applyFont="1" applyBorder="1" applyAlignment="1">
      <alignment horizontal="left" vertical="center"/>
    </xf>
    <xf numFmtId="165" fontId="8" fillId="0" borderId="1" xfId="0" applyNumberFormat="1" applyFont="1" applyBorder="1" applyAlignment="1">
      <alignment horizontal="right" vertical="center" wrapText="1"/>
    </xf>
    <xf numFmtId="0" fontId="9" fillId="0" borderId="1" xfId="0" applyFont="1" applyBorder="1" applyAlignment="1">
      <alignment horizontal="left" vertical="center" wrapText="1"/>
    </xf>
    <xf numFmtId="164" fontId="9"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right" vertical="center" wrapText="1"/>
    </xf>
    <xf numFmtId="1" fontId="9" fillId="0" borderId="14" xfId="0" applyNumberFormat="1" applyFont="1" applyBorder="1" applyAlignment="1">
      <alignment horizontal="left" vertical="center"/>
    </xf>
    <xf numFmtId="0" fontId="9" fillId="3" borderId="9" xfId="0" applyFont="1" applyFill="1" applyBorder="1" applyAlignment="1">
      <alignment horizontal="left" vertical="center" wrapText="1"/>
    </xf>
    <xf numFmtId="164" fontId="9" fillId="3" borderId="7" xfId="0" applyNumberFormat="1" applyFont="1" applyFill="1" applyBorder="1" applyAlignment="1">
      <alignment horizontal="right" vertical="center" wrapText="1"/>
    </xf>
    <xf numFmtId="164" fontId="9" fillId="3" borderId="8" xfId="0" applyNumberFormat="1" applyFont="1" applyFill="1" applyBorder="1" applyAlignment="1">
      <alignment horizontal="right" vertical="center" wrapText="1"/>
    </xf>
    <xf numFmtId="0" fontId="9" fillId="3" borderId="2" xfId="0" applyFont="1" applyFill="1" applyBorder="1" applyAlignment="1">
      <alignment horizontal="left" vertical="center" wrapText="1"/>
    </xf>
    <xf numFmtId="164" fontId="9" fillId="3" borderId="1" xfId="0" applyNumberFormat="1" applyFont="1" applyFill="1" applyBorder="1" applyAlignment="1">
      <alignment horizontal="right" vertical="center" wrapText="1"/>
    </xf>
    <xf numFmtId="164" fontId="9" fillId="3" borderId="5" xfId="0" applyNumberFormat="1" applyFont="1" applyFill="1" applyBorder="1" applyAlignment="1">
      <alignment horizontal="right" vertical="center" wrapText="1"/>
    </xf>
    <xf numFmtId="165" fontId="9" fillId="3" borderId="1" xfId="0" applyNumberFormat="1" applyFont="1" applyFill="1" applyBorder="1" applyAlignment="1">
      <alignment horizontal="right" vertical="center" wrapText="1"/>
    </xf>
    <xf numFmtId="165" fontId="9" fillId="3" borderId="5" xfId="0" applyNumberFormat="1" applyFont="1" applyFill="1" applyBorder="1" applyAlignment="1">
      <alignment horizontal="right" vertical="center" wrapText="1"/>
    </xf>
    <xf numFmtId="0" fontId="9" fillId="3" borderId="3" xfId="0" applyFont="1" applyFill="1" applyBorder="1" applyAlignment="1">
      <alignment horizontal="left" vertical="center" wrapText="1"/>
    </xf>
    <xf numFmtId="165" fontId="9" fillId="3" borderId="4" xfId="0" applyNumberFormat="1" applyFont="1" applyFill="1" applyBorder="1" applyAlignment="1">
      <alignment horizontal="right" vertical="center" wrapText="1"/>
    </xf>
    <xf numFmtId="165" fontId="9" fillId="3" borderId="6" xfId="0" applyNumberFormat="1" applyFont="1" applyFill="1" applyBorder="1" applyAlignment="1">
      <alignment horizontal="right" vertical="center" wrapText="1"/>
    </xf>
    <xf numFmtId="0" fontId="8" fillId="4" borderId="12" xfId="0" applyFont="1" applyFill="1" applyBorder="1" applyAlignment="1">
      <alignment horizontal="left" vertical="center" wrapText="1"/>
    </xf>
    <xf numFmtId="0" fontId="9" fillId="5" borderId="9" xfId="0" applyFont="1" applyFill="1" applyBorder="1" applyAlignment="1">
      <alignment horizontal="left" vertical="center" wrapText="1"/>
    </xf>
    <xf numFmtId="164" fontId="9" fillId="5" borderId="7" xfId="0" applyNumberFormat="1" applyFont="1" applyFill="1" applyBorder="1" applyAlignment="1">
      <alignment horizontal="right" vertical="center" wrapText="1"/>
    </xf>
    <xf numFmtId="0" fontId="9" fillId="5" borderId="2" xfId="0" applyFont="1" applyFill="1" applyBorder="1" applyAlignment="1">
      <alignment horizontal="left" vertical="center" wrapText="1"/>
    </xf>
    <xf numFmtId="164" fontId="9" fillId="5" borderId="1" xfId="0" applyNumberFormat="1" applyFont="1" applyFill="1" applyBorder="1" applyAlignment="1">
      <alignment horizontal="right" vertical="center" wrapText="1"/>
    </xf>
    <xf numFmtId="0" fontId="9" fillId="5" borderId="3" xfId="0" applyFont="1" applyFill="1" applyBorder="1" applyAlignment="1">
      <alignment horizontal="left" vertical="center" wrapText="1"/>
    </xf>
    <xf numFmtId="164" fontId="9" fillId="5" borderId="4" xfId="0" applyNumberFormat="1" applyFont="1" applyFill="1" applyBorder="1" applyAlignment="1">
      <alignment horizontal="right" vertical="center" wrapText="1"/>
    </xf>
    <xf numFmtId="0" fontId="9" fillId="2" borderId="9" xfId="0" applyFont="1" applyFill="1" applyBorder="1" applyAlignment="1">
      <alignment horizontal="left" vertical="center" wrapText="1"/>
    </xf>
    <xf numFmtId="165" fontId="9" fillId="2" borderId="7" xfId="0" applyNumberFormat="1" applyFont="1" applyFill="1" applyBorder="1" applyAlignment="1">
      <alignment horizontal="right" vertical="center" wrapText="1"/>
    </xf>
    <xf numFmtId="0" fontId="9" fillId="2" borderId="2" xfId="0" applyFont="1" applyFill="1" applyBorder="1" applyAlignment="1">
      <alignment horizontal="left" vertical="center" wrapText="1"/>
    </xf>
    <xf numFmtId="165" fontId="9" fillId="2" borderId="1"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165" fontId="9" fillId="2" borderId="4" xfId="0" applyNumberFormat="1" applyFont="1" applyFill="1" applyBorder="1" applyAlignment="1">
      <alignment horizontal="right" vertical="center" wrapText="1"/>
    </xf>
    <xf numFmtId="0" fontId="8" fillId="0" borderId="12" xfId="0" applyFont="1" applyFill="1" applyBorder="1" applyAlignment="1">
      <alignment horizontal="left" vertical="center" wrapText="1"/>
    </xf>
    <xf numFmtId="164" fontId="18" fillId="0" borderId="13" xfId="0" applyNumberFormat="1" applyFont="1" applyFill="1" applyBorder="1" applyAlignment="1">
      <alignment horizontal="right" vertical="center"/>
    </xf>
    <xf numFmtId="166" fontId="9" fillId="0" borderId="1" xfId="0" applyNumberFormat="1" applyFont="1" applyBorder="1" applyAlignment="1">
      <alignment horizontal="right" vertical="center" wrapText="1"/>
    </xf>
    <xf numFmtId="168" fontId="9" fillId="0" borderId="1" xfId="0" applyNumberFormat="1" applyFont="1" applyBorder="1" applyAlignment="1">
      <alignment horizontal="right" vertical="center"/>
    </xf>
    <xf numFmtId="166" fontId="9" fillId="0" borderId="1" xfId="6" applyNumberFormat="1" applyFont="1" applyBorder="1" applyAlignment="1">
      <alignment horizontal="right" vertical="center"/>
    </xf>
    <xf numFmtId="0" fontId="9" fillId="0" borderId="15" xfId="0" applyFont="1" applyFill="1" applyBorder="1" applyAlignment="1">
      <alignment horizontal="left" vertical="center"/>
    </xf>
    <xf numFmtId="0" fontId="8" fillId="0" borderId="16" xfId="0" applyFont="1" applyFill="1" applyBorder="1" applyAlignment="1">
      <alignment horizontal="left" vertical="center"/>
    </xf>
    <xf numFmtId="0" fontId="6" fillId="0" borderId="0" xfId="0" applyFont="1" applyFill="1" applyBorder="1"/>
    <xf numFmtId="0" fontId="8" fillId="0" borderId="1" xfId="0" applyFont="1" applyBorder="1" applyAlignment="1">
      <alignment horizontal="right" vertical="center" wrapText="1"/>
    </xf>
    <xf numFmtId="0" fontId="8" fillId="0" borderId="1" xfId="0" applyFont="1" applyBorder="1" applyAlignment="1">
      <alignment horizontal="center" vertical="center" wrapText="1"/>
    </xf>
    <xf numFmtId="0" fontId="9" fillId="0" borderId="1" xfId="0" applyFont="1" applyBorder="1" applyAlignment="1">
      <alignment horizontal="right" vertical="center"/>
    </xf>
    <xf numFmtId="0" fontId="9" fillId="0" borderId="0" xfId="0" applyFont="1" applyBorder="1"/>
    <xf numFmtId="0" fontId="6" fillId="0" borderId="0" xfId="0" applyFont="1" applyFill="1" applyBorder="1" applyAlignment="1">
      <alignment vertical="center"/>
    </xf>
    <xf numFmtId="0" fontId="9" fillId="0" borderId="1" xfId="0" applyFont="1" applyFill="1" applyBorder="1" applyAlignment="1">
      <alignment horizontal="right" vertical="center"/>
    </xf>
    <xf numFmtId="166" fontId="9" fillId="0" borderId="1" xfId="6" applyNumberFormat="1" applyFont="1" applyFill="1" applyBorder="1" applyAlignment="1">
      <alignment horizontal="right" vertical="center"/>
    </xf>
    <xf numFmtId="164" fontId="16" fillId="0" borderId="0" xfId="0" applyNumberFormat="1" applyFont="1" applyBorder="1" applyAlignment="1">
      <alignment horizontal="left" vertical="center"/>
    </xf>
    <xf numFmtId="168" fontId="9" fillId="0" borderId="1" xfId="0" applyNumberFormat="1" applyFont="1" applyFill="1" applyBorder="1" applyAlignment="1">
      <alignment horizontal="right" vertical="center"/>
    </xf>
    <xf numFmtId="165" fontId="9" fillId="4" borderId="13" xfId="0" applyNumberFormat="1" applyFont="1" applyFill="1" applyBorder="1" applyAlignment="1">
      <alignment horizontal="right" vertical="center" wrapText="1"/>
    </xf>
    <xf numFmtId="165" fontId="0" fillId="0" borderId="0" xfId="0" applyNumberFormat="1" applyBorder="1" applyAlignment="1">
      <alignment horizontal="left"/>
    </xf>
    <xf numFmtId="0" fontId="21" fillId="0" borderId="0" xfId="22" applyFont="1" applyBorder="1" applyAlignment="1">
      <alignment horizontal="left" vertical="center"/>
    </xf>
    <xf numFmtId="0" fontId="22" fillId="0" borderId="0" xfId="22" applyFont="1" applyBorder="1" applyAlignment="1">
      <alignment horizontal="left" vertical="center"/>
    </xf>
    <xf numFmtId="0" fontId="21" fillId="0" borderId="0" xfId="22" applyFont="1" applyFill="1" applyBorder="1" applyAlignment="1">
      <alignment horizontal="left" vertical="center"/>
    </xf>
    <xf numFmtId="0" fontId="23" fillId="0" borderId="0" xfId="22" applyFont="1" applyBorder="1" applyAlignment="1">
      <alignment horizontal="left"/>
    </xf>
    <xf numFmtId="14" fontId="23" fillId="0" borderId="0" xfId="22" applyNumberFormat="1" applyFont="1" applyBorder="1" applyAlignment="1">
      <alignment horizontal="left"/>
    </xf>
    <xf numFmtId="0" fontId="23" fillId="0" borderId="0" xfId="22" applyFont="1" applyBorder="1" applyAlignment="1">
      <alignment horizontal="center"/>
    </xf>
    <xf numFmtId="0" fontId="24" fillId="0" borderId="0" xfId="22" applyFont="1" applyBorder="1"/>
    <xf numFmtId="0" fontId="24" fillId="0" borderId="0" xfId="22" applyFont="1" applyFill="1" applyBorder="1" applyAlignment="1">
      <alignment horizontal="left"/>
    </xf>
    <xf numFmtId="170" fontId="25" fillId="0" borderId="0" xfId="22" applyNumberFormat="1" applyFont="1" applyFill="1" applyBorder="1" applyAlignment="1">
      <alignment horizontal="center"/>
    </xf>
    <xf numFmtId="0" fontId="23" fillId="0" borderId="1" xfId="22" applyFont="1" applyBorder="1" applyAlignment="1">
      <alignment horizontal="center" vertical="center" wrapText="1"/>
    </xf>
    <xf numFmtId="0" fontId="23" fillId="0" borderId="1" xfId="22" applyFont="1" applyBorder="1" applyAlignment="1">
      <alignment horizontal="center" vertical="center"/>
    </xf>
    <xf numFmtId="0" fontId="23" fillId="0" borderId="1" xfId="0" applyFont="1" applyFill="1" applyBorder="1" applyAlignment="1">
      <alignment horizontal="center" vertical="center"/>
    </xf>
    <xf numFmtId="0" fontId="24" fillId="0" borderId="1" xfId="22" applyFont="1" applyBorder="1" applyAlignment="1">
      <alignment horizontal="left" vertical="center" wrapText="1"/>
    </xf>
    <xf numFmtId="1" fontId="24" fillId="0" borderId="1" xfId="22" applyNumberFormat="1" applyFont="1" applyBorder="1" applyAlignment="1">
      <alignment horizontal="left" vertical="center" wrapText="1"/>
    </xf>
    <xf numFmtId="0" fontId="24" fillId="0" borderId="1" xfId="22" applyFont="1" applyFill="1" applyBorder="1" applyAlignment="1">
      <alignment horizontal="left" vertical="center"/>
    </xf>
    <xf numFmtId="1" fontId="24" fillId="0" borderId="1" xfId="22" applyNumberFormat="1" applyFont="1" applyBorder="1" applyAlignment="1">
      <alignment horizontal="left" vertical="center"/>
    </xf>
    <xf numFmtId="0" fontId="24" fillId="0" borderId="0" xfId="22" applyFont="1" applyBorder="1" applyAlignment="1"/>
    <xf numFmtId="0" fontId="24" fillId="0" borderId="0" xfId="22" applyFont="1" applyAlignment="1">
      <alignment horizontal="center"/>
    </xf>
    <xf numFmtId="165" fontId="24" fillId="0" borderId="0" xfId="22" applyNumberFormat="1" applyFont="1" applyAlignment="1">
      <alignment horizontal="center"/>
    </xf>
    <xf numFmtId="0" fontId="22" fillId="0" borderId="0" xfId="22" applyFont="1" applyAlignment="1">
      <alignment horizontal="left" vertical="center"/>
    </xf>
    <xf numFmtId="0" fontId="25" fillId="0" borderId="0" xfId="22" applyFont="1" applyAlignment="1">
      <alignment horizontal="left" vertical="center"/>
    </xf>
    <xf numFmtId="14" fontId="25" fillId="0" borderId="0" xfId="22" applyNumberFormat="1" applyFont="1" applyAlignment="1">
      <alignment horizontal="left"/>
    </xf>
    <xf numFmtId="0" fontId="26" fillId="0" borderId="0" xfId="22" applyFont="1" applyAlignment="1">
      <alignment horizontal="center"/>
    </xf>
    <xf numFmtId="0" fontId="26" fillId="0" borderId="0" xfId="22" applyFont="1"/>
    <xf numFmtId="1" fontId="23" fillId="0" borderId="0" xfId="22" quotePrefix="1" applyNumberFormat="1" applyFont="1" applyBorder="1" applyAlignment="1">
      <alignment horizontal="left"/>
    </xf>
    <xf numFmtId="165" fontId="26" fillId="0" borderId="0" xfId="22" applyNumberFormat="1" applyFont="1" applyAlignment="1">
      <alignment horizontal="center"/>
    </xf>
    <xf numFmtId="0" fontId="22" fillId="0" borderId="0" xfId="22" applyFont="1" applyAlignment="1">
      <alignment horizontal="left"/>
    </xf>
    <xf numFmtId="0" fontId="26" fillId="0" borderId="0" xfId="22" applyFont="1" applyBorder="1"/>
    <xf numFmtId="0" fontId="21" fillId="0" borderId="20" xfId="22" applyFont="1" applyBorder="1" applyAlignment="1">
      <alignment horizontal="center"/>
    </xf>
    <xf numFmtId="164" fontId="23" fillId="0" borderId="0" xfId="22" applyNumberFormat="1" applyFont="1" applyFill="1" applyBorder="1" applyAlignment="1">
      <alignment horizontal="center" vertical="center"/>
    </xf>
    <xf numFmtId="0" fontId="21" fillId="7" borderId="0" xfId="22" applyFont="1" applyFill="1" applyBorder="1" applyAlignment="1">
      <alignment horizontal="left" vertical="center"/>
    </xf>
    <xf numFmtId="0" fontId="7" fillId="7" borderId="0" xfId="0" applyFont="1" applyFill="1" applyBorder="1" applyAlignment="1">
      <alignment vertical="center"/>
    </xf>
    <xf numFmtId="0" fontId="9" fillId="6" borderId="1" xfId="0" applyFont="1" applyFill="1" applyBorder="1" applyAlignment="1">
      <alignment horizontal="left" vertical="center"/>
    </xf>
    <xf numFmtId="0" fontId="7" fillId="6" borderId="11" xfId="0" applyFont="1" applyFill="1" applyBorder="1" applyAlignment="1">
      <alignment horizontal="center"/>
    </xf>
    <xf numFmtId="166" fontId="9" fillId="6" borderId="11" xfId="0" applyNumberFormat="1" applyFont="1" applyFill="1" applyBorder="1" applyAlignment="1">
      <alignment horizontal="right" vertical="center"/>
    </xf>
    <xf numFmtId="10" fontId="9" fillId="6" borderId="11" xfId="0" applyNumberFormat="1" applyFont="1" applyFill="1" applyBorder="1" applyAlignment="1">
      <alignment horizontal="right" vertical="center"/>
    </xf>
    <xf numFmtId="167" fontId="9" fillId="6" borderId="11" xfId="0" applyNumberFormat="1" applyFont="1" applyFill="1" applyBorder="1" applyAlignment="1">
      <alignment horizontal="right" vertical="center"/>
    </xf>
    <xf numFmtId="165" fontId="18" fillId="6" borderId="11" xfId="0" applyNumberFormat="1" applyFont="1" applyFill="1" applyBorder="1" applyAlignment="1">
      <alignment horizontal="right" vertical="center"/>
    </xf>
    <xf numFmtId="164" fontId="9" fillId="6" borderId="1" xfId="0" applyNumberFormat="1" applyFont="1" applyFill="1" applyBorder="1" applyAlignment="1">
      <alignment horizontal="center" vertical="center"/>
    </xf>
    <xf numFmtId="0" fontId="17" fillId="6" borderId="12" xfId="0" applyFont="1" applyFill="1" applyBorder="1" applyAlignment="1">
      <alignment horizontal="center" vertical="center" wrapText="1"/>
    </xf>
    <xf numFmtId="0" fontId="8" fillId="6" borderId="13" xfId="0" applyFont="1" applyFill="1" applyBorder="1" applyAlignment="1">
      <alignment horizontal="center" vertical="center"/>
    </xf>
    <xf numFmtId="0" fontId="8" fillId="6" borderId="1" xfId="0" applyFont="1" applyFill="1" applyBorder="1" applyAlignment="1">
      <alignment horizontal="center" vertical="center"/>
    </xf>
    <xf numFmtId="0" fontId="9" fillId="6" borderId="2" xfId="0" applyFont="1" applyFill="1" applyBorder="1" applyAlignment="1">
      <alignment horizontal="left" vertical="center" wrapText="1"/>
    </xf>
    <xf numFmtId="165" fontId="9" fillId="6" borderId="1" xfId="0" applyNumberFormat="1" applyFont="1" applyFill="1" applyBorder="1" applyAlignment="1">
      <alignment horizontal="right" vertical="center" wrapText="1"/>
    </xf>
    <xf numFmtId="165" fontId="18" fillId="6" borderId="1" xfId="0" applyNumberFormat="1" applyFont="1" applyFill="1" applyBorder="1" applyAlignment="1">
      <alignment horizontal="right" vertical="center" wrapText="1"/>
    </xf>
    <xf numFmtId="165" fontId="18" fillId="6" borderId="1" xfId="0" applyNumberFormat="1" applyFont="1" applyFill="1" applyBorder="1" applyAlignment="1">
      <alignment horizontal="right" vertical="center"/>
    </xf>
    <xf numFmtId="1" fontId="9" fillId="6" borderId="2" xfId="0" applyNumberFormat="1" applyFont="1" applyFill="1" applyBorder="1" applyAlignment="1">
      <alignment horizontal="left" vertical="center" wrapText="1"/>
    </xf>
    <xf numFmtId="165" fontId="18" fillId="6" borderId="1" xfId="6" applyNumberFormat="1" applyFont="1" applyFill="1" applyBorder="1" applyAlignment="1">
      <alignment horizontal="right" vertical="center"/>
    </xf>
    <xf numFmtId="165" fontId="9" fillId="6" borderId="1" xfId="0" applyNumberFormat="1" applyFont="1" applyFill="1" applyBorder="1" applyAlignment="1">
      <alignment horizontal="right" vertical="center"/>
    </xf>
    <xf numFmtId="3" fontId="9" fillId="6" borderId="1" xfId="0" applyNumberFormat="1" applyFont="1" applyFill="1" applyBorder="1" applyAlignment="1">
      <alignment horizontal="right" vertical="center"/>
    </xf>
    <xf numFmtId="1" fontId="9" fillId="6" borderId="2" xfId="0" applyNumberFormat="1" applyFont="1" applyFill="1" applyBorder="1" applyAlignment="1">
      <alignment horizontal="left" vertical="center"/>
    </xf>
    <xf numFmtId="165" fontId="8" fillId="6" borderId="1" xfId="0" applyNumberFormat="1" applyFont="1" applyFill="1" applyBorder="1" applyAlignment="1">
      <alignment horizontal="right" vertical="center" wrapText="1"/>
    </xf>
    <xf numFmtId="0" fontId="9" fillId="6" borderId="1" xfId="0" applyFont="1" applyFill="1" applyBorder="1" applyAlignment="1">
      <alignment horizontal="left" vertical="center" wrapText="1"/>
    </xf>
    <xf numFmtId="164" fontId="9" fillId="6" borderId="1" xfId="0" applyNumberFormat="1" applyFont="1" applyFill="1" applyBorder="1" applyAlignment="1">
      <alignment horizontal="right" vertical="center" wrapText="1"/>
    </xf>
    <xf numFmtId="0" fontId="8" fillId="6" borderId="1" xfId="0" applyFont="1" applyFill="1" applyBorder="1" applyAlignment="1">
      <alignment horizontal="left" vertical="center" wrapText="1"/>
    </xf>
    <xf numFmtId="164" fontId="8" fillId="6" borderId="1" xfId="0" applyNumberFormat="1" applyFont="1" applyFill="1" applyBorder="1" applyAlignment="1">
      <alignment horizontal="right" vertical="center" wrapText="1"/>
    </xf>
    <xf numFmtId="1" fontId="9" fillId="6" borderId="14" xfId="0" applyNumberFormat="1" applyFont="1" applyFill="1" applyBorder="1" applyAlignment="1">
      <alignment horizontal="left" vertical="center"/>
    </xf>
    <xf numFmtId="0" fontId="9" fillId="6" borderId="1" xfId="0" applyFont="1" applyFill="1" applyBorder="1" applyAlignment="1">
      <alignment horizontal="right" vertical="center" wrapText="1"/>
    </xf>
    <xf numFmtId="0" fontId="9" fillId="6" borderId="1" xfId="0" applyFont="1" applyFill="1" applyBorder="1" applyAlignment="1">
      <alignment horizontal="right" vertical="center"/>
    </xf>
    <xf numFmtId="165" fontId="8" fillId="6" borderId="1" xfId="0" applyNumberFormat="1" applyFont="1" applyFill="1" applyBorder="1" applyAlignment="1">
      <alignment horizontal="right" vertical="center"/>
    </xf>
    <xf numFmtId="165" fontId="9" fillId="6" borderId="1" xfId="0" applyNumberFormat="1" applyFont="1" applyFill="1" applyBorder="1" applyAlignment="1">
      <alignment horizontal="center" vertical="center" wrapText="1"/>
    </xf>
    <xf numFmtId="9" fontId="9" fillId="6" borderId="1" xfId="6" applyFont="1" applyFill="1" applyBorder="1" applyAlignment="1">
      <alignment horizontal="right" vertical="center"/>
    </xf>
    <xf numFmtId="165" fontId="9" fillId="6" borderId="11" xfId="6" applyNumberFormat="1" applyFont="1" applyFill="1" applyBorder="1" applyAlignment="1">
      <alignment horizontal="right" vertical="center"/>
    </xf>
    <xf numFmtId="9" fontId="18" fillId="6" borderId="1" xfId="6" applyFont="1" applyFill="1" applyBorder="1" applyAlignment="1">
      <alignment horizontal="right" vertical="center"/>
    </xf>
    <xf numFmtId="165" fontId="9" fillId="6" borderId="1" xfId="6" applyNumberFormat="1" applyFont="1" applyFill="1" applyBorder="1" applyAlignment="1">
      <alignment horizontal="right" vertical="center"/>
    </xf>
    <xf numFmtId="9" fontId="9" fillId="6" borderId="1" xfId="6" applyNumberFormat="1" applyFont="1" applyFill="1" applyBorder="1" applyAlignment="1">
      <alignment horizontal="right" vertical="center"/>
    </xf>
    <xf numFmtId="9" fontId="18" fillId="6" borderId="1" xfId="6" applyNumberFormat="1" applyFont="1" applyFill="1" applyBorder="1" applyAlignment="1">
      <alignment horizontal="right" vertical="center"/>
    </xf>
    <xf numFmtId="165" fontId="8" fillId="6" borderId="10" xfId="0" applyNumberFormat="1" applyFont="1" applyFill="1" applyBorder="1" applyAlignment="1">
      <alignment horizontal="right" vertical="center" wrapText="1"/>
    </xf>
    <xf numFmtId="165" fontId="9" fillId="6" borderId="13" xfId="6" applyNumberFormat="1" applyFont="1" applyFill="1" applyBorder="1" applyAlignment="1">
      <alignment horizontal="right" vertical="center"/>
    </xf>
    <xf numFmtId="165" fontId="20" fillId="6" borderId="1" xfId="0" applyNumberFormat="1" applyFont="1" applyFill="1" applyBorder="1" applyAlignment="1">
      <alignment horizontal="right" vertical="center" wrapText="1"/>
    </xf>
    <xf numFmtId="165" fontId="18" fillId="6" borderId="14" xfId="6" applyNumberFormat="1" applyFont="1" applyFill="1" applyBorder="1" applyAlignment="1">
      <alignment horizontal="right" vertical="center"/>
    </xf>
    <xf numFmtId="168" fontId="18" fillId="6" borderId="1" xfId="0" applyNumberFormat="1" applyFont="1" applyFill="1" applyBorder="1" applyAlignment="1">
      <alignment horizontal="right" vertical="center" wrapText="1"/>
    </xf>
    <xf numFmtId="169" fontId="18" fillId="6" borderId="1" xfId="6" applyNumberFormat="1" applyFont="1" applyFill="1" applyBorder="1" applyAlignment="1">
      <alignment horizontal="right" vertical="center"/>
    </xf>
    <xf numFmtId="169" fontId="9" fillId="6" borderId="1" xfId="6" applyNumberFormat="1" applyFont="1" applyFill="1" applyBorder="1" applyAlignment="1">
      <alignment horizontal="right" vertical="center"/>
    </xf>
    <xf numFmtId="168" fontId="9" fillId="6" borderId="1" xfId="6" applyNumberFormat="1" applyFont="1" applyFill="1" applyBorder="1" applyAlignment="1">
      <alignment horizontal="right" vertical="center"/>
    </xf>
    <xf numFmtId="165" fontId="18" fillId="7" borderId="1" xfId="0" applyNumberFormat="1" applyFont="1" applyFill="1" applyBorder="1" applyAlignment="1">
      <alignment horizontal="right" vertical="center" wrapText="1"/>
    </xf>
    <xf numFmtId="165" fontId="9" fillId="7" borderId="1" xfId="0" applyNumberFormat="1" applyFont="1" applyFill="1" applyBorder="1" applyAlignment="1">
      <alignment horizontal="right" vertical="center" wrapText="1"/>
    </xf>
    <xf numFmtId="166" fontId="9" fillId="7" borderId="11" xfId="0" applyNumberFormat="1" applyFont="1" applyFill="1" applyBorder="1" applyAlignment="1">
      <alignment horizontal="right" vertical="center"/>
    </xf>
    <xf numFmtId="10" fontId="9" fillId="7" borderId="11" xfId="0" applyNumberFormat="1" applyFont="1" applyFill="1" applyBorder="1" applyAlignment="1">
      <alignment horizontal="right" vertical="center"/>
    </xf>
    <xf numFmtId="167" fontId="9" fillId="7" borderId="11" xfId="0" applyNumberFormat="1" applyFont="1" applyFill="1" applyBorder="1" applyAlignment="1">
      <alignment horizontal="right" vertical="center"/>
    </xf>
    <xf numFmtId="165" fontId="18" fillId="7" borderId="11" xfId="0" applyNumberFormat="1" applyFont="1" applyFill="1" applyBorder="1" applyAlignment="1">
      <alignment horizontal="right" vertical="center"/>
    </xf>
    <xf numFmtId="171" fontId="16" fillId="0" borderId="0" xfId="6" applyNumberFormat="1" applyFont="1" applyBorder="1" applyAlignment="1">
      <alignment horizontal="left" vertical="center"/>
    </xf>
    <xf numFmtId="14" fontId="21" fillId="7" borderId="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165" fontId="9" fillId="7" borderId="1" xfId="0" applyNumberFormat="1" applyFont="1" applyFill="1" applyBorder="1" applyAlignment="1">
      <alignment horizontal="right" vertical="center"/>
    </xf>
    <xf numFmtId="0" fontId="9" fillId="7" borderId="2" xfId="0" applyFont="1" applyFill="1" applyBorder="1" applyAlignment="1">
      <alignment horizontal="left" vertical="center" wrapText="1"/>
    </xf>
    <xf numFmtId="1" fontId="9" fillId="7" borderId="2" xfId="0" applyNumberFormat="1" applyFont="1" applyFill="1" applyBorder="1" applyAlignment="1">
      <alignment horizontal="left" vertical="center" wrapText="1"/>
    </xf>
    <xf numFmtId="166" fontId="9" fillId="7" borderId="1" xfId="0" applyNumberFormat="1" applyFont="1" applyFill="1" applyBorder="1" applyAlignment="1">
      <alignment horizontal="right" vertical="center" wrapText="1"/>
    </xf>
    <xf numFmtId="166" fontId="9" fillId="7" borderId="1" xfId="6" applyNumberFormat="1" applyFont="1" applyFill="1" applyBorder="1" applyAlignment="1">
      <alignment horizontal="right" vertical="center"/>
    </xf>
    <xf numFmtId="165" fontId="9" fillId="7" borderId="13" xfId="0" applyNumberFormat="1" applyFont="1" applyFill="1" applyBorder="1" applyAlignment="1">
      <alignment horizontal="right" vertical="center" wrapText="1"/>
    </xf>
    <xf numFmtId="165" fontId="24" fillId="0" borderId="0" xfId="2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6" xfId="0" applyFont="1" applyBorder="1" applyAlignment="1">
      <alignment horizontal="left" vertical="center"/>
    </xf>
    <xf numFmtId="0" fontId="9" fillId="0" borderId="1" xfId="0" applyFont="1" applyBorder="1" applyAlignment="1">
      <alignment horizontal="left" vertical="center"/>
    </xf>
    <xf numFmtId="14" fontId="7" fillId="7" borderId="0" xfId="0" applyNumberFormat="1" applyFont="1" applyFill="1" applyBorder="1" applyAlignment="1">
      <alignment horizontal="center" vertical="center"/>
    </xf>
    <xf numFmtId="0" fontId="0" fillId="0" borderId="1" xfId="0" applyBorder="1"/>
    <xf numFmtId="164" fontId="9" fillId="3" borderId="33" xfId="0" applyNumberFormat="1" applyFont="1" applyFill="1" applyBorder="1" applyAlignment="1">
      <alignment horizontal="right" vertical="center" wrapText="1"/>
    </xf>
    <xf numFmtId="164" fontId="9" fillId="3" borderId="34" xfId="0" applyNumberFormat="1" applyFont="1" applyFill="1" applyBorder="1" applyAlignment="1">
      <alignment horizontal="right" vertical="center" wrapText="1"/>
    </xf>
    <xf numFmtId="0" fontId="0" fillId="0" borderId="29" xfId="0" applyBorder="1"/>
    <xf numFmtId="164" fontId="9" fillId="5" borderId="33" xfId="0" applyNumberFormat="1" applyFont="1" applyFill="1" applyBorder="1" applyAlignment="1">
      <alignment horizontal="right" vertical="center" wrapText="1"/>
    </xf>
    <xf numFmtId="164" fontId="9" fillId="5" borderId="34" xfId="0" applyNumberFormat="1" applyFont="1" applyFill="1" applyBorder="1" applyAlignment="1">
      <alignment horizontal="right" vertical="center" wrapText="1"/>
    </xf>
    <xf numFmtId="164" fontId="9" fillId="5" borderId="37" xfId="0" applyNumberFormat="1" applyFont="1" applyFill="1" applyBorder="1" applyAlignment="1">
      <alignment horizontal="right" vertical="center" wrapText="1"/>
    </xf>
    <xf numFmtId="165" fontId="8" fillId="6" borderId="1" xfId="24" applyNumberFormat="1" applyFont="1" applyFill="1" applyBorder="1" applyAlignment="1">
      <alignment horizontal="right" vertical="center"/>
    </xf>
    <xf numFmtId="165" fontId="20" fillId="6" borderId="1" xfId="24" applyNumberFormat="1" applyFont="1" applyFill="1" applyBorder="1" applyAlignment="1">
      <alignment horizontal="right" vertical="center"/>
    </xf>
    <xf numFmtId="0" fontId="16" fillId="0" borderId="0" xfId="0" applyFont="1" applyFill="1" applyBorder="1" applyAlignment="1">
      <alignment horizontal="left" vertical="center"/>
    </xf>
    <xf numFmtId="0" fontId="9" fillId="0" borderId="1" xfId="0" applyFont="1" applyFill="1" applyBorder="1" applyAlignment="1">
      <alignment horizontal="left" vertical="center"/>
    </xf>
    <xf numFmtId="165" fontId="24" fillId="0" borderId="1" xfId="24" applyNumberFormat="1" applyFont="1" applyFill="1" applyBorder="1" applyAlignment="1">
      <alignment horizontal="center" vertical="center"/>
    </xf>
    <xf numFmtId="165" fontId="24" fillId="0" borderId="1" xfId="22" applyNumberFormat="1" applyFont="1" applyFill="1" applyBorder="1" applyAlignment="1">
      <alignment horizontal="center" vertical="center" wrapText="1"/>
    </xf>
    <xf numFmtId="165" fontId="24" fillId="0" borderId="1" xfId="22"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165" fontId="23" fillId="0" borderId="1" xfId="0" applyNumberFormat="1" applyFont="1" applyFill="1" applyBorder="1" applyAlignment="1">
      <alignment horizontal="center" vertical="center"/>
    </xf>
    <xf numFmtId="165" fontId="23" fillId="0" borderId="1" xfId="22" applyNumberFormat="1" applyFont="1" applyFill="1" applyBorder="1" applyAlignment="1">
      <alignment horizontal="center" vertical="center"/>
    </xf>
    <xf numFmtId="1" fontId="24" fillId="0" borderId="1" xfId="22" applyNumberFormat="1" applyFont="1" applyFill="1" applyBorder="1" applyAlignment="1">
      <alignment horizontal="left" vertical="center"/>
    </xf>
    <xf numFmtId="0" fontId="24" fillId="0" borderId="1" xfId="22" applyFont="1" applyFill="1" applyBorder="1" applyAlignment="1">
      <alignment vertical="center"/>
    </xf>
    <xf numFmtId="0" fontId="23" fillId="0" borderId="21" xfId="22" applyFont="1" applyFill="1" applyBorder="1" applyAlignment="1">
      <alignment horizontal="right" wrapText="1"/>
    </xf>
    <xf numFmtId="0" fontId="23" fillId="0" borderId="18" xfId="22" applyFont="1" applyFill="1" applyBorder="1" applyAlignment="1">
      <alignment horizontal="center" vertical="center" wrapText="1"/>
    </xf>
    <xf numFmtId="0" fontId="23" fillId="0" borderId="38" xfId="22" applyFont="1" applyFill="1" applyBorder="1" applyAlignment="1">
      <alignment horizontal="center" vertical="center" wrapText="1"/>
    </xf>
    <xf numFmtId="0" fontId="23" fillId="0" borderId="39" xfId="22" applyFont="1" applyFill="1" applyBorder="1" applyAlignment="1">
      <alignment horizontal="center" vertical="center" wrapText="1"/>
    </xf>
    <xf numFmtId="0" fontId="23" fillId="0" borderId="40" xfId="22" applyFont="1" applyFill="1" applyBorder="1" applyAlignment="1">
      <alignment horizontal="center" vertical="center" wrapText="1"/>
    </xf>
    <xf numFmtId="4" fontId="24" fillId="0" borderId="24" xfId="22" applyNumberFormat="1" applyFont="1" applyFill="1" applyBorder="1" applyAlignment="1">
      <alignment horizontal="right" vertical="center"/>
    </xf>
    <xf numFmtId="165" fontId="23" fillId="0" borderId="41" xfId="22" applyNumberFormat="1" applyFont="1" applyFill="1" applyBorder="1" applyAlignment="1">
      <alignment horizontal="center" vertical="center"/>
    </xf>
    <xf numFmtId="168" fontId="23" fillId="0" borderId="9" xfId="22" applyNumberFormat="1" applyFont="1" applyFill="1" applyBorder="1" applyAlignment="1">
      <alignment horizontal="center" vertical="center"/>
    </xf>
    <xf numFmtId="164" fontId="23" fillId="0" borderId="42" xfId="22" applyNumberFormat="1" applyFont="1" applyFill="1" applyBorder="1" applyAlignment="1">
      <alignment horizontal="center" vertical="center"/>
    </xf>
    <xf numFmtId="164" fontId="23" fillId="0" borderId="8" xfId="22" applyNumberFormat="1" applyFont="1" applyFill="1" applyBorder="1" applyAlignment="1">
      <alignment horizontal="center" vertical="center"/>
    </xf>
    <xf numFmtId="4" fontId="24" fillId="0" borderId="26" xfId="22" applyNumberFormat="1" applyFont="1" applyFill="1" applyBorder="1" applyAlignment="1">
      <alignment horizontal="right" vertical="center"/>
    </xf>
    <xf numFmtId="165" fontId="23" fillId="0" borderId="25" xfId="22" applyNumberFormat="1" applyFont="1" applyFill="1" applyBorder="1" applyAlignment="1">
      <alignment horizontal="center" vertical="center"/>
    </xf>
    <xf numFmtId="168" fontId="23" fillId="0" borderId="2" xfId="22" applyNumberFormat="1" applyFont="1" applyFill="1" applyBorder="1" applyAlignment="1">
      <alignment horizontal="center" vertical="center"/>
    </xf>
    <xf numFmtId="164" fontId="23" fillId="0" borderId="11" xfId="22" applyNumberFormat="1" applyFont="1" applyFill="1" applyBorder="1" applyAlignment="1">
      <alignment horizontal="center" vertical="center"/>
    </xf>
    <xf numFmtId="164" fontId="23" fillId="0" borderId="5" xfId="22" applyNumberFormat="1" applyFont="1" applyFill="1" applyBorder="1" applyAlignment="1">
      <alignment horizontal="center" vertical="center"/>
    </xf>
    <xf numFmtId="4" fontId="24" fillId="0" borderId="27" xfId="22" applyNumberFormat="1" applyFont="1" applyFill="1" applyBorder="1" applyAlignment="1">
      <alignment horizontal="right" vertical="center"/>
    </xf>
    <xf numFmtId="4" fontId="24" fillId="0" borderId="28" xfId="22" applyNumberFormat="1" applyFont="1" applyFill="1" applyBorder="1" applyAlignment="1">
      <alignment horizontal="right" vertical="center"/>
    </xf>
    <xf numFmtId="165" fontId="23" fillId="0" borderId="43" xfId="22" applyNumberFormat="1" applyFont="1" applyFill="1" applyBorder="1" applyAlignment="1">
      <alignment horizontal="center" vertical="center"/>
    </xf>
    <xf numFmtId="168" fontId="23" fillId="0" borderId="3" xfId="22" applyNumberFormat="1" applyFont="1" applyFill="1" applyBorder="1" applyAlignment="1">
      <alignment horizontal="center" vertical="center"/>
    </xf>
    <xf numFmtId="164" fontId="23" fillId="0" borderId="30" xfId="22" applyNumberFormat="1" applyFont="1" applyFill="1" applyBorder="1" applyAlignment="1">
      <alignment horizontal="center" vertical="center"/>
    </xf>
    <xf numFmtId="164" fontId="23" fillId="0" borderId="6" xfId="22" applyNumberFormat="1" applyFont="1" applyFill="1" applyBorder="1" applyAlignment="1">
      <alignment horizontal="center" vertical="center"/>
    </xf>
    <xf numFmtId="4" fontId="23" fillId="0" borderId="44" xfId="22" applyNumberFormat="1" applyFont="1" applyFill="1" applyBorder="1" applyAlignment="1">
      <alignment horizontal="right"/>
    </xf>
    <xf numFmtId="165" fontId="23" fillId="0" borderId="45" xfId="29" applyNumberFormat="1" applyFont="1" applyFill="1" applyBorder="1" applyAlignment="1">
      <alignment horizontal="center"/>
    </xf>
    <xf numFmtId="165" fontId="26" fillId="0" borderId="0" xfId="22" applyNumberFormat="1" applyFont="1" applyFill="1" applyAlignment="1">
      <alignment horizontal="center"/>
    </xf>
    <xf numFmtId="0" fontId="26" fillId="0" borderId="0" xfId="22" applyFont="1" applyFill="1" applyAlignment="1">
      <alignment horizontal="center"/>
    </xf>
    <xf numFmtId="0" fontId="26" fillId="0" borderId="0" xfId="22" applyFont="1" applyFill="1"/>
    <xf numFmtId="0" fontId="21" fillId="0" borderId="21" xfId="22" applyFont="1" applyBorder="1" applyAlignment="1">
      <alignment horizontal="center" wrapText="1"/>
    </xf>
    <xf numFmtId="0" fontId="21" fillId="0" borderId="22" xfId="22" applyFont="1" applyBorder="1" applyAlignment="1">
      <alignment horizontal="center" wrapText="1"/>
    </xf>
    <xf numFmtId="0" fontId="21" fillId="0" borderId="23" xfId="22" applyFont="1" applyBorder="1" applyAlignment="1">
      <alignment horizontal="center" wrapText="1"/>
    </xf>
    <xf numFmtId="4" fontId="24" fillId="0" borderId="1" xfId="22" applyNumberFormat="1" applyFont="1" applyFill="1" applyBorder="1" applyAlignment="1">
      <alignment horizontal="left" vertical="top" wrapText="1"/>
    </xf>
    <xf numFmtId="0" fontId="24" fillId="0" borderId="10" xfId="22" applyFont="1" applyBorder="1" applyAlignment="1">
      <alignment vertical="top" wrapText="1"/>
    </xf>
    <xf numFmtId="0" fontId="24" fillId="0" borderId="11" xfId="22" applyFont="1" applyFill="1" applyBorder="1" applyAlignment="1">
      <alignment horizontal="left" vertical="top" wrapText="1"/>
    </xf>
    <xf numFmtId="0" fontId="24" fillId="0" borderId="19" xfId="22" applyFont="1" applyFill="1" applyBorder="1" applyAlignment="1">
      <alignment horizontal="left" vertical="top" wrapText="1"/>
    </xf>
    <xf numFmtId="0" fontId="24" fillId="0" borderId="14" xfId="22" applyFont="1" applyFill="1" applyBorder="1" applyAlignment="1">
      <alignment horizontal="left" vertical="top" wrapText="1"/>
    </xf>
    <xf numFmtId="0" fontId="23" fillId="0" borderId="29"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22" applyFont="1" applyBorder="1" applyAlignment="1">
      <alignment horizontal="left" vertical="center"/>
    </xf>
    <xf numFmtId="0" fontId="24" fillId="0" borderId="0" xfId="0" applyFont="1" applyAlignment="1">
      <alignment horizontal="left" vertical="center"/>
    </xf>
    <xf numFmtId="4" fontId="24" fillId="0" borderId="0" xfId="0" applyNumberFormat="1" applyFont="1" applyFill="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xf>
    <xf numFmtId="0" fontId="18" fillId="0" borderId="1" xfId="0" applyFont="1" applyFill="1" applyBorder="1" applyAlignment="1">
      <alignment horizontal="left" vertical="center"/>
    </xf>
    <xf numFmtId="0" fontId="8" fillId="0" borderId="13" xfId="0" applyFont="1" applyFill="1" applyBorder="1" applyAlignment="1">
      <alignment horizontal="center" vertical="center" wrapText="1"/>
    </xf>
    <xf numFmtId="14" fontId="27" fillId="0" borderId="11" xfId="0" applyNumberFormat="1" applyFont="1" applyBorder="1" applyAlignment="1">
      <alignment horizontal="left"/>
    </xf>
    <xf numFmtId="14" fontId="27" fillId="0" borderId="19" xfId="0" applyNumberFormat="1" applyFont="1" applyBorder="1" applyAlignment="1">
      <alignment horizontal="left"/>
    </xf>
    <xf numFmtId="14" fontId="27" fillId="0" borderId="14" xfId="0" applyNumberFormat="1" applyFont="1" applyBorder="1" applyAlignment="1">
      <alignment horizontal="left"/>
    </xf>
    <xf numFmtId="165" fontId="9" fillId="0" borderId="11"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1" xfId="0" applyNumberFormat="1" applyFont="1" applyFill="1" applyBorder="1" applyAlignment="1">
      <alignment horizontal="center" vertical="center" wrapText="1"/>
    </xf>
    <xf numFmtId="165" fontId="9" fillId="0" borderId="19" xfId="0" applyNumberFormat="1" applyFont="1" applyFill="1" applyBorder="1" applyAlignment="1">
      <alignment horizontal="center" vertical="center" wrapText="1"/>
    </xf>
    <xf numFmtId="165" fontId="9" fillId="0" borderId="14" xfId="0" applyNumberFormat="1" applyFont="1" applyFill="1" applyBorder="1" applyAlignment="1">
      <alignment horizontal="center" vertical="center" wrapText="1"/>
    </xf>
    <xf numFmtId="0" fontId="27" fillId="0" borderId="1" xfId="0" applyFont="1" applyBorder="1" applyAlignment="1">
      <alignment horizontal="left"/>
    </xf>
    <xf numFmtId="165" fontId="9" fillId="0" borderId="19" xfId="0" applyNumberFormat="1" applyFont="1" applyFill="1" applyBorder="1" applyAlignment="1">
      <alignment horizontal="center" vertical="center"/>
    </xf>
    <xf numFmtId="165" fontId="9" fillId="0" borderId="11" xfId="0" quotePrefix="1" applyNumberFormat="1" applyFont="1" applyFill="1" applyBorder="1" applyAlignment="1">
      <alignment horizontal="center" vertical="center" wrapText="1"/>
    </xf>
    <xf numFmtId="0" fontId="13" fillId="0" borderId="29" xfId="0" applyFont="1" applyBorder="1" applyAlignment="1">
      <alignment horizontal="left"/>
    </xf>
    <xf numFmtId="0" fontId="13" fillId="0" borderId="0" xfId="0" applyFont="1" applyBorder="1" applyAlignment="1">
      <alignment horizontal="left"/>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9" fillId="0" borderId="1" xfId="0" applyFont="1" applyBorder="1" applyAlignment="1">
      <alignment vertical="center"/>
    </xf>
    <xf numFmtId="0" fontId="18" fillId="0" borderId="1" xfId="0" applyFont="1" applyFill="1" applyBorder="1" applyAlignment="1">
      <alignment vertical="center"/>
    </xf>
    <xf numFmtId="0" fontId="8" fillId="6" borderId="11"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4" xfId="0" applyFont="1" applyFill="1" applyBorder="1" applyAlignment="1">
      <alignment horizontal="center" vertical="center" wrapText="1"/>
    </xf>
    <xf numFmtId="165" fontId="19" fillId="6" borderId="10" xfId="6" applyNumberFormat="1" applyFont="1" applyFill="1" applyBorder="1" applyAlignment="1">
      <alignment horizontal="center" vertical="center" wrapText="1"/>
    </xf>
    <xf numFmtId="165" fontId="19" fillId="6" borderId="17" xfId="0" applyNumberFormat="1" applyFont="1" applyFill="1" applyBorder="1" applyAlignment="1">
      <alignment horizontal="center" vertical="center" wrapText="1"/>
    </xf>
    <xf numFmtId="165" fontId="19" fillId="6" borderId="13" xfId="0" applyNumberFormat="1" applyFont="1" applyFill="1" applyBorder="1" applyAlignment="1">
      <alignment horizontal="center" vertical="center" wrapText="1"/>
    </xf>
    <xf numFmtId="0" fontId="24" fillId="0" borderId="11" xfId="0" applyFont="1" applyBorder="1" applyAlignment="1">
      <alignment horizontal="left"/>
    </xf>
    <xf numFmtId="0" fontId="24" fillId="0" borderId="19" xfId="0" applyFont="1" applyBorder="1" applyAlignment="1">
      <alignment horizontal="left"/>
    </xf>
    <xf numFmtId="0" fontId="24" fillId="0" borderId="14" xfId="0" applyFont="1" applyBorder="1" applyAlignment="1">
      <alignment horizontal="left"/>
    </xf>
  </cellXfs>
  <cellStyles count="33">
    <cellStyle name="Comma 2" xfId="1"/>
    <cellStyle name="Comma 2 2" xfId="8"/>
    <cellStyle name="Comma 2 2 2" xfId="25"/>
    <cellStyle name="Comma 2 3" xfId="20"/>
    <cellStyle name="Comma 3" xfId="7"/>
    <cellStyle name="Comma 3 2" xfId="24"/>
    <cellStyle name="Comma 4" xfId="19"/>
    <cellStyle name="Currency 2" xfId="9"/>
    <cellStyle name="Currency 2 2" xfId="26"/>
    <cellStyle name="Normal" xfId="0" builtinId="0"/>
    <cellStyle name="Normal 10 2" xfId="17"/>
    <cellStyle name="Normal 2" xfId="2"/>
    <cellStyle name="Normal 2 2" xfId="3"/>
    <cellStyle name="Normal 2 2 2" xfId="18"/>
    <cellStyle name="Normal 2 3" xfId="10"/>
    <cellStyle name="Normal 2 3 2" xfId="27"/>
    <cellStyle name="Normal 2 4" xfId="21"/>
    <cellStyle name="Normal 3" xfId="13"/>
    <cellStyle name="Normal 3 7" xfId="15"/>
    <cellStyle name="Normal 4" xfId="14"/>
    <cellStyle name="Normal 4 3" xfId="4"/>
    <cellStyle name="Normal 4 3 2" xfId="22"/>
    <cellStyle name="Normal 5" xfId="31"/>
    <cellStyle name="Normal 6" xfId="5"/>
    <cellStyle name="Normal 6 2" xfId="11"/>
    <cellStyle name="Normal 6 2 2" xfId="28"/>
    <cellStyle name="Normal 6 3" xfId="23"/>
    <cellStyle name="Normal 6 7" xfId="16"/>
    <cellStyle name="Normal 6 7 2" xfId="30"/>
    <cellStyle name="Normal 7" xfId="32"/>
    <cellStyle name="Percent" xfId="6" builtinId="5"/>
    <cellStyle name="Percent 2" xfId="12"/>
    <cellStyle name="Percent 2 2"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tabSelected="1" zoomScale="90" zoomScaleNormal="90" workbookViewId="0"/>
  </sheetViews>
  <sheetFormatPr defaultRowHeight="12.75" x14ac:dyDescent="0.2"/>
  <cols>
    <col min="1" max="1" width="25.5703125" customWidth="1"/>
    <col min="2" max="8" width="16.5703125" customWidth="1"/>
    <col min="9" max="10" width="14.5703125" customWidth="1"/>
    <col min="11" max="16" width="12.5703125" customWidth="1"/>
  </cols>
  <sheetData>
    <row r="1" spans="1:27" ht="18.75" x14ac:dyDescent="0.2">
      <c r="A1" s="101" t="s">
        <v>125</v>
      </c>
      <c r="B1" s="101"/>
      <c r="C1" s="101"/>
      <c r="D1" s="101"/>
      <c r="E1" s="101"/>
      <c r="F1" s="153"/>
      <c r="G1" s="90" t="s">
        <v>7</v>
      </c>
      <c r="H1" s="91"/>
    </row>
    <row r="2" spans="1:27" ht="18.75" x14ac:dyDescent="0.25">
      <c r="A2" s="73" t="s">
        <v>103</v>
      </c>
      <c r="B2" s="73"/>
      <c r="C2" s="73"/>
      <c r="D2" s="73"/>
      <c r="E2" s="73"/>
      <c r="F2" s="92"/>
      <c r="G2" s="93"/>
      <c r="H2" s="94"/>
    </row>
    <row r="3" spans="1:27" ht="19.5" thickBot="1" x14ac:dyDescent="0.35">
      <c r="A3" s="95"/>
      <c r="B3" s="96" t="s">
        <v>7</v>
      </c>
      <c r="C3" s="97" t="s">
        <v>7</v>
      </c>
      <c r="D3" s="93"/>
      <c r="E3" s="93"/>
      <c r="F3" s="93"/>
      <c r="G3" s="93"/>
      <c r="H3" s="94"/>
    </row>
    <row r="4" spans="1:27" ht="19.5" customHeight="1" thickBot="1" x14ac:dyDescent="0.35">
      <c r="A4" s="98"/>
      <c r="B4" s="99"/>
      <c r="C4" s="211" t="s">
        <v>104</v>
      </c>
      <c r="D4" s="212"/>
      <c r="E4" s="212"/>
      <c r="F4" s="212"/>
      <c r="G4" s="212"/>
      <c r="H4" s="212"/>
      <c r="I4" s="212"/>
      <c r="J4" s="213"/>
    </row>
    <row r="5" spans="1:27" ht="48" thickBot="1" x14ac:dyDescent="0.3">
      <c r="A5" s="185" t="s">
        <v>105</v>
      </c>
      <c r="B5" s="186" t="s">
        <v>106</v>
      </c>
      <c r="C5" s="187" t="s">
        <v>107</v>
      </c>
      <c r="D5" s="188" t="s">
        <v>108</v>
      </c>
      <c r="E5" s="189" t="s">
        <v>109</v>
      </c>
      <c r="F5" s="188" t="s">
        <v>110</v>
      </c>
      <c r="G5" s="189" t="s">
        <v>111</v>
      </c>
      <c r="H5" s="188" t="s">
        <v>112</v>
      </c>
      <c r="I5" s="189" t="s">
        <v>123</v>
      </c>
      <c r="J5" s="188" t="s">
        <v>124</v>
      </c>
    </row>
    <row r="6" spans="1:27" ht="16.149999999999999" customHeight="1" x14ac:dyDescent="0.2">
      <c r="A6" s="190" t="s">
        <v>113</v>
      </c>
      <c r="B6" s="191">
        <v>37.6</v>
      </c>
      <c r="C6" s="192">
        <v>0</v>
      </c>
      <c r="D6" s="193">
        <v>300.76</v>
      </c>
      <c r="E6" s="192">
        <v>37.6</v>
      </c>
      <c r="F6" s="193">
        <v>297.85000000000002</v>
      </c>
      <c r="G6" s="192" t="s">
        <v>150</v>
      </c>
      <c r="H6" s="193" t="s">
        <v>150</v>
      </c>
      <c r="I6" s="192" t="s">
        <v>150</v>
      </c>
      <c r="J6" s="194" t="s">
        <v>150</v>
      </c>
      <c r="K6" s="100"/>
      <c r="L6" s="100"/>
      <c r="M6" s="100"/>
      <c r="N6" s="100"/>
      <c r="O6" s="100"/>
      <c r="P6" s="100"/>
      <c r="Q6" s="100"/>
      <c r="R6" s="100"/>
      <c r="S6" s="100"/>
      <c r="T6" s="100"/>
      <c r="U6" s="100"/>
      <c r="V6" s="100"/>
      <c r="W6" s="100"/>
      <c r="X6" s="100"/>
      <c r="Y6" s="100"/>
      <c r="Z6" s="100"/>
      <c r="AA6" s="100"/>
    </row>
    <row r="7" spans="1:27" ht="16.149999999999999" customHeight="1" x14ac:dyDescent="0.2">
      <c r="A7" s="195" t="s">
        <v>114</v>
      </c>
      <c r="B7" s="196">
        <v>0</v>
      </c>
      <c r="C7" s="197" t="s">
        <v>150</v>
      </c>
      <c r="D7" s="198" t="s">
        <v>150</v>
      </c>
      <c r="E7" s="197" t="s">
        <v>150</v>
      </c>
      <c r="F7" s="198" t="s">
        <v>150</v>
      </c>
      <c r="G7" s="197" t="s">
        <v>150</v>
      </c>
      <c r="H7" s="198" t="s">
        <v>150</v>
      </c>
      <c r="I7" s="197" t="s">
        <v>150</v>
      </c>
      <c r="J7" s="199" t="s">
        <v>150</v>
      </c>
    </row>
    <row r="8" spans="1:27" ht="16.149999999999999" customHeight="1" x14ac:dyDescent="0.2">
      <c r="A8" s="195" t="s">
        <v>115</v>
      </c>
      <c r="B8" s="196">
        <v>15.3</v>
      </c>
      <c r="C8" s="197">
        <v>0</v>
      </c>
      <c r="D8" s="198">
        <v>337.2</v>
      </c>
      <c r="E8" s="197">
        <v>15.3</v>
      </c>
      <c r="F8" s="198">
        <v>332.96</v>
      </c>
      <c r="G8" s="197" t="s">
        <v>150</v>
      </c>
      <c r="H8" s="198" t="s">
        <v>150</v>
      </c>
      <c r="I8" s="197" t="s">
        <v>150</v>
      </c>
      <c r="J8" s="199" t="s">
        <v>150</v>
      </c>
    </row>
    <row r="9" spans="1:27" ht="16.149999999999999" customHeight="1" x14ac:dyDescent="0.2">
      <c r="A9" s="195" t="s">
        <v>116</v>
      </c>
      <c r="B9" s="196">
        <v>0</v>
      </c>
      <c r="C9" s="197" t="s">
        <v>150</v>
      </c>
      <c r="D9" s="198" t="s">
        <v>150</v>
      </c>
      <c r="E9" s="197" t="s">
        <v>150</v>
      </c>
      <c r="F9" s="198" t="s">
        <v>150</v>
      </c>
      <c r="G9" s="197" t="s">
        <v>150</v>
      </c>
      <c r="H9" s="198" t="s">
        <v>150</v>
      </c>
      <c r="I9" s="197" t="s">
        <v>150</v>
      </c>
      <c r="J9" s="199" t="s">
        <v>150</v>
      </c>
    </row>
    <row r="10" spans="1:27" ht="16.149999999999999" customHeight="1" x14ac:dyDescent="0.2">
      <c r="A10" s="195" t="s">
        <v>117</v>
      </c>
      <c r="B10" s="196">
        <v>144.5</v>
      </c>
      <c r="C10" s="197">
        <v>0</v>
      </c>
      <c r="D10" s="198">
        <v>394.55</v>
      </c>
      <c r="E10" s="197">
        <v>144.5</v>
      </c>
      <c r="F10" s="198">
        <v>271.62</v>
      </c>
      <c r="G10" s="197" t="s">
        <v>150</v>
      </c>
      <c r="H10" s="198" t="s">
        <v>150</v>
      </c>
      <c r="I10" s="197" t="s">
        <v>150</v>
      </c>
      <c r="J10" s="199" t="s">
        <v>150</v>
      </c>
    </row>
    <row r="11" spans="1:27" ht="16.149999999999999" customHeight="1" x14ac:dyDescent="0.2">
      <c r="A11" s="195" t="s">
        <v>28</v>
      </c>
      <c r="B11" s="196">
        <v>0</v>
      </c>
      <c r="C11" s="197" t="s">
        <v>150</v>
      </c>
      <c r="D11" s="198" t="s">
        <v>150</v>
      </c>
      <c r="E11" s="197" t="s">
        <v>150</v>
      </c>
      <c r="F11" s="198" t="s">
        <v>150</v>
      </c>
      <c r="G11" s="197" t="s">
        <v>150</v>
      </c>
      <c r="H11" s="198" t="s">
        <v>150</v>
      </c>
      <c r="I11" s="197" t="s">
        <v>150</v>
      </c>
      <c r="J11" s="199" t="s">
        <v>150</v>
      </c>
    </row>
    <row r="12" spans="1:27" ht="16.149999999999999" customHeight="1" x14ac:dyDescent="0.2">
      <c r="A12" s="195" t="s">
        <v>17</v>
      </c>
      <c r="B12" s="196">
        <v>0</v>
      </c>
      <c r="C12" s="197" t="s">
        <v>150</v>
      </c>
      <c r="D12" s="198" t="s">
        <v>150</v>
      </c>
      <c r="E12" s="197" t="s">
        <v>150</v>
      </c>
      <c r="F12" s="198" t="s">
        <v>150</v>
      </c>
      <c r="G12" s="197" t="s">
        <v>150</v>
      </c>
      <c r="H12" s="198" t="s">
        <v>150</v>
      </c>
      <c r="I12" s="197" t="s">
        <v>150</v>
      </c>
      <c r="J12" s="199" t="s">
        <v>150</v>
      </c>
    </row>
    <row r="13" spans="1:27" ht="16.149999999999999" customHeight="1" x14ac:dyDescent="0.2">
      <c r="A13" s="200" t="s">
        <v>6</v>
      </c>
      <c r="B13" s="196">
        <v>0</v>
      </c>
      <c r="C13" s="197" t="s">
        <v>150</v>
      </c>
      <c r="D13" s="198" t="s">
        <v>150</v>
      </c>
      <c r="E13" s="197" t="s">
        <v>150</v>
      </c>
      <c r="F13" s="198" t="s">
        <v>150</v>
      </c>
      <c r="G13" s="197" t="s">
        <v>150</v>
      </c>
      <c r="H13" s="198" t="s">
        <v>150</v>
      </c>
      <c r="I13" s="197" t="s">
        <v>150</v>
      </c>
      <c r="J13" s="199" t="s">
        <v>150</v>
      </c>
      <c r="L13" s="1"/>
    </row>
    <row r="14" spans="1:27" ht="16.149999999999999" customHeight="1" x14ac:dyDescent="0.2">
      <c r="A14" s="200" t="s">
        <v>118</v>
      </c>
      <c r="B14" s="196">
        <v>29</v>
      </c>
      <c r="C14" s="197">
        <v>0</v>
      </c>
      <c r="D14" s="198">
        <v>444.26</v>
      </c>
      <c r="E14" s="197">
        <v>29</v>
      </c>
      <c r="F14" s="198">
        <v>444.26</v>
      </c>
      <c r="G14" s="197" t="s">
        <v>150</v>
      </c>
      <c r="H14" s="198" t="s">
        <v>150</v>
      </c>
      <c r="I14" s="197" t="s">
        <v>150</v>
      </c>
      <c r="J14" s="199" t="s">
        <v>150</v>
      </c>
    </row>
    <row r="15" spans="1:27" ht="16.149999999999999" customHeight="1" x14ac:dyDescent="0.2">
      <c r="A15" s="200" t="s">
        <v>88</v>
      </c>
      <c r="B15" s="196">
        <v>11.8</v>
      </c>
      <c r="C15" s="197">
        <v>0</v>
      </c>
      <c r="D15" s="198">
        <v>444.26</v>
      </c>
      <c r="E15" s="197">
        <v>11.8</v>
      </c>
      <c r="F15" s="198">
        <v>444.26</v>
      </c>
      <c r="G15" s="197" t="s">
        <v>150</v>
      </c>
      <c r="H15" s="198" t="s">
        <v>150</v>
      </c>
      <c r="I15" s="197" t="s">
        <v>150</v>
      </c>
      <c r="J15" s="199" t="s">
        <v>150</v>
      </c>
    </row>
    <row r="16" spans="1:27" ht="16.149999999999999" customHeight="1" x14ac:dyDescent="0.2">
      <c r="A16" s="200" t="s">
        <v>12</v>
      </c>
      <c r="B16" s="196">
        <v>0</v>
      </c>
      <c r="C16" s="197" t="s">
        <v>150</v>
      </c>
      <c r="D16" s="198" t="s">
        <v>150</v>
      </c>
      <c r="E16" s="197" t="s">
        <v>150</v>
      </c>
      <c r="F16" s="198" t="s">
        <v>150</v>
      </c>
      <c r="G16" s="197" t="s">
        <v>150</v>
      </c>
      <c r="H16" s="198" t="s">
        <v>150</v>
      </c>
      <c r="I16" s="197" t="s">
        <v>150</v>
      </c>
      <c r="J16" s="199" t="s">
        <v>150</v>
      </c>
    </row>
    <row r="17" spans="1:10" ht="16.149999999999999" customHeight="1" x14ac:dyDescent="0.2">
      <c r="A17" s="200" t="s">
        <v>3</v>
      </c>
      <c r="B17" s="196">
        <v>109</v>
      </c>
      <c r="C17" s="197">
        <v>0</v>
      </c>
      <c r="D17" s="198">
        <v>466.35</v>
      </c>
      <c r="E17" s="197">
        <v>109</v>
      </c>
      <c r="F17" s="198">
        <v>466.35</v>
      </c>
      <c r="G17" s="197" t="s">
        <v>150</v>
      </c>
      <c r="H17" s="198" t="s">
        <v>150</v>
      </c>
      <c r="I17" s="197" t="s">
        <v>150</v>
      </c>
      <c r="J17" s="199" t="s">
        <v>150</v>
      </c>
    </row>
    <row r="18" spans="1:10" ht="16.149999999999999" customHeight="1" x14ac:dyDescent="0.2">
      <c r="A18" s="200" t="s">
        <v>30</v>
      </c>
      <c r="B18" s="196">
        <v>45.2</v>
      </c>
      <c r="C18" s="197">
        <v>0</v>
      </c>
      <c r="D18" s="198">
        <v>438.47</v>
      </c>
      <c r="E18" s="197">
        <v>45.2</v>
      </c>
      <c r="F18" s="198">
        <v>438.47</v>
      </c>
      <c r="G18" s="197" t="s">
        <v>150</v>
      </c>
      <c r="H18" s="198" t="s">
        <v>150</v>
      </c>
      <c r="I18" s="197" t="s">
        <v>150</v>
      </c>
      <c r="J18" s="199" t="s">
        <v>150</v>
      </c>
    </row>
    <row r="19" spans="1:10" ht="16.149999999999999" customHeight="1" x14ac:dyDescent="0.2">
      <c r="A19" s="195" t="s">
        <v>13</v>
      </c>
      <c r="B19" s="196">
        <v>0</v>
      </c>
      <c r="C19" s="197" t="s">
        <v>150</v>
      </c>
      <c r="D19" s="198" t="s">
        <v>150</v>
      </c>
      <c r="E19" s="197" t="s">
        <v>150</v>
      </c>
      <c r="F19" s="198" t="s">
        <v>150</v>
      </c>
      <c r="G19" s="197" t="s">
        <v>150</v>
      </c>
      <c r="H19" s="198" t="s">
        <v>150</v>
      </c>
      <c r="I19" s="197" t="s">
        <v>150</v>
      </c>
      <c r="J19" s="199" t="s">
        <v>150</v>
      </c>
    </row>
    <row r="20" spans="1:10" ht="16.149999999999999" customHeight="1" x14ac:dyDescent="0.2">
      <c r="A20" s="195" t="s">
        <v>20</v>
      </c>
      <c r="B20" s="196">
        <v>3.3</v>
      </c>
      <c r="C20" s="197">
        <v>0</v>
      </c>
      <c r="D20" s="198">
        <v>336.66</v>
      </c>
      <c r="E20" s="197">
        <v>3.3</v>
      </c>
      <c r="F20" s="198">
        <v>330.32</v>
      </c>
      <c r="G20" s="197" t="s">
        <v>150</v>
      </c>
      <c r="H20" s="198" t="s">
        <v>150</v>
      </c>
      <c r="I20" s="197" t="s">
        <v>150</v>
      </c>
      <c r="J20" s="199" t="s">
        <v>150</v>
      </c>
    </row>
    <row r="21" spans="1:10" ht="16.149999999999999" customHeight="1" thickBot="1" x14ac:dyDescent="0.25">
      <c r="A21" s="201" t="s">
        <v>14</v>
      </c>
      <c r="B21" s="202">
        <v>0</v>
      </c>
      <c r="C21" s="203" t="s">
        <v>150</v>
      </c>
      <c r="D21" s="204" t="s">
        <v>150</v>
      </c>
      <c r="E21" s="203" t="s">
        <v>150</v>
      </c>
      <c r="F21" s="204" t="s">
        <v>150</v>
      </c>
      <c r="G21" s="203" t="s">
        <v>150</v>
      </c>
      <c r="H21" s="204" t="s">
        <v>150</v>
      </c>
      <c r="I21" s="203" t="s">
        <v>150</v>
      </c>
      <c r="J21" s="205" t="s">
        <v>150</v>
      </c>
    </row>
    <row r="22" spans="1:10" ht="16.5" thickBot="1" x14ac:dyDescent="0.3">
      <c r="A22" s="206" t="s">
        <v>119</v>
      </c>
      <c r="B22" s="207">
        <v>395.70000000000005</v>
      </c>
      <c r="C22" s="208" t="s">
        <v>7</v>
      </c>
      <c r="D22" s="209"/>
      <c r="E22" s="209"/>
      <c r="F22" s="210"/>
      <c r="G22" s="210"/>
      <c r="H22" s="210"/>
      <c r="I22" s="209"/>
      <c r="J22" s="210"/>
    </row>
    <row r="24" spans="1:10" ht="15.75" x14ac:dyDescent="0.2">
      <c r="A24" s="214" t="s">
        <v>120</v>
      </c>
      <c r="B24" s="214"/>
      <c r="C24" s="214"/>
      <c r="D24" s="214"/>
      <c r="E24" s="214"/>
      <c r="F24" s="214"/>
      <c r="G24" s="214"/>
      <c r="H24" s="214"/>
    </row>
    <row r="25" spans="1:10" ht="60" customHeight="1" x14ac:dyDescent="0.2">
      <c r="A25" s="215" t="s">
        <v>121</v>
      </c>
      <c r="B25" s="215"/>
      <c r="C25" s="215"/>
      <c r="D25" s="215"/>
      <c r="E25" s="215"/>
      <c r="F25" s="215"/>
      <c r="G25" s="215"/>
      <c r="H25" s="215"/>
    </row>
    <row r="26" spans="1:10" ht="54" customHeight="1" x14ac:dyDescent="0.2">
      <c r="A26" s="216" t="s">
        <v>167</v>
      </c>
      <c r="B26" s="217"/>
      <c r="C26" s="217"/>
      <c r="D26" s="217"/>
      <c r="E26" s="217"/>
      <c r="F26" s="217"/>
      <c r="G26" s="217"/>
      <c r="H26" s="218"/>
    </row>
    <row r="27" spans="1:10" ht="15.75" x14ac:dyDescent="0.25">
      <c r="A27" s="263" t="s">
        <v>169</v>
      </c>
      <c r="B27" s="264"/>
      <c r="C27" s="264"/>
      <c r="D27" s="264"/>
      <c r="E27" s="264"/>
      <c r="F27" s="264"/>
      <c r="G27" s="264"/>
      <c r="H27" s="265"/>
    </row>
  </sheetData>
  <mergeCells count="5">
    <mergeCell ref="C4:J4"/>
    <mergeCell ref="A24:H24"/>
    <mergeCell ref="A25:H25"/>
    <mergeCell ref="A26:H26"/>
    <mergeCell ref="A27:H27"/>
  </mergeCells>
  <pageMargins left="0.45" right="0.45" top="0.5" bottom="0.5" header="0" footer="0"/>
  <pageSetup scale="76"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80" zoomScaleNormal="80" workbookViewId="0"/>
  </sheetViews>
  <sheetFormatPr defaultRowHeight="12.75" x14ac:dyDescent="0.2"/>
  <cols>
    <col min="1" max="1" width="60.5703125" customWidth="1"/>
    <col min="2" max="18" width="15.5703125" customWidth="1"/>
  </cols>
  <sheetData>
    <row r="1" spans="1:17" ht="18.75" x14ac:dyDescent="0.2">
      <c r="A1" s="101" t="s">
        <v>148</v>
      </c>
      <c r="B1" s="72" t="s">
        <v>7</v>
      </c>
      <c r="C1" s="72" t="s">
        <v>7</v>
      </c>
      <c r="D1" s="71"/>
      <c r="E1" s="71"/>
      <c r="F1" s="71"/>
      <c r="G1" s="71"/>
      <c r="H1" s="71"/>
      <c r="I1" s="72" t="s">
        <v>7</v>
      </c>
      <c r="J1" s="73"/>
      <c r="K1" s="71"/>
      <c r="L1" s="71"/>
      <c r="M1" s="71"/>
      <c r="N1" s="71"/>
    </row>
    <row r="2" spans="1:17" ht="18.75" x14ac:dyDescent="0.25">
      <c r="A2" s="74"/>
      <c r="B2" s="72" t="s">
        <v>7</v>
      </c>
      <c r="C2" s="72" t="s">
        <v>7</v>
      </c>
      <c r="D2" s="74"/>
      <c r="E2" s="75"/>
      <c r="F2" s="74"/>
      <c r="G2" s="76"/>
      <c r="H2" s="77"/>
      <c r="I2" s="77"/>
      <c r="J2" s="77"/>
      <c r="K2" s="77"/>
      <c r="L2" s="77"/>
      <c r="M2" s="77"/>
      <c r="N2" s="77"/>
    </row>
    <row r="3" spans="1:17" ht="20.100000000000001" customHeight="1" x14ac:dyDescent="0.25">
      <c r="A3" s="78"/>
      <c r="B3" s="79" t="s">
        <v>7</v>
      </c>
      <c r="C3" s="219" t="s">
        <v>26</v>
      </c>
      <c r="D3" s="220"/>
      <c r="E3" s="220"/>
      <c r="F3" s="220"/>
      <c r="G3" s="220"/>
      <c r="H3" s="220"/>
      <c r="I3" s="220"/>
      <c r="J3" s="220"/>
      <c r="K3" s="220"/>
      <c r="L3" s="220"/>
      <c r="M3" s="220"/>
      <c r="N3" s="220"/>
      <c r="O3" s="220"/>
      <c r="P3" s="220"/>
      <c r="Q3" s="220"/>
    </row>
    <row r="4" spans="1:17" ht="20.100000000000001" customHeight="1" x14ac:dyDescent="0.2">
      <c r="A4" s="80" t="s">
        <v>7</v>
      </c>
      <c r="B4" s="81" t="s">
        <v>8</v>
      </c>
      <c r="C4" s="81" t="s">
        <v>11</v>
      </c>
      <c r="D4" s="81" t="s">
        <v>10</v>
      </c>
      <c r="E4" s="81" t="s">
        <v>9</v>
      </c>
      <c r="F4" s="81" t="s">
        <v>27</v>
      </c>
      <c r="G4" s="81" t="s">
        <v>28</v>
      </c>
      <c r="H4" s="81" t="s">
        <v>17</v>
      </c>
      <c r="I4" s="81" t="s">
        <v>6</v>
      </c>
      <c r="J4" s="81" t="s">
        <v>18</v>
      </c>
      <c r="K4" s="81" t="s">
        <v>88</v>
      </c>
      <c r="L4" s="82" t="s">
        <v>12</v>
      </c>
      <c r="M4" s="82" t="s">
        <v>3</v>
      </c>
      <c r="N4" s="82" t="s">
        <v>30</v>
      </c>
      <c r="O4" s="82" t="s">
        <v>13</v>
      </c>
      <c r="P4" s="82" t="s">
        <v>20</v>
      </c>
      <c r="Q4" s="82" t="s">
        <v>14</v>
      </c>
    </row>
    <row r="5" spans="1:17" ht="20.100000000000001" customHeight="1" x14ac:dyDescent="0.2">
      <c r="A5" s="83" t="s">
        <v>89</v>
      </c>
      <c r="B5" s="177">
        <f>ROUND('3rd IA Parameters'!B15,1)</f>
        <v>133959.29999999999</v>
      </c>
      <c r="C5" s="177">
        <f>ROUND('3rd IA Parameters'!C15,1)</f>
        <v>53656.3</v>
      </c>
      <c r="D5" s="177">
        <f>ROUND('3rd IA Parameters'!D15,1)</f>
        <v>31193.599999999999</v>
      </c>
      <c r="E5" s="177">
        <f>ROUND('3rd IA Parameters'!E15,1)</f>
        <v>13521.1</v>
      </c>
      <c r="F5" s="177">
        <f>ROUND('3rd IA Parameters'!F15,1)</f>
        <v>10808.5</v>
      </c>
      <c r="G5" s="177">
        <f>ROUND('3rd IA Parameters'!G15,1)</f>
        <v>5338.6</v>
      </c>
      <c r="H5" s="177">
        <f>ROUND('3rd IA Parameters'!H15,1)</f>
        <v>2736</v>
      </c>
      <c r="I5" s="177">
        <f>ROUND('3rd IA Parameters'!I15,1)</f>
        <v>6571.4</v>
      </c>
      <c r="J5" s="177">
        <f>ROUND('3rd IA Parameters'!J15,1)</f>
        <v>12609</v>
      </c>
      <c r="K5" s="177">
        <f>ROUND('3rd IA Parameters'!K15,1)</f>
        <v>5186.1000000000004</v>
      </c>
      <c r="L5" s="177">
        <f>ROUND('3rd IA Parameters'!L15,1)</f>
        <v>20636.599999999999</v>
      </c>
      <c r="M5" s="177">
        <f>ROUND('3rd IA Parameters'!M15,1)</f>
        <v>7049.7</v>
      </c>
      <c r="N5" s="177">
        <f>ROUND('3rd IA Parameters'!N15,1)</f>
        <v>9047.2999999999993</v>
      </c>
      <c r="O5" s="177">
        <f>ROUND('3rd IA Parameters'!O15,1)</f>
        <v>3498.9</v>
      </c>
      <c r="P5" s="177">
        <f>ROUND('3rd IA Parameters'!P15,1)</f>
        <v>5596.3</v>
      </c>
      <c r="Q5" s="177">
        <f>ROUND('3rd IA Parameters'!Q15,1)</f>
        <v>25186.6</v>
      </c>
    </row>
    <row r="6" spans="1:17" ht="20.100000000000001" customHeight="1" x14ac:dyDescent="0.2">
      <c r="A6" s="83" t="s">
        <v>122</v>
      </c>
      <c r="B6" s="177">
        <f>ROUND('BRA Parameters'!B15,1)</f>
        <v>133563.6</v>
      </c>
      <c r="C6" s="177">
        <f>ROUND('BRA Parameters'!C15,1)</f>
        <v>53342.3</v>
      </c>
      <c r="D6" s="177">
        <f>ROUND('BRA Parameters'!D15,1)</f>
        <v>30953.4</v>
      </c>
      <c r="E6" s="177">
        <f>ROUND('BRA Parameters'!E15,1)</f>
        <v>13508.8</v>
      </c>
      <c r="F6" s="177">
        <f>ROUND('BRA Parameters'!F15,1)</f>
        <v>10664</v>
      </c>
      <c r="G6" s="177">
        <f>ROUND('BRA Parameters'!G15,1)</f>
        <v>5415.8</v>
      </c>
      <c r="H6" s="177">
        <f>ROUND('BRA Parameters'!H15,1)</f>
        <v>2750.4</v>
      </c>
      <c r="I6" s="177">
        <f>ROUND('BRA Parameters'!I15,1)</f>
        <v>6557.3</v>
      </c>
      <c r="J6" s="177">
        <f>ROUND('BRA Parameters'!J15,1)</f>
        <v>12186</v>
      </c>
      <c r="K6" s="177">
        <f>ROUND('BRA Parameters'!K15,1)</f>
        <v>5064</v>
      </c>
      <c r="L6" s="177">
        <f>ROUND('BRA Parameters'!L15,1)</f>
        <v>20819.599999999999</v>
      </c>
      <c r="M6" s="177">
        <f>ROUND('BRA Parameters'!M15,1)</f>
        <v>6940.7</v>
      </c>
      <c r="N6" s="177">
        <f>ROUND('BRA Parameters'!N15,1)</f>
        <v>8765.4</v>
      </c>
      <c r="O6" s="177">
        <f>ROUND('BRA Parameters'!O15,1)</f>
        <v>3521.8</v>
      </c>
      <c r="P6" s="177">
        <f>ROUND('BRA Parameters'!P15,1)</f>
        <v>5561.7</v>
      </c>
      <c r="Q6" s="177">
        <f>ROUND('BRA Parameters'!Q15,1)</f>
        <v>25746.2</v>
      </c>
    </row>
    <row r="7" spans="1:17" ht="20.100000000000001" customHeight="1" x14ac:dyDescent="0.2">
      <c r="A7" s="84" t="s">
        <v>90</v>
      </c>
      <c r="B7" s="177">
        <f>B5-B6</f>
        <v>395.69999999998254</v>
      </c>
      <c r="C7" s="177">
        <f>C5-C6</f>
        <v>314</v>
      </c>
      <c r="D7" s="177">
        <f>D5-D6</f>
        <v>240.19999999999709</v>
      </c>
      <c r="E7" s="177">
        <f t="shared" ref="E7:O7" si="0">E5-E6</f>
        <v>12.300000000001091</v>
      </c>
      <c r="F7" s="177">
        <f t="shared" si="0"/>
        <v>144.5</v>
      </c>
      <c r="G7" s="177">
        <f>G5-G6</f>
        <v>-77.199999999999818</v>
      </c>
      <c r="H7" s="177">
        <f t="shared" si="0"/>
        <v>-14.400000000000091</v>
      </c>
      <c r="I7" s="177">
        <f t="shared" si="0"/>
        <v>14.099999999999454</v>
      </c>
      <c r="J7" s="177">
        <f t="shared" si="0"/>
        <v>423</v>
      </c>
      <c r="K7" s="177">
        <f t="shared" si="0"/>
        <v>122.10000000000036</v>
      </c>
      <c r="L7" s="177">
        <f t="shared" si="0"/>
        <v>-183</v>
      </c>
      <c r="M7" s="177">
        <f t="shared" si="0"/>
        <v>109</v>
      </c>
      <c r="N7" s="177">
        <f t="shared" si="0"/>
        <v>281.89999999999964</v>
      </c>
      <c r="O7" s="177">
        <f t="shared" si="0"/>
        <v>-22.900000000000091</v>
      </c>
      <c r="P7" s="177">
        <f>P5-P6</f>
        <v>34.600000000000364</v>
      </c>
      <c r="Q7" s="177">
        <f>Q5-Q6</f>
        <v>-559.60000000000218</v>
      </c>
    </row>
    <row r="8" spans="1:17" ht="20.100000000000001" customHeight="1" x14ac:dyDescent="0.2">
      <c r="A8" s="83" t="s">
        <v>100</v>
      </c>
      <c r="B8" s="178" t="s">
        <v>32</v>
      </c>
      <c r="C8" s="179">
        <f>'3rd IA Parameters'!C11-'BRA Parameters'!C11</f>
        <v>0</v>
      </c>
      <c r="D8" s="179">
        <f>'3rd IA Parameters'!D11-'BRA Parameters'!D11</f>
        <v>0</v>
      </c>
      <c r="E8" s="179">
        <f>'3rd IA Parameters'!E11-'BRA Parameters'!E11</f>
        <v>0</v>
      </c>
      <c r="F8" s="179">
        <f>'3rd IA Parameters'!F11-'BRA Parameters'!F11</f>
        <v>0</v>
      </c>
      <c r="G8" s="179">
        <f>'3rd IA Parameters'!G11-'BRA Parameters'!G11</f>
        <v>0</v>
      </c>
      <c r="H8" s="179">
        <f>'3rd IA Parameters'!H11-'BRA Parameters'!H11</f>
        <v>0</v>
      </c>
      <c r="I8" s="179">
        <f>'3rd IA Parameters'!I11-'BRA Parameters'!I11</f>
        <v>0</v>
      </c>
      <c r="J8" s="179">
        <f>'3rd IA Parameters'!J11-'BRA Parameters'!J11</f>
        <v>0</v>
      </c>
      <c r="K8" s="179">
        <f>'3rd IA Parameters'!K11-'BRA Parameters'!K11</f>
        <v>0</v>
      </c>
      <c r="L8" s="179">
        <f>'3rd IA Parameters'!L11-'BRA Parameters'!L11</f>
        <v>0</v>
      </c>
      <c r="M8" s="179">
        <f>'3rd IA Parameters'!M11-'BRA Parameters'!M11</f>
        <v>0</v>
      </c>
      <c r="N8" s="179">
        <f>'3rd IA Parameters'!N11-'BRA Parameters'!N11</f>
        <v>0</v>
      </c>
      <c r="O8" s="179">
        <f>'3rd IA Parameters'!O11-'BRA Parameters'!O11</f>
        <v>0</v>
      </c>
      <c r="P8" s="179">
        <f>'3rd IA Parameters'!P11-'BRA Parameters'!P11</f>
        <v>0</v>
      </c>
      <c r="Q8" s="179">
        <f>'3rd IA Parameters'!Q11-'BRA Parameters'!Q11</f>
        <v>0</v>
      </c>
    </row>
    <row r="9" spans="1:17" ht="20.100000000000001" customHeight="1" x14ac:dyDescent="0.2">
      <c r="A9" s="85" t="s">
        <v>101</v>
      </c>
      <c r="B9" s="178" t="s">
        <v>32</v>
      </c>
      <c r="C9" s="179">
        <v>304.60000000000002</v>
      </c>
      <c r="D9" s="179">
        <v>1376.4</v>
      </c>
      <c r="E9" s="179">
        <v>16.899999999999999</v>
      </c>
      <c r="F9" s="179">
        <v>1914.7</v>
      </c>
      <c r="G9" s="179">
        <v>1211.3</v>
      </c>
      <c r="H9" s="179">
        <v>191.4</v>
      </c>
      <c r="I9" s="179">
        <v>2223.9</v>
      </c>
      <c r="J9" s="179">
        <v>6275.3</v>
      </c>
      <c r="K9" s="179">
        <v>1222.7</v>
      </c>
      <c r="L9" s="179">
        <v>5689.1</v>
      </c>
      <c r="M9" s="179">
        <v>0</v>
      </c>
      <c r="N9" s="179">
        <v>4560</v>
      </c>
      <c r="O9" s="179">
        <v>862.9</v>
      </c>
      <c r="P9" s="179">
        <v>1405.2</v>
      </c>
      <c r="Q9" s="179">
        <v>0</v>
      </c>
    </row>
    <row r="10" spans="1:17" ht="20.100000000000001" customHeight="1" x14ac:dyDescent="0.2">
      <c r="A10" s="86" t="s">
        <v>102</v>
      </c>
      <c r="B10" s="178">
        <v>0</v>
      </c>
      <c r="C10" s="178">
        <v>0</v>
      </c>
      <c r="D10" s="178">
        <v>0</v>
      </c>
      <c r="E10" s="178">
        <v>0</v>
      </c>
      <c r="F10" s="178">
        <v>0</v>
      </c>
      <c r="G10" s="178">
        <v>0</v>
      </c>
      <c r="H10" s="178">
        <v>0</v>
      </c>
      <c r="I10" s="178">
        <v>0</v>
      </c>
      <c r="J10" s="178">
        <v>0</v>
      </c>
      <c r="K10" s="178">
        <v>0</v>
      </c>
      <c r="L10" s="178">
        <v>0</v>
      </c>
      <c r="M10" s="178">
        <v>0</v>
      </c>
      <c r="N10" s="178">
        <v>0</v>
      </c>
      <c r="O10" s="178">
        <v>0</v>
      </c>
      <c r="P10" s="178">
        <v>0</v>
      </c>
      <c r="Q10" s="178">
        <v>0</v>
      </c>
    </row>
    <row r="11" spans="1:17" ht="20.100000000000001" customHeight="1" x14ac:dyDescent="0.2">
      <c r="A11" s="86" t="s">
        <v>91</v>
      </c>
      <c r="B11" s="178">
        <v>0</v>
      </c>
      <c r="C11" s="178">
        <v>0</v>
      </c>
      <c r="D11" s="178">
        <v>0</v>
      </c>
      <c r="E11" s="178">
        <v>0</v>
      </c>
      <c r="F11" s="178">
        <v>0</v>
      </c>
      <c r="G11" s="178">
        <v>0</v>
      </c>
      <c r="H11" s="178">
        <v>0</v>
      </c>
      <c r="I11" s="178">
        <v>0</v>
      </c>
      <c r="J11" s="178">
        <v>0</v>
      </c>
      <c r="K11" s="178">
        <v>0</v>
      </c>
      <c r="L11" s="178">
        <v>0</v>
      </c>
      <c r="M11" s="178">
        <v>0</v>
      </c>
      <c r="N11" s="178">
        <v>0</v>
      </c>
      <c r="O11" s="178">
        <v>0</v>
      </c>
      <c r="P11" s="178">
        <v>0</v>
      </c>
      <c r="Q11" s="178">
        <v>0</v>
      </c>
    </row>
    <row r="12" spans="1:17" ht="20.100000000000001" customHeight="1" x14ac:dyDescent="0.2">
      <c r="A12" s="86" t="s">
        <v>92</v>
      </c>
      <c r="B12" s="178">
        <f>B7+B10+B11</f>
        <v>395.69999999998254</v>
      </c>
      <c r="C12" s="178">
        <f>C7+C10+C11</f>
        <v>314</v>
      </c>
      <c r="D12" s="178">
        <f>D7+D10+D11</f>
        <v>240.19999999999709</v>
      </c>
      <c r="E12" s="178">
        <f t="shared" ref="E12:O12" si="1">E7+E10+E11</f>
        <v>12.300000000001091</v>
      </c>
      <c r="F12" s="178">
        <f>F7+F10+F11</f>
        <v>144.5</v>
      </c>
      <c r="G12" s="178">
        <f t="shared" si="1"/>
        <v>-77.199999999999818</v>
      </c>
      <c r="H12" s="178">
        <f>H7+H10+H11</f>
        <v>-14.400000000000091</v>
      </c>
      <c r="I12" s="178">
        <f>I7+I10+I11</f>
        <v>14.099999999999454</v>
      </c>
      <c r="J12" s="178">
        <f t="shared" si="1"/>
        <v>423</v>
      </c>
      <c r="K12" s="178">
        <f t="shared" si="1"/>
        <v>122.10000000000036</v>
      </c>
      <c r="L12" s="178">
        <f>L7+L10+L11</f>
        <v>-183</v>
      </c>
      <c r="M12" s="178">
        <f t="shared" si="1"/>
        <v>109</v>
      </c>
      <c r="N12" s="178">
        <f t="shared" si="1"/>
        <v>281.89999999999964</v>
      </c>
      <c r="O12" s="178">
        <f t="shared" si="1"/>
        <v>-22.900000000000091</v>
      </c>
      <c r="P12" s="178">
        <f>P7+P10+P11</f>
        <v>34.600000000000364</v>
      </c>
      <c r="Q12" s="178">
        <f>Q7+Q10+Q11</f>
        <v>-559.60000000000218</v>
      </c>
    </row>
    <row r="13" spans="1:17" ht="20.100000000000001" customHeight="1" x14ac:dyDescent="0.2">
      <c r="A13" s="183" t="s">
        <v>93</v>
      </c>
      <c r="B13" s="180">
        <f>B12-C12-J12-L12-O12-P12-Q12</f>
        <v>389.59999999998445</v>
      </c>
      <c r="C13" s="180">
        <f>C12-D12-E12-N12</f>
        <v>-220.39999999999782</v>
      </c>
      <c r="D13" s="180">
        <f>D12-F12-H12</f>
        <v>110.09999999999718</v>
      </c>
      <c r="E13" s="180">
        <f>E12-I12-M12</f>
        <v>-110.79999999999836</v>
      </c>
      <c r="F13" s="180">
        <f>F12-G12</f>
        <v>221.69999999999982</v>
      </c>
      <c r="G13" s="180">
        <f t="shared" ref="G13:N13" si="2">G12</f>
        <v>-77.199999999999818</v>
      </c>
      <c r="H13" s="180">
        <f t="shared" si="2"/>
        <v>-14.400000000000091</v>
      </c>
      <c r="I13" s="180">
        <f>I12</f>
        <v>14.099999999999454</v>
      </c>
      <c r="J13" s="180">
        <f>J12-K12</f>
        <v>300.89999999999964</v>
      </c>
      <c r="K13" s="180">
        <f t="shared" si="2"/>
        <v>122.10000000000036</v>
      </c>
      <c r="L13" s="180">
        <f t="shared" si="2"/>
        <v>-183</v>
      </c>
      <c r="M13" s="180">
        <f t="shared" si="2"/>
        <v>109</v>
      </c>
      <c r="N13" s="180">
        <f t="shared" si="2"/>
        <v>281.89999999999964</v>
      </c>
      <c r="O13" s="180">
        <f>O12</f>
        <v>-22.900000000000091</v>
      </c>
      <c r="P13" s="180">
        <f>P12</f>
        <v>34.600000000000364</v>
      </c>
      <c r="Q13" s="180">
        <f>Q12</f>
        <v>-559.60000000000218</v>
      </c>
    </row>
    <row r="14" spans="1:17" ht="20.100000000000001" customHeight="1" x14ac:dyDescent="0.2">
      <c r="A14" s="183" t="s">
        <v>94</v>
      </c>
      <c r="B14" s="181">
        <v>37.6</v>
      </c>
      <c r="C14" s="181">
        <v>0</v>
      </c>
      <c r="D14" s="181">
        <v>15.3</v>
      </c>
      <c r="E14" s="181">
        <v>0</v>
      </c>
      <c r="F14" s="181">
        <v>144.5</v>
      </c>
      <c r="G14" s="181">
        <v>0</v>
      </c>
      <c r="H14" s="181">
        <v>0</v>
      </c>
      <c r="I14" s="181">
        <v>0</v>
      </c>
      <c r="J14" s="181">
        <v>29</v>
      </c>
      <c r="K14" s="181">
        <v>11.8</v>
      </c>
      <c r="L14" s="181">
        <v>0</v>
      </c>
      <c r="M14" s="181">
        <v>109</v>
      </c>
      <c r="N14" s="181">
        <v>45.2</v>
      </c>
      <c r="O14" s="181">
        <v>0</v>
      </c>
      <c r="P14" s="181">
        <v>3.3</v>
      </c>
      <c r="Q14" s="181">
        <v>0</v>
      </c>
    </row>
    <row r="15" spans="1:17" ht="20.100000000000001" customHeight="1" x14ac:dyDescent="0.2">
      <c r="A15" s="184" t="s">
        <v>95</v>
      </c>
      <c r="B15" s="182" t="s">
        <v>32</v>
      </c>
      <c r="C15" s="182">
        <f>C9+(C14+D14+E14+N14+F14+G14+H14+I14+M14-C12)</f>
        <v>304.60000000000002</v>
      </c>
      <c r="D15" s="182">
        <f>D9+(D14+F14+G14+H14-D12)</f>
        <v>1296.000000000003</v>
      </c>
      <c r="E15" s="182">
        <f>E9+(E14+I14+M14-E12)</f>
        <v>113.59999999999891</v>
      </c>
      <c r="F15" s="182">
        <f>F9+(F14+G14-F12)</f>
        <v>1914.7</v>
      </c>
      <c r="G15" s="182">
        <f>G9+(G14-G13)</f>
        <v>1288.4999999999998</v>
      </c>
      <c r="H15" s="182">
        <f>H9+(H14-H13)</f>
        <v>205.8000000000001</v>
      </c>
      <c r="I15" s="182">
        <f>I9+(I14-I13)</f>
        <v>2209.8000000000006</v>
      </c>
      <c r="J15" s="182">
        <f>J9+(J14+K14-J12)</f>
        <v>5893.1</v>
      </c>
      <c r="K15" s="182">
        <f t="shared" ref="K15:Q15" si="3">K9+(K14-K13)</f>
        <v>1112.3999999999996</v>
      </c>
      <c r="L15" s="182">
        <f t="shared" si="3"/>
        <v>5872.1</v>
      </c>
      <c r="M15" s="182">
        <f t="shared" si="3"/>
        <v>0</v>
      </c>
      <c r="N15" s="182">
        <f t="shared" si="3"/>
        <v>4323.3</v>
      </c>
      <c r="O15" s="182">
        <f t="shared" si="3"/>
        <v>885.80000000000007</v>
      </c>
      <c r="P15" s="182">
        <f t="shared" si="3"/>
        <v>1373.8999999999996</v>
      </c>
      <c r="Q15" s="182">
        <f t="shared" si="3"/>
        <v>559.60000000000218</v>
      </c>
    </row>
    <row r="16" spans="1:17" ht="15.75" x14ac:dyDescent="0.25">
      <c r="A16" s="87"/>
      <c r="B16" s="88"/>
      <c r="C16" s="89"/>
      <c r="D16" s="89"/>
      <c r="E16" s="89"/>
      <c r="F16" s="89"/>
      <c r="G16" s="89"/>
      <c r="H16" s="89"/>
      <c r="I16" s="89"/>
      <c r="J16" s="89"/>
      <c r="K16" s="89"/>
      <c r="L16" s="89"/>
      <c r="M16" s="89"/>
      <c r="N16" s="89"/>
    </row>
    <row r="17" spans="1:16" ht="20.100000000000001" customHeight="1" x14ac:dyDescent="0.2">
      <c r="A17" s="221" t="s">
        <v>96</v>
      </c>
      <c r="B17" s="221"/>
      <c r="C17" s="221"/>
      <c r="D17" s="221"/>
      <c r="E17" s="221"/>
      <c r="F17" s="221"/>
      <c r="G17" s="221"/>
      <c r="H17" s="221"/>
      <c r="I17" s="221"/>
      <c r="J17" s="221"/>
      <c r="K17" s="221"/>
      <c r="L17" s="221"/>
      <c r="M17" s="221"/>
      <c r="N17" s="221"/>
      <c r="O17" s="221"/>
      <c r="P17" s="221"/>
    </row>
    <row r="18" spans="1:16" ht="20.100000000000001" customHeight="1" x14ac:dyDescent="0.2">
      <c r="A18" s="221" t="s">
        <v>97</v>
      </c>
      <c r="B18" s="221"/>
      <c r="C18" s="221"/>
      <c r="D18" s="221"/>
      <c r="E18" s="221"/>
      <c r="F18" s="221"/>
      <c r="G18" s="221"/>
      <c r="H18" s="221"/>
      <c r="I18" s="221"/>
      <c r="J18" s="221"/>
      <c r="K18" s="221"/>
      <c r="L18" s="221"/>
      <c r="M18" s="221"/>
      <c r="N18" s="221"/>
      <c r="O18" s="221"/>
      <c r="P18" s="221"/>
    </row>
    <row r="19" spans="1:16" ht="20.100000000000001" customHeight="1" x14ac:dyDescent="0.2">
      <c r="A19" s="222" t="s">
        <v>98</v>
      </c>
      <c r="B19" s="222"/>
      <c r="C19" s="222"/>
      <c r="D19" s="222"/>
      <c r="E19" s="222"/>
      <c r="F19" s="222"/>
      <c r="G19" s="222"/>
      <c r="H19" s="222"/>
      <c r="I19" s="222"/>
      <c r="J19" s="222"/>
      <c r="K19" s="222"/>
      <c r="L19" s="222"/>
      <c r="M19" s="222"/>
      <c r="N19" s="222"/>
      <c r="O19" s="222"/>
      <c r="P19" s="222"/>
    </row>
    <row r="20" spans="1:16" ht="20.100000000000001" customHeight="1" x14ac:dyDescent="0.2">
      <c r="A20" s="223" t="s">
        <v>99</v>
      </c>
      <c r="B20" s="223"/>
      <c r="C20" s="223"/>
      <c r="D20" s="223"/>
      <c r="E20" s="223"/>
      <c r="F20" s="223"/>
      <c r="G20" s="223"/>
      <c r="H20" s="223"/>
      <c r="I20" s="223"/>
      <c r="J20" s="223"/>
      <c r="K20" s="223"/>
      <c r="L20" s="223"/>
      <c r="M20" s="223"/>
      <c r="N20" s="223"/>
      <c r="O20" s="223"/>
      <c r="P20" s="223"/>
    </row>
    <row r="21" spans="1:16" x14ac:dyDescent="0.2">
      <c r="A21" t="s">
        <v>7</v>
      </c>
      <c r="B21" t="s">
        <v>7</v>
      </c>
      <c r="C21" t="s">
        <v>7</v>
      </c>
      <c r="D21" t="s">
        <v>7</v>
      </c>
      <c r="E21" t="s">
        <v>7</v>
      </c>
      <c r="F21" t="s">
        <v>7</v>
      </c>
      <c r="G21" t="s">
        <v>7</v>
      </c>
      <c r="H21" t="s">
        <v>7</v>
      </c>
      <c r="I21" t="s">
        <v>7</v>
      </c>
      <c r="J21" t="s">
        <v>7</v>
      </c>
      <c r="K21" t="s">
        <v>7</v>
      </c>
      <c r="L21" t="s">
        <v>7</v>
      </c>
      <c r="M21" t="s">
        <v>7</v>
      </c>
      <c r="N21" t="s">
        <v>7</v>
      </c>
      <c r="O21" t="s">
        <v>7</v>
      </c>
      <c r="P21" t="s">
        <v>7</v>
      </c>
    </row>
    <row r="22" spans="1:16" x14ac:dyDescent="0.2">
      <c r="A22" t="s">
        <v>7</v>
      </c>
      <c r="B22" t="s">
        <v>7</v>
      </c>
      <c r="C22" t="s">
        <v>7</v>
      </c>
      <c r="D22" t="s">
        <v>7</v>
      </c>
      <c r="E22" t="s">
        <v>7</v>
      </c>
      <c r="F22" t="s">
        <v>7</v>
      </c>
      <c r="G22" t="s">
        <v>7</v>
      </c>
      <c r="H22" t="s">
        <v>7</v>
      </c>
      <c r="I22" t="s">
        <v>7</v>
      </c>
      <c r="J22" t="s">
        <v>7</v>
      </c>
      <c r="K22" t="s">
        <v>7</v>
      </c>
      <c r="L22" t="s">
        <v>7</v>
      </c>
      <c r="M22" t="s">
        <v>7</v>
      </c>
      <c r="N22" t="s">
        <v>7</v>
      </c>
      <c r="O22" t="s">
        <v>7</v>
      </c>
      <c r="P22" t="s">
        <v>7</v>
      </c>
    </row>
    <row r="23" spans="1:16" ht="15.75" x14ac:dyDescent="0.2">
      <c r="A23" t="s">
        <v>7</v>
      </c>
      <c r="B23" t="s">
        <v>7</v>
      </c>
      <c r="C23" t="s">
        <v>7</v>
      </c>
      <c r="D23" t="s">
        <v>7</v>
      </c>
      <c r="E23" t="s">
        <v>7</v>
      </c>
      <c r="F23" t="s">
        <v>7</v>
      </c>
      <c r="G23" t="s">
        <v>7</v>
      </c>
      <c r="H23" t="s">
        <v>7</v>
      </c>
      <c r="I23" t="s">
        <v>7</v>
      </c>
      <c r="J23" t="s">
        <v>7</v>
      </c>
      <c r="K23" t="s">
        <v>7</v>
      </c>
      <c r="L23" t="s">
        <v>7</v>
      </c>
      <c r="M23" t="s">
        <v>7</v>
      </c>
      <c r="N23" t="s">
        <v>7</v>
      </c>
      <c r="O23" s="161"/>
      <c r="P23" t="s">
        <v>7</v>
      </c>
    </row>
    <row r="24" spans="1:16" ht="15.75" x14ac:dyDescent="0.2">
      <c r="A24" t="s">
        <v>7</v>
      </c>
      <c r="B24" t="s">
        <v>7</v>
      </c>
      <c r="C24" t="s">
        <v>7</v>
      </c>
      <c r="D24" t="s">
        <v>7</v>
      </c>
      <c r="E24" t="s">
        <v>7</v>
      </c>
      <c r="F24" t="s">
        <v>7</v>
      </c>
      <c r="G24" t="s">
        <v>7</v>
      </c>
      <c r="H24" t="s">
        <v>7</v>
      </c>
      <c r="I24" t="s">
        <v>7</v>
      </c>
      <c r="J24" t="s">
        <v>7</v>
      </c>
      <c r="K24" t="s">
        <v>7</v>
      </c>
      <c r="L24" t="s">
        <v>7</v>
      </c>
      <c r="M24" t="s">
        <v>7</v>
      </c>
      <c r="N24" t="s">
        <v>7</v>
      </c>
      <c r="O24" s="161"/>
      <c r="P24" t="s">
        <v>7</v>
      </c>
    </row>
    <row r="25" spans="1:16" ht="15.75" x14ac:dyDescent="0.2">
      <c r="A25" t="s">
        <v>7</v>
      </c>
      <c r="B25" t="s">
        <v>7</v>
      </c>
      <c r="C25" t="s">
        <v>7</v>
      </c>
      <c r="D25" t="s">
        <v>7</v>
      </c>
      <c r="E25" t="s">
        <v>7</v>
      </c>
      <c r="F25" t="s">
        <v>7</v>
      </c>
      <c r="G25" t="s">
        <v>7</v>
      </c>
      <c r="H25" t="s">
        <v>7</v>
      </c>
      <c r="I25" t="s">
        <v>7</v>
      </c>
      <c r="J25" t="s">
        <v>7</v>
      </c>
      <c r="K25" t="s">
        <v>7</v>
      </c>
      <c r="L25" t="s">
        <v>7</v>
      </c>
      <c r="M25" t="s">
        <v>7</v>
      </c>
      <c r="N25" t="s">
        <v>7</v>
      </c>
      <c r="O25" s="161"/>
      <c r="P25" t="s">
        <v>7</v>
      </c>
    </row>
    <row r="26" spans="1:16" ht="15.75" x14ac:dyDescent="0.2">
      <c r="A26" t="s">
        <v>7</v>
      </c>
      <c r="B26" t="s">
        <v>7</v>
      </c>
      <c r="C26" t="s">
        <v>7</v>
      </c>
      <c r="D26" t="s">
        <v>7</v>
      </c>
      <c r="E26" t="s">
        <v>7</v>
      </c>
      <c r="F26" t="s">
        <v>7</v>
      </c>
      <c r="G26" t="s">
        <v>7</v>
      </c>
      <c r="H26" t="s">
        <v>7</v>
      </c>
      <c r="I26" t="s">
        <v>7</v>
      </c>
      <c r="J26" t="s">
        <v>7</v>
      </c>
      <c r="K26" t="s">
        <v>7</v>
      </c>
      <c r="L26" t="s">
        <v>7</v>
      </c>
      <c r="M26" t="s">
        <v>7</v>
      </c>
      <c r="N26" t="s">
        <v>7</v>
      </c>
      <c r="O26" s="161"/>
      <c r="P26" t="s">
        <v>7</v>
      </c>
    </row>
    <row r="27" spans="1:16" ht="15.75" x14ac:dyDescent="0.2">
      <c r="A27" t="s">
        <v>7</v>
      </c>
      <c r="B27" t="s">
        <v>7</v>
      </c>
      <c r="C27" t="s">
        <v>7</v>
      </c>
      <c r="D27" t="s">
        <v>7</v>
      </c>
      <c r="E27" t="s">
        <v>7</v>
      </c>
      <c r="F27" t="s">
        <v>7</v>
      </c>
      <c r="G27" t="s">
        <v>7</v>
      </c>
      <c r="H27" t="s">
        <v>7</v>
      </c>
      <c r="I27" t="s">
        <v>7</v>
      </c>
      <c r="J27" t="s">
        <v>7</v>
      </c>
      <c r="K27" t="s">
        <v>7</v>
      </c>
      <c r="L27" t="s">
        <v>7</v>
      </c>
      <c r="M27" t="s">
        <v>7</v>
      </c>
      <c r="N27" t="s">
        <v>7</v>
      </c>
      <c r="O27" s="161"/>
      <c r="P27" t="s">
        <v>7</v>
      </c>
    </row>
    <row r="28" spans="1:16" ht="15.75" x14ac:dyDescent="0.2">
      <c r="A28" t="s">
        <v>7</v>
      </c>
      <c r="B28" t="s">
        <v>7</v>
      </c>
      <c r="C28" t="s">
        <v>7</v>
      </c>
      <c r="D28" t="s">
        <v>7</v>
      </c>
      <c r="E28" t="s">
        <v>7</v>
      </c>
      <c r="F28" t="s">
        <v>7</v>
      </c>
      <c r="G28" t="s">
        <v>7</v>
      </c>
      <c r="H28" t="s">
        <v>7</v>
      </c>
      <c r="I28" t="s">
        <v>7</v>
      </c>
      <c r="J28" t="s">
        <v>7</v>
      </c>
      <c r="K28" t="s">
        <v>7</v>
      </c>
      <c r="L28" t="s">
        <v>7</v>
      </c>
      <c r="M28" t="s">
        <v>7</v>
      </c>
      <c r="N28" t="s">
        <v>7</v>
      </c>
      <c r="O28" s="161"/>
      <c r="P28" t="s">
        <v>7</v>
      </c>
    </row>
    <row r="29" spans="1:16" ht="15.75" x14ac:dyDescent="0.2">
      <c r="A29" t="s">
        <v>7</v>
      </c>
      <c r="B29" t="s">
        <v>7</v>
      </c>
      <c r="C29" t="s">
        <v>7</v>
      </c>
      <c r="D29" t="s">
        <v>7</v>
      </c>
      <c r="E29" t="s">
        <v>7</v>
      </c>
      <c r="F29" t="s">
        <v>7</v>
      </c>
      <c r="G29" t="s">
        <v>7</v>
      </c>
      <c r="H29" t="s">
        <v>7</v>
      </c>
      <c r="I29" t="s">
        <v>7</v>
      </c>
      <c r="J29" t="s">
        <v>7</v>
      </c>
      <c r="K29" t="s">
        <v>7</v>
      </c>
      <c r="L29" t="s">
        <v>7</v>
      </c>
      <c r="M29" t="s">
        <v>7</v>
      </c>
      <c r="N29" t="s">
        <v>7</v>
      </c>
      <c r="O29" s="161"/>
      <c r="P29" t="s">
        <v>7</v>
      </c>
    </row>
    <row r="30" spans="1:16" ht="15.75" x14ac:dyDescent="0.2">
      <c r="A30" t="s">
        <v>7</v>
      </c>
      <c r="B30" t="s">
        <v>7</v>
      </c>
      <c r="C30" t="s">
        <v>7</v>
      </c>
      <c r="D30" t="s">
        <v>7</v>
      </c>
      <c r="E30" t="s">
        <v>7</v>
      </c>
      <c r="F30" t="s">
        <v>7</v>
      </c>
      <c r="G30" t="s">
        <v>7</v>
      </c>
      <c r="H30" t="s">
        <v>7</v>
      </c>
      <c r="I30" t="s">
        <v>7</v>
      </c>
      <c r="J30" t="s">
        <v>7</v>
      </c>
      <c r="K30" t="s">
        <v>7</v>
      </c>
      <c r="L30" t="s">
        <v>7</v>
      </c>
      <c r="M30" t="s">
        <v>7</v>
      </c>
      <c r="N30" t="s">
        <v>7</v>
      </c>
      <c r="O30" s="161"/>
      <c r="P30" t="s">
        <v>7</v>
      </c>
    </row>
    <row r="31" spans="1:16" ht="15.75" x14ac:dyDescent="0.2">
      <c r="A31" t="s">
        <v>7</v>
      </c>
      <c r="B31" t="s">
        <v>7</v>
      </c>
      <c r="C31" t="s">
        <v>7</v>
      </c>
      <c r="D31" t="s">
        <v>7</v>
      </c>
      <c r="E31" t="s">
        <v>7</v>
      </c>
      <c r="F31" t="s">
        <v>7</v>
      </c>
      <c r="G31" t="s">
        <v>7</v>
      </c>
      <c r="H31" t="s">
        <v>7</v>
      </c>
      <c r="I31" t="s">
        <v>7</v>
      </c>
      <c r="J31" t="s">
        <v>7</v>
      </c>
      <c r="K31" t="s">
        <v>7</v>
      </c>
      <c r="L31" t="s">
        <v>7</v>
      </c>
      <c r="M31" t="s">
        <v>7</v>
      </c>
      <c r="N31" t="s">
        <v>7</v>
      </c>
      <c r="O31" s="161"/>
      <c r="P31" t="s">
        <v>7</v>
      </c>
    </row>
    <row r="32" spans="1:16" ht="15.75" x14ac:dyDescent="0.2">
      <c r="A32" t="s">
        <v>7</v>
      </c>
      <c r="B32" t="s">
        <v>7</v>
      </c>
      <c r="C32" t="s">
        <v>7</v>
      </c>
      <c r="D32" t="s">
        <v>7</v>
      </c>
      <c r="E32" t="s">
        <v>7</v>
      </c>
      <c r="F32" t="s">
        <v>7</v>
      </c>
      <c r="G32" t="s">
        <v>7</v>
      </c>
      <c r="H32" t="s">
        <v>7</v>
      </c>
      <c r="I32" t="s">
        <v>7</v>
      </c>
      <c r="J32" t="s">
        <v>7</v>
      </c>
      <c r="K32" t="s">
        <v>7</v>
      </c>
      <c r="L32" t="s">
        <v>7</v>
      </c>
      <c r="M32" t="s">
        <v>7</v>
      </c>
      <c r="N32" t="s">
        <v>7</v>
      </c>
      <c r="O32" s="161"/>
      <c r="P32" t="s">
        <v>7</v>
      </c>
    </row>
    <row r="33" spans="1:16" ht="15.75" x14ac:dyDescent="0.2">
      <c r="A33" t="s">
        <v>7</v>
      </c>
      <c r="B33" t="s">
        <v>7</v>
      </c>
      <c r="C33" t="s">
        <v>7</v>
      </c>
      <c r="D33" t="s">
        <v>7</v>
      </c>
      <c r="E33" t="s">
        <v>7</v>
      </c>
      <c r="F33" t="s">
        <v>7</v>
      </c>
      <c r="G33" t="s">
        <v>7</v>
      </c>
      <c r="H33" t="s">
        <v>7</v>
      </c>
      <c r="I33" t="s">
        <v>7</v>
      </c>
      <c r="J33" t="s">
        <v>7</v>
      </c>
      <c r="K33" t="s">
        <v>7</v>
      </c>
      <c r="L33" t="s">
        <v>7</v>
      </c>
      <c r="M33" t="s">
        <v>7</v>
      </c>
      <c r="N33" t="s">
        <v>7</v>
      </c>
      <c r="O33" s="161"/>
      <c r="P33" t="s">
        <v>7</v>
      </c>
    </row>
    <row r="34" spans="1:16" ht="15.75" x14ac:dyDescent="0.2">
      <c r="A34" t="s">
        <v>7</v>
      </c>
      <c r="B34" t="s">
        <v>7</v>
      </c>
      <c r="C34" t="s">
        <v>7</v>
      </c>
      <c r="D34" t="s">
        <v>7</v>
      </c>
      <c r="E34" t="s">
        <v>7</v>
      </c>
      <c r="F34" t="s">
        <v>7</v>
      </c>
      <c r="G34" t="s">
        <v>7</v>
      </c>
      <c r="H34" t="s">
        <v>7</v>
      </c>
      <c r="I34" t="s">
        <v>7</v>
      </c>
      <c r="J34" t="s">
        <v>7</v>
      </c>
      <c r="K34" t="s">
        <v>7</v>
      </c>
      <c r="L34" t="s">
        <v>7</v>
      </c>
      <c r="M34" t="s">
        <v>7</v>
      </c>
      <c r="N34" t="s">
        <v>7</v>
      </c>
      <c r="O34" s="161"/>
      <c r="P34" t="s">
        <v>7</v>
      </c>
    </row>
    <row r="35" spans="1:16" ht="15.75" x14ac:dyDescent="0.2">
      <c r="B35" t="s">
        <v>7</v>
      </c>
      <c r="O35" s="161"/>
    </row>
    <row r="36" spans="1:16" ht="15.75" x14ac:dyDescent="0.2">
      <c r="B36" t="s">
        <v>7</v>
      </c>
      <c r="O36" s="161"/>
    </row>
    <row r="37" spans="1:16" x14ac:dyDescent="0.2">
      <c r="B37" t="s">
        <v>7</v>
      </c>
    </row>
    <row r="38" spans="1:16" x14ac:dyDescent="0.2">
      <c r="B38" t="s">
        <v>7</v>
      </c>
    </row>
  </sheetData>
  <mergeCells count="5">
    <mergeCell ref="C3:Q3"/>
    <mergeCell ref="A17:P17"/>
    <mergeCell ref="A18:P18"/>
    <mergeCell ref="A19:P19"/>
    <mergeCell ref="A20:P20"/>
  </mergeCells>
  <pageMargins left="0.45" right="0.45" top="0.5" bottom="0.5" header="0.3" footer="0.3"/>
  <pageSetup scale="4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7"/>
  <sheetViews>
    <sheetView zoomScale="80" zoomScaleNormal="80" workbookViewId="0"/>
  </sheetViews>
  <sheetFormatPr defaultRowHeight="12.75" x14ac:dyDescent="0.2"/>
  <cols>
    <col min="1" max="1" width="60.5703125" customWidth="1"/>
    <col min="2" max="9" width="16.5703125" customWidth="1"/>
    <col min="10" max="10" width="22.5703125" customWidth="1"/>
    <col min="11" max="11" width="18.42578125" customWidth="1"/>
    <col min="12" max="16" width="16.5703125" customWidth="1"/>
    <col min="17" max="17" width="14.140625" customWidth="1"/>
  </cols>
  <sheetData>
    <row r="1" spans="1:17" ht="20.100000000000001" customHeight="1" x14ac:dyDescent="0.25">
      <c r="A1" s="102" t="s">
        <v>126</v>
      </c>
      <c r="B1" s="102"/>
      <c r="C1" s="2"/>
      <c r="D1" s="165">
        <v>45733</v>
      </c>
      <c r="E1" s="2"/>
      <c r="F1" s="3" t="s">
        <v>7</v>
      </c>
      <c r="G1" s="4"/>
      <c r="H1" s="5"/>
      <c r="I1" s="6" t="s">
        <v>7</v>
      </c>
      <c r="J1" s="7" t="s">
        <v>7</v>
      </c>
    </row>
    <row r="2" spans="1:17" ht="20.100000000000001" customHeight="1" x14ac:dyDescent="0.2">
      <c r="A2" s="8" t="s">
        <v>7</v>
      </c>
      <c r="B2" s="175"/>
      <c r="C2" s="9"/>
      <c r="D2" s="9"/>
      <c r="E2" s="9"/>
      <c r="F2" s="9"/>
      <c r="G2" s="9"/>
      <c r="H2" s="9"/>
      <c r="I2" s="7" t="s">
        <v>7</v>
      </c>
      <c r="J2" s="10" t="s">
        <v>7</v>
      </c>
      <c r="K2" s="9" t="s">
        <v>7</v>
      </c>
      <c r="L2" s="9"/>
      <c r="M2" s="67" t="s">
        <v>7</v>
      </c>
      <c r="N2" s="9"/>
    </row>
    <row r="3" spans="1:17" ht="20.100000000000001" customHeight="1" x14ac:dyDescent="0.25">
      <c r="A3" s="164" t="s">
        <v>7</v>
      </c>
      <c r="B3" s="11" t="s">
        <v>8</v>
      </c>
      <c r="C3" s="231" t="s">
        <v>22</v>
      </c>
      <c r="D3" s="231"/>
      <c r="E3" s="231"/>
      <c r="F3" s="231"/>
      <c r="G3" s="231"/>
      <c r="H3" s="231"/>
      <c r="I3" s="231"/>
      <c r="J3" s="231"/>
      <c r="K3" s="231"/>
      <c r="L3" s="231"/>
      <c r="M3" s="231"/>
      <c r="N3" s="231"/>
      <c r="O3" s="231"/>
      <c r="P3" s="231"/>
      <c r="Q3" s="231"/>
    </row>
    <row r="4" spans="1:17" ht="20.100000000000001" customHeight="1" x14ac:dyDescent="0.2">
      <c r="A4" s="164" t="s">
        <v>23</v>
      </c>
      <c r="B4" s="148">
        <v>0.17799999999999999</v>
      </c>
      <c r="C4" s="232" t="s">
        <v>127</v>
      </c>
      <c r="D4" s="232"/>
      <c r="E4" s="232"/>
      <c r="F4" s="232"/>
      <c r="G4" s="232"/>
      <c r="H4" s="232"/>
      <c r="I4" s="232"/>
      <c r="J4" s="232"/>
      <c r="K4" s="232"/>
      <c r="L4" s="232"/>
      <c r="M4" s="232"/>
      <c r="N4" s="232"/>
      <c r="O4" s="232"/>
      <c r="P4" s="232"/>
      <c r="Q4" s="232"/>
    </row>
    <row r="5" spans="1:17" ht="20.100000000000001" customHeight="1" x14ac:dyDescent="0.2">
      <c r="A5" s="176" t="s">
        <v>128</v>
      </c>
      <c r="B5" s="149">
        <v>0.79630000000000001</v>
      </c>
      <c r="C5" s="232" t="s">
        <v>127</v>
      </c>
      <c r="D5" s="232"/>
      <c r="E5" s="232"/>
      <c r="F5" s="232"/>
      <c r="G5" s="232"/>
      <c r="H5" s="232"/>
      <c r="I5" s="232"/>
      <c r="J5" s="232"/>
      <c r="K5" s="232"/>
      <c r="L5" s="232"/>
      <c r="M5" s="232"/>
      <c r="N5" s="232"/>
      <c r="O5" s="232"/>
      <c r="P5" s="232"/>
      <c r="Q5" s="232"/>
    </row>
    <row r="6" spans="1:17" ht="20.100000000000001" customHeight="1" x14ac:dyDescent="0.2">
      <c r="A6" s="164" t="s">
        <v>24</v>
      </c>
      <c r="B6" s="150">
        <v>0.93799999999999994</v>
      </c>
      <c r="C6" s="232" t="s">
        <v>127</v>
      </c>
      <c r="D6" s="232"/>
      <c r="E6" s="232"/>
      <c r="F6" s="232"/>
      <c r="G6" s="232"/>
      <c r="H6" s="232"/>
      <c r="I6" s="232"/>
      <c r="J6" s="232"/>
      <c r="K6" s="232"/>
      <c r="L6" s="232"/>
      <c r="M6" s="232"/>
      <c r="N6" s="232"/>
      <c r="O6" s="232"/>
      <c r="P6" s="232"/>
      <c r="Q6" s="232"/>
    </row>
    <row r="7" spans="1:17" ht="20.100000000000001" customHeight="1" x14ac:dyDescent="0.2">
      <c r="A7" s="164" t="s">
        <v>25</v>
      </c>
      <c r="B7" s="151">
        <v>154534.08059999999</v>
      </c>
      <c r="C7" s="233" t="s">
        <v>149</v>
      </c>
      <c r="D7" s="233"/>
      <c r="E7" s="233"/>
      <c r="F7" s="233"/>
      <c r="G7" s="233"/>
      <c r="H7" s="233"/>
      <c r="I7" s="233"/>
      <c r="J7" s="233"/>
      <c r="K7" s="233"/>
      <c r="L7" s="233"/>
      <c r="M7" s="233"/>
      <c r="N7" s="233"/>
      <c r="O7" s="233"/>
      <c r="P7" s="233"/>
      <c r="Q7" s="233"/>
    </row>
    <row r="8" spans="1:17" ht="20.100000000000001" customHeight="1" x14ac:dyDescent="0.2">
      <c r="A8" s="164" t="s">
        <v>7</v>
      </c>
      <c r="B8" s="12" t="s">
        <v>7</v>
      </c>
      <c r="C8" s="234" t="s">
        <v>26</v>
      </c>
      <c r="D8" s="234"/>
      <c r="E8" s="234"/>
      <c r="F8" s="234"/>
      <c r="G8" s="234"/>
      <c r="H8" s="234"/>
      <c r="I8" s="234"/>
      <c r="J8" s="234"/>
      <c r="K8" s="234"/>
      <c r="L8" s="234"/>
      <c r="M8" s="234"/>
      <c r="N8" s="234"/>
      <c r="O8" s="234"/>
      <c r="P8" s="234"/>
      <c r="Q8" s="166"/>
    </row>
    <row r="9" spans="1:17" ht="20.100000000000001" customHeight="1" x14ac:dyDescent="0.2">
      <c r="A9" s="13" t="s">
        <v>7</v>
      </c>
      <c r="B9" s="14" t="s">
        <v>8</v>
      </c>
      <c r="C9" s="14" t="s">
        <v>11</v>
      </c>
      <c r="D9" s="14" t="s">
        <v>10</v>
      </c>
      <c r="E9" s="14" t="s">
        <v>9</v>
      </c>
      <c r="F9" s="14" t="s">
        <v>27</v>
      </c>
      <c r="G9" s="14" t="s">
        <v>28</v>
      </c>
      <c r="H9" s="14" t="s">
        <v>17</v>
      </c>
      <c r="I9" s="14" t="s">
        <v>6</v>
      </c>
      <c r="J9" s="15" t="s">
        <v>18</v>
      </c>
      <c r="K9" s="15" t="s">
        <v>29</v>
      </c>
      <c r="L9" s="16" t="s">
        <v>12</v>
      </c>
      <c r="M9" s="16" t="s">
        <v>3</v>
      </c>
      <c r="N9" s="16" t="s">
        <v>30</v>
      </c>
      <c r="O9" s="16" t="s">
        <v>13</v>
      </c>
      <c r="P9" s="16" t="s">
        <v>20</v>
      </c>
      <c r="Q9" s="16" t="s">
        <v>14</v>
      </c>
    </row>
    <row r="10" spans="1:17" ht="20.100000000000001" customHeight="1" x14ac:dyDescent="0.2">
      <c r="A10" s="156" t="s">
        <v>31</v>
      </c>
      <c r="B10" s="147" t="s">
        <v>32</v>
      </c>
      <c r="C10" s="146">
        <v>254</v>
      </c>
      <c r="D10" s="146">
        <v>5949</v>
      </c>
      <c r="E10" s="146">
        <v>6736</v>
      </c>
      <c r="F10" s="146">
        <v>6640</v>
      </c>
      <c r="G10" s="146">
        <v>2775</v>
      </c>
      <c r="H10" s="146">
        <v>1456</v>
      </c>
      <c r="I10" s="146">
        <v>4247</v>
      </c>
      <c r="J10" s="146">
        <v>4869</v>
      </c>
      <c r="K10" s="146">
        <v>3560</v>
      </c>
      <c r="L10" s="146">
        <v>-1108</v>
      </c>
      <c r="M10" s="146">
        <v>4751</v>
      </c>
      <c r="N10" s="146">
        <v>563</v>
      </c>
      <c r="O10" s="146">
        <v>2558</v>
      </c>
      <c r="P10" s="146">
        <v>2833</v>
      </c>
      <c r="Q10" s="146">
        <v>5021</v>
      </c>
    </row>
    <row r="11" spans="1:17" ht="20.100000000000001" customHeight="1" x14ac:dyDescent="0.2">
      <c r="A11" s="156" t="s">
        <v>33</v>
      </c>
      <c r="B11" s="147" t="s">
        <v>32</v>
      </c>
      <c r="C11" s="146">
        <v>3222</v>
      </c>
      <c r="D11" s="146">
        <v>8717</v>
      </c>
      <c r="E11" s="146">
        <v>8467</v>
      </c>
      <c r="F11" s="146">
        <v>8501</v>
      </c>
      <c r="G11" s="146">
        <v>4282</v>
      </c>
      <c r="H11" s="146">
        <v>2030</v>
      </c>
      <c r="I11" s="146">
        <v>6572</v>
      </c>
      <c r="J11" s="146">
        <v>10846</v>
      </c>
      <c r="K11" s="146">
        <v>4713</v>
      </c>
      <c r="L11" s="146">
        <v>5254</v>
      </c>
      <c r="M11" s="146">
        <v>6031</v>
      </c>
      <c r="N11" s="146">
        <v>4681</v>
      </c>
      <c r="O11" s="146">
        <v>3931</v>
      </c>
      <c r="P11" s="146">
        <v>5387</v>
      </c>
      <c r="Q11" s="146">
        <v>5164</v>
      </c>
    </row>
    <row r="12" spans="1:17" ht="20.100000000000001" customHeight="1" x14ac:dyDescent="0.2">
      <c r="A12" s="157" t="s">
        <v>34</v>
      </c>
      <c r="B12" s="147">
        <f>ROUND(B7*B6,1)</f>
        <v>144953</v>
      </c>
      <c r="C12" s="146">
        <v>53656.3</v>
      </c>
      <c r="D12" s="146">
        <v>31193.599999999999</v>
      </c>
      <c r="E12" s="146">
        <v>13521.1</v>
      </c>
      <c r="F12" s="146">
        <v>10808.5</v>
      </c>
      <c r="G12" s="146">
        <v>5338.5999999999904</v>
      </c>
      <c r="H12" s="146">
        <v>2736</v>
      </c>
      <c r="I12" s="146">
        <v>6571.4</v>
      </c>
      <c r="J12" s="146">
        <v>12609</v>
      </c>
      <c r="K12" s="146">
        <v>5186.1000000000004</v>
      </c>
      <c r="L12" s="146">
        <v>20636.599999999999</v>
      </c>
      <c r="M12" s="146">
        <v>7049.7</v>
      </c>
      <c r="N12" s="146">
        <v>9047.2999999999993</v>
      </c>
      <c r="O12" s="146">
        <v>3498.9</v>
      </c>
      <c r="P12" s="146">
        <v>5636.4</v>
      </c>
      <c r="Q12" s="146">
        <v>25186.6</v>
      </c>
    </row>
    <row r="13" spans="1:17" ht="20.100000000000001" customHeight="1" x14ac:dyDescent="0.2">
      <c r="A13" s="17" t="s">
        <v>80</v>
      </c>
      <c r="B13" s="155">
        <v>11720.342718779559</v>
      </c>
      <c r="C13" s="20">
        <v>0</v>
      </c>
      <c r="D13" s="20">
        <v>0</v>
      </c>
      <c r="E13" s="20">
        <v>0</v>
      </c>
      <c r="F13" s="20">
        <v>0</v>
      </c>
      <c r="G13" s="20">
        <v>0</v>
      </c>
      <c r="H13" s="20">
        <v>0</v>
      </c>
      <c r="I13" s="20">
        <v>0</v>
      </c>
      <c r="J13" s="20">
        <v>0</v>
      </c>
      <c r="K13" s="20">
        <v>0</v>
      </c>
      <c r="L13" s="18">
        <v>0</v>
      </c>
      <c r="M13" s="20">
        <v>0</v>
      </c>
      <c r="N13" s="20">
        <v>0</v>
      </c>
      <c r="O13" s="20">
        <v>0</v>
      </c>
      <c r="P13" s="19">
        <v>822.02731225296441</v>
      </c>
      <c r="Q13" s="19">
        <v>0</v>
      </c>
    </row>
    <row r="14" spans="1:17" ht="20.100000000000001" customHeight="1" x14ac:dyDescent="0.2">
      <c r="A14" s="17" t="s">
        <v>35</v>
      </c>
      <c r="B14" s="155">
        <f>ROUND(B13*$B$6,1)</f>
        <v>10993.7</v>
      </c>
      <c r="C14" s="20">
        <f>ROUND(C13*$B$6,1)</f>
        <v>0</v>
      </c>
      <c r="D14" s="20">
        <f t="shared" ref="D14:Q14" si="0">ROUND(D13*$B$6,1)</f>
        <v>0</v>
      </c>
      <c r="E14" s="20">
        <f t="shared" si="0"/>
        <v>0</v>
      </c>
      <c r="F14" s="20">
        <f t="shared" si="0"/>
        <v>0</v>
      </c>
      <c r="G14" s="20">
        <f t="shared" si="0"/>
        <v>0</v>
      </c>
      <c r="H14" s="20">
        <f t="shared" si="0"/>
        <v>0</v>
      </c>
      <c r="I14" s="20">
        <f t="shared" si="0"/>
        <v>0</v>
      </c>
      <c r="J14" s="20">
        <f t="shared" si="0"/>
        <v>0</v>
      </c>
      <c r="K14" s="20">
        <f t="shared" si="0"/>
        <v>0</v>
      </c>
      <c r="L14" s="18">
        <f t="shared" si="0"/>
        <v>0</v>
      </c>
      <c r="M14" s="20">
        <f t="shared" si="0"/>
        <v>0</v>
      </c>
      <c r="N14" s="20">
        <f t="shared" si="0"/>
        <v>0</v>
      </c>
      <c r="O14" s="20">
        <f t="shared" si="0"/>
        <v>0</v>
      </c>
      <c r="P14" s="19">
        <f t="shared" si="0"/>
        <v>771.1</v>
      </c>
      <c r="Q14" s="19">
        <f t="shared" si="0"/>
        <v>0</v>
      </c>
    </row>
    <row r="15" spans="1:17" ht="20.100000000000001" customHeight="1" x14ac:dyDescent="0.2">
      <c r="A15" s="21" t="s">
        <v>36</v>
      </c>
      <c r="B15" s="22">
        <f>B12-B14</f>
        <v>133959.29999999999</v>
      </c>
      <c r="C15" s="22">
        <f>C12-C14*C38</f>
        <v>53656.3</v>
      </c>
      <c r="D15" s="22">
        <f>D12-D14*D38</f>
        <v>31193.599999999999</v>
      </c>
      <c r="E15" s="22">
        <f>E12-E14*E38</f>
        <v>13521.1</v>
      </c>
      <c r="F15" s="22">
        <f>F12-F14</f>
        <v>10808.5</v>
      </c>
      <c r="G15" s="22">
        <f>G12-G14</f>
        <v>5338.5999999999904</v>
      </c>
      <c r="H15" s="22">
        <f t="shared" ref="H15:O15" si="1">H12-H14</f>
        <v>2736</v>
      </c>
      <c r="I15" s="22">
        <f>I12-I14</f>
        <v>6571.4</v>
      </c>
      <c r="J15" s="22">
        <f>J12-J14</f>
        <v>12609</v>
      </c>
      <c r="K15" s="22">
        <f>K12-K14</f>
        <v>5186.1000000000004</v>
      </c>
      <c r="L15" s="22">
        <f>L12-L14*L38</f>
        <v>20636.599999999999</v>
      </c>
      <c r="M15" s="22">
        <f>M12-M14*M38</f>
        <v>7049.7</v>
      </c>
      <c r="N15" s="22">
        <f t="shared" si="1"/>
        <v>9047.2999999999993</v>
      </c>
      <c r="O15" s="22">
        <f t="shared" si="1"/>
        <v>3498.9</v>
      </c>
      <c r="P15" s="22">
        <f>P12-P14*P38</f>
        <v>5596.3027999999995</v>
      </c>
      <c r="Q15" s="22">
        <f>Q12-Q14*Q38</f>
        <v>25186.6</v>
      </c>
    </row>
    <row r="16" spans="1:17" ht="20.100000000000001" customHeight="1" x14ac:dyDescent="0.2">
      <c r="A16" s="23" t="s">
        <v>37</v>
      </c>
      <c r="B16" s="24">
        <f>'BRA Parameters'!B16*(79/79)</f>
        <v>451.61</v>
      </c>
      <c r="C16" s="24">
        <f>'BRA Parameters'!C16*(79/79)</f>
        <v>456.19</v>
      </c>
      <c r="D16" s="24">
        <f>'BRA Parameters'!D16*(79/79)</f>
        <v>461.66</v>
      </c>
      <c r="E16" s="24">
        <f>'BRA Parameters'!E16*(79/79)</f>
        <v>466.35</v>
      </c>
      <c r="F16" s="24">
        <f>'BRA Parameters'!F16*(79/79)</f>
        <v>461.66</v>
      </c>
      <c r="G16" s="24">
        <f>'BRA Parameters'!G16*(79/79)</f>
        <v>461.66</v>
      </c>
      <c r="H16" s="24">
        <f>'BRA Parameters'!H16*(79/79)</f>
        <v>461.66</v>
      </c>
      <c r="I16" s="24">
        <f>'BRA Parameters'!I16*(79/79)</f>
        <v>466.35</v>
      </c>
      <c r="J16" s="24">
        <f>'BRA Parameters'!J16*(79/79)</f>
        <v>444.26</v>
      </c>
      <c r="K16" s="24">
        <f>'BRA Parameters'!K16*(79/79)</f>
        <v>444.26</v>
      </c>
      <c r="L16" s="24">
        <f>'BRA Parameters'!L16*(79/79)</f>
        <v>447.33</v>
      </c>
      <c r="M16" s="24">
        <f>'BRA Parameters'!M16*(79/79)</f>
        <v>466.35</v>
      </c>
      <c r="N16" s="24">
        <f>'BRA Parameters'!N16*(79/79)</f>
        <v>438.47</v>
      </c>
      <c r="O16" s="24">
        <f>'BRA Parameters'!O16*(79/79)</f>
        <v>444.26</v>
      </c>
      <c r="P16" s="24">
        <f>'BRA Parameters'!P16*(79/79)</f>
        <v>444.26</v>
      </c>
      <c r="Q16" s="24">
        <f>'BRA Parameters'!Q16*(79/79)</f>
        <v>444.26</v>
      </c>
    </row>
    <row r="17" spans="1:18" ht="20.100000000000001" customHeight="1" x14ac:dyDescent="0.2">
      <c r="A17" s="25" t="s">
        <v>38</v>
      </c>
      <c r="B17" s="26">
        <f>'BRA Parameters'!B17*(79/79)</f>
        <v>228.81</v>
      </c>
      <c r="C17" s="26">
        <f>'BRA Parameters'!C17*(79/79)</f>
        <v>250.98</v>
      </c>
      <c r="D17" s="26">
        <f>'BRA Parameters'!D17*(79/79)</f>
        <v>310.88</v>
      </c>
      <c r="E17" s="26">
        <f>'BRA Parameters'!E17*(79/79)</f>
        <v>134.57</v>
      </c>
      <c r="F17" s="26">
        <f>'BRA Parameters'!F17*(79/79)</f>
        <v>330.97</v>
      </c>
      <c r="G17" s="26">
        <f>'BRA Parameters'!G17*(79/79)</f>
        <v>330.97</v>
      </c>
      <c r="H17" s="26">
        <f>'BRA Parameters'!H17*(79/79)</f>
        <v>245.68</v>
      </c>
      <c r="I17" s="26">
        <f>'BRA Parameters'!I17*(79/79)</f>
        <v>223.8</v>
      </c>
      <c r="J17" s="26">
        <f>'BRA Parameters'!J17*(79/79)</f>
        <v>236.78</v>
      </c>
      <c r="K17" s="26">
        <f>'BRA Parameters'!K17*(79/79)</f>
        <v>236.78</v>
      </c>
      <c r="L17" s="26">
        <f>'BRA Parameters'!L17*(79/79)</f>
        <v>300.32</v>
      </c>
      <c r="M17" s="26">
        <f>'BRA Parameters'!M17*(79/79)</f>
        <v>45.34</v>
      </c>
      <c r="N17" s="26">
        <f>'BRA Parameters'!N17*(79/79)</f>
        <v>260.20999999999998</v>
      </c>
      <c r="O17" s="26">
        <f>'BRA Parameters'!O17*(79/79)</f>
        <v>191.38</v>
      </c>
      <c r="P17" s="26">
        <f>'BRA Parameters'!P17*(79/79)</f>
        <v>205.25</v>
      </c>
      <c r="Q17" s="26">
        <f>'BRA Parameters'!Q17*(79/79)</f>
        <v>152.69</v>
      </c>
    </row>
    <row r="18" spans="1:18" ht="20.100000000000001" customHeight="1" x14ac:dyDescent="0.2">
      <c r="A18" s="27" t="s">
        <v>87</v>
      </c>
      <c r="B18" s="147">
        <f>'BRA Parameters'!B18</f>
        <v>1459.8</v>
      </c>
      <c r="C18" s="147">
        <f>'BRA Parameters'!C18</f>
        <v>674.08046999999988</v>
      </c>
      <c r="D18" s="147">
        <f>'BRA Parameters'!D18</f>
        <v>410.1</v>
      </c>
      <c r="E18" s="147">
        <f>'BRA Parameters'!E18</f>
        <v>151.80000000000001</v>
      </c>
      <c r="F18" s="147">
        <f>'BRA Parameters'!F18</f>
        <v>167.2</v>
      </c>
      <c r="G18" s="147">
        <f>'BRA Parameters'!G18</f>
        <v>88.4</v>
      </c>
      <c r="H18" s="147">
        <f>'BRA Parameters'!H18</f>
        <v>24</v>
      </c>
      <c r="I18" s="147">
        <f>'BRA Parameters'!I18</f>
        <v>80</v>
      </c>
      <c r="J18" s="147">
        <f>'BRA Parameters'!J18</f>
        <v>68.5</v>
      </c>
      <c r="K18" s="147">
        <f>'BRA Parameters'!K18</f>
        <v>6.5709</v>
      </c>
      <c r="L18" s="147">
        <f>'BRA Parameters'!L18</f>
        <v>337.6</v>
      </c>
      <c r="M18" s="147">
        <f>'BRA Parameters'!M18</f>
        <v>71.810549999999992</v>
      </c>
      <c r="N18" s="147">
        <f>'BRA Parameters'!N18</f>
        <v>45.7</v>
      </c>
      <c r="O18" s="147">
        <f>'BRA Parameters'!O18</f>
        <v>18.5</v>
      </c>
      <c r="P18" s="147">
        <f>'BRA Parameters'!P18</f>
        <v>24.9</v>
      </c>
      <c r="Q18" s="147">
        <f>'BRA Parameters'!Q18</f>
        <v>154.22841</v>
      </c>
    </row>
    <row r="19" spans="1:18" ht="20.100000000000001" customHeight="1" thickBot="1" x14ac:dyDescent="0.25">
      <c r="A19" s="224" t="s">
        <v>39</v>
      </c>
      <c r="B19" s="225"/>
      <c r="C19" s="225"/>
      <c r="D19" s="225"/>
      <c r="E19" s="225"/>
      <c r="F19" s="225"/>
      <c r="G19" s="225"/>
      <c r="H19" s="225"/>
      <c r="I19" s="225"/>
      <c r="J19" s="225"/>
      <c r="K19" s="225"/>
      <c r="L19" s="225"/>
      <c r="M19" s="225"/>
      <c r="N19" s="225"/>
      <c r="O19" s="225"/>
      <c r="P19" s="225"/>
      <c r="Q19" s="226"/>
    </row>
    <row r="20" spans="1:18" ht="20.100000000000001" customHeight="1" x14ac:dyDescent="0.2">
      <c r="A20" s="28" t="s">
        <v>40</v>
      </c>
      <c r="B20" s="29">
        <f>ROUND(MAX(B16,1.5*B17),2)</f>
        <v>451.61</v>
      </c>
      <c r="C20" s="29">
        <f t="shared" ref="C20:N20" si="2">ROUND(MAX(C16,1.5*C17),2)</f>
        <v>456.19</v>
      </c>
      <c r="D20" s="29">
        <f t="shared" si="2"/>
        <v>466.32</v>
      </c>
      <c r="E20" s="29">
        <f t="shared" si="2"/>
        <v>466.35</v>
      </c>
      <c r="F20" s="29">
        <f t="shared" si="2"/>
        <v>496.46</v>
      </c>
      <c r="G20" s="29">
        <f t="shared" si="2"/>
        <v>496.46</v>
      </c>
      <c r="H20" s="29">
        <f>ROUND(MAX(H16,1.5*H17),2)</f>
        <v>461.66</v>
      </c>
      <c r="I20" s="29">
        <f t="shared" si="2"/>
        <v>466.35</v>
      </c>
      <c r="J20" s="29">
        <f t="shared" si="2"/>
        <v>444.26</v>
      </c>
      <c r="K20" s="29">
        <f t="shared" si="2"/>
        <v>444.26</v>
      </c>
      <c r="L20" s="29">
        <f t="shared" si="2"/>
        <v>450.48</v>
      </c>
      <c r="M20" s="29">
        <f t="shared" si="2"/>
        <v>466.35</v>
      </c>
      <c r="N20" s="29">
        <f t="shared" si="2"/>
        <v>438.47</v>
      </c>
      <c r="O20" s="29">
        <f>ROUND(MAX(O16,1.5*O17),2)</f>
        <v>444.26</v>
      </c>
      <c r="P20" s="29">
        <f>ROUND(MAX(P16,1.5*P17),2)</f>
        <v>444.26</v>
      </c>
      <c r="Q20" s="167">
        <f>ROUND(MAX(Q16,1.5*Q17),2)</f>
        <v>444.26</v>
      </c>
    </row>
    <row r="21" spans="1:18" ht="20.100000000000001" customHeight="1" x14ac:dyDescent="0.2">
      <c r="A21" s="31" t="s">
        <v>41</v>
      </c>
      <c r="B21" s="32">
        <f>ROUND(B$17*0.75,2)</f>
        <v>171.61</v>
      </c>
      <c r="C21" s="32">
        <f t="shared" ref="C21:M21" si="3">ROUND(C$17*0.75,2)</f>
        <v>188.24</v>
      </c>
      <c r="D21" s="32">
        <f t="shared" si="3"/>
        <v>233.16</v>
      </c>
      <c r="E21" s="32">
        <f t="shared" si="3"/>
        <v>100.93</v>
      </c>
      <c r="F21" s="32">
        <f t="shared" si="3"/>
        <v>248.23</v>
      </c>
      <c r="G21" s="32">
        <f t="shared" si="3"/>
        <v>248.23</v>
      </c>
      <c r="H21" s="32">
        <f t="shared" si="3"/>
        <v>184.26</v>
      </c>
      <c r="I21" s="32">
        <f t="shared" si="3"/>
        <v>167.85</v>
      </c>
      <c r="J21" s="32">
        <f t="shared" si="3"/>
        <v>177.59</v>
      </c>
      <c r="K21" s="32">
        <f t="shared" si="3"/>
        <v>177.59</v>
      </c>
      <c r="L21" s="32">
        <f t="shared" si="3"/>
        <v>225.24</v>
      </c>
      <c r="M21" s="32">
        <f t="shared" si="3"/>
        <v>34.01</v>
      </c>
      <c r="N21" s="32">
        <f>ROUND(N$17*0.75,2)</f>
        <v>195.16</v>
      </c>
      <c r="O21" s="32">
        <f>ROUND(O$17*0.75,2)</f>
        <v>143.54</v>
      </c>
      <c r="P21" s="32">
        <f>ROUND(P$17*0.75,2)</f>
        <v>153.94</v>
      </c>
      <c r="Q21" s="168">
        <f>ROUND(Q$17*0.75,2)</f>
        <v>114.52</v>
      </c>
    </row>
    <row r="22" spans="1:18" ht="20.100000000000001" customHeight="1" x14ac:dyDescent="0.2">
      <c r="A22" s="31" t="s">
        <v>42</v>
      </c>
      <c r="B22" s="32">
        <v>0</v>
      </c>
      <c r="C22" s="32">
        <v>0</v>
      </c>
      <c r="D22" s="32">
        <v>0</v>
      </c>
      <c r="E22" s="32">
        <v>0</v>
      </c>
      <c r="F22" s="32">
        <v>0</v>
      </c>
      <c r="G22" s="32">
        <v>0</v>
      </c>
      <c r="H22" s="32">
        <v>0</v>
      </c>
      <c r="I22" s="32">
        <v>0</v>
      </c>
      <c r="J22" s="32">
        <v>0</v>
      </c>
      <c r="K22" s="32">
        <v>0</v>
      </c>
      <c r="L22" s="32">
        <v>0</v>
      </c>
      <c r="M22" s="32">
        <v>0</v>
      </c>
      <c r="N22" s="32">
        <v>0</v>
      </c>
      <c r="O22" s="32">
        <v>0</v>
      </c>
      <c r="P22" s="32">
        <v>0</v>
      </c>
      <c r="Q22" s="168">
        <v>0</v>
      </c>
    </row>
    <row r="23" spans="1:18" ht="20.100000000000001" customHeight="1" x14ac:dyDescent="0.2">
      <c r="A23" s="31" t="s">
        <v>43</v>
      </c>
      <c r="B23" s="34">
        <f>ROUND(B$15*0.989,1)+B$18</f>
        <v>133945.5</v>
      </c>
      <c r="C23" s="34">
        <f t="shared" ref="C23:N23" si="4">ROUND(C$15*0.989,1)+C$18</f>
        <v>53740.180469999999</v>
      </c>
      <c r="D23" s="34">
        <f t="shared" si="4"/>
        <v>31260.6</v>
      </c>
      <c r="E23" s="34">
        <f t="shared" si="4"/>
        <v>13524.199999999999</v>
      </c>
      <c r="F23" s="34">
        <f t="shared" si="4"/>
        <v>10856.800000000001</v>
      </c>
      <c r="G23" s="34">
        <f t="shared" si="4"/>
        <v>5368.2999999999993</v>
      </c>
      <c r="H23" s="34">
        <f t="shared" si="4"/>
        <v>2729.9</v>
      </c>
      <c r="I23" s="34">
        <f t="shared" si="4"/>
        <v>6579.1</v>
      </c>
      <c r="J23" s="34">
        <f t="shared" si="4"/>
        <v>12538.8</v>
      </c>
      <c r="K23" s="34">
        <f t="shared" si="4"/>
        <v>5135.6709000000001</v>
      </c>
      <c r="L23" s="34">
        <f t="shared" si="4"/>
        <v>20747.199999999997</v>
      </c>
      <c r="M23" s="34">
        <f t="shared" si="4"/>
        <v>7044.01055</v>
      </c>
      <c r="N23" s="34">
        <f t="shared" si="4"/>
        <v>8993.5</v>
      </c>
      <c r="O23" s="34">
        <f>ROUND(O$15*0.989,1)+O$18</f>
        <v>3478.9</v>
      </c>
      <c r="P23" s="34">
        <f>ROUND(P$15*0.989,1)+P$18</f>
        <v>5559.5999999999995</v>
      </c>
      <c r="Q23" s="35">
        <f>ROUND(Q$15*0.989,1)+Q$18</f>
        <v>25063.72841</v>
      </c>
    </row>
    <row r="24" spans="1:18" ht="20.100000000000001" customHeight="1" x14ac:dyDescent="0.2">
      <c r="A24" s="31" t="s">
        <v>44</v>
      </c>
      <c r="B24" s="34">
        <f>ROUND(B$15*1.016,1)+B$18</f>
        <v>137562.4</v>
      </c>
      <c r="C24" s="34">
        <f t="shared" ref="C24:Q24" si="5">ROUND(C$15*1.016,1)+C$18</f>
        <v>55188.880470000004</v>
      </c>
      <c r="D24" s="34">
        <f t="shared" si="5"/>
        <v>32102.799999999999</v>
      </c>
      <c r="E24" s="34">
        <f t="shared" si="5"/>
        <v>13889.199999999999</v>
      </c>
      <c r="F24" s="34">
        <f>ROUND(F$15*1.016,1)+F$18</f>
        <v>11148.6</v>
      </c>
      <c r="G24" s="34">
        <f t="shared" si="5"/>
        <v>5512.4</v>
      </c>
      <c r="H24" s="34">
        <f t="shared" si="5"/>
        <v>2803.8</v>
      </c>
      <c r="I24" s="34">
        <f t="shared" si="5"/>
        <v>6756.5</v>
      </c>
      <c r="J24" s="34">
        <f t="shared" si="5"/>
        <v>12879.2</v>
      </c>
      <c r="K24" s="34">
        <f t="shared" si="5"/>
        <v>5275.6709000000001</v>
      </c>
      <c r="L24" s="34">
        <f t="shared" si="5"/>
        <v>21304.399999999998</v>
      </c>
      <c r="M24" s="34">
        <f t="shared" si="5"/>
        <v>7234.3105500000001</v>
      </c>
      <c r="N24" s="34">
        <f t="shared" si="5"/>
        <v>9237.8000000000011</v>
      </c>
      <c r="O24" s="34">
        <f t="shared" si="5"/>
        <v>3573.4</v>
      </c>
      <c r="P24" s="34">
        <f t="shared" si="5"/>
        <v>5710.7</v>
      </c>
      <c r="Q24" s="35">
        <f t="shared" si="5"/>
        <v>25743.828409999998</v>
      </c>
    </row>
    <row r="25" spans="1:18" ht="20.100000000000001" customHeight="1" thickBot="1" x14ac:dyDescent="0.25">
      <c r="A25" s="36" t="s">
        <v>45</v>
      </c>
      <c r="B25" s="37">
        <f>ROUND(B$15*1.068,1)+B$18</f>
        <v>144528.29999999999</v>
      </c>
      <c r="C25" s="37">
        <f t="shared" ref="C25:Q25" si="6">ROUND(C$15*1.068,1)+C$18</f>
        <v>57978.980470000002</v>
      </c>
      <c r="D25" s="37">
        <f t="shared" si="6"/>
        <v>33724.9</v>
      </c>
      <c r="E25" s="37">
        <f t="shared" si="6"/>
        <v>14592.3</v>
      </c>
      <c r="F25" s="37">
        <f t="shared" si="6"/>
        <v>11710.7</v>
      </c>
      <c r="G25" s="37">
        <f t="shared" si="6"/>
        <v>5790</v>
      </c>
      <c r="H25" s="37">
        <f t="shared" si="6"/>
        <v>2946</v>
      </c>
      <c r="I25" s="37">
        <f t="shared" si="6"/>
        <v>7098.3</v>
      </c>
      <c r="J25" s="37">
        <f t="shared" si="6"/>
        <v>13534.9</v>
      </c>
      <c r="K25" s="37">
        <f t="shared" si="6"/>
        <v>5545.3708999999999</v>
      </c>
      <c r="L25" s="37">
        <f t="shared" si="6"/>
        <v>22377.5</v>
      </c>
      <c r="M25" s="37">
        <f t="shared" si="6"/>
        <v>7600.9105500000005</v>
      </c>
      <c r="N25" s="37">
        <f t="shared" si="6"/>
        <v>9708.2000000000007</v>
      </c>
      <c r="O25" s="37">
        <f t="shared" si="6"/>
        <v>3755.3</v>
      </c>
      <c r="P25" s="37">
        <f t="shared" si="6"/>
        <v>6001.7999999999993</v>
      </c>
      <c r="Q25" s="38">
        <f t="shared" si="6"/>
        <v>27053.528409999999</v>
      </c>
    </row>
    <row r="26" spans="1:18" ht="20.100000000000001" customHeight="1" x14ac:dyDescent="0.2">
      <c r="A26" s="39" t="s">
        <v>79</v>
      </c>
      <c r="B26" s="160">
        <v>224</v>
      </c>
      <c r="C26" s="160">
        <v>224</v>
      </c>
      <c r="D26" s="160">
        <v>14</v>
      </c>
      <c r="E26" s="160">
        <v>210</v>
      </c>
      <c r="F26" s="160">
        <v>0</v>
      </c>
      <c r="G26" s="160">
        <v>0</v>
      </c>
      <c r="H26" s="160">
        <v>0</v>
      </c>
      <c r="I26" s="160">
        <v>75</v>
      </c>
      <c r="J26" s="160">
        <v>0</v>
      </c>
      <c r="K26" s="160">
        <v>0</v>
      </c>
      <c r="L26" s="160">
        <v>0</v>
      </c>
      <c r="M26" s="160">
        <v>135</v>
      </c>
      <c r="N26" s="160">
        <v>0</v>
      </c>
      <c r="O26" s="160">
        <v>0</v>
      </c>
      <c r="P26" s="160">
        <v>0</v>
      </c>
      <c r="Q26" s="160">
        <v>0</v>
      </c>
    </row>
    <row r="27" spans="1:18" ht="20.100000000000001" customHeight="1" thickBot="1" x14ac:dyDescent="0.25">
      <c r="A27" s="227" t="s">
        <v>46</v>
      </c>
      <c r="B27" s="228"/>
      <c r="C27" s="228"/>
      <c r="D27" s="228"/>
      <c r="E27" s="228"/>
      <c r="F27" s="228"/>
      <c r="G27" s="228"/>
      <c r="H27" s="228"/>
      <c r="I27" s="228"/>
      <c r="J27" s="228"/>
      <c r="K27" s="228"/>
      <c r="L27" s="228"/>
      <c r="M27" s="228"/>
      <c r="N27" s="228"/>
      <c r="O27" s="228"/>
      <c r="P27" s="228"/>
      <c r="Q27" s="228"/>
      <c r="R27" s="169"/>
    </row>
    <row r="28" spans="1:18" ht="20.100000000000001" customHeight="1" x14ac:dyDescent="0.2">
      <c r="A28" s="40" t="s">
        <v>47</v>
      </c>
      <c r="B28" s="41">
        <f>B20</f>
        <v>451.61</v>
      </c>
      <c r="C28" s="41">
        <f t="shared" ref="C28:Q30" si="7">C20</f>
        <v>456.19</v>
      </c>
      <c r="D28" s="41">
        <f t="shared" si="7"/>
        <v>466.32</v>
      </c>
      <c r="E28" s="41">
        <f t="shared" si="7"/>
        <v>466.35</v>
      </c>
      <c r="F28" s="41">
        <f t="shared" si="7"/>
        <v>496.46</v>
      </c>
      <c r="G28" s="41">
        <f t="shared" si="7"/>
        <v>496.46</v>
      </c>
      <c r="H28" s="41">
        <f t="shared" si="7"/>
        <v>461.66</v>
      </c>
      <c r="I28" s="41">
        <f t="shared" si="7"/>
        <v>466.35</v>
      </c>
      <c r="J28" s="41">
        <f t="shared" si="7"/>
        <v>444.26</v>
      </c>
      <c r="K28" s="41">
        <f t="shared" si="7"/>
        <v>444.26</v>
      </c>
      <c r="L28" s="41">
        <f t="shared" si="7"/>
        <v>450.48</v>
      </c>
      <c r="M28" s="41">
        <f t="shared" si="7"/>
        <v>466.35</v>
      </c>
      <c r="N28" s="41">
        <f t="shared" si="7"/>
        <v>438.47</v>
      </c>
      <c r="O28" s="41">
        <f t="shared" si="7"/>
        <v>444.26</v>
      </c>
      <c r="P28" s="41">
        <f t="shared" si="7"/>
        <v>444.26</v>
      </c>
      <c r="Q28" s="41">
        <f t="shared" si="7"/>
        <v>444.26</v>
      </c>
    </row>
    <row r="29" spans="1:18" ht="20.100000000000001" customHeight="1" x14ac:dyDescent="0.2">
      <c r="A29" s="42" t="s">
        <v>48</v>
      </c>
      <c r="B29" s="43">
        <f>B21</f>
        <v>171.61</v>
      </c>
      <c r="C29" s="43">
        <f t="shared" si="7"/>
        <v>188.24</v>
      </c>
      <c r="D29" s="43">
        <f t="shared" si="7"/>
        <v>233.16</v>
      </c>
      <c r="E29" s="43">
        <f t="shared" si="7"/>
        <v>100.93</v>
      </c>
      <c r="F29" s="43">
        <f t="shared" si="7"/>
        <v>248.23</v>
      </c>
      <c r="G29" s="43">
        <f t="shared" si="7"/>
        <v>248.23</v>
      </c>
      <c r="H29" s="43">
        <f t="shared" si="7"/>
        <v>184.26</v>
      </c>
      <c r="I29" s="43">
        <f t="shared" si="7"/>
        <v>167.85</v>
      </c>
      <c r="J29" s="43">
        <f t="shared" si="7"/>
        <v>177.59</v>
      </c>
      <c r="K29" s="43">
        <f t="shared" si="7"/>
        <v>177.59</v>
      </c>
      <c r="L29" s="43">
        <f t="shared" si="7"/>
        <v>225.24</v>
      </c>
      <c r="M29" s="43">
        <f t="shared" si="7"/>
        <v>34.01</v>
      </c>
      <c r="N29" s="43">
        <f t="shared" si="7"/>
        <v>195.16</v>
      </c>
      <c r="O29" s="43">
        <f t="shared" si="7"/>
        <v>143.54</v>
      </c>
      <c r="P29" s="43">
        <f t="shared" si="7"/>
        <v>153.94</v>
      </c>
      <c r="Q29" s="43">
        <f t="shared" si="7"/>
        <v>114.52</v>
      </c>
    </row>
    <row r="30" spans="1:18" ht="20.100000000000001" customHeight="1" thickBot="1" x14ac:dyDescent="0.25">
      <c r="A30" s="44" t="s">
        <v>42</v>
      </c>
      <c r="B30" s="45">
        <f>B22</f>
        <v>0</v>
      </c>
      <c r="C30" s="45">
        <f>C22</f>
        <v>0</v>
      </c>
      <c r="D30" s="45">
        <f>D22</f>
        <v>0</v>
      </c>
      <c r="E30" s="45">
        <f>E22</f>
        <v>0</v>
      </c>
      <c r="F30" s="45">
        <f t="shared" si="7"/>
        <v>0</v>
      </c>
      <c r="G30" s="45">
        <f t="shared" si="7"/>
        <v>0</v>
      </c>
      <c r="H30" s="45">
        <f t="shared" si="7"/>
        <v>0</v>
      </c>
      <c r="I30" s="45">
        <f t="shared" si="7"/>
        <v>0</v>
      </c>
      <c r="J30" s="45">
        <f t="shared" si="7"/>
        <v>0</v>
      </c>
      <c r="K30" s="45">
        <f t="shared" si="7"/>
        <v>0</v>
      </c>
      <c r="L30" s="45">
        <f t="shared" si="7"/>
        <v>0</v>
      </c>
      <c r="M30" s="45">
        <f t="shared" si="7"/>
        <v>0</v>
      </c>
      <c r="N30" s="45">
        <f t="shared" si="7"/>
        <v>0</v>
      </c>
      <c r="O30" s="45">
        <f t="shared" si="7"/>
        <v>0</v>
      </c>
      <c r="P30" s="45">
        <f t="shared" si="7"/>
        <v>0</v>
      </c>
      <c r="Q30" s="45">
        <f t="shared" si="7"/>
        <v>0</v>
      </c>
    </row>
    <row r="31" spans="1:18" ht="20.100000000000001" customHeight="1" x14ac:dyDescent="0.2">
      <c r="A31" s="46" t="s">
        <v>51</v>
      </c>
      <c r="B31" s="47">
        <f t="shared" ref="B31:Q33" si="8">ROUND(B23-B$26*$B$6,1)</f>
        <v>133735.4</v>
      </c>
      <c r="C31" s="47">
        <f t="shared" si="8"/>
        <v>53530.1</v>
      </c>
      <c r="D31" s="47">
        <f t="shared" si="8"/>
        <v>31247.5</v>
      </c>
      <c r="E31" s="47">
        <f t="shared" si="8"/>
        <v>13327.2</v>
      </c>
      <c r="F31" s="47">
        <f t="shared" si="8"/>
        <v>10856.8</v>
      </c>
      <c r="G31" s="47">
        <f t="shared" si="8"/>
        <v>5368.3</v>
      </c>
      <c r="H31" s="47">
        <f t="shared" si="8"/>
        <v>2729.9</v>
      </c>
      <c r="I31" s="47">
        <f t="shared" si="8"/>
        <v>6508.8</v>
      </c>
      <c r="J31" s="47">
        <f t="shared" si="8"/>
        <v>12538.8</v>
      </c>
      <c r="K31" s="47">
        <f t="shared" si="8"/>
        <v>5135.7</v>
      </c>
      <c r="L31" s="47">
        <f t="shared" si="8"/>
        <v>20747.2</v>
      </c>
      <c r="M31" s="47">
        <f t="shared" si="8"/>
        <v>6917.4</v>
      </c>
      <c r="N31" s="47">
        <f t="shared" si="8"/>
        <v>8993.5</v>
      </c>
      <c r="O31" s="47">
        <f t="shared" si="8"/>
        <v>3478.9</v>
      </c>
      <c r="P31" s="47">
        <f t="shared" si="8"/>
        <v>5559.6</v>
      </c>
      <c r="Q31" s="47">
        <f t="shared" si="8"/>
        <v>25063.7</v>
      </c>
    </row>
    <row r="32" spans="1:18" ht="20.100000000000001" customHeight="1" x14ac:dyDescent="0.2">
      <c r="A32" s="48" t="s">
        <v>52</v>
      </c>
      <c r="B32" s="49">
        <f>ROUND(B24-B$26*$B$6,1)</f>
        <v>137352.29999999999</v>
      </c>
      <c r="C32" s="49">
        <f t="shared" si="8"/>
        <v>54978.8</v>
      </c>
      <c r="D32" s="49">
        <f t="shared" si="8"/>
        <v>32089.7</v>
      </c>
      <c r="E32" s="49">
        <f t="shared" si="8"/>
        <v>13692.2</v>
      </c>
      <c r="F32" s="49">
        <f>ROUND(F24-F$26*$B$6,1)</f>
        <v>11148.6</v>
      </c>
      <c r="G32" s="49">
        <f t="shared" si="8"/>
        <v>5512.4</v>
      </c>
      <c r="H32" s="49">
        <f t="shared" si="8"/>
        <v>2803.8</v>
      </c>
      <c r="I32" s="49">
        <f t="shared" si="8"/>
        <v>6686.2</v>
      </c>
      <c r="J32" s="49">
        <f t="shared" si="8"/>
        <v>12879.2</v>
      </c>
      <c r="K32" s="49">
        <f t="shared" si="8"/>
        <v>5275.7</v>
      </c>
      <c r="L32" s="49">
        <f t="shared" si="8"/>
        <v>21304.400000000001</v>
      </c>
      <c r="M32" s="49">
        <f t="shared" si="8"/>
        <v>7107.7</v>
      </c>
      <c r="N32" s="49">
        <f t="shared" si="8"/>
        <v>9237.7999999999993</v>
      </c>
      <c r="O32" s="49">
        <f t="shared" si="8"/>
        <v>3573.4</v>
      </c>
      <c r="P32" s="49">
        <f t="shared" si="8"/>
        <v>5710.7</v>
      </c>
      <c r="Q32" s="49">
        <f t="shared" si="8"/>
        <v>25743.8</v>
      </c>
    </row>
    <row r="33" spans="1:18" ht="20.100000000000001" customHeight="1" thickBot="1" x14ac:dyDescent="0.25">
      <c r="A33" s="50" t="s">
        <v>45</v>
      </c>
      <c r="B33" s="51">
        <f>ROUND(B25-B$26*$B$6,1)</f>
        <v>144318.20000000001</v>
      </c>
      <c r="C33" s="51">
        <f t="shared" si="8"/>
        <v>57768.9</v>
      </c>
      <c r="D33" s="51">
        <f t="shared" si="8"/>
        <v>33711.800000000003</v>
      </c>
      <c r="E33" s="51">
        <f t="shared" si="8"/>
        <v>14395.3</v>
      </c>
      <c r="F33" s="51">
        <f t="shared" si="8"/>
        <v>11710.7</v>
      </c>
      <c r="G33" s="51">
        <f t="shared" si="8"/>
        <v>5790</v>
      </c>
      <c r="H33" s="51">
        <f t="shared" si="8"/>
        <v>2946</v>
      </c>
      <c r="I33" s="51">
        <f t="shared" si="8"/>
        <v>7028</v>
      </c>
      <c r="J33" s="51">
        <f t="shared" si="8"/>
        <v>13534.9</v>
      </c>
      <c r="K33" s="51">
        <f t="shared" si="8"/>
        <v>5545.4</v>
      </c>
      <c r="L33" s="51">
        <f t="shared" si="8"/>
        <v>22377.5</v>
      </c>
      <c r="M33" s="51">
        <f t="shared" si="8"/>
        <v>7474.3</v>
      </c>
      <c r="N33" s="51">
        <f t="shared" si="8"/>
        <v>9708.2000000000007</v>
      </c>
      <c r="O33" s="51">
        <f t="shared" si="8"/>
        <v>3755.3</v>
      </c>
      <c r="P33" s="51">
        <f t="shared" si="8"/>
        <v>6001.8</v>
      </c>
      <c r="Q33" s="51">
        <f t="shared" si="8"/>
        <v>27053.5</v>
      </c>
    </row>
    <row r="34" spans="1:18" ht="20.100000000000001" customHeight="1" x14ac:dyDescent="0.2">
      <c r="A34" s="52" t="s">
        <v>55</v>
      </c>
      <c r="B34" s="53">
        <f>ROUND(MAX(B$17*0.5, 20)*365,2)</f>
        <v>41757.83</v>
      </c>
      <c r="C34" s="53">
        <f>ROUND(MAX(C$17*0.5, 20)*365,2)</f>
        <v>45803.85</v>
      </c>
      <c r="D34" s="53">
        <f t="shared" ref="D34:Q34" si="9">ROUND(MAX(D$17*0.5, 20)*365,2)</f>
        <v>56735.6</v>
      </c>
      <c r="E34" s="53">
        <f t="shared" si="9"/>
        <v>24559.03</v>
      </c>
      <c r="F34" s="53">
        <f t="shared" si="9"/>
        <v>60402.03</v>
      </c>
      <c r="G34" s="53">
        <f t="shared" si="9"/>
        <v>60402.03</v>
      </c>
      <c r="H34" s="53">
        <f t="shared" si="9"/>
        <v>44836.6</v>
      </c>
      <c r="I34" s="53">
        <f t="shared" si="9"/>
        <v>40843.5</v>
      </c>
      <c r="J34" s="53">
        <f t="shared" si="9"/>
        <v>43212.35</v>
      </c>
      <c r="K34" s="53">
        <f t="shared" si="9"/>
        <v>43212.35</v>
      </c>
      <c r="L34" s="53">
        <f t="shared" si="9"/>
        <v>54808.4</v>
      </c>
      <c r="M34" s="53">
        <f t="shared" si="9"/>
        <v>8274.5499999999993</v>
      </c>
      <c r="N34" s="53">
        <f t="shared" si="9"/>
        <v>47488.33</v>
      </c>
      <c r="O34" s="53">
        <f t="shared" si="9"/>
        <v>34926.85</v>
      </c>
      <c r="P34" s="53">
        <f t="shared" si="9"/>
        <v>37458.129999999997</v>
      </c>
      <c r="Q34" s="53">
        <f t="shared" si="9"/>
        <v>27865.93</v>
      </c>
    </row>
    <row r="35" spans="1:18" ht="20.100000000000001" customHeight="1" x14ac:dyDescent="0.2">
      <c r="A35" s="52" t="s">
        <v>168</v>
      </c>
      <c r="B35" s="53">
        <v>23644.7</v>
      </c>
      <c r="C35" s="53">
        <v>23644.7</v>
      </c>
      <c r="D35" s="53">
        <v>23644.7</v>
      </c>
      <c r="E35" s="53">
        <v>23644.7</v>
      </c>
      <c r="F35" s="53">
        <v>24929.299250000033</v>
      </c>
      <c r="G35" s="53">
        <v>24929.299250000033</v>
      </c>
      <c r="H35" s="53">
        <v>23644.7</v>
      </c>
      <c r="I35" s="53">
        <v>23644.7</v>
      </c>
      <c r="J35" s="53">
        <v>23644.7</v>
      </c>
      <c r="K35" s="53">
        <v>23644.7</v>
      </c>
      <c r="L35" s="53">
        <v>23644.7</v>
      </c>
      <c r="M35" s="53">
        <v>40853.72</v>
      </c>
      <c r="N35" s="53">
        <v>23644.7</v>
      </c>
      <c r="O35" s="53">
        <v>23644.7</v>
      </c>
      <c r="P35" s="53">
        <v>23644.7</v>
      </c>
      <c r="Q35" s="53">
        <v>23644.7</v>
      </c>
    </row>
    <row r="36" spans="1:18" ht="20.100000000000001" customHeight="1" x14ac:dyDescent="0.2">
      <c r="A36" s="17" t="s">
        <v>56</v>
      </c>
      <c r="B36" s="54" t="s">
        <v>32</v>
      </c>
      <c r="C36" s="55">
        <v>1557</v>
      </c>
      <c r="D36" s="55">
        <v>40</v>
      </c>
      <c r="E36" s="55" t="s">
        <v>32</v>
      </c>
      <c r="F36" s="55">
        <v>1070</v>
      </c>
      <c r="G36" s="55">
        <v>639</v>
      </c>
      <c r="H36" s="55">
        <v>72</v>
      </c>
      <c r="I36" s="55" t="s">
        <v>32</v>
      </c>
      <c r="J36" s="55" t="s">
        <v>32</v>
      </c>
      <c r="K36" s="55" t="s">
        <v>32</v>
      </c>
      <c r="L36" s="68">
        <v>1376</v>
      </c>
      <c r="M36" s="55">
        <v>65.7</v>
      </c>
      <c r="N36" s="55" t="s">
        <v>32</v>
      </c>
      <c r="O36" s="55" t="s">
        <v>32</v>
      </c>
      <c r="P36" s="55">
        <v>155</v>
      </c>
      <c r="Q36" s="55">
        <v>156</v>
      </c>
    </row>
    <row r="37" spans="1:18" ht="20.100000000000001" customHeight="1" x14ac:dyDescent="0.2">
      <c r="A37" s="229" t="s">
        <v>57</v>
      </c>
      <c r="B37" s="230"/>
      <c r="C37" s="230"/>
      <c r="D37" s="230"/>
      <c r="E37" s="230"/>
      <c r="F37" s="230"/>
      <c r="G37" s="230"/>
      <c r="H37" s="230"/>
      <c r="I37" s="230"/>
      <c r="J37" s="230"/>
      <c r="K37" s="230"/>
      <c r="L37" s="230"/>
      <c r="M37" s="230"/>
      <c r="N37" s="230"/>
      <c r="O37" s="230"/>
      <c r="P37" s="230"/>
      <c r="Q37" s="230"/>
      <c r="R37" s="169"/>
    </row>
    <row r="38" spans="1:18" ht="20.100000000000001" customHeight="1" x14ac:dyDescent="0.2">
      <c r="A38" s="17" t="s">
        <v>129</v>
      </c>
      <c r="B38" s="158" t="s">
        <v>32</v>
      </c>
      <c r="C38" s="159">
        <v>0.97</v>
      </c>
      <c r="D38" s="159">
        <v>0.78800000000000003</v>
      </c>
      <c r="E38" s="159">
        <v>0.44400000000000001</v>
      </c>
      <c r="F38" s="159" t="s">
        <v>32</v>
      </c>
      <c r="G38" s="158" t="s">
        <v>32</v>
      </c>
      <c r="H38" s="159">
        <v>0.32600000000000001</v>
      </c>
      <c r="I38" s="158" t="s">
        <v>32</v>
      </c>
      <c r="J38" s="159" t="s">
        <v>32</v>
      </c>
      <c r="K38" s="158" t="s">
        <v>32</v>
      </c>
      <c r="L38" s="159">
        <v>0.85899999999999999</v>
      </c>
      <c r="M38" s="159">
        <v>0.17199999999999999</v>
      </c>
      <c r="N38" s="158" t="s">
        <v>32</v>
      </c>
      <c r="O38" s="158" t="s">
        <v>32</v>
      </c>
      <c r="P38" s="159">
        <v>5.1999999999999998E-2</v>
      </c>
      <c r="Q38" s="159">
        <v>0.94199999999999995</v>
      </c>
    </row>
    <row r="39" spans="1:18" ht="20.100000000000001" customHeight="1" x14ac:dyDescent="0.2">
      <c r="A39" s="57" t="s">
        <v>7</v>
      </c>
      <c r="B39" s="58"/>
      <c r="C39" s="58"/>
      <c r="D39" s="58"/>
      <c r="E39" s="58"/>
      <c r="F39" s="58"/>
      <c r="G39" s="163"/>
      <c r="H39" s="163"/>
      <c r="I39" s="163"/>
      <c r="J39" s="163"/>
      <c r="K39" s="163"/>
      <c r="L39" s="163"/>
      <c r="M39" s="163"/>
      <c r="N39" s="163"/>
    </row>
    <row r="40" spans="1:18" ht="20.100000000000001" customHeight="1" x14ac:dyDescent="0.2">
      <c r="K40" s="1" t="s">
        <v>7</v>
      </c>
      <c r="M40" s="59" t="s">
        <v>7</v>
      </c>
    </row>
    <row r="41" spans="1:18" x14ac:dyDescent="0.2">
      <c r="K41" t="s">
        <v>7</v>
      </c>
      <c r="O41" s="64" t="s">
        <v>7</v>
      </c>
      <c r="P41" s="64" t="s">
        <v>7</v>
      </c>
      <c r="Q41" s="64" t="s">
        <v>7</v>
      </c>
    </row>
    <row r="42" spans="1:18" ht="20.100000000000001" customHeight="1" x14ac:dyDescent="0.2">
      <c r="K42" t="s">
        <v>7</v>
      </c>
      <c r="O42" s="64" t="s">
        <v>7</v>
      </c>
      <c r="P42" s="64" t="s">
        <v>7</v>
      </c>
      <c r="Q42" s="64" t="s">
        <v>7</v>
      </c>
    </row>
    <row r="43" spans="1:18" ht="20.100000000000001" customHeight="1" x14ac:dyDescent="0.2">
      <c r="K43" t="s">
        <v>7</v>
      </c>
      <c r="O43" s="64" t="s">
        <v>7</v>
      </c>
      <c r="P43" s="64" t="s">
        <v>7</v>
      </c>
      <c r="Q43" s="64" t="s">
        <v>7</v>
      </c>
    </row>
    <row r="44" spans="1:18" ht="20.100000000000001" customHeight="1" x14ac:dyDescent="0.2">
      <c r="K44" t="s">
        <v>7</v>
      </c>
      <c r="O44" s="64" t="s">
        <v>7</v>
      </c>
      <c r="P44" s="64" t="s">
        <v>7</v>
      </c>
      <c r="Q44" s="64" t="s">
        <v>7</v>
      </c>
    </row>
    <row r="45" spans="1:18" ht="20.100000000000001" customHeight="1" x14ac:dyDescent="0.2">
      <c r="K45" t="s">
        <v>7</v>
      </c>
      <c r="O45" s="64" t="s">
        <v>7</v>
      </c>
      <c r="P45" s="64" t="s">
        <v>7</v>
      </c>
      <c r="Q45" s="64" t="s">
        <v>7</v>
      </c>
    </row>
    <row r="46" spans="1:18" ht="20.100000000000001" customHeight="1" x14ac:dyDescent="0.2">
      <c r="K46" t="s">
        <v>7</v>
      </c>
      <c r="O46" s="64" t="s">
        <v>7</v>
      </c>
      <c r="P46" s="64" t="s">
        <v>7</v>
      </c>
      <c r="Q46" s="64" t="s">
        <v>7</v>
      </c>
    </row>
    <row r="47" spans="1:18" ht="20.100000000000001" customHeight="1" x14ac:dyDescent="0.2">
      <c r="K47" t="s">
        <v>7</v>
      </c>
      <c r="O47" s="64" t="s">
        <v>7</v>
      </c>
      <c r="P47" s="64" t="s">
        <v>7</v>
      </c>
      <c r="Q47" s="64" t="s">
        <v>7</v>
      </c>
    </row>
    <row r="48" spans="1:18" ht="20.100000000000001" customHeight="1" x14ac:dyDescent="0.2">
      <c r="K48" t="s">
        <v>7</v>
      </c>
      <c r="O48" s="64" t="s">
        <v>7</v>
      </c>
      <c r="P48" s="64" t="s">
        <v>7</v>
      </c>
      <c r="Q48" s="64" t="s">
        <v>7</v>
      </c>
    </row>
    <row r="49" spans="11:17" ht="20.100000000000001" customHeight="1" x14ac:dyDescent="0.2">
      <c r="K49" t="s">
        <v>7</v>
      </c>
      <c r="O49" s="64" t="s">
        <v>7</v>
      </c>
      <c r="P49" s="64" t="s">
        <v>7</v>
      </c>
      <c r="Q49" s="64" t="s">
        <v>7</v>
      </c>
    </row>
    <row r="50" spans="11:17" ht="20.100000000000001" customHeight="1" x14ac:dyDescent="0.2">
      <c r="K50" t="s">
        <v>7</v>
      </c>
      <c r="O50" s="64" t="s">
        <v>7</v>
      </c>
      <c r="P50" s="64" t="s">
        <v>7</v>
      </c>
      <c r="Q50" s="64" t="s">
        <v>7</v>
      </c>
    </row>
    <row r="51" spans="11:17" ht="20.100000000000001" customHeight="1" x14ac:dyDescent="0.2">
      <c r="K51" t="s">
        <v>7</v>
      </c>
      <c r="O51" s="64" t="s">
        <v>7</v>
      </c>
      <c r="P51" s="64" t="s">
        <v>7</v>
      </c>
      <c r="Q51" s="64" t="s">
        <v>7</v>
      </c>
    </row>
    <row r="52" spans="11:17" ht="20.100000000000001" customHeight="1" x14ac:dyDescent="0.2">
      <c r="K52" t="s">
        <v>7</v>
      </c>
      <c r="O52" s="64" t="s">
        <v>7</v>
      </c>
      <c r="P52" s="64" t="s">
        <v>7</v>
      </c>
      <c r="Q52" s="64" t="s">
        <v>7</v>
      </c>
    </row>
    <row r="53" spans="11:17" ht="20.100000000000001" customHeight="1" x14ac:dyDescent="0.2">
      <c r="K53" t="s">
        <v>7</v>
      </c>
      <c r="O53" s="64" t="s">
        <v>7</v>
      </c>
      <c r="P53" s="64" t="s">
        <v>7</v>
      </c>
      <c r="Q53" s="64" t="s">
        <v>7</v>
      </c>
    </row>
    <row r="54" spans="11:17" ht="20.100000000000001" customHeight="1" x14ac:dyDescent="0.2">
      <c r="K54" t="s">
        <v>7</v>
      </c>
      <c r="O54" s="64" t="s">
        <v>7</v>
      </c>
      <c r="P54" s="64" t="s">
        <v>7</v>
      </c>
      <c r="Q54" s="64" t="s">
        <v>7</v>
      </c>
    </row>
    <row r="55" spans="11:17" ht="20.100000000000001" customHeight="1" x14ac:dyDescent="0.2">
      <c r="K55" t="s">
        <v>7</v>
      </c>
      <c r="O55" s="64" t="s">
        <v>7</v>
      </c>
      <c r="P55" s="64" t="s">
        <v>7</v>
      </c>
      <c r="Q55" s="64" t="s">
        <v>7</v>
      </c>
    </row>
    <row r="56" spans="11:17" ht="20.100000000000001" customHeight="1" x14ac:dyDescent="0.2">
      <c r="K56" t="s">
        <v>7</v>
      </c>
      <c r="O56" s="64" t="s">
        <v>7</v>
      </c>
      <c r="P56" s="64" t="s">
        <v>7</v>
      </c>
      <c r="Q56" s="64" t="s">
        <v>7</v>
      </c>
    </row>
    <row r="57" spans="11:17" ht="20.100000000000001" customHeight="1" x14ac:dyDescent="0.2">
      <c r="K57" t="s">
        <v>7</v>
      </c>
      <c r="O57" s="64" t="s">
        <v>7</v>
      </c>
      <c r="P57" s="64" t="s">
        <v>7</v>
      </c>
      <c r="Q57" s="64" t="s">
        <v>7</v>
      </c>
    </row>
    <row r="58" spans="11:17" ht="20.100000000000001" customHeight="1" x14ac:dyDescent="0.2">
      <c r="K58" t="s">
        <v>7</v>
      </c>
      <c r="O58" s="64" t="s">
        <v>7</v>
      </c>
      <c r="P58" s="64" t="s">
        <v>7</v>
      </c>
      <c r="Q58" s="64" t="s">
        <v>7</v>
      </c>
    </row>
    <row r="59" spans="11:17" ht="20.100000000000001" customHeight="1" x14ac:dyDescent="0.2">
      <c r="K59" t="s">
        <v>7</v>
      </c>
      <c r="O59" s="64" t="s">
        <v>7</v>
      </c>
      <c r="P59" s="64" t="s">
        <v>7</v>
      </c>
      <c r="Q59" s="64" t="s">
        <v>7</v>
      </c>
    </row>
    <row r="60" spans="11:17" ht="20.100000000000001" customHeight="1" x14ac:dyDescent="0.2">
      <c r="K60" t="s">
        <v>7</v>
      </c>
      <c r="O60" s="64" t="s">
        <v>7</v>
      </c>
      <c r="P60" s="64" t="s">
        <v>7</v>
      </c>
      <c r="Q60" s="64" t="s">
        <v>7</v>
      </c>
    </row>
    <row r="61" spans="11:17" ht="20.100000000000001" customHeight="1" x14ac:dyDescent="0.2">
      <c r="K61" t="s">
        <v>7</v>
      </c>
      <c r="O61" s="64" t="s">
        <v>7</v>
      </c>
      <c r="P61" s="64" t="s">
        <v>7</v>
      </c>
      <c r="Q61" s="64" t="s">
        <v>7</v>
      </c>
    </row>
    <row r="62" spans="11:17" ht="20.100000000000001" customHeight="1" x14ac:dyDescent="0.2">
      <c r="K62" t="s">
        <v>7</v>
      </c>
      <c r="O62" s="64" t="s">
        <v>7</v>
      </c>
      <c r="P62" s="64" t="s">
        <v>7</v>
      </c>
      <c r="Q62" s="64" t="s">
        <v>7</v>
      </c>
    </row>
    <row r="63" spans="11:17" ht="20.100000000000001" customHeight="1" x14ac:dyDescent="0.2">
      <c r="K63" t="s">
        <v>7</v>
      </c>
      <c r="O63" s="64" t="s">
        <v>7</v>
      </c>
      <c r="P63" s="64" t="s">
        <v>7</v>
      </c>
      <c r="Q63" s="64" t="s">
        <v>7</v>
      </c>
    </row>
    <row r="64" spans="11:17" ht="20.100000000000001" customHeight="1" x14ac:dyDescent="0.2">
      <c r="K64" t="s">
        <v>7</v>
      </c>
      <c r="O64" s="64" t="s">
        <v>7</v>
      </c>
      <c r="P64" s="64" t="s">
        <v>7</v>
      </c>
      <c r="Q64" s="64" t="s">
        <v>7</v>
      </c>
    </row>
    <row r="65" spans="11:17" ht="20.100000000000001" customHeight="1" x14ac:dyDescent="0.2">
      <c r="K65" t="s">
        <v>7</v>
      </c>
      <c r="O65" s="64" t="s">
        <v>7</v>
      </c>
      <c r="P65" s="64" t="s">
        <v>7</v>
      </c>
      <c r="Q65" s="64" t="s">
        <v>7</v>
      </c>
    </row>
    <row r="66" spans="11:17" ht="20.100000000000001" customHeight="1" x14ac:dyDescent="0.2">
      <c r="K66" t="s">
        <v>83</v>
      </c>
      <c r="O66" s="64" t="s">
        <v>7</v>
      </c>
      <c r="P66" s="64" t="s">
        <v>7</v>
      </c>
      <c r="Q66" s="64" t="s">
        <v>7</v>
      </c>
    </row>
    <row r="67" spans="11:17" ht="20.100000000000001" customHeight="1" x14ac:dyDescent="0.2">
      <c r="K67" t="s">
        <v>7</v>
      </c>
      <c r="O67" s="64" t="s">
        <v>7</v>
      </c>
      <c r="P67" s="64" t="s">
        <v>7</v>
      </c>
      <c r="Q67" s="64" t="s">
        <v>7</v>
      </c>
    </row>
    <row r="68" spans="11:17" ht="20.100000000000001" customHeight="1" x14ac:dyDescent="0.2">
      <c r="K68" t="s">
        <v>7</v>
      </c>
      <c r="O68" s="64" t="s">
        <v>7</v>
      </c>
      <c r="P68" s="64" t="s">
        <v>7</v>
      </c>
      <c r="Q68" s="64" t="s">
        <v>7</v>
      </c>
    </row>
    <row r="69" spans="11:17" ht="20.100000000000001" customHeight="1" x14ac:dyDescent="0.2">
      <c r="K69" t="s">
        <v>7</v>
      </c>
      <c r="O69" s="63"/>
      <c r="P69" s="63"/>
    </row>
    <row r="70" spans="11:17" ht="20.100000000000001" customHeight="1" x14ac:dyDescent="0.2">
      <c r="K70" t="s">
        <v>7</v>
      </c>
      <c r="O70" s="63"/>
      <c r="P70" s="63"/>
    </row>
    <row r="71" spans="11:17" ht="20.100000000000001" customHeight="1" x14ac:dyDescent="0.2">
      <c r="K71" t="s">
        <v>7</v>
      </c>
      <c r="O71" s="63"/>
      <c r="P71" s="63"/>
    </row>
    <row r="72" spans="11:17" ht="20.100000000000001" customHeight="1" x14ac:dyDescent="0.2">
      <c r="K72" t="s">
        <v>7</v>
      </c>
      <c r="O72" s="63"/>
      <c r="P72" s="63"/>
    </row>
    <row r="73" spans="11:17" ht="10.15" customHeight="1" x14ac:dyDescent="0.2">
      <c r="K73" t="s">
        <v>7</v>
      </c>
      <c r="O73" s="63"/>
      <c r="P73" s="63"/>
    </row>
    <row r="74" spans="11:17" ht="20.100000000000001" customHeight="1" x14ac:dyDescent="0.2">
      <c r="K74" t="s">
        <v>7</v>
      </c>
    </row>
    <row r="75" spans="11:17" x14ac:dyDescent="0.2">
      <c r="K75" t="s">
        <v>7</v>
      </c>
    </row>
    <row r="76" spans="11:17" ht="38.25" customHeight="1" x14ac:dyDescent="0.2">
      <c r="K76" t="s">
        <v>7</v>
      </c>
    </row>
    <row r="77" spans="11:17" ht="20.100000000000001" customHeight="1" x14ac:dyDescent="0.2">
      <c r="K77" t="s">
        <v>7</v>
      </c>
    </row>
    <row r="78" spans="11:17" ht="33.75" customHeight="1" x14ac:dyDescent="0.2">
      <c r="K78" t="s">
        <v>7</v>
      </c>
    </row>
    <row r="79" spans="11:17" ht="33.75" customHeight="1" x14ac:dyDescent="0.2">
      <c r="K79" t="s">
        <v>7</v>
      </c>
    </row>
    <row r="80" spans="11:17" ht="68.25" customHeight="1" x14ac:dyDescent="0.2">
      <c r="K80" t="s">
        <v>7</v>
      </c>
    </row>
    <row r="81" spans="4:11" ht="45.75" customHeight="1" x14ac:dyDescent="0.2">
      <c r="K81" t="s">
        <v>7</v>
      </c>
    </row>
    <row r="82" spans="4:11" ht="22.5" customHeight="1" x14ac:dyDescent="0.2">
      <c r="K82" t="s">
        <v>7</v>
      </c>
    </row>
    <row r="83" spans="4:11" ht="22.5" customHeight="1" x14ac:dyDescent="0.2">
      <c r="K83" t="s">
        <v>7</v>
      </c>
    </row>
    <row r="84" spans="4:11" ht="60" customHeight="1" x14ac:dyDescent="0.2">
      <c r="K84" t="s">
        <v>7</v>
      </c>
    </row>
    <row r="85" spans="4:11" ht="40.15" customHeight="1" x14ac:dyDescent="0.2">
      <c r="K85" t="s">
        <v>7</v>
      </c>
    </row>
    <row r="86" spans="4:11" ht="20.100000000000001" customHeight="1" x14ac:dyDescent="0.2">
      <c r="K86" t="s">
        <v>7</v>
      </c>
    </row>
    <row r="87" spans="4:11" ht="47.25" customHeight="1" x14ac:dyDescent="0.2">
      <c r="K87" t="s">
        <v>7</v>
      </c>
    </row>
    <row r="88" spans="4:11" ht="32.25" customHeight="1" x14ac:dyDescent="0.2">
      <c r="K88" t="s">
        <v>7</v>
      </c>
    </row>
    <row r="89" spans="4:11" ht="40.15" customHeight="1" x14ac:dyDescent="0.2">
      <c r="K89" t="s">
        <v>7</v>
      </c>
    </row>
    <row r="90" spans="4:11" ht="15" customHeight="1" x14ac:dyDescent="0.2">
      <c r="K90" t="s">
        <v>7</v>
      </c>
    </row>
    <row r="91" spans="4:11" ht="15" customHeight="1" x14ac:dyDescent="0.2">
      <c r="K91" t="s">
        <v>7</v>
      </c>
    </row>
    <row r="92" spans="4:11" ht="15" customHeight="1" x14ac:dyDescent="0.2">
      <c r="K92" t="s">
        <v>7</v>
      </c>
    </row>
    <row r="93" spans="4:11" x14ac:dyDescent="0.2">
      <c r="K93" t="s">
        <v>7</v>
      </c>
    </row>
    <row r="94" spans="4:11" x14ac:dyDescent="0.2">
      <c r="K94" t="s">
        <v>7</v>
      </c>
    </row>
    <row r="95" spans="4:11" x14ac:dyDescent="0.2">
      <c r="D95" s="1" t="s">
        <v>7</v>
      </c>
      <c r="K95" t="s">
        <v>7</v>
      </c>
    </row>
    <row r="96" spans="4:11" x14ac:dyDescent="0.2">
      <c r="K96" t="s">
        <v>7</v>
      </c>
    </row>
    <row r="97" spans="11:11" x14ac:dyDescent="0.2">
      <c r="K97" t="s">
        <v>7</v>
      </c>
    </row>
  </sheetData>
  <mergeCells count="9">
    <mergeCell ref="A19:Q19"/>
    <mergeCell ref="A27:Q27"/>
    <mergeCell ref="A37:Q37"/>
    <mergeCell ref="C3:Q3"/>
    <mergeCell ref="C4:Q4"/>
    <mergeCell ref="C5:Q5"/>
    <mergeCell ref="C6:Q6"/>
    <mergeCell ref="C7:Q7"/>
    <mergeCell ref="C8:P8"/>
  </mergeCells>
  <pageMargins left="0.45" right="0.45" top="0.5" bottom="0.5" header="0.3" footer="0.3"/>
  <pageSetup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zoomScale="80" zoomScaleNormal="80" workbookViewId="0"/>
  </sheetViews>
  <sheetFormatPr defaultRowHeight="12.75" x14ac:dyDescent="0.2"/>
  <cols>
    <col min="1" max="1" width="60.5703125" customWidth="1"/>
    <col min="2" max="9" width="16.5703125" customWidth="1"/>
    <col min="10" max="10" width="15.28515625" customWidth="1"/>
    <col min="11" max="11" width="18.42578125" customWidth="1"/>
    <col min="12" max="16" width="16.5703125" customWidth="1"/>
    <col min="17" max="17" width="13.5703125" customWidth="1"/>
  </cols>
  <sheetData>
    <row r="1" spans="1:17" ht="20.100000000000001" customHeight="1" x14ac:dyDescent="0.25">
      <c r="A1" s="102" t="s">
        <v>130</v>
      </c>
      <c r="B1" s="102"/>
      <c r="C1" s="2"/>
      <c r="D1" s="154"/>
      <c r="E1" s="2"/>
      <c r="F1" s="3"/>
      <c r="G1" s="4"/>
      <c r="H1" s="5"/>
      <c r="I1" s="6"/>
      <c r="J1" s="152"/>
      <c r="K1" s="152"/>
    </row>
    <row r="2" spans="1:17" ht="20.100000000000001" customHeight="1" x14ac:dyDescent="0.2">
      <c r="A2" s="8" t="s">
        <v>7</v>
      </c>
      <c r="B2" s="9"/>
      <c r="C2" s="9"/>
      <c r="D2" s="9"/>
      <c r="E2" s="9"/>
      <c r="F2" s="9"/>
      <c r="G2" s="9"/>
      <c r="H2" s="9"/>
      <c r="I2" s="7"/>
      <c r="J2" s="152"/>
      <c r="K2" s="152"/>
      <c r="L2" s="9"/>
      <c r="M2" s="67" t="s">
        <v>7</v>
      </c>
      <c r="N2" s="9"/>
    </row>
    <row r="3" spans="1:17" ht="20.100000000000001" customHeight="1" x14ac:dyDescent="0.25">
      <c r="A3" s="103" t="s">
        <v>7</v>
      </c>
      <c r="B3" s="104" t="s">
        <v>8</v>
      </c>
      <c r="C3" s="253" t="s">
        <v>22</v>
      </c>
      <c r="D3" s="254"/>
      <c r="E3" s="254"/>
      <c r="F3" s="254"/>
      <c r="G3" s="254"/>
      <c r="H3" s="254"/>
      <c r="I3" s="254"/>
      <c r="J3" s="254"/>
      <c r="K3" s="254"/>
      <c r="L3" s="254"/>
      <c r="M3" s="254"/>
      <c r="N3" s="254"/>
      <c r="O3" s="254"/>
      <c r="P3" s="254"/>
      <c r="Q3" s="254"/>
    </row>
    <row r="4" spans="1:17" ht="20.100000000000001" customHeight="1" x14ac:dyDescent="0.2">
      <c r="A4" s="103" t="s">
        <v>23</v>
      </c>
      <c r="B4" s="105">
        <v>0.17799999999999999</v>
      </c>
      <c r="C4" s="255" t="s">
        <v>131</v>
      </c>
      <c r="D4" s="255"/>
      <c r="E4" s="255"/>
      <c r="F4" s="255"/>
      <c r="G4" s="255"/>
      <c r="H4" s="255"/>
      <c r="I4" s="255"/>
      <c r="J4" s="255"/>
      <c r="K4" s="255"/>
      <c r="L4" s="255"/>
      <c r="M4" s="255"/>
      <c r="N4" s="255"/>
      <c r="O4" s="255"/>
      <c r="P4" s="255"/>
      <c r="Q4" s="255"/>
    </row>
    <row r="5" spans="1:17" ht="20.100000000000001" customHeight="1" x14ac:dyDescent="0.2">
      <c r="A5" s="103" t="s">
        <v>128</v>
      </c>
      <c r="B5" s="106">
        <v>0.79690000000000005</v>
      </c>
      <c r="C5" s="255" t="s">
        <v>132</v>
      </c>
      <c r="D5" s="255"/>
      <c r="E5" s="255"/>
      <c r="F5" s="255"/>
      <c r="G5" s="255"/>
      <c r="H5" s="255"/>
      <c r="I5" s="255"/>
      <c r="J5" s="255"/>
      <c r="K5" s="255"/>
      <c r="L5" s="255"/>
      <c r="M5" s="255"/>
      <c r="N5" s="255"/>
      <c r="O5" s="255"/>
      <c r="P5" s="255"/>
      <c r="Q5" s="255"/>
    </row>
    <row r="6" spans="1:17" ht="20.100000000000001" customHeight="1" x14ac:dyDescent="0.2">
      <c r="A6" s="103" t="s">
        <v>24</v>
      </c>
      <c r="B6" s="107">
        <v>0.93869999999999998</v>
      </c>
      <c r="C6" s="255" t="s">
        <v>132</v>
      </c>
      <c r="D6" s="255"/>
      <c r="E6" s="255"/>
      <c r="F6" s="255"/>
      <c r="G6" s="255"/>
      <c r="H6" s="255"/>
      <c r="I6" s="255"/>
      <c r="J6" s="255"/>
      <c r="K6" s="255"/>
      <c r="L6" s="255"/>
      <c r="M6" s="255"/>
      <c r="N6" s="255"/>
      <c r="O6" s="255"/>
      <c r="P6" s="255"/>
      <c r="Q6" s="255"/>
    </row>
    <row r="7" spans="1:17" ht="20.100000000000001" customHeight="1" x14ac:dyDescent="0.2">
      <c r="A7" s="103" t="s">
        <v>25</v>
      </c>
      <c r="B7" s="108">
        <f>F45</f>
        <v>153883.03512820514</v>
      </c>
      <c r="C7" s="256" t="s">
        <v>166</v>
      </c>
      <c r="D7" s="256"/>
      <c r="E7" s="256"/>
      <c r="F7" s="256"/>
      <c r="G7" s="256"/>
      <c r="H7" s="256"/>
      <c r="I7" s="256"/>
      <c r="J7" s="256"/>
      <c r="K7" s="256"/>
      <c r="L7" s="256"/>
      <c r="M7" s="256"/>
      <c r="N7" s="256"/>
      <c r="O7" s="256"/>
      <c r="P7" s="256"/>
      <c r="Q7" s="256"/>
    </row>
    <row r="8" spans="1:17" ht="20.100000000000001" customHeight="1" x14ac:dyDescent="0.2">
      <c r="A8" s="103" t="s">
        <v>7</v>
      </c>
      <c r="B8" s="109" t="s">
        <v>7</v>
      </c>
      <c r="C8" s="257" t="s">
        <v>26</v>
      </c>
      <c r="D8" s="258"/>
      <c r="E8" s="258"/>
      <c r="F8" s="258"/>
      <c r="G8" s="258"/>
      <c r="H8" s="258"/>
      <c r="I8" s="258"/>
      <c r="J8" s="258"/>
      <c r="K8" s="258"/>
      <c r="L8" s="258"/>
      <c r="M8" s="258"/>
      <c r="N8" s="258"/>
      <c r="O8" s="258"/>
      <c r="P8" s="258"/>
      <c r="Q8" s="259"/>
    </row>
    <row r="9" spans="1:17" ht="20.100000000000001" customHeight="1" x14ac:dyDescent="0.2">
      <c r="A9" s="110" t="s">
        <v>7</v>
      </c>
      <c r="B9" s="111" t="s">
        <v>8</v>
      </c>
      <c r="C9" s="111" t="s">
        <v>11</v>
      </c>
      <c r="D9" s="111" t="s">
        <v>10</v>
      </c>
      <c r="E9" s="111" t="s">
        <v>9</v>
      </c>
      <c r="F9" s="111" t="s">
        <v>27</v>
      </c>
      <c r="G9" s="111" t="s">
        <v>28</v>
      </c>
      <c r="H9" s="111" t="s">
        <v>17</v>
      </c>
      <c r="I9" s="111" t="s">
        <v>6</v>
      </c>
      <c r="J9" s="112" t="s">
        <v>18</v>
      </c>
      <c r="K9" s="112" t="s">
        <v>29</v>
      </c>
      <c r="L9" s="112" t="s">
        <v>12</v>
      </c>
      <c r="M9" s="112" t="s">
        <v>3</v>
      </c>
      <c r="N9" s="112" t="s">
        <v>30</v>
      </c>
      <c r="O9" s="112" t="s">
        <v>13</v>
      </c>
      <c r="P9" s="112" t="s">
        <v>20</v>
      </c>
      <c r="Q9" s="112" t="s">
        <v>14</v>
      </c>
    </row>
    <row r="10" spans="1:17" ht="20.100000000000001" customHeight="1" x14ac:dyDescent="0.2">
      <c r="A10" s="113" t="s">
        <v>31</v>
      </c>
      <c r="B10" s="114" t="s">
        <v>32</v>
      </c>
      <c r="C10" s="115">
        <v>-1207</v>
      </c>
      <c r="D10" s="116">
        <v>5335</v>
      </c>
      <c r="E10" s="116">
        <v>6772</v>
      </c>
      <c r="F10" s="116">
        <v>6389</v>
      </c>
      <c r="G10" s="116">
        <v>2957</v>
      </c>
      <c r="H10" s="116">
        <v>1435</v>
      </c>
      <c r="I10" s="116">
        <v>4336</v>
      </c>
      <c r="J10" s="116">
        <v>4406</v>
      </c>
      <c r="K10" s="116">
        <v>3428</v>
      </c>
      <c r="L10" s="116">
        <v>-3270</v>
      </c>
      <c r="M10" s="116">
        <v>4620</v>
      </c>
      <c r="N10" s="116">
        <v>-145</v>
      </c>
      <c r="O10" s="116">
        <v>2603</v>
      </c>
      <c r="P10" s="116">
        <v>2797</v>
      </c>
      <c r="Q10" s="116">
        <v>5156</v>
      </c>
    </row>
    <row r="11" spans="1:17" ht="20.100000000000001" customHeight="1" x14ac:dyDescent="0.2">
      <c r="A11" s="113" t="s">
        <v>33</v>
      </c>
      <c r="B11" s="114" t="s">
        <v>32</v>
      </c>
      <c r="C11" s="115">
        <v>3222</v>
      </c>
      <c r="D11" s="116">
        <v>8717</v>
      </c>
      <c r="E11" s="116">
        <v>8467</v>
      </c>
      <c r="F11" s="116">
        <v>8501</v>
      </c>
      <c r="G11" s="116">
        <v>4282</v>
      </c>
      <c r="H11" s="116">
        <v>2030</v>
      </c>
      <c r="I11" s="116">
        <v>6572</v>
      </c>
      <c r="J11" s="116">
        <v>10846</v>
      </c>
      <c r="K11" s="116">
        <v>4713</v>
      </c>
      <c r="L11" s="116">
        <v>5254</v>
      </c>
      <c r="M11" s="116">
        <v>6031</v>
      </c>
      <c r="N11" s="116">
        <v>4681</v>
      </c>
      <c r="O11" s="116">
        <v>3931</v>
      </c>
      <c r="P11" s="116">
        <v>5387</v>
      </c>
      <c r="Q11" s="116">
        <v>5164</v>
      </c>
    </row>
    <row r="12" spans="1:17" ht="20.100000000000001" customHeight="1" x14ac:dyDescent="0.2">
      <c r="A12" s="117" t="s">
        <v>34</v>
      </c>
      <c r="B12" s="114">
        <f>ROUND((B7*B6),1)</f>
        <v>144450</v>
      </c>
      <c r="C12" s="115">
        <v>53342.299999999996</v>
      </c>
      <c r="D12" s="118">
        <v>30953.4</v>
      </c>
      <c r="E12" s="118">
        <v>13508.8</v>
      </c>
      <c r="F12" s="118">
        <v>10664</v>
      </c>
      <c r="G12" s="118">
        <v>5415.7999999999993</v>
      </c>
      <c r="H12" s="118">
        <v>2750.4000000000005</v>
      </c>
      <c r="I12" s="118">
        <v>6557.3</v>
      </c>
      <c r="J12" s="118">
        <v>12186</v>
      </c>
      <c r="K12" s="118">
        <v>5064</v>
      </c>
      <c r="L12" s="118">
        <v>20819.599999999988</v>
      </c>
      <c r="M12" s="118">
        <v>6940.6999999999989</v>
      </c>
      <c r="N12" s="118">
        <v>8765.4000000000015</v>
      </c>
      <c r="O12" s="118">
        <v>3521.8</v>
      </c>
      <c r="P12" s="118">
        <v>5596.1</v>
      </c>
      <c r="Q12" s="118">
        <v>25746.19999999999</v>
      </c>
    </row>
    <row r="13" spans="1:17" ht="20.100000000000001" customHeight="1" x14ac:dyDescent="0.2">
      <c r="A13" s="113" t="s">
        <v>80</v>
      </c>
      <c r="B13" s="119">
        <f>H45</f>
        <v>11597.283398378959</v>
      </c>
      <c r="C13" s="120">
        <f>H73</f>
        <v>0</v>
      </c>
      <c r="D13" s="120">
        <f>H70</f>
        <v>0</v>
      </c>
      <c r="E13" s="120">
        <f>H71</f>
        <v>0</v>
      </c>
      <c r="F13" s="120">
        <f>H67</f>
        <v>0</v>
      </c>
      <c r="G13" s="120">
        <f>H68</f>
        <v>0</v>
      </c>
      <c r="H13" s="120">
        <f>H58</f>
        <v>0</v>
      </c>
      <c r="I13" s="120">
        <f>H65</f>
        <v>0</v>
      </c>
      <c r="J13" s="120">
        <f>H49</f>
        <v>0</v>
      </c>
      <c r="K13" s="120">
        <f>H50</f>
        <v>0</v>
      </c>
      <c r="L13" s="119">
        <f>H52</f>
        <v>0</v>
      </c>
      <c r="M13" s="120">
        <f>H51</f>
        <v>0</v>
      </c>
      <c r="N13" s="120">
        <f>H66</f>
        <v>0</v>
      </c>
      <c r="O13" s="120">
        <f>H53</f>
        <v>0</v>
      </c>
      <c r="P13" s="119">
        <f>H54</f>
        <v>831.93924453280317</v>
      </c>
      <c r="Q13" s="119">
        <v>0</v>
      </c>
    </row>
    <row r="14" spans="1:17" ht="20.100000000000001" customHeight="1" x14ac:dyDescent="0.2">
      <c r="A14" s="113" t="s">
        <v>35</v>
      </c>
      <c r="B14" s="119">
        <f>ROUND(B13*$B$6,1)</f>
        <v>10886.4</v>
      </c>
      <c r="C14" s="120">
        <f t="shared" ref="C14:I14" si="0">ROUND(C13*$B$6,1)</f>
        <v>0</v>
      </c>
      <c r="D14" s="120">
        <f t="shared" si="0"/>
        <v>0</v>
      </c>
      <c r="E14" s="120">
        <f t="shared" si="0"/>
        <v>0</v>
      </c>
      <c r="F14" s="120">
        <f t="shared" si="0"/>
        <v>0</v>
      </c>
      <c r="G14" s="120">
        <f t="shared" si="0"/>
        <v>0</v>
      </c>
      <c r="H14" s="120">
        <f t="shared" si="0"/>
        <v>0</v>
      </c>
      <c r="I14" s="120">
        <f t="shared" si="0"/>
        <v>0</v>
      </c>
      <c r="J14" s="120">
        <f>ROUND(J13*$B$6,1)</f>
        <v>0</v>
      </c>
      <c r="K14" s="120">
        <f>ROUND(K13*$B$6,1)</f>
        <v>0</v>
      </c>
      <c r="L14" s="119">
        <f>ROUND(L13*$B$6,1)</f>
        <v>0</v>
      </c>
      <c r="M14" s="120">
        <f>ROUND(M13*$B$6,1)</f>
        <v>0</v>
      </c>
      <c r="N14" s="120">
        <f>ROUND(N13*$B$6,1)</f>
        <v>0</v>
      </c>
      <c r="O14" s="120">
        <f t="shared" ref="O14" si="1">ROUND(O13*$B$6,1)</f>
        <v>0</v>
      </c>
      <c r="P14" s="119">
        <f>ROUND(P13*$B$6,1)</f>
        <v>780.9</v>
      </c>
      <c r="Q14" s="119">
        <v>0</v>
      </c>
    </row>
    <row r="15" spans="1:17" ht="20.100000000000001" customHeight="1" x14ac:dyDescent="0.2">
      <c r="A15" s="121" t="s">
        <v>36</v>
      </c>
      <c r="B15" s="122">
        <f>B12-B14</f>
        <v>133563.6</v>
      </c>
      <c r="C15" s="122">
        <f>C12-C14*C41</f>
        <v>53342.299999999996</v>
      </c>
      <c r="D15" s="122">
        <f t="shared" ref="D15:E15" si="2">D12-D14*D41</f>
        <v>30953.4</v>
      </c>
      <c r="E15" s="122">
        <f t="shared" si="2"/>
        <v>13508.8</v>
      </c>
      <c r="F15" s="122">
        <f>F12-F14</f>
        <v>10664</v>
      </c>
      <c r="G15" s="122">
        <f t="shared" ref="G15:O15" si="3">G12-G14</f>
        <v>5415.7999999999993</v>
      </c>
      <c r="H15" s="122">
        <f>H12-H14*H41</f>
        <v>2750.4000000000005</v>
      </c>
      <c r="I15" s="122">
        <f t="shared" si="3"/>
        <v>6557.3</v>
      </c>
      <c r="J15" s="122">
        <f>J12-J14</f>
        <v>12186</v>
      </c>
      <c r="K15" s="122">
        <f>K12-K14</f>
        <v>5064</v>
      </c>
      <c r="L15" s="122">
        <f>L12-L14*L41</f>
        <v>20819.599999999988</v>
      </c>
      <c r="M15" s="122">
        <f>M12-M14*M41</f>
        <v>6940.6999999999989</v>
      </c>
      <c r="N15" s="122">
        <f t="shared" si="3"/>
        <v>8765.4000000000015</v>
      </c>
      <c r="O15" s="122">
        <f t="shared" si="3"/>
        <v>3521.8</v>
      </c>
      <c r="P15" s="122">
        <f>P12-P14*P41</f>
        <v>5561.7404000000006</v>
      </c>
      <c r="Q15" s="122">
        <f>Q12-Q14*Q41</f>
        <v>25746.19999999999</v>
      </c>
    </row>
    <row r="16" spans="1:17" ht="20.100000000000001" customHeight="1" x14ac:dyDescent="0.2">
      <c r="A16" s="123" t="s">
        <v>37</v>
      </c>
      <c r="B16" s="124">
        <v>451.61</v>
      </c>
      <c r="C16" s="124">
        <v>456.19</v>
      </c>
      <c r="D16" s="124">
        <v>461.66</v>
      </c>
      <c r="E16" s="124">
        <v>466.35</v>
      </c>
      <c r="F16" s="124">
        <v>461.66</v>
      </c>
      <c r="G16" s="124">
        <v>461.66</v>
      </c>
      <c r="H16" s="124">
        <v>461.66</v>
      </c>
      <c r="I16" s="124">
        <v>466.35</v>
      </c>
      <c r="J16" s="124">
        <v>444.26</v>
      </c>
      <c r="K16" s="124">
        <v>444.26</v>
      </c>
      <c r="L16" s="124">
        <v>447.33</v>
      </c>
      <c r="M16" s="124">
        <v>466.35</v>
      </c>
      <c r="N16" s="124">
        <v>438.47</v>
      </c>
      <c r="O16" s="124">
        <v>444.26</v>
      </c>
      <c r="P16" s="124">
        <v>444.26</v>
      </c>
      <c r="Q16" s="124">
        <v>444.26</v>
      </c>
    </row>
    <row r="17" spans="1:17" ht="20.100000000000001" customHeight="1" x14ac:dyDescent="0.2">
      <c r="A17" s="125" t="s">
        <v>38</v>
      </c>
      <c r="B17" s="126">
        <v>228.81</v>
      </c>
      <c r="C17" s="126">
        <v>250.98</v>
      </c>
      <c r="D17" s="126">
        <v>310.88</v>
      </c>
      <c r="E17" s="126">
        <v>134.57</v>
      </c>
      <c r="F17" s="126">
        <v>330.97</v>
      </c>
      <c r="G17" s="126">
        <v>330.97</v>
      </c>
      <c r="H17" s="126">
        <v>245.68</v>
      </c>
      <c r="I17" s="126">
        <v>223.8</v>
      </c>
      <c r="J17" s="126">
        <v>236.78</v>
      </c>
      <c r="K17" s="126">
        <v>236.78</v>
      </c>
      <c r="L17" s="126">
        <v>300.32</v>
      </c>
      <c r="M17" s="126">
        <v>45.34</v>
      </c>
      <c r="N17" s="126">
        <v>260.20999999999998</v>
      </c>
      <c r="O17" s="126">
        <v>191.38</v>
      </c>
      <c r="P17" s="126">
        <v>205.25</v>
      </c>
      <c r="Q17" s="126">
        <v>152.69</v>
      </c>
    </row>
    <row r="18" spans="1:17" ht="20.100000000000001" customHeight="1" x14ac:dyDescent="0.2">
      <c r="A18" s="127" t="s">
        <v>87</v>
      </c>
      <c r="B18" s="114">
        <v>1459.8</v>
      </c>
      <c r="C18" s="114">
        <v>674.08046999999988</v>
      </c>
      <c r="D18" s="114">
        <v>410.1</v>
      </c>
      <c r="E18" s="114">
        <v>151.80000000000001</v>
      </c>
      <c r="F18" s="114">
        <v>167.2</v>
      </c>
      <c r="G18" s="114">
        <v>88.4</v>
      </c>
      <c r="H18" s="114">
        <v>24</v>
      </c>
      <c r="I18" s="114">
        <v>80</v>
      </c>
      <c r="J18" s="114">
        <v>68.5</v>
      </c>
      <c r="K18" s="114">
        <v>6.5709</v>
      </c>
      <c r="L18" s="114">
        <v>337.6</v>
      </c>
      <c r="M18" s="114">
        <v>71.810549999999992</v>
      </c>
      <c r="N18" s="114">
        <v>45.7</v>
      </c>
      <c r="O18" s="114">
        <v>18.5</v>
      </c>
      <c r="P18" s="114">
        <v>24.9</v>
      </c>
      <c r="Q18" s="114">
        <v>154.22841</v>
      </c>
    </row>
    <row r="19" spans="1:17" ht="20.100000000000001" customHeight="1" thickBot="1" x14ac:dyDescent="0.25">
      <c r="A19" s="224" t="s">
        <v>39</v>
      </c>
      <c r="B19" s="225"/>
      <c r="C19" s="225"/>
      <c r="D19" s="225"/>
      <c r="E19" s="225"/>
      <c r="F19" s="225"/>
      <c r="G19" s="225"/>
      <c r="H19" s="225"/>
      <c r="I19" s="225"/>
      <c r="J19" s="225"/>
      <c r="K19" s="225"/>
      <c r="L19" s="225"/>
      <c r="M19" s="225"/>
      <c r="N19" s="225"/>
      <c r="O19" s="225"/>
      <c r="P19" s="225"/>
      <c r="Q19" s="225"/>
    </row>
    <row r="20" spans="1:17" ht="20.100000000000001" customHeight="1" x14ac:dyDescent="0.2">
      <c r="A20" s="28" t="s">
        <v>40</v>
      </c>
      <c r="B20" s="29">
        <f>ROUND(MAX(B16,1.5*B17),2)</f>
        <v>451.61</v>
      </c>
      <c r="C20" s="29">
        <f t="shared" ref="C20:N20" si="4">ROUND(MAX(C16,1.5*C17),2)</f>
        <v>456.19</v>
      </c>
      <c r="D20" s="29">
        <f t="shared" si="4"/>
        <v>466.32</v>
      </c>
      <c r="E20" s="29">
        <f t="shared" si="4"/>
        <v>466.35</v>
      </c>
      <c r="F20" s="29">
        <f t="shared" si="4"/>
        <v>496.46</v>
      </c>
      <c r="G20" s="29">
        <f t="shared" si="4"/>
        <v>496.46</v>
      </c>
      <c r="H20" s="29">
        <f>ROUND(MAX(H16,1.5*H17),2)</f>
        <v>461.66</v>
      </c>
      <c r="I20" s="29">
        <f t="shared" si="4"/>
        <v>466.35</v>
      </c>
      <c r="J20" s="29">
        <f t="shared" si="4"/>
        <v>444.26</v>
      </c>
      <c r="K20" s="29">
        <f t="shared" si="4"/>
        <v>444.26</v>
      </c>
      <c r="L20" s="29">
        <f t="shared" si="4"/>
        <v>450.48</v>
      </c>
      <c r="M20" s="29">
        <f t="shared" si="4"/>
        <v>466.35</v>
      </c>
      <c r="N20" s="29">
        <f t="shared" si="4"/>
        <v>438.47</v>
      </c>
      <c r="O20" s="29">
        <f>ROUND(MAX(O16,1.5*O17),2)</f>
        <v>444.26</v>
      </c>
      <c r="P20" s="29">
        <f>ROUND(MAX(P16,1.5*P17),2)</f>
        <v>444.26</v>
      </c>
      <c r="Q20" s="30">
        <f>ROUND(MAX(Q16,1.5*Q17),2)</f>
        <v>444.26</v>
      </c>
    </row>
    <row r="21" spans="1:17" ht="20.100000000000001" customHeight="1" x14ac:dyDescent="0.2">
      <c r="A21" s="31" t="s">
        <v>41</v>
      </c>
      <c r="B21" s="32">
        <f>ROUND(B$17*0.75,2)</f>
        <v>171.61</v>
      </c>
      <c r="C21" s="32">
        <f t="shared" ref="C21:M21" si="5">ROUND(C$17*0.75,2)</f>
        <v>188.24</v>
      </c>
      <c r="D21" s="32">
        <f t="shared" si="5"/>
        <v>233.16</v>
      </c>
      <c r="E21" s="32">
        <f t="shared" si="5"/>
        <v>100.93</v>
      </c>
      <c r="F21" s="32">
        <f t="shared" si="5"/>
        <v>248.23</v>
      </c>
      <c r="G21" s="32">
        <f t="shared" si="5"/>
        <v>248.23</v>
      </c>
      <c r="H21" s="32">
        <f t="shared" si="5"/>
        <v>184.26</v>
      </c>
      <c r="I21" s="32">
        <f t="shared" si="5"/>
        <v>167.85</v>
      </c>
      <c r="J21" s="32">
        <f t="shared" si="5"/>
        <v>177.59</v>
      </c>
      <c r="K21" s="32">
        <f t="shared" si="5"/>
        <v>177.59</v>
      </c>
      <c r="L21" s="32">
        <f t="shared" si="5"/>
        <v>225.24</v>
      </c>
      <c r="M21" s="32">
        <f t="shared" si="5"/>
        <v>34.01</v>
      </c>
      <c r="N21" s="32">
        <f>ROUND(N$17*0.75,2)</f>
        <v>195.16</v>
      </c>
      <c r="O21" s="32">
        <f>ROUND(O$17*0.75,2)</f>
        <v>143.54</v>
      </c>
      <c r="P21" s="32">
        <f>ROUND(P$17*0.75,2)</f>
        <v>153.94</v>
      </c>
      <c r="Q21" s="33">
        <f>ROUND(Q$17*0.75,2)</f>
        <v>114.52</v>
      </c>
    </row>
    <row r="22" spans="1:17" ht="20.100000000000001" customHeight="1" x14ac:dyDescent="0.2">
      <c r="A22" s="31" t="s">
        <v>42</v>
      </c>
      <c r="B22" s="32">
        <v>0</v>
      </c>
      <c r="C22" s="32">
        <v>0</v>
      </c>
      <c r="D22" s="32">
        <v>0</v>
      </c>
      <c r="E22" s="32">
        <v>0</v>
      </c>
      <c r="F22" s="32">
        <v>0</v>
      </c>
      <c r="G22" s="32">
        <v>0</v>
      </c>
      <c r="H22" s="32">
        <v>0</v>
      </c>
      <c r="I22" s="32">
        <v>0</v>
      </c>
      <c r="J22" s="32">
        <v>0</v>
      </c>
      <c r="K22" s="32">
        <v>0</v>
      </c>
      <c r="L22" s="32">
        <v>0</v>
      </c>
      <c r="M22" s="32">
        <v>0</v>
      </c>
      <c r="N22" s="32">
        <v>0</v>
      </c>
      <c r="O22" s="32">
        <v>0</v>
      </c>
      <c r="P22" s="32">
        <v>0</v>
      </c>
      <c r="Q22" s="33">
        <v>0</v>
      </c>
    </row>
    <row r="23" spans="1:17" ht="20.100000000000001" customHeight="1" x14ac:dyDescent="0.2">
      <c r="A23" s="31" t="s">
        <v>43</v>
      </c>
      <c r="B23" s="34">
        <f>ROUND(B$15*0.989,1)+B$18</f>
        <v>133554.19999999998</v>
      </c>
      <c r="C23" s="34">
        <f t="shared" ref="C23:Q23" si="6">ROUND(C$15*0.989,1)+C$18</f>
        <v>53429.580470000001</v>
      </c>
      <c r="D23" s="34">
        <f t="shared" si="6"/>
        <v>31023</v>
      </c>
      <c r="E23" s="34">
        <f t="shared" si="6"/>
        <v>13512</v>
      </c>
      <c r="F23" s="34">
        <f t="shared" si="6"/>
        <v>10713.900000000001</v>
      </c>
      <c r="G23" s="34">
        <f t="shared" si="6"/>
        <v>5444.5999999999995</v>
      </c>
      <c r="H23" s="34">
        <f t="shared" si="6"/>
        <v>2744.1</v>
      </c>
      <c r="I23" s="34">
        <f t="shared" si="6"/>
        <v>6565.2</v>
      </c>
      <c r="J23" s="34">
        <f t="shared" si="6"/>
        <v>12120.5</v>
      </c>
      <c r="K23" s="34">
        <f t="shared" si="6"/>
        <v>5014.8708999999999</v>
      </c>
      <c r="L23" s="34">
        <f t="shared" si="6"/>
        <v>20928.199999999997</v>
      </c>
      <c r="M23" s="34">
        <f t="shared" si="6"/>
        <v>6936.2105499999998</v>
      </c>
      <c r="N23" s="34">
        <f t="shared" si="6"/>
        <v>8714.7000000000007</v>
      </c>
      <c r="O23" s="34">
        <f t="shared" si="6"/>
        <v>3501.6</v>
      </c>
      <c r="P23" s="34">
        <f t="shared" si="6"/>
        <v>5525.5</v>
      </c>
      <c r="Q23" s="35">
        <f t="shared" si="6"/>
        <v>25617.22841</v>
      </c>
    </row>
    <row r="24" spans="1:17" ht="20.100000000000001" customHeight="1" x14ac:dyDescent="0.2">
      <c r="A24" s="31" t="s">
        <v>44</v>
      </c>
      <c r="B24" s="34">
        <f>ROUND(B$15*1.016,1)+B$18</f>
        <v>137160.4</v>
      </c>
      <c r="C24" s="34">
        <f t="shared" ref="C24:Q24" si="7">ROUND(C$15*1.016,1)+C$18</f>
        <v>54869.880470000004</v>
      </c>
      <c r="D24" s="34">
        <f t="shared" si="7"/>
        <v>31858.799999999999</v>
      </c>
      <c r="E24" s="34">
        <f t="shared" si="7"/>
        <v>13876.699999999999</v>
      </c>
      <c r="F24" s="34">
        <f t="shared" si="7"/>
        <v>11001.800000000001</v>
      </c>
      <c r="G24" s="34">
        <f t="shared" si="7"/>
        <v>5590.9</v>
      </c>
      <c r="H24" s="34">
        <f t="shared" si="7"/>
        <v>2818.4</v>
      </c>
      <c r="I24" s="34">
        <f t="shared" si="7"/>
        <v>6742.2</v>
      </c>
      <c r="J24" s="34">
        <f t="shared" si="7"/>
        <v>12449.5</v>
      </c>
      <c r="K24" s="34">
        <f t="shared" si="7"/>
        <v>5151.5708999999997</v>
      </c>
      <c r="L24" s="34">
        <f t="shared" si="7"/>
        <v>21490.3</v>
      </c>
      <c r="M24" s="34">
        <f t="shared" si="7"/>
        <v>7123.6105500000003</v>
      </c>
      <c r="N24" s="34">
        <f t="shared" si="7"/>
        <v>8951.3000000000011</v>
      </c>
      <c r="O24" s="34">
        <f t="shared" si="7"/>
        <v>3596.6</v>
      </c>
      <c r="P24" s="34">
        <f t="shared" si="7"/>
        <v>5675.5999999999995</v>
      </c>
      <c r="Q24" s="35">
        <f t="shared" si="7"/>
        <v>26312.328409999998</v>
      </c>
    </row>
    <row r="25" spans="1:17" ht="20.100000000000001" customHeight="1" thickBot="1" x14ac:dyDescent="0.25">
      <c r="A25" s="36" t="s">
        <v>45</v>
      </c>
      <c r="B25" s="37">
        <f>ROUND(B$15*1.068,1)+B$18</f>
        <v>144105.69999999998</v>
      </c>
      <c r="C25" s="37">
        <f t="shared" ref="C25:Q25" si="8">ROUND(C$15*1.068,1)+C$18</f>
        <v>57643.680469999999</v>
      </c>
      <c r="D25" s="37">
        <f t="shared" si="8"/>
        <v>33468.299999999996</v>
      </c>
      <c r="E25" s="37">
        <f t="shared" si="8"/>
        <v>14579.199999999999</v>
      </c>
      <c r="F25" s="37">
        <f t="shared" si="8"/>
        <v>11556.400000000001</v>
      </c>
      <c r="G25" s="37">
        <f t="shared" si="8"/>
        <v>5872.5</v>
      </c>
      <c r="H25" s="37">
        <f t="shared" si="8"/>
        <v>2961.4</v>
      </c>
      <c r="I25" s="37">
        <f t="shared" si="8"/>
        <v>7083.2</v>
      </c>
      <c r="J25" s="37">
        <f t="shared" si="8"/>
        <v>13083.1</v>
      </c>
      <c r="K25" s="37">
        <f t="shared" si="8"/>
        <v>5414.9708999999993</v>
      </c>
      <c r="L25" s="37">
        <f t="shared" si="8"/>
        <v>22572.899999999998</v>
      </c>
      <c r="M25" s="37">
        <f t="shared" si="8"/>
        <v>7484.51055</v>
      </c>
      <c r="N25" s="37">
        <f t="shared" si="8"/>
        <v>9407.1</v>
      </c>
      <c r="O25" s="37">
        <f t="shared" si="8"/>
        <v>3779.8</v>
      </c>
      <c r="P25" s="37">
        <f t="shared" si="8"/>
        <v>5964.7999999999993</v>
      </c>
      <c r="Q25" s="38">
        <f t="shared" si="8"/>
        <v>27651.128410000001</v>
      </c>
    </row>
    <row r="26" spans="1:17" ht="20.100000000000001" customHeight="1" x14ac:dyDescent="0.2">
      <c r="A26" s="39" t="s">
        <v>79</v>
      </c>
      <c r="B26" s="69">
        <v>224</v>
      </c>
      <c r="C26" s="69">
        <v>224</v>
      </c>
      <c r="D26" s="69">
        <v>14</v>
      </c>
      <c r="E26" s="69">
        <v>210</v>
      </c>
      <c r="F26" s="69">
        <v>0</v>
      </c>
      <c r="G26" s="69">
        <v>0</v>
      </c>
      <c r="H26" s="69">
        <v>0</v>
      </c>
      <c r="I26" s="69">
        <v>75</v>
      </c>
      <c r="J26" s="69">
        <v>0</v>
      </c>
      <c r="K26" s="69">
        <v>0</v>
      </c>
      <c r="L26" s="69">
        <v>0</v>
      </c>
      <c r="M26" s="69">
        <v>135</v>
      </c>
      <c r="N26" s="69">
        <v>0</v>
      </c>
      <c r="O26" s="69">
        <v>0</v>
      </c>
      <c r="P26" s="69">
        <v>0</v>
      </c>
      <c r="Q26" s="69">
        <v>0</v>
      </c>
    </row>
    <row r="27" spans="1:17" ht="20.100000000000001" customHeight="1" thickBot="1" x14ac:dyDescent="0.25">
      <c r="A27" s="227" t="s">
        <v>46</v>
      </c>
      <c r="B27" s="228"/>
      <c r="C27" s="228"/>
      <c r="D27" s="228"/>
      <c r="E27" s="228"/>
      <c r="F27" s="228"/>
      <c r="G27" s="228"/>
      <c r="H27" s="228"/>
      <c r="I27" s="228"/>
      <c r="J27" s="228"/>
      <c r="K27" s="228"/>
      <c r="L27" s="228"/>
      <c r="M27" s="228"/>
      <c r="N27" s="228"/>
      <c r="O27" s="228"/>
      <c r="P27" s="228"/>
      <c r="Q27" s="228"/>
    </row>
    <row r="28" spans="1:17" ht="20.100000000000001" customHeight="1" x14ac:dyDescent="0.2">
      <c r="A28" s="40" t="s">
        <v>47</v>
      </c>
      <c r="B28" s="41">
        <f>B20</f>
        <v>451.61</v>
      </c>
      <c r="C28" s="41">
        <f t="shared" ref="C28:M29" si="9">C20</f>
        <v>456.19</v>
      </c>
      <c r="D28" s="41">
        <f t="shared" si="9"/>
        <v>466.32</v>
      </c>
      <c r="E28" s="41">
        <f t="shared" si="9"/>
        <v>466.35</v>
      </c>
      <c r="F28" s="41" t="s">
        <v>7</v>
      </c>
      <c r="G28" s="41" t="s">
        <v>7</v>
      </c>
      <c r="H28" s="41"/>
      <c r="I28" s="41">
        <f t="shared" si="9"/>
        <v>466.35</v>
      </c>
      <c r="J28" s="41" t="s">
        <v>7</v>
      </c>
      <c r="K28" s="41" t="s">
        <v>7</v>
      </c>
      <c r="L28" s="41" t="s">
        <v>7</v>
      </c>
      <c r="M28" s="41">
        <f t="shared" si="9"/>
        <v>466.35</v>
      </c>
      <c r="N28" s="41" t="s">
        <v>7</v>
      </c>
      <c r="O28" s="41" t="s">
        <v>7</v>
      </c>
      <c r="P28" s="41" t="s">
        <v>7</v>
      </c>
      <c r="Q28" s="170"/>
    </row>
    <row r="29" spans="1:17" ht="20.100000000000001" customHeight="1" x14ac:dyDescent="0.2">
      <c r="A29" s="42" t="s">
        <v>48</v>
      </c>
      <c r="B29" s="43">
        <f>B21</f>
        <v>171.61</v>
      </c>
      <c r="C29" s="43">
        <f t="shared" si="9"/>
        <v>188.24</v>
      </c>
      <c r="D29" s="43">
        <f t="shared" si="9"/>
        <v>233.16</v>
      </c>
      <c r="E29" s="43">
        <f t="shared" si="9"/>
        <v>100.93</v>
      </c>
      <c r="F29" s="43" t="s">
        <v>7</v>
      </c>
      <c r="G29" s="43" t="s">
        <v>7</v>
      </c>
      <c r="H29" s="43"/>
      <c r="I29" s="43">
        <f t="shared" si="9"/>
        <v>167.85</v>
      </c>
      <c r="J29" s="43" t="s">
        <v>7</v>
      </c>
      <c r="K29" s="43" t="s">
        <v>7</v>
      </c>
      <c r="L29" s="43" t="s">
        <v>7</v>
      </c>
      <c r="M29" s="43">
        <f t="shared" si="9"/>
        <v>34.01</v>
      </c>
      <c r="N29" s="43" t="s">
        <v>7</v>
      </c>
      <c r="O29" s="43" t="s">
        <v>7</v>
      </c>
      <c r="P29" s="43" t="s">
        <v>7</v>
      </c>
      <c r="Q29" s="171"/>
    </row>
    <row r="30" spans="1:17" ht="20.100000000000001" customHeight="1" x14ac:dyDescent="0.2">
      <c r="A30" s="42" t="s">
        <v>49</v>
      </c>
      <c r="B30" s="43">
        <v>0.01</v>
      </c>
      <c r="C30" s="43">
        <v>0.01</v>
      </c>
      <c r="D30" s="43">
        <v>0.01</v>
      </c>
      <c r="E30" s="43">
        <v>0.01</v>
      </c>
      <c r="F30" s="43" t="s">
        <v>7</v>
      </c>
      <c r="G30" s="43" t="s">
        <v>7</v>
      </c>
      <c r="H30" s="43"/>
      <c r="I30" s="43">
        <v>0.01</v>
      </c>
      <c r="J30" s="43" t="s">
        <v>7</v>
      </c>
      <c r="K30" s="43" t="s">
        <v>7</v>
      </c>
      <c r="L30" s="43" t="s">
        <v>7</v>
      </c>
      <c r="M30" s="43">
        <v>0.01</v>
      </c>
      <c r="N30" s="43" t="s">
        <v>7</v>
      </c>
      <c r="O30" s="43" t="s">
        <v>7</v>
      </c>
      <c r="P30" s="43" t="s">
        <v>7</v>
      </c>
      <c r="Q30" s="171"/>
    </row>
    <row r="31" spans="1:17" ht="20.100000000000001" customHeight="1" x14ac:dyDescent="0.2">
      <c r="A31" s="42" t="s">
        <v>50</v>
      </c>
      <c r="B31" s="43">
        <v>0.01</v>
      </c>
      <c r="C31" s="43">
        <v>0.01</v>
      </c>
      <c r="D31" s="43">
        <v>0.01</v>
      </c>
      <c r="E31" s="43">
        <v>0.01</v>
      </c>
      <c r="F31" s="43" t="s">
        <v>7</v>
      </c>
      <c r="G31" s="43" t="s">
        <v>7</v>
      </c>
      <c r="H31" s="43"/>
      <c r="I31" s="43">
        <v>0.01</v>
      </c>
      <c r="J31" s="43" t="s">
        <v>7</v>
      </c>
      <c r="K31" s="43" t="s">
        <v>7</v>
      </c>
      <c r="L31" s="43" t="s">
        <v>7</v>
      </c>
      <c r="M31" s="43">
        <v>0.01</v>
      </c>
      <c r="N31" s="43" t="s">
        <v>7</v>
      </c>
      <c r="O31" s="43" t="s">
        <v>7</v>
      </c>
      <c r="P31" s="43" t="s">
        <v>7</v>
      </c>
      <c r="Q31" s="171"/>
    </row>
    <row r="32" spans="1:17" ht="20.100000000000001" customHeight="1" thickBot="1" x14ac:dyDescent="0.25">
      <c r="A32" s="44" t="s">
        <v>42</v>
      </c>
      <c r="B32" s="45">
        <f>B22</f>
        <v>0</v>
      </c>
      <c r="C32" s="45">
        <f t="shared" ref="C32:M32" si="10">C22</f>
        <v>0</v>
      </c>
      <c r="D32" s="45">
        <f t="shared" si="10"/>
        <v>0</v>
      </c>
      <c r="E32" s="45">
        <f t="shared" si="10"/>
        <v>0</v>
      </c>
      <c r="F32" s="45" t="s">
        <v>7</v>
      </c>
      <c r="G32" s="45" t="s">
        <v>7</v>
      </c>
      <c r="H32" s="45"/>
      <c r="I32" s="45">
        <f t="shared" si="10"/>
        <v>0</v>
      </c>
      <c r="J32" s="45" t="s">
        <v>7</v>
      </c>
      <c r="K32" s="45" t="s">
        <v>7</v>
      </c>
      <c r="L32" s="45" t="s">
        <v>7</v>
      </c>
      <c r="M32" s="45">
        <f t="shared" si="10"/>
        <v>0</v>
      </c>
      <c r="N32" s="45" t="s">
        <v>7</v>
      </c>
      <c r="O32" s="45" t="s">
        <v>7</v>
      </c>
      <c r="P32" s="45" t="s">
        <v>7</v>
      </c>
      <c r="Q32" s="172"/>
    </row>
    <row r="33" spans="1:17" ht="20.100000000000001" customHeight="1" x14ac:dyDescent="0.2">
      <c r="A33" s="46" t="s">
        <v>51</v>
      </c>
      <c r="B33" s="47">
        <f>ROUND(B23-B$26*$B$6,1)</f>
        <v>133343.9</v>
      </c>
      <c r="C33" s="47">
        <f t="shared" ref="C33:I34" si="11">ROUND(C23-C$26*$B$6,1)</f>
        <v>53219.3</v>
      </c>
      <c r="D33" s="47">
        <f t="shared" si="11"/>
        <v>31009.9</v>
      </c>
      <c r="E33" s="47">
        <f>ROUND(E23-E$26*$B$6,1)</f>
        <v>13314.9</v>
      </c>
      <c r="F33" s="47" t="s">
        <v>7</v>
      </c>
      <c r="G33" s="47" t="s">
        <v>7</v>
      </c>
      <c r="H33" s="47"/>
      <c r="I33" s="47">
        <f t="shared" si="11"/>
        <v>6494.8</v>
      </c>
      <c r="J33" s="47" t="s">
        <v>7</v>
      </c>
      <c r="K33" s="47" t="s">
        <v>7</v>
      </c>
      <c r="L33" s="47" t="s">
        <v>7</v>
      </c>
      <c r="M33" s="47">
        <f>ROUND(M23-M$26*$B$6,1)</f>
        <v>6809.5</v>
      </c>
      <c r="N33" s="47" t="s">
        <v>7</v>
      </c>
      <c r="O33" s="47" t="s">
        <v>7</v>
      </c>
      <c r="P33" s="47" t="s">
        <v>7</v>
      </c>
      <c r="Q33" s="47"/>
    </row>
    <row r="34" spans="1:17" ht="20.100000000000001" customHeight="1" x14ac:dyDescent="0.2">
      <c r="A34" s="48" t="s">
        <v>52</v>
      </c>
      <c r="B34" s="49">
        <f>ROUND(B24-B$26*$B$6,1)</f>
        <v>136950.1</v>
      </c>
      <c r="C34" s="49">
        <f t="shared" si="11"/>
        <v>54659.6</v>
      </c>
      <c r="D34" s="49">
        <f t="shared" si="11"/>
        <v>31845.7</v>
      </c>
      <c r="E34" s="49">
        <f>ROUND(E24-E$26*$B$6,1)</f>
        <v>13679.6</v>
      </c>
      <c r="F34" s="49" t="s">
        <v>7</v>
      </c>
      <c r="G34" s="49" t="s">
        <v>7</v>
      </c>
      <c r="H34" s="49"/>
      <c r="I34" s="49">
        <f t="shared" si="11"/>
        <v>6671.8</v>
      </c>
      <c r="J34" s="49" t="s">
        <v>7</v>
      </c>
      <c r="K34" s="49" t="s">
        <v>7</v>
      </c>
      <c r="L34" s="49" t="s">
        <v>7</v>
      </c>
      <c r="M34" s="49">
        <f>ROUND(M24-M$26*$B$6,1)</f>
        <v>6996.9</v>
      </c>
      <c r="N34" s="49" t="s">
        <v>7</v>
      </c>
      <c r="O34" s="49" t="s">
        <v>7</v>
      </c>
      <c r="P34" s="49" t="s">
        <v>7</v>
      </c>
      <c r="Q34" s="49"/>
    </row>
    <row r="35" spans="1:17" ht="20.100000000000001" customHeight="1" x14ac:dyDescent="0.2">
      <c r="A35" s="48" t="s">
        <v>53</v>
      </c>
      <c r="B35" s="49">
        <f>ROUND(B36-B$26*$B$6,1)</f>
        <v>143895</v>
      </c>
      <c r="C35" s="49">
        <f t="shared" ref="C35:D35" si="12">ROUND(C36-C$26*$B$6,1)</f>
        <v>57433.2</v>
      </c>
      <c r="D35" s="49">
        <f t="shared" si="12"/>
        <v>33455.1</v>
      </c>
      <c r="E35" s="49">
        <f>ROUND(E36-E$26*$B$6,1)</f>
        <v>14382</v>
      </c>
      <c r="F35" s="49" t="s">
        <v>7</v>
      </c>
      <c r="G35" s="49" t="s">
        <v>7</v>
      </c>
      <c r="H35" s="49"/>
      <c r="I35" s="49">
        <f>ROUND(I36-I$26*$B$6,1)</f>
        <v>7012.8</v>
      </c>
      <c r="J35" s="49" t="s">
        <v>7</v>
      </c>
      <c r="K35" s="49" t="s">
        <v>7</v>
      </c>
      <c r="L35" s="49" t="s">
        <v>7</v>
      </c>
      <c r="M35" s="49">
        <f>ROUND(M36-M$26*$B$6,1)</f>
        <v>7357.7</v>
      </c>
      <c r="N35" s="49" t="s">
        <v>7</v>
      </c>
      <c r="O35" s="49" t="s">
        <v>7</v>
      </c>
      <c r="P35" s="49" t="s">
        <v>7</v>
      </c>
      <c r="Q35" s="49"/>
    </row>
    <row r="36" spans="1:17" ht="20.100000000000001" customHeight="1" x14ac:dyDescent="0.2">
      <c r="A36" s="48" t="s">
        <v>54</v>
      </c>
      <c r="B36" s="49">
        <f>ROUND(B25-B31*(B25-B24)/B21,1)</f>
        <v>144105.29999999999</v>
      </c>
      <c r="C36" s="49">
        <f t="shared" ref="C36:M36" si="13">ROUND(C25-C31*(C25-C24)/C21,1)</f>
        <v>57643.5</v>
      </c>
      <c r="D36" s="49">
        <f t="shared" si="13"/>
        <v>33468.199999999997</v>
      </c>
      <c r="E36" s="49">
        <f t="shared" si="13"/>
        <v>14579.1</v>
      </c>
      <c r="F36" s="49" t="s">
        <v>7</v>
      </c>
      <c r="G36" s="49" t="s">
        <v>7</v>
      </c>
      <c r="H36" s="49"/>
      <c r="I36" s="49">
        <f>ROUND(I25-I31*(I25-I24)/I21,1)</f>
        <v>7083.2</v>
      </c>
      <c r="J36" s="49" t="s">
        <v>7</v>
      </c>
      <c r="K36" s="49" t="s">
        <v>7</v>
      </c>
      <c r="L36" s="49" t="s">
        <v>7</v>
      </c>
      <c r="M36" s="49">
        <f t="shared" si="13"/>
        <v>7484.4</v>
      </c>
      <c r="N36" s="49" t="s">
        <v>7</v>
      </c>
      <c r="O36" s="49" t="s">
        <v>7</v>
      </c>
      <c r="P36" s="49" t="s">
        <v>7</v>
      </c>
      <c r="Q36" s="49"/>
    </row>
    <row r="37" spans="1:17" ht="20.100000000000001" customHeight="1" thickBot="1" x14ac:dyDescent="0.25">
      <c r="A37" s="50" t="s">
        <v>45</v>
      </c>
      <c r="B37" s="51">
        <f>B25</f>
        <v>144105.69999999998</v>
      </c>
      <c r="C37" s="51">
        <f t="shared" ref="C37:M37" si="14">C25</f>
        <v>57643.680469999999</v>
      </c>
      <c r="D37" s="51">
        <f t="shared" si="14"/>
        <v>33468.299999999996</v>
      </c>
      <c r="E37" s="51">
        <f t="shared" si="14"/>
        <v>14579.199999999999</v>
      </c>
      <c r="F37" s="51" t="s">
        <v>7</v>
      </c>
      <c r="G37" s="51" t="s">
        <v>7</v>
      </c>
      <c r="H37" s="51"/>
      <c r="I37" s="51">
        <f>I25</f>
        <v>7083.2</v>
      </c>
      <c r="J37" s="51" t="s">
        <v>7</v>
      </c>
      <c r="K37" s="51" t="s">
        <v>7</v>
      </c>
      <c r="L37" s="51" t="s">
        <v>7</v>
      </c>
      <c r="M37" s="51">
        <f t="shared" si="14"/>
        <v>7484.51055</v>
      </c>
      <c r="N37" s="51" t="s">
        <v>7</v>
      </c>
      <c r="O37" s="51" t="s">
        <v>7</v>
      </c>
      <c r="P37" s="51" t="s">
        <v>7</v>
      </c>
      <c r="Q37" s="51"/>
    </row>
    <row r="38" spans="1:17" ht="20.100000000000001" customHeight="1" x14ac:dyDescent="0.2">
      <c r="A38" s="52" t="s">
        <v>55</v>
      </c>
      <c r="B38" s="53">
        <f>ROUND(MAX(B$17*0.5, 20)*365,2)</f>
        <v>41757.83</v>
      </c>
      <c r="C38" s="53">
        <f t="shared" ref="C38:M38" si="15">ROUND(MAX(C$17*0.5, 20)*365,2)</f>
        <v>45803.85</v>
      </c>
      <c r="D38" s="53">
        <f t="shared" si="15"/>
        <v>56735.6</v>
      </c>
      <c r="E38" s="53">
        <f t="shared" si="15"/>
        <v>24559.03</v>
      </c>
      <c r="F38" s="53">
        <f t="shared" si="15"/>
        <v>60402.03</v>
      </c>
      <c r="G38" s="53">
        <f t="shared" si="15"/>
        <v>60402.03</v>
      </c>
      <c r="H38" s="53">
        <f t="shared" si="15"/>
        <v>44836.6</v>
      </c>
      <c r="I38" s="53">
        <f t="shared" si="15"/>
        <v>40843.5</v>
      </c>
      <c r="J38" s="53">
        <f t="shared" si="15"/>
        <v>43212.35</v>
      </c>
      <c r="K38" s="53">
        <f t="shared" si="15"/>
        <v>43212.35</v>
      </c>
      <c r="L38" s="53">
        <f t="shared" si="15"/>
        <v>54808.4</v>
      </c>
      <c r="M38" s="53">
        <f t="shared" si="15"/>
        <v>8274.5499999999993</v>
      </c>
      <c r="N38" s="53">
        <f>ROUND(MAX(N$17*0.5, 20)*365,2)</f>
        <v>47488.33</v>
      </c>
      <c r="O38" s="53">
        <f>ROUND(MAX(O$17*0.5, 20)*365,2)</f>
        <v>34926.85</v>
      </c>
      <c r="P38" s="53">
        <f>ROUND(MAX(P$17*0.5, 20)*365,2)</f>
        <v>37458.129999999997</v>
      </c>
      <c r="Q38" s="53">
        <f>ROUND(MAX(Q$17*0.5, 20)*365,2)</f>
        <v>27865.93</v>
      </c>
    </row>
    <row r="39" spans="1:17" ht="20.100000000000001" customHeight="1" x14ac:dyDescent="0.2">
      <c r="A39" s="17" t="s">
        <v>56</v>
      </c>
      <c r="B39" s="54" t="s">
        <v>32</v>
      </c>
      <c r="C39" s="55">
        <v>1557</v>
      </c>
      <c r="D39" s="55">
        <v>40</v>
      </c>
      <c r="E39" s="55" t="s">
        <v>32</v>
      </c>
      <c r="F39" s="55">
        <v>1070</v>
      </c>
      <c r="G39" s="55">
        <v>639</v>
      </c>
      <c r="H39" s="55">
        <v>72</v>
      </c>
      <c r="I39" s="55" t="s">
        <v>32</v>
      </c>
      <c r="J39" s="55" t="s">
        <v>32</v>
      </c>
      <c r="K39" s="55" t="s">
        <v>32</v>
      </c>
      <c r="L39" s="68">
        <v>1376</v>
      </c>
      <c r="M39" s="55">
        <v>65.7</v>
      </c>
      <c r="N39" s="55" t="s">
        <v>32</v>
      </c>
      <c r="O39" s="55" t="s">
        <v>32</v>
      </c>
      <c r="P39" s="55">
        <v>155</v>
      </c>
      <c r="Q39" s="55" t="s">
        <v>32</v>
      </c>
    </row>
    <row r="40" spans="1:17" ht="20.100000000000001" customHeight="1" x14ac:dyDescent="0.2">
      <c r="A40" s="229" t="s">
        <v>57</v>
      </c>
      <c r="B40" s="230"/>
      <c r="C40" s="230"/>
      <c r="D40" s="230"/>
      <c r="E40" s="230"/>
      <c r="F40" s="230"/>
      <c r="G40" s="230"/>
      <c r="H40" s="230"/>
      <c r="I40" s="230"/>
      <c r="J40" s="230"/>
      <c r="K40" s="230"/>
      <c r="L40" s="230"/>
      <c r="M40" s="230"/>
      <c r="N40" s="230"/>
      <c r="O40" s="230"/>
      <c r="P40" s="230"/>
      <c r="Q40" s="230"/>
    </row>
    <row r="41" spans="1:17" ht="20.100000000000001" customHeight="1" x14ac:dyDescent="0.2">
      <c r="A41" s="17" t="s">
        <v>58</v>
      </c>
      <c r="B41" s="54" t="s">
        <v>32</v>
      </c>
      <c r="C41" s="66">
        <f>MIN(ROUND((C12-C11)/(F73*$B$6),3),100%)</f>
        <v>0.97699999999999998</v>
      </c>
      <c r="D41" s="56">
        <f>ROUND((D12-D11)/(F70*$B$6),3)</f>
        <v>0.79400000000000004</v>
      </c>
      <c r="E41" s="56">
        <f>ROUND((E12-E11)/(F71*$B$6),3)</f>
        <v>0.44500000000000001</v>
      </c>
      <c r="F41" s="56" t="s">
        <v>32</v>
      </c>
      <c r="G41" s="54" t="s">
        <v>32</v>
      </c>
      <c r="H41" s="56">
        <f>ROUND((H12-H11)/(F58*$B$6),3)</f>
        <v>0.34300000000000003</v>
      </c>
      <c r="I41" s="54" t="s">
        <v>32</v>
      </c>
      <c r="J41" s="56" t="s">
        <v>32</v>
      </c>
      <c r="K41" s="54" t="s">
        <v>32</v>
      </c>
      <c r="L41" s="56">
        <f>ROUND((L12-L11)/(F52*$B$6),3)</f>
        <v>0.88</v>
      </c>
      <c r="M41" s="56">
        <f>ROUND((M12-M11)/(F51*$B$6),3)</f>
        <v>0.155</v>
      </c>
      <c r="N41" s="54" t="s">
        <v>32</v>
      </c>
      <c r="O41" s="54" t="s">
        <v>32</v>
      </c>
      <c r="P41" s="56">
        <f>ROUND((P12-P11)/(F54*$B$6),3)</f>
        <v>4.3999999999999997E-2</v>
      </c>
      <c r="Q41" s="56">
        <f>ROUND((Q12-Q11)/(F56*$B$6),3)</f>
        <v>0.95199999999999996</v>
      </c>
    </row>
    <row r="42" spans="1:17" ht="20.100000000000001" customHeight="1" x14ac:dyDescent="0.2">
      <c r="A42" s="57" t="s">
        <v>7</v>
      </c>
      <c r="B42" s="58"/>
      <c r="C42" s="58"/>
      <c r="D42" s="58"/>
      <c r="E42" s="58"/>
      <c r="F42" s="58"/>
      <c r="G42" s="163"/>
      <c r="H42" s="163"/>
      <c r="I42" s="163"/>
      <c r="J42" s="163"/>
      <c r="K42" s="163"/>
      <c r="L42" s="163"/>
      <c r="M42" s="163"/>
      <c r="N42" s="163"/>
    </row>
    <row r="43" spans="1:17" ht="20.100000000000001" customHeight="1" x14ac:dyDescent="0.2">
      <c r="A43" s="231" t="s">
        <v>59</v>
      </c>
      <c r="B43" s="231"/>
      <c r="C43" s="231"/>
      <c r="D43" s="231"/>
      <c r="E43" s="231"/>
      <c r="F43" s="231"/>
      <c r="G43" s="231"/>
      <c r="H43" s="231"/>
      <c r="I43" s="231"/>
      <c r="J43" s="70" t="s">
        <v>7</v>
      </c>
      <c r="K43" s="1" t="s">
        <v>7</v>
      </c>
      <c r="M43" s="59" t="s">
        <v>7</v>
      </c>
    </row>
    <row r="44" spans="1:17" ht="78.75" x14ac:dyDescent="0.2">
      <c r="A44" s="60" t="s">
        <v>60</v>
      </c>
      <c r="B44" s="61" t="s">
        <v>31</v>
      </c>
      <c r="C44" s="162" t="s">
        <v>33</v>
      </c>
      <c r="D44" s="162" t="s">
        <v>61</v>
      </c>
      <c r="E44" s="162" t="s">
        <v>133</v>
      </c>
      <c r="F44" s="61" t="s">
        <v>62</v>
      </c>
      <c r="G44" s="61" t="s">
        <v>63</v>
      </c>
      <c r="H44" s="61" t="s">
        <v>64</v>
      </c>
      <c r="I44" s="61" t="s">
        <v>65</v>
      </c>
      <c r="J44" s="25" t="s">
        <v>60</v>
      </c>
      <c r="K44" t="s">
        <v>7</v>
      </c>
      <c r="O44" s="64" t="s">
        <v>7</v>
      </c>
      <c r="P44" s="64" t="s">
        <v>7</v>
      </c>
      <c r="Q44" s="64" t="s">
        <v>7</v>
      </c>
    </row>
    <row r="45" spans="1:17" ht="20.100000000000001" customHeight="1" x14ac:dyDescent="0.2">
      <c r="A45" s="128" t="s">
        <v>8</v>
      </c>
      <c r="B45" s="128" t="s">
        <v>32</v>
      </c>
      <c r="C45" s="114" t="s">
        <v>32</v>
      </c>
      <c r="D45" s="131" t="s">
        <v>32</v>
      </c>
      <c r="E45" s="138">
        <f>E46+E47+E48+E49+E51+E52+E53+E54+E55+E56+E57+E59+E60+E61+E62+E63+E64+E65+E66+E67+E69</f>
        <v>148659.40000000002</v>
      </c>
      <c r="F45" s="140">
        <f>F46+F47+F48+F49+F51+F52+F53+F54+F55+F56+F57+F59+F60+F61+F62+F63+F64+F65+F66+F67+F69</f>
        <v>153883.03512820514</v>
      </c>
      <c r="G45" s="142" t="s">
        <v>32</v>
      </c>
      <c r="H45" s="140">
        <f>H46+H47+H48+H49+H51+H52+H53+H54+H55+H56+H57+H59+H60+H61+H63+H64+H65+H66+H67+H69</f>
        <v>11597.283398378959</v>
      </c>
      <c r="I45" s="122">
        <f>I46+I47+I48+I49+I51+I52+I53+I54+I55+I56+I57+I59+I60+I61+I62+I63+I64+I65+I66+I67+I69</f>
        <v>142285.75172982615</v>
      </c>
      <c r="J45" s="123" t="s">
        <v>8</v>
      </c>
      <c r="K45" t="s">
        <v>7</v>
      </c>
      <c r="O45" s="64" t="s">
        <v>7</v>
      </c>
      <c r="P45" s="64" t="s">
        <v>7</v>
      </c>
      <c r="Q45" s="64" t="s">
        <v>7</v>
      </c>
    </row>
    <row r="46" spans="1:17" ht="20.100000000000001" customHeight="1" x14ac:dyDescent="0.2">
      <c r="A46" s="129" t="s">
        <v>2</v>
      </c>
      <c r="B46" s="119">
        <v>2025</v>
      </c>
      <c r="C46" s="119" t="s">
        <v>134</v>
      </c>
      <c r="D46" s="132" t="s">
        <v>86</v>
      </c>
      <c r="E46" s="118">
        <v>2310</v>
      </c>
      <c r="F46" s="141">
        <v>2355</v>
      </c>
      <c r="G46" s="143">
        <v>1.0194805194805194</v>
      </c>
      <c r="H46" s="115">
        <v>0</v>
      </c>
      <c r="I46" s="135">
        <f t="shared" ref="I46:I69" si="16">F46-H46</f>
        <v>2355</v>
      </c>
      <c r="J46" s="103" t="s">
        <v>2</v>
      </c>
      <c r="K46" t="s">
        <v>7</v>
      </c>
      <c r="O46" s="64" t="s">
        <v>7</v>
      </c>
      <c r="P46" s="64" t="s">
        <v>7</v>
      </c>
      <c r="Q46" s="64" t="s">
        <v>7</v>
      </c>
    </row>
    <row r="47" spans="1:17" ht="20.100000000000001" customHeight="1" x14ac:dyDescent="0.2">
      <c r="A47" s="129" t="s">
        <v>19</v>
      </c>
      <c r="B47" s="119">
        <v>-2203</v>
      </c>
      <c r="C47" s="119" t="s">
        <v>66</v>
      </c>
      <c r="D47" s="133" t="s">
        <v>66</v>
      </c>
      <c r="E47" s="118">
        <v>21723</v>
      </c>
      <c r="F47" s="141">
        <v>23296</v>
      </c>
      <c r="G47" s="143">
        <v>1</v>
      </c>
      <c r="H47" s="115">
        <v>10744.400000000001</v>
      </c>
      <c r="I47" s="135">
        <f>F47-H47</f>
        <v>12551.599999999999</v>
      </c>
      <c r="J47" s="103" t="s">
        <v>19</v>
      </c>
      <c r="K47" t="s">
        <v>7</v>
      </c>
      <c r="O47" s="64" t="s">
        <v>7</v>
      </c>
      <c r="P47" s="64" t="s">
        <v>7</v>
      </c>
      <c r="Q47" s="64" t="s">
        <v>7</v>
      </c>
    </row>
    <row r="48" spans="1:17" ht="20.100000000000001" customHeight="1" x14ac:dyDescent="0.2">
      <c r="A48" s="129" t="s">
        <v>0</v>
      </c>
      <c r="B48" s="119">
        <v>1606</v>
      </c>
      <c r="C48" s="119" t="s">
        <v>135</v>
      </c>
      <c r="D48" s="132" t="s">
        <v>86</v>
      </c>
      <c r="E48" s="139">
        <v>8452.2000000000007</v>
      </c>
      <c r="F48" s="141">
        <v>8836</v>
      </c>
      <c r="G48" s="144">
        <v>1.0454082960649298</v>
      </c>
      <c r="H48" s="114">
        <v>0</v>
      </c>
      <c r="I48" s="135">
        <f t="shared" si="16"/>
        <v>8836</v>
      </c>
      <c r="J48" s="103" t="s">
        <v>0</v>
      </c>
      <c r="K48" t="s">
        <v>7</v>
      </c>
      <c r="O48" s="64" t="s">
        <v>7</v>
      </c>
      <c r="P48" s="64" t="s">
        <v>7</v>
      </c>
      <c r="Q48" s="64" t="s">
        <v>7</v>
      </c>
    </row>
    <row r="49" spans="1:17" ht="20.100000000000001" customHeight="1" x14ac:dyDescent="0.2">
      <c r="A49" s="129" t="s">
        <v>18</v>
      </c>
      <c r="B49" s="119">
        <v>4406</v>
      </c>
      <c r="C49" s="173">
        <v>10846</v>
      </c>
      <c r="D49" s="132">
        <v>2.4616432137993645</v>
      </c>
      <c r="E49" s="135">
        <v>11550</v>
      </c>
      <c r="F49" s="141">
        <v>11978</v>
      </c>
      <c r="G49" s="144">
        <v>1.037056277056277</v>
      </c>
      <c r="H49" s="114">
        <v>0</v>
      </c>
      <c r="I49" s="135">
        <f t="shared" si="16"/>
        <v>11978</v>
      </c>
      <c r="J49" s="103" t="s">
        <v>18</v>
      </c>
      <c r="K49" t="s">
        <v>7</v>
      </c>
      <c r="O49" s="64" t="s">
        <v>7</v>
      </c>
      <c r="P49" s="64" t="s">
        <v>7</v>
      </c>
      <c r="Q49" s="64" t="s">
        <v>7</v>
      </c>
    </row>
    <row r="50" spans="1:17" ht="20.100000000000001" customHeight="1" x14ac:dyDescent="0.2">
      <c r="A50" s="129" t="s">
        <v>67</v>
      </c>
      <c r="B50" s="119">
        <v>3428</v>
      </c>
      <c r="C50" s="173">
        <v>4713</v>
      </c>
      <c r="D50" s="132">
        <v>1.3748541423570595</v>
      </c>
      <c r="E50" s="135" t="s">
        <v>32</v>
      </c>
      <c r="F50" s="141">
        <v>4012.63</v>
      </c>
      <c r="G50" s="144" t="s">
        <v>32</v>
      </c>
      <c r="H50" s="114">
        <v>0</v>
      </c>
      <c r="I50" s="135" t="s">
        <v>32</v>
      </c>
      <c r="J50" s="103" t="s">
        <v>67</v>
      </c>
      <c r="K50" t="s">
        <v>7</v>
      </c>
      <c r="O50" s="64" t="s">
        <v>7</v>
      </c>
      <c r="P50" s="64" t="s">
        <v>7</v>
      </c>
      <c r="Q50" s="64" t="s">
        <v>7</v>
      </c>
    </row>
    <row r="51" spans="1:17" ht="20.100000000000001" customHeight="1" x14ac:dyDescent="0.2">
      <c r="A51" s="129" t="s">
        <v>3</v>
      </c>
      <c r="B51" s="119">
        <v>4620</v>
      </c>
      <c r="C51" s="174">
        <v>6031</v>
      </c>
      <c r="D51" s="134">
        <v>1.3054112554112554</v>
      </c>
      <c r="E51" s="118">
        <v>6200</v>
      </c>
      <c r="F51" s="141">
        <v>6259</v>
      </c>
      <c r="G51" s="143">
        <v>1.0095161290322581</v>
      </c>
      <c r="H51" s="114">
        <v>0</v>
      </c>
      <c r="I51" s="135">
        <f t="shared" si="16"/>
        <v>6259</v>
      </c>
      <c r="J51" s="103" t="s">
        <v>3</v>
      </c>
      <c r="K51" t="s">
        <v>7</v>
      </c>
      <c r="O51" s="64" t="s">
        <v>7</v>
      </c>
      <c r="P51" s="64" t="s">
        <v>7</v>
      </c>
      <c r="Q51" s="64" t="s">
        <v>7</v>
      </c>
    </row>
    <row r="52" spans="1:17" ht="20.100000000000001" customHeight="1" x14ac:dyDescent="0.2">
      <c r="A52" s="129" t="s">
        <v>12</v>
      </c>
      <c r="B52" s="119">
        <v>-3270</v>
      </c>
      <c r="C52" s="174">
        <v>5254</v>
      </c>
      <c r="D52" s="134" t="s">
        <v>66</v>
      </c>
      <c r="E52" s="118">
        <v>18720</v>
      </c>
      <c r="F52" s="141">
        <v>18839</v>
      </c>
      <c r="G52" s="143">
        <v>1.0063568376068377</v>
      </c>
      <c r="H52" s="114">
        <v>0</v>
      </c>
      <c r="I52" s="135">
        <f t="shared" si="16"/>
        <v>18839</v>
      </c>
      <c r="J52" s="103" t="s">
        <v>12</v>
      </c>
      <c r="K52" t="s">
        <v>7</v>
      </c>
      <c r="O52" s="64" t="s">
        <v>7</v>
      </c>
      <c r="P52" s="64" t="s">
        <v>7</v>
      </c>
      <c r="Q52" s="64" t="s">
        <v>7</v>
      </c>
    </row>
    <row r="53" spans="1:17" ht="20.100000000000001" customHeight="1" x14ac:dyDescent="0.2">
      <c r="A53" s="129" t="s">
        <v>13</v>
      </c>
      <c r="B53" s="119">
        <v>2603</v>
      </c>
      <c r="C53" s="130">
        <v>3931</v>
      </c>
      <c r="D53" s="132">
        <v>1.5101805608912793</v>
      </c>
      <c r="E53" s="135">
        <v>3140</v>
      </c>
      <c r="F53" s="141">
        <v>3135</v>
      </c>
      <c r="G53" s="144">
        <v>0.99840764331210186</v>
      </c>
      <c r="H53" s="114">
        <v>0</v>
      </c>
      <c r="I53" s="135">
        <f t="shared" si="16"/>
        <v>3135</v>
      </c>
      <c r="J53" s="103" t="s">
        <v>13</v>
      </c>
      <c r="K53" t="s">
        <v>7</v>
      </c>
      <c r="O53" s="64" t="s">
        <v>7</v>
      </c>
      <c r="P53" s="64" t="s">
        <v>7</v>
      </c>
      <c r="Q53" s="64" t="s">
        <v>7</v>
      </c>
    </row>
    <row r="54" spans="1:17" ht="20.100000000000001" customHeight="1" x14ac:dyDescent="0.2">
      <c r="A54" s="129" t="s">
        <v>20</v>
      </c>
      <c r="B54" s="119">
        <v>2797</v>
      </c>
      <c r="C54" s="130">
        <v>5387</v>
      </c>
      <c r="D54" s="132">
        <v>1.9259921344297461</v>
      </c>
      <c r="E54" s="135">
        <v>5030</v>
      </c>
      <c r="F54" s="141">
        <v>5076</v>
      </c>
      <c r="G54" s="144">
        <v>1.009145129224652</v>
      </c>
      <c r="H54" s="115">
        <v>831.93924453280317</v>
      </c>
      <c r="I54" s="135">
        <f>F54-H54</f>
        <v>4244.0607554671969</v>
      </c>
      <c r="J54" s="103" t="s">
        <v>20</v>
      </c>
      <c r="K54" t="s">
        <v>7</v>
      </c>
      <c r="O54" s="64" t="s">
        <v>7</v>
      </c>
      <c r="P54" s="64" t="s">
        <v>7</v>
      </c>
      <c r="Q54" s="64" t="s">
        <v>7</v>
      </c>
    </row>
    <row r="55" spans="1:17" ht="20.100000000000001" customHeight="1" x14ac:dyDescent="0.2">
      <c r="A55" s="129" t="s">
        <v>4</v>
      </c>
      <c r="B55" s="119">
        <v>1873</v>
      </c>
      <c r="C55" s="119" t="s">
        <v>136</v>
      </c>
      <c r="D55" s="132" t="s">
        <v>86</v>
      </c>
      <c r="E55" s="135">
        <v>2620</v>
      </c>
      <c r="F55" s="141">
        <v>2622</v>
      </c>
      <c r="G55" s="144">
        <v>1.000763358778626</v>
      </c>
      <c r="H55" s="115">
        <v>0</v>
      </c>
      <c r="I55" s="135">
        <f t="shared" si="16"/>
        <v>2622</v>
      </c>
      <c r="J55" s="103" t="s">
        <v>4</v>
      </c>
      <c r="K55" t="s">
        <v>7</v>
      </c>
      <c r="O55" s="64" t="s">
        <v>7</v>
      </c>
      <c r="P55" s="64" t="s">
        <v>7</v>
      </c>
      <c r="Q55" s="64" t="s">
        <v>7</v>
      </c>
    </row>
    <row r="56" spans="1:17" ht="20.100000000000001" customHeight="1" x14ac:dyDescent="0.2">
      <c r="A56" s="129" t="s">
        <v>14</v>
      </c>
      <c r="B56" s="119">
        <v>5156</v>
      </c>
      <c r="C56" s="119">
        <v>5164</v>
      </c>
      <c r="D56" s="135">
        <v>1.0015515903801397</v>
      </c>
      <c r="E56" s="135">
        <v>21200</v>
      </c>
      <c r="F56" s="141">
        <v>23021</v>
      </c>
      <c r="G56" s="144">
        <v>1.0858962264150944</v>
      </c>
      <c r="H56" s="115">
        <v>0</v>
      </c>
      <c r="I56" s="135">
        <f t="shared" si="16"/>
        <v>23021</v>
      </c>
      <c r="J56" s="103" t="s">
        <v>14</v>
      </c>
      <c r="K56" t="s">
        <v>7</v>
      </c>
      <c r="O56" s="64" t="s">
        <v>7</v>
      </c>
      <c r="P56" s="64" t="s">
        <v>7</v>
      </c>
      <c r="Q56" s="64" t="s">
        <v>7</v>
      </c>
    </row>
    <row r="57" spans="1:17" ht="20.100000000000001" customHeight="1" x14ac:dyDescent="0.2">
      <c r="A57" s="129" t="s">
        <v>1</v>
      </c>
      <c r="B57" s="119">
        <v>1161</v>
      </c>
      <c r="C57" s="119" t="s">
        <v>137</v>
      </c>
      <c r="D57" s="132" t="s">
        <v>86</v>
      </c>
      <c r="E57" s="135">
        <v>3660</v>
      </c>
      <c r="F57" s="141">
        <v>3673</v>
      </c>
      <c r="G57" s="144">
        <v>1.0035519125683061</v>
      </c>
      <c r="H57" s="115">
        <v>0</v>
      </c>
      <c r="I57" s="135">
        <f t="shared" si="16"/>
        <v>3673</v>
      </c>
      <c r="J57" s="103" t="s">
        <v>1</v>
      </c>
      <c r="K57" t="s">
        <v>7</v>
      </c>
      <c r="O57" s="64" t="s">
        <v>7</v>
      </c>
      <c r="P57" s="64" t="s">
        <v>7</v>
      </c>
      <c r="Q57" s="64" t="s">
        <v>7</v>
      </c>
    </row>
    <row r="58" spans="1:17" ht="20.100000000000001" customHeight="1" x14ac:dyDescent="0.2">
      <c r="A58" s="129" t="s">
        <v>17</v>
      </c>
      <c r="B58" s="119">
        <v>1435</v>
      </c>
      <c r="C58" s="130">
        <v>2030</v>
      </c>
      <c r="D58" s="132">
        <v>1.4146341463414633</v>
      </c>
      <c r="E58" s="135" t="s">
        <v>32</v>
      </c>
      <c r="F58" s="141">
        <v>2236.857</v>
      </c>
      <c r="G58" s="144" t="s">
        <v>32</v>
      </c>
      <c r="H58" s="115">
        <v>0</v>
      </c>
      <c r="I58" s="135">
        <f t="shared" si="16"/>
        <v>2236.857</v>
      </c>
      <c r="J58" s="103" t="s">
        <v>17</v>
      </c>
      <c r="K58" t="s">
        <v>7</v>
      </c>
      <c r="O58" s="64" t="s">
        <v>7</v>
      </c>
      <c r="P58" s="64" t="s">
        <v>7</v>
      </c>
      <c r="Q58" s="64" t="s">
        <v>7</v>
      </c>
    </row>
    <row r="59" spans="1:17" ht="20.100000000000001" customHeight="1" x14ac:dyDescent="0.2">
      <c r="A59" s="129" t="s">
        <v>21</v>
      </c>
      <c r="B59" s="119">
        <v>883</v>
      </c>
      <c r="C59" s="119" t="s">
        <v>138</v>
      </c>
      <c r="D59" s="136" t="s">
        <v>86</v>
      </c>
      <c r="E59" s="135">
        <v>1950</v>
      </c>
      <c r="F59" s="141">
        <v>2362.0351282051283</v>
      </c>
      <c r="G59" s="144">
        <v>1.2113000657462196</v>
      </c>
      <c r="H59" s="115">
        <v>20.944153846153842</v>
      </c>
      <c r="I59" s="135">
        <f t="shared" si="16"/>
        <v>2341.0909743589746</v>
      </c>
      <c r="J59" s="103" t="s">
        <v>21</v>
      </c>
      <c r="K59" t="s">
        <v>7</v>
      </c>
      <c r="O59" s="64" t="s">
        <v>7</v>
      </c>
      <c r="P59" s="64" t="s">
        <v>7</v>
      </c>
      <c r="Q59" s="64" t="s">
        <v>7</v>
      </c>
    </row>
    <row r="60" spans="1:17" ht="20.100000000000001" customHeight="1" x14ac:dyDescent="0.2">
      <c r="A60" s="129" t="s">
        <v>5</v>
      </c>
      <c r="B60" s="119">
        <v>3779</v>
      </c>
      <c r="C60" s="119" t="s">
        <v>139</v>
      </c>
      <c r="D60" s="136" t="s">
        <v>86</v>
      </c>
      <c r="E60" s="135">
        <v>5730</v>
      </c>
      <c r="F60" s="141">
        <v>5719</v>
      </c>
      <c r="G60" s="144">
        <v>0.99808027923211173</v>
      </c>
      <c r="H60" s="114">
        <v>0</v>
      </c>
      <c r="I60" s="135">
        <f t="shared" si="16"/>
        <v>5719</v>
      </c>
      <c r="J60" s="103" t="s">
        <v>5</v>
      </c>
      <c r="K60" t="s">
        <v>7</v>
      </c>
      <c r="O60" s="64" t="s">
        <v>7</v>
      </c>
      <c r="P60" s="64" t="s">
        <v>7</v>
      </c>
      <c r="Q60" s="64" t="s">
        <v>7</v>
      </c>
    </row>
    <row r="61" spans="1:17" ht="20.100000000000001" customHeight="1" x14ac:dyDescent="0.2">
      <c r="A61" s="129" t="s">
        <v>15</v>
      </c>
      <c r="B61" s="119">
        <v>1503</v>
      </c>
      <c r="C61" s="119" t="s">
        <v>140</v>
      </c>
      <c r="D61" s="136" t="s">
        <v>86</v>
      </c>
      <c r="E61" s="135">
        <v>2900</v>
      </c>
      <c r="F61" s="141">
        <v>2958</v>
      </c>
      <c r="G61" s="144">
        <v>1.02</v>
      </c>
      <c r="H61" s="114">
        <v>0</v>
      </c>
      <c r="I61" s="135">
        <f t="shared" si="16"/>
        <v>2958</v>
      </c>
      <c r="J61" s="103" t="s">
        <v>15</v>
      </c>
      <c r="K61" t="s">
        <v>7</v>
      </c>
      <c r="O61" s="64" t="s">
        <v>7</v>
      </c>
      <c r="P61" s="64" t="s">
        <v>7</v>
      </c>
      <c r="Q61" s="64" t="s">
        <v>7</v>
      </c>
    </row>
    <row r="62" spans="1:17" ht="20.100000000000001" customHeight="1" x14ac:dyDescent="0.2">
      <c r="A62" s="129" t="s">
        <v>78</v>
      </c>
      <c r="B62" s="119" t="s">
        <v>32</v>
      </c>
      <c r="C62" s="119" t="s">
        <v>32</v>
      </c>
      <c r="D62" s="135" t="s">
        <v>32</v>
      </c>
      <c r="E62" s="135">
        <v>60</v>
      </c>
      <c r="F62" s="141">
        <v>60</v>
      </c>
      <c r="G62" s="144">
        <v>1</v>
      </c>
      <c r="H62" s="114">
        <v>0</v>
      </c>
      <c r="I62" s="135">
        <f t="shared" si="16"/>
        <v>60</v>
      </c>
      <c r="J62" s="103" t="s">
        <v>78</v>
      </c>
      <c r="K62" t="s">
        <v>7</v>
      </c>
      <c r="O62" s="64" t="s">
        <v>7</v>
      </c>
      <c r="P62" s="64" t="s">
        <v>7</v>
      </c>
      <c r="Q62" s="64" t="s">
        <v>7</v>
      </c>
    </row>
    <row r="63" spans="1:17" ht="20.100000000000001" customHeight="1" x14ac:dyDescent="0.2">
      <c r="A63" s="129" t="s">
        <v>68</v>
      </c>
      <c r="B63" s="119">
        <v>2900</v>
      </c>
      <c r="C63" s="119" t="s">
        <v>141</v>
      </c>
      <c r="D63" s="136" t="s">
        <v>86</v>
      </c>
      <c r="E63" s="135">
        <v>8030</v>
      </c>
      <c r="F63" s="141">
        <v>8119</v>
      </c>
      <c r="G63" s="144">
        <v>1.0110834371108344</v>
      </c>
      <c r="H63" s="114">
        <v>0</v>
      </c>
      <c r="I63" s="135">
        <f t="shared" si="16"/>
        <v>8119</v>
      </c>
      <c r="J63" s="103" t="s">
        <v>68</v>
      </c>
      <c r="K63" t="s">
        <v>7</v>
      </c>
      <c r="O63" s="64" t="s">
        <v>7</v>
      </c>
      <c r="P63" s="64" t="s">
        <v>7</v>
      </c>
      <c r="Q63" s="64" t="s">
        <v>7</v>
      </c>
    </row>
    <row r="64" spans="1:17" ht="20.100000000000001" customHeight="1" x14ac:dyDescent="0.2">
      <c r="A64" s="129" t="s">
        <v>69</v>
      </c>
      <c r="B64" s="119">
        <v>314</v>
      </c>
      <c r="C64" s="119" t="s">
        <v>142</v>
      </c>
      <c r="D64" s="135" t="s">
        <v>66</v>
      </c>
      <c r="E64" s="135">
        <v>2730</v>
      </c>
      <c r="F64" s="141">
        <v>2745</v>
      </c>
      <c r="G64" s="144">
        <v>1.0054945054945055</v>
      </c>
      <c r="H64" s="114">
        <v>0</v>
      </c>
      <c r="I64" s="135">
        <f t="shared" si="16"/>
        <v>2745</v>
      </c>
      <c r="J64" s="103" t="s">
        <v>69</v>
      </c>
      <c r="K64" t="s">
        <v>7</v>
      </c>
      <c r="O64" s="64" t="s">
        <v>7</v>
      </c>
      <c r="P64" s="64" t="s">
        <v>7</v>
      </c>
      <c r="Q64" s="64" t="s">
        <v>7</v>
      </c>
    </row>
    <row r="65" spans="1:17" ht="20.100000000000001" customHeight="1" x14ac:dyDescent="0.2">
      <c r="A65" s="129" t="s">
        <v>6</v>
      </c>
      <c r="B65" s="119">
        <v>4336</v>
      </c>
      <c r="C65" s="173">
        <v>6572</v>
      </c>
      <c r="D65" s="132">
        <v>1.5156826568265682</v>
      </c>
      <c r="E65" s="135">
        <v>5810</v>
      </c>
      <c r="F65" s="141">
        <v>5818</v>
      </c>
      <c r="G65" s="144">
        <v>1.0013769363166953</v>
      </c>
      <c r="H65" s="114">
        <v>0</v>
      </c>
      <c r="I65" s="135">
        <f t="shared" si="16"/>
        <v>5818</v>
      </c>
      <c r="J65" s="103" t="s">
        <v>6</v>
      </c>
      <c r="K65" t="s">
        <v>7</v>
      </c>
      <c r="O65" s="64" t="s">
        <v>7</v>
      </c>
      <c r="P65" s="64" t="s">
        <v>7</v>
      </c>
      <c r="Q65" s="64" t="s">
        <v>7</v>
      </c>
    </row>
    <row r="66" spans="1:17" ht="20.100000000000001" customHeight="1" x14ac:dyDescent="0.2">
      <c r="A66" s="129" t="s">
        <v>70</v>
      </c>
      <c r="B66" s="119">
        <v>-145</v>
      </c>
      <c r="C66" s="130">
        <v>4681</v>
      </c>
      <c r="D66" s="132" t="s">
        <v>66</v>
      </c>
      <c r="E66" s="135">
        <v>7034.2</v>
      </c>
      <c r="F66" s="141">
        <v>7040</v>
      </c>
      <c r="G66" s="144">
        <v>1.0008245429473146</v>
      </c>
      <c r="H66" s="114">
        <v>0</v>
      </c>
      <c r="I66" s="135">
        <f t="shared" si="16"/>
        <v>7040</v>
      </c>
      <c r="J66" s="103" t="s">
        <v>70</v>
      </c>
      <c r="K66" t="s">
        <v>7</v>
      </c>
      <c r="O66" s="64" t="s">
        <v>7</v>
      </c>
      <c r="P66" s="64" t="s">
        <v>7</v>
      </c>
      <c r="Q66" s="64" t="s">
        <v>7</v>
      </c>
    </row>
    <row r="67" spans="1:17" ht="20.100000000000001" customHeight="1" x14ac:dyDescent="0.2">
      <c r="A67" s="129" t="s">
        <v>27</v>
      </c>
      <c r="B67" s="119">
        <v>6389</v>
      </c>
      <c r="C67" s="173">
        <v>8501</v>
      </c>
      <c r="D67" s="136">
        <v>1.3305681640319298</v>
      </c>
      <c r="E67" s="135">
        <v>9420</v>
      </c>
      <c r="F67" s="141">
        <v>9584</v>
      </c>
      <c r="G67" s="144">
        <v>1.0174097664543524</v>
      </c>
      <c r="H67" s="114">
        <v>0</v>
      </c>
      <c r="I67" s="135">
        <f t="shared" si="16"/>
        <v>9584</v>
      </c>
      <c r="J67" s="103" t="s">
        <v>27</v>
      </c>
      <c r="K67" t="s">
        <v>7</v>
      </c>
      <c r="O67" s="64" t="s">
        <v>7</v>
      </c>
      <c r="P67" s="64" t="s">
        <v>7</v>
      </c>
      <c r="Q67" s="64" t="s">
        <v>7</v>
      </c>
    </row>
    <row r="68" spans="1:17" ht="20.100000000000001" customHeight="1" x14ac:dyDescent="0.2">
      <c r="A68" s="129" t="s">
        <v>28</v>
      </c>
      <c r="B68" s="119">
        <v>2957</v>
      </c>
      <c r="C68" s="173">
        <v>4282</v>
      </c>
      <c r="D68" s="136">
        <v>1.4480892796753466</v>
      </c>
      <c r="E68" s="135" t="s">
        <v>32</v>
      </c>
      <c r="F68" s="141">
        <v>4878.2560000000003</v>
      </c>
      <c r="G68" s="144" t="s">
        <v>32</v>
      </c>
      <c r="H68" s="114">
        <v>0</v>
      </c>
      <c r="I68" s="135">
        <f t="shared" si="16"/>
        <v>4878.2560000000003</v>
      </c>
      <c r="J68" s="103" t="s">
        <v>28</v>
      </c>
      <c r="K68" t="s">
        <v>7</v>
      </c>
      <c r="O68" s="64" t="s">
        <v>7</v>
      </c>
      <c r="P68" s="64" t="s">
        <v>7</v>
      </c>
      <c r="Q68" s="64" t="s">
        <v>7</v>
      </c>
    </row>
    <row r="69" spans="1:17" ht="20.100000000000001" customHeight="1" x14ac:dyDescent="0.2">
      <c r="A69" s="129" t="s">
        <v>16</v>
      </c>
      <c r="B69" s="119" t="s">
        <v>32</v>
      </c>
      <c r="C69" s="119" t="s">
        <v>32</v>
      </c>
      <c r="D69" s="135" t="s">
        <v>32</v>
      </c>
      <c r="E69" s="135">
        <v>390</v>
      </c>
      <c r="F69" s="141">
        <v>388</v>
      </c>
      <c r="G69" s="144">
        <v>0.99487179487179489</v>
      </c>
      <c r="H69" s="114">
        <v>0</v>
      </c>
      <c r="I69" s="135">
        <f t="shared" si="16"/>
        <v>388</v>
      </c>
      <c r="J69" s="103" t="s">
        <v>16</v>
      </c>
      <c r="K69" t="s">
        <v>83</v>
      </c>
      <c r="O69" s="64" t="s">
        <v>7</v>
      </c>
      <c r="P69" s="64" t="s">
        <v>7</v>
      </c>
      <c r="Q69" s="64" t="s">
        <v>7</v>
      </c>
    </row>
    <row r="70" spans="1:17" ht="20.100000000000001" customHeight="1" x14ac:dyDescent="0.2">
      <c r="A70" s="129" t="s">
        <v>10</v>
      </c>
      <c r="B70" s="119">
        <v>5335</v>
      </c>
      <c r="C70" s="173">
        <v>8717</v>
      </c>
      <c r="D70" s="136">
        <v>1.6339268978444237</v>
      </c>
      <c r="E70" s="135" t="s">
        <v>32</v>
      </c>
      <c r="F70" s="135">
        <f>F46+F57+F60+F63+F67+F69</f>
        <v>29838</v>
      </c>
      <c r="G70" s="145" t="s">
        <v>32</v>
      </c>
      <c r="H70" s="135">
        <f>H46+H57+H60+H63+H67+H69</f>
        <v>0</v>
      </c>
      <c r="I70" s="260" t="s">
        <v>7</v>
      </c>
      <c r="J70" s="103" t="s">
        <v>10</v>
      </c>
      <c r="K70" t="s">
        <v>7</v>
      </c>
      <c r="O70" s="64" t="s">
        <v>7</v>
      </c>
      <c r="P70" s="64" t="s">
        <v>7</v>
      </c>
      <c r="Q70" s="64" t="s">
        <v>7</v>
      </c>
    </row>
    <row r="71" spans="1:17" ht="20.100000000000001" customHeight="1" x14ac:dyDescent="0.2">
      <c r="A71" s="129" t="s">
        <v>9</v>
      </c>
      <c r="B71" s="119">
        <v>6772</v>
      </c>
      <c r="C71" s="174">
        <v>8467</v>
      </c>
      <c r="D71" s="137">
        <v>1.2502953337271117</v>
      </c>
      <c r="E71" s="118" t="s">
        <v>32</v>
      </c>
      <c r="F71" s="118">
        <f>F51+F65</f>
        <v>12077</v>
      </c>
      <c r="G71" s="145" t="s">
        <v>32</v>
      </c>
      <c r="H71" s="135">
        <f>H51+H65</f>
        <v>0</v>
      </c>
      <c r="I71" s="261"/>
      <c r="J71" s="103" t="s">
        <v>9</v>
      </c>
      <c r="K71" t="s">
        <v>7</v>
      </c>
      <c r="O71" s="64" t="s">
        <v>7</v>
      </c>
      <c r="P71" s="64" t="s">
        <v>7</v>
      </c>
      <c r="Q71" s="64" t="s">
        <v>7</v>
      </c>
    </row>
    <row r="72" spans="1:17" ht="20.100000000000001" customHeight="1" x14ac:dyDescent="0.2">
      <c r="A72" s="129" t="s">
        <v>71</v>
      </c>
      <c r="B72" s="119">
        <v>-6889</v>
      </c>
      <c r="C72" s="116" t="s">
        <v>66</v>
      </c>
      <c r="D72" s="118" t="s">
        <v>66</v>
      </c>
      <c r="E72" s="118" t="s">
        <v>32</v>
      </c>
      <c r="F72" s="118">
        <f>F61+F64+F66</f>
        <v>12743</v>
      </c>
      <c r="G72" s="145" t="s">
        <v>32</v>
      </c>
      <c r="H72" s="135">
        <f>H61+H64+H66</f>
        <v>0</v>
      </c>
      <c r="I72" s="261"/>
      <c r="J72" s="103" t="s">
        <v>71</v>
      </c>
      <c r="K72" t="s">
        <v>7</v>
      </c>
      <c r="O72" s="63"/>
      <c r="P72" s="63"/>
    </row>
    <row r="73" spans="1:17" ht="20.100000000000001" customHeight="1" x14ac:dyDescent="0.2">
      <c r="A73" s="129" t="s">
        <v>11</v>
      </c>
      <c r="B73" s="119">
        <v>-1207</v>
      </c>
      <c r="C73" s="174" t="s">
        <v>66</v>
      </c>
      <c r="D73" s="137" t="s">
        <v>66</v>
      </c>
      <c r="E73" s="118" t="s">
        <v>32</v>
      </c>
      <c r="F73" s="118">
        <f>F70+F71+F72</f>
        <v>54658</v>
      </c>
      <c r="G73" s="145" t="s">
        <v>32</v>
      </c>
      <c r="H73" s="135">
        <f>H70+H71+H72</f>
        <v>0</v>
      </c>
      <c r="I73" s="261"/>
      <c r="J73" s="103" t="s">
        <v>11</v>
      </c>
      <c r="K73" t="s">
        <v>7</v>
      </c>
      <c r="O73" s="63"/>
      <c r="P73" s="63"/>
    </row>
    <row r="74" spans="1:17" ht="20.100000000000001" customHeight="1" x14ac:dyDescent="0.2">
      <c r="A74" s="129" t="s">
        <v>72</v>
      </c>
      <c r="B74" s="119">
        <v>-2334</v>
      </c>
      <c r="C74" s="119" t="s">
        <v>66</v>
      </c>
      <c r="D74" s="135" t="s">
        <v>66</v>
      </c>
      <c r="E74" s="135" t="s">
        <v>32</v>
      </c>
      <c r="F74" s="135">
        <f>F47+F48+F49+F52+F53+F54+F55+F59+F62</f>
        <v>76204.035128205127</v>
      </c>
      <c r="G74" s="145" t="s">
        <v>32</v>
      </c>
      <c r="H74" s="135">
        <f>H47+H48+H49+H52+H53+H54+H55+H59</f>
        <v>11597.283398378959</v>
      </c>
      <c r="I74" s="262"/>
      <c r="J74" s="103" t="s">
        <v>72</v>
      </c>
      <c r="K74" t="s">
        <v>7</v>
      </c>
      <c r="O74" s="63"/>
      <c r="P74" s="63"/>
    </row>
    <row r="75" spans="1:17" ht="20.100000000000001" customHeight="1" x14ac:dyDescent="0.2">
      <c r="A75" s="251" t="s">
        <v>73</v>
      </c>
      <c r="B75" s="252"/>
      <c r="C75" s="252"/>
      <c r="D75" s="252"/>
      <c r="E75" s="252"/>
      <c r="F75" s="252"/>
      <c r="G75" s="252"/>
      <c r="H75" s="252"/>
      <c r="I75" s="252"/>
      <c r="J75" s="252"/>
      <c r="K75" t="s">
        <v>7</v>
      </c>
      <c r="O75" s="63"/>
      <c r="P75" s="63"/>
    </row>
    <row r="76" spans="1:17" ht="10.15" customHeight="1" x14ac:dyDescent="0.2">
      <c r="A76" s="246" t="s">
        <v>7</v>
      </c>
      <c r="B76" s="247"/>
      <c r="C76" s="247"/>
      <c r="D76" s="247"/>
      <c r="E76" s="247"/>
      <c r="F76" s="247"/>
      <c r="G76" s="247"/>
      <c r="H76" s="247"/>
      <c r="I76" s="247"/>
      <c r="J76" s="247"/>
      <c r="K76" t="s">
        <v>7</v>
      </c>
      <c r="O76" s="63"/>
      <c r="P76" s="63"/>
    </row>
    <row r="77" spans="1:17" ht="15.75" x14ac:dyDescent="0.2">
      <c r="A77" s="231" t="s">
        <v>74</v>
      </c>
      <c r="B77" s="231"/>
      <c r="C77" s="231"/>
      <c r="D77" s="231"/>
      <c r="E77" s="231"/>
      <c r="F77" s="231"/>
      <c r="G77" s="231"/>
      <c r="H77" s="231"/>
      <c r="I77" s="231"/>
      <c r="J77" s="231"/>
      <c r="K77" t="s">
        <v>7</v>
      </c>
    </row>
    <row r="78" spans="1:17" ht="15.75" x14ac:dyDescent="0.2">
      <c r="A78" s="60" t="s">
        <v>75</v>
      </c>
      <c r="B78" s="248" t="s">
        <v>82</v>
      </c>
      <c r="C78" s="249"/>
      <c r="D78" s="248" t="s">
        <v>81</v>
      </c>
      <c r="E78" s="250"/>
      <c r="F78" s="250"/>
      <c r="G78" s="250"/>
      <c r="H78" s="250"/>
      <c r="I78" s="250"/>
      <c r="J78" s="249"/>
      <c r="K78" t="s">
        <v>7</v>
      </c>
    </row>
    <row r="79" spans="1:17" ht="39.950000000000003" customHeight="1" x14ac:dyDescent="0.2">
      <c r="A79" s="62" t="s">
        <v>11</v>
      </c>
      <c r="B79" s="238" t="s">
        <v>85</v>
      </c>
      <c r="C79" s="239"/>
      <c r="D79" s="240" t="s">
        <v>151</v>
      </c>
      <c r="E79" s="241"/>
      <c r="F79" s="241"/>
      <c r="G79" s="241"/>
      <c r="H79" s="241"/>
      <c r="I79" s="241"/>
      <c r="J79" s="242"/>
      <c r="K79" t="s">
        <v>7</v>
      </c>
    </row>
    <row r="80" spans="1:17" ht="39.950000000000003" customHeight="1" x14ac:dyDescent="0.2">
      <c r="A80" s="62" t="s">
        <v>10</v>
      </c>
      <c r="B80" s="238" t="s">
        <v>84</v>
      </c>
      <c r="C80" s="239"/>
      <c r="D80" s="240" t="s">
        <v>152</v>
      </c>
      <c r="E80" s="244"/>
      <c r="F80" s="244"/>
      <c r="G80" s="244"/>
      <c r="H80" s="244"/>
      <c r="I80" s="244"/>
      <c r="J80" s="239"/>
      <c r="K80" t="s">
        <v>7</v>
      </c>
    </row>
    <row r="81" spans="1:11" ht="39.950000000000003" customHeight="1" x14ac:dyDescent="0.2">
      <c r="A81" s="62" t="s">
        <v>9</v>
      </c>
      <c r="B81" s="238" t="s">
        <v>84</v>
      </c>
      <c r="C81" s="239"/>
      <c r="D81" s="240" t="s">
        <v>153</v>
      </c>
      <c r="E81" s="241"/>
      <c r="F81" s="241"/>
      <c r="G81" s="241"/>
      <c r="H81" s="241"/>
      <c r="I81" s="241"/>
      <c r="J81" s="242"/>
      <c r="K81" t="s">
        <v>7</v>
      </c>
    </row>
    <row r="82" spans="1:11" ht="80.099999999999994" customHeight="1" x14ac:dyDescent="0.2">
      <c r="A82" s="62" t="s">
        <v>27</v>
      </c>
      <c r="B82" s="238" t="s">
        <v>85</v>
      </c>
      <c r="C82" s="239"/>
      <c r="D82" s="240" t="s">
        <v>154</v>
      </c>
      <c r="E82" s="241"/>
      <c r="F82" s="241"/>
      <c r="G82" s="241"/>
      <c r="H82" s="241"/>
      <c r="I82" s="241"/>
      <c r="J82" s="242"/>
      <c r="K82" t="s">
        <v>7</v>
      </c>
    </row>
    <row r="83" spans="1:11" ht="92.25" customHeight="1" x14ac:dyDescent="0.2">
      <c r="A83" s="62" t="s">
        <v>76</v>
      </c>
      <c r="B83" s="238" t="s">
        <v>85</v>
      </c>
      <c r="C83" s="239"/>
      <c r="D83" s="245" t="s">
        <v>155</v>
      </c>
      <c r="E83" s="241"/>
      <c r="F83" s="241"/>
      <c r="G83" s="241"/>
      <c r="H83" s="241"/>
      <c r="I83" s="241"/>
      <c r="J83" s="242"/>
      <c r="K83" t="s">
        <v>7</v>
      </c>
    </row>
    <row r="84" spans="1:11" ht="39.950000000000003" customHeight="1" x14ac:dyDescent="0.2">
      <c r="A84" s="62" t="s">
        <v>77</v>
      </c>
      <c r="B84" s="238" t="s">
        <v>85</v>
      </c>
      <c r="C84" s="239"/>
      <c r="D84" s="240" t="s">
        <v>156</v>
      </c>
      <c r="E84" s="241"/>
      <c r="F84" s="241"/>
      <c r="G84" s="241"/>
      <c r="H84" s="241"/>
      <c r="I84" s="241"/>
      <c r="J84" s="242"/>
      <c r="K84" t="s">
        <v>7</v>
      </c>
    </row>
    <row r="85" spans="1:11" ht="39.950000000000003" customHeight="1" x14ac:dyDescent="0.2">
      <c r="A85" s="62" t="s">
        <v>6</v>
      </c>
      <c r="B85" s="238" t="s">
        <v>85</v>
      </c>
      <c r="C85" s="239"/>
      <c r="D85" s="240" t="s">
        <v>157</v>
      </c>
      <c r="E85" s="241"/>
      <c r="F85" s="241"/>
      <c r="G85" s="241"/>
      <c r="H85" s="241"/>
      <c r="I85" s="241"/>
      <c r="J85" s="242"/>
      <c r="K85" t="s">
        <v>7</v>
      </c>
    </row>
    <row r="86" spans="1:11" ht="39.950000000000003" customHeight="1" x14ac:dyDescent="0.2">
      <c r="A86" s="65" t="s">
        <v>18</v>
      </c>
      <c r="B86" s="238" t="s">
        <v>85</v>
      </c>
      <c r="C86" s="239"/>
      <c r="D86" s="240" t="s">
        <v>158</v>
      </c>
      <c r="E86" s="244"/>
      <c r="F86" s="244"/>
      <c r="G86" s="244"/>
      <c r="H86" s="244"/>
      <c r="I86" s="244"/>
      <c r="J86" s="239"/>
      <c r="K86" t="s">
        <v>7</v>
      </c>
    </row>
    <row r="87" spans="1:11" ht="39.950000000000003" customHeight="1" x14ac:dyDescent="0.2">
      <c r="A87" s="65" t="s">
        <v>67</v>
      </c>
      <c r="B87" s="238" t="s">
        <v>85</v>
      </c>
      <c r="C87" s="239"/>
      <c r="D87" s="240" t="s">
        <v>159</v>
      </c>
      <c r="E87" s="244"/>
      <c r="F87" s="244"/>
      <c r="G87" s="244"/>
      <c r="H87" s="244"/>
      <c r="I87" s="244"/>
      <c r="J87" s="239"/>
      <c r="K87" t="s">
        <v>7</v>
      </c>
    </row>
    <row r="88" spans="1:11" ht="39.950000000000003" customHeight="1" x14ac:dyDescent="0.2">
      <c r="A88" s="65" t="s">
        <v>12</v>
      </c>
      <c r="B88" s="238" t="s">
        <v>85</v>
      </c>
      <c r="C88" s="239"/>
      <c r="D88" s="240" t="s">
        <v>160</v>
      </c>
      <c r="E88" s="244"/>
      <c r="F88" s="244"/>
      <c r="G88" s="244"/>
      <c r="H88" s="244"/>
      <c r="I88" s="244"/>
      <c r="J88" s="239"/>
      <c r="K88" t="s">
        <v>7</v>
      </c>
    </row>
    <row r="89" spans="1:11" ht="39.950000000000003" customHeight="1" x14ac:dyDescent="0.2">
      <c r="A89" s="65" t="s">
        <v>3</v>
      </c>
      <c r="B89" s="238" t="s">
        <v>84</v>
      </c>
      <c r="C89" s="239"/>
      <c r="D89" s="238" t="s">
        <v>161</v>
      </c>
      <c r="E89" s="244"/>
      <c r="F89" s="244"/>
      <c r="G89" s="244"/>
      <c r="H89" s="244"/>
      <c r="I89" s="244"/>
      <c r="J89" s="239"/>
      <c r="K89" t="s">
        <v>7</v>
      </c>
    </row>
    <row r="90" spans="1:11" ht="39.950000000000003" customHeight="1" x14ac:dyDescent="0.2">
      <c r="A90" s="65" t="s">
        <v>30</v>
      </c>
      <c r="B90" s="238" t="s">
        <v>85</v>
      </c>
      <c r="C90" s="239"/>
      <c r="D90" s="240" t="s">
        <v>162</v>
      </c>
      <c r="E90" s="241"/>
      <c r="F90" s="241"/>
      <c r="G90" s="241"/>
      <c r="H90" s="241"/>
      <c r="I90" s="241"/>
      <c r="J90" s="242"/>
      <c r="K90" t="s">
        <v>7</v>
      </c>
    </row>
    <row r="91" spans="1:11" ht="39.950000000000003" customHeight="1" x14ac:dyDescent="0.2">
      <c r="A91" s="65" t="s">
        <v>13</v>
      </c>
      <c r="B91" s="238" t="s">
        <v>85</v>
      </c>
      <c r="C91" s="239"/>
      <c r="D91" s="240" t="s">
        <v>163</v>
      </c>
      <c r="E91" s="241"/>
      <c r="F91" s="241"/>
      <c r="G91" s="241"/>
      <c r="H91" s="241"/>
      <c r="I91" s="241"/>
      <c r="J91" s="242"/>
      <c r="K91" t="s">
        <v>7</v>
      </c>
    </row>
    <row r="92" spans="1:11" ht="39.950000000000003" customHeight="1" x14ac:dyDescent="0.2">
      <c r="A92" s="65" t="s">
        <v>20</v>
      </c>
      <c r="B92" s="238" t="s">
        <v>85</v>
      </c>
      <c r="C92" s="239"/>
      <c r="D92" s="240" t="s">
        <v>164</v>
      </c>
      <c r="E92" s="241"/>
      <c r="F92" s="241"/>
      <c r="G92" s="241"/>
      <c r="H92" s="241"/>
      <c r="I92" s="241"/>
      <c r="J92" s="242"/>
      <c r="K92" t="s">
        <v>7</v>
      </c>
    </row>
    <row r="93" spans="1:11" ht="39.950000000000003" customHeight="1" x14ac:dyDescent="0.2">
      <c r="A93" s="65" t="s">
        <v>14</v>
      </c>
      <c r="B93" s="238" t="s">
        <v>85</v>
      </c>
      <c r="C93" s="239"/>
      <c r="D93" s="240" t="s">
        <v>165</v>
      </c>
      <c r="E93" s="241"/>
      <c r="F93" s="241"/>
      <c r="G93" s="241"/>
      <c r="H93" s="241"/>
      <c r="I93" s="241"/>
      <c r="J93" s="242"/>
    </row>
    <row r="94" spans="1:11" ht="15" x14ac:dyDescent="0.25">
      <c r="A94" s="243" t="s">
        <v>143</v>
      </c>
      <c r="B94" s="243"/>
      <c r="C94" s="243"/>
      <c r="D94" s="243"/>
      <c r="E94" s="243"/>
      <c r="F94" s="243"/>
      <c r="G94" s="243"/>
      <c r="H94" s="243"/>
      <c r="I94" s="243"/>
      <c r="J94" s="243"/>
    </row>
    <row r="95" spans="1:11" ht="15" x14ac:dyDescent="0.25">
      <c r="A95" s="235" t="s">
        <v>144</v>
      </c>
      <c r="B95" s="236"/>
      <c r="C95" s="236"/>
      <c r="D95" s="236"/>
      <c r="E95" s="236"/>
      <c r="F95" s="236"/>
      <c r="G95" s="236"/>
      <c r="H95" s="236"/>
      <c r="I95" s="236"/>
      <c r="J95" s="237"/>
    </row>
    <row r="96" spans="1:11" ht="15" x14ac:dyDescent="0.25">
      <c r="A96" s="235" t="s">
        <v>145</v>
      </c>
      <c r="B96" s="236"/>
      <c r="C96" s="236"/>
      <c r="D96" s="236"/>
      <c r="E96" s="236"/>
      <c r="F96" s="236"/>
      <c r="G96" s="236"/>
      <c r="H96" s="236"/>
      <c r="I96" s="236"/>
      <c r="J96" s="237"/>
    </row>
    <row r="97" spans="1:10" ht="15" x14ac:dyDescent="0.25">
      <c r="A97" s="235" t="s">
        <v>146</v>
      </c>
      <c r="B97" s="236"/>
      <c r="C97" s="236"/>
      <c r="D97" s="236"/>
      <c r="E97" s="236"/>
      <c r="F97" s="236"/>
      <c r="G97" s="236"/>
      <c r="H97" s="236"/>
      <c r="I97" s="236"/>
      <c r="J97" s="237"/>
    </row>
    <row r="98" spans="1:10" ht="15" x14ac:dyDescent="0.25">
      <c r="A98" s="235" t="s">
        <v>147</v>
      </c>
      <c r="B98" s="236"/>
      <c r="C98" s="236"/>
      <c r="D98" s="236"/>
      <c r="E98" s="236"/>
      <c r="F98" s="236"/>
      <c r="G98" s="236"/>
      <c r="H98" s="236"/>
      <c r="I98" s="236"/>
      <c r="J98" s="237"/>
    </row>
  </sheetData>
  <mergeCells count="51">
    <mergeCell ref="A75:J75"/>
    <mergeCell ref="C3:Q3"/>
    <mergeCell ref="C4:Q4"/>
    <mergeCell ref="C5:Q5"/>
    <mergeCell ref="C6:Q6"/>
    <mergeCell ref="C7:Q7"/>
    <mergeCell ref="C8:Q8"/>
    <mergeCell ref="A19:Q19"/>
    <mergeCell ref="A27:Q27"/>
    <mergeCell ref="A40:Q40"/>
    <mergeCell ref="A43:I43"/>
    <mergeCell ref="I70:I74"/>
    <mergeCell ref="A76:J76"/>
    <mergeCell ref="A77:J77"/>
    <mergeCell ref="B78:C78"/>
    <mergeCell ref="D78:J78"/>
    <mergeCell ref="B79:C79"/>
    <mergeCell ref="D79:J79"/>
    <mergeCell ref="B80:C80"/>
    <mergeCell ref="D80:J80"/>
    <mergeCell ref="B81:C81"/>
    <mergeCell ref="D81:J81"/>
    <mergeCell ref="B82:C82"/>
    <mergeCell ref="D82:J82"/>
    <mergeCell ref="B83:C83"/>
    <mergeCell ref="D83:J83"/>
    <mergeCell ref="B84:C84"/>
    <mergeCell ref="D84:J84"/>
    <mergeCell ref="B85:C85"/>
    <mergeCell ref="D85:J85"/>
    <mergeCell ref="B86:C86"/>
    <mergeCell ref="D86:J86"/>
    <mergeCell ref="B87:C87"/>
    <mergeCell ref="D87:J87"/>
    <mergeCell ref="B88:C88"/>
    <mergeCell ref="D88:J88"/>
    <mergeCell ref="B89:C89"/>
    <mergeCell ref="D89:J89"/>
    <mergeCell ref="B90:C90"/>
    <mergeCell ref="D90:J90"/>
    <mergeCell ref="B91:C91"/>
    <mergeCell ref="D91:J91"/>
    <mergeCell ref="A96:J96"/>
    <mergeCell ref="A97:J97"/>
    <mergeCell ref="A98:J98"/>
    <mergeCell ref="B92:C92"/>
    <mergeCell ref="D92:J92"/>
    <mergeCell ref="B93:C93"/>
    <mergeCell ref="D93:J93"/>
    <mergeCell ref="A94:J94"/>
    <mergeCell ref="A95:J95"/>
  </mergeCells>
  <pageMargins left="0.45" right="0.45" top="0.5" bottom="0.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PJM Buy Bids-Sell Offers</vt:lpstr>
      <vt:lpstr>3rd IA Configuration</vt:lpstr>
      <vt:lpstr>3rd IA Parameters</vt:lpstr>
      <vt:lpstr>BRA Parameters</vt:lpstr>
      <vt:lpstr>'3rd IA Configuration'!Print_Area</vt:lpstr>
      <vt:lpstr>'3rd IA Parameters'!Print_Area</vt:lpstr>
      <vt:lpstr>'BRA Parameters'!Print_Area</vt:lpstr>
      <vt:lpstr>'PJM Buy Bids-Sell Offers'!Print_Area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Bachus, Tim D</cp:lastModifiedBy>
  <cp:lastPrinted>2021-02-01T14:20:03Z</cp:lastPrinted>
  <dcterms:created xsi:type="dcterms:W3CDTF">2007-01-26T13:56:48Z</dcterms:created>
  <dcterms:modified xsi:type="dcterms:W3CDTF">2025-03-17T13:20:35Z</dcterms:modified>
</cp:coreProperties>
</file>